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9\"/>
    </mc:Choice>
  </mc:AlternateContent>
  <bookViews>
    <workbookView xWindow="0" yWindow="0" windowWidth="23040" windowHeight="9408" tabRatio="878" firstSheet="8" activeTab="26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sz. mell." sheetId="112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1. sz.mell." sheetId="114" r:id="rId24"/>
    <sheet name="12. sz.mell." sheetId="115" r:id="rId25"/>
    <sheet name="13. sz. mell." sheetId="116" r:id="rId26"/>
    <sheet name="14. sz. mell." sheetId="117" r:id="rId27"/>
    <sheet name="13.sz.mell" sheetId="89" state="hidden" r:id="rId28"/>
    <sheet name="2. sz tájékoztató t" sheetId="66" state="hidden" r:id="rId29"/>
    <sheet name="1a sz tájékoztató t." sheetId="106" state="hidden" r:id="rId30"/>
    <sheet name="1b. sz tájékoztató t." sheetId="105" state="hidden" r:id="rId31"/>
    <sheet name="1.sz tájékoztató t." sheetId="24" state="hidden" r:id="rId32"/>
    <sheet name="2. sz. tájékoztató tábla" sheetId="113" state="hidden" r:id="rId33"/>
    <sheet name="3. sz tájékoztató t." sheetId="88" state="hidden" r:id="rId34"/>
    <sheet name="3.sz tájékoztató t." sheetId="70" state="hidden" r:id="rId35"/>
    <sheet name="4.sz tájékoztató t." sheetId="109" state="hidden" r:id="rId36"/>
    <sheet name="5.sz.tájékoztató tábla" sheetId="111" state="hidden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a">[1]Háttéradatok!$C$29:$AG$32</definedName>
    <definedName name="adat" localSheetId="26">'14. sz. mell.'!$A$11:$C$20</definedName>
    <definedName name="cccc" localSheetId="26">#REF!</definedName>
    <definedName name="cccc" localSheetId="32">#REF!</definedName>
    <definedName name="cccc" localSheetId="36">#REF!</definedName>
    <definedName name="cccc" localSheetId="14">#REF!</definedName>
    <definedName name="cccc">#REF!</definedName>
    <definedName name="css" localSheetId="26">#REF!</definedName>
    <definedName name="css" localSheetId="36">#REF!</definedName>
    <definedName name="css">#REF!</definedName>
    <definedName name="css_k" localSheetId="26">[2]Családsegítés!$C$27:$C$86</definedName>
    <definedName name="css_k">[3]Családsegítés!$C$27:$C$86</definedName>
    <definedName name="css_k_" localSheetId="26">#REF!</definedName>
    <definedName name="css_k_" localSheetId="32">#REF!</definedName>
    <definedName name="css_k_" localSheetId="36">#REF!</definedName>
    <definedName name="css_k_" localSheetId="14">#REF!</definedName>
    <definedName name="css_k_">#REF!</definedName>
    <definedName name="Excel_BuiltIn_Print_Area_1" localSheetId="26">#REF!</definedName>
    <definedName name="Excel_BuiltIn_Print_Area_1" localSheetId="36">#REF!</definedName>
    <definedName name="Excel_BuiltIn_Print_Area_1">#REF!</definedName>
    <definedName name="Excel_BuiltIn_Print_Titles_26" localSheetId="26">#REF!,#REF!</definedName>
    <definedName name="Excel_BuiltIn_Print_Titles_26" localSheetId="32">#REF!,#REF!</definedName>
    <definedName name="Excel_BuiltIn_Print_Titles_26" localSheetId="36">#REF!,#REF!</definedName>
    <definedName name="Excel_BuiltIn_Print_Titles_26" localSheetId="14">#REF!,#REF!</definedName>
    <definedName name="Excel_BuiltIn_Print_Titles_26">#REF!,#REF!</definedName>
    <definedName name="GDP">[4]Háttéradatok!$B$22:$AG$28</definedName>
    <definedName name="gdpp">[5]Háttéradatok!$B$22:$AG$28</definedName>
    <definedName name="gggg" localSheetId="26">[6]Háttéradatok!$C$29:$AG$32</definedName>
    <definedName name="gggg">[7]Háttéradatok!$C$29:$AG$32</definedName>
    <definedName name="gyj" localSheetId="26">#REF!</definedName>
    <definedName name="gyj" localSheetId="32">#REF!</definedName>
    <definedName name="gyj" localSheetId="36">#REF!</definedName>
    <definedName name="gyj" localSheetId="14">#REF!</definedName>
    <definedName name="gyj">#REF!</definedName>
    <definedName name="gyj_k" localSheetId="26">[2]Gyermekjóléti!$C$27:$C$86</definedName>
    <definedName name="gyj_k">[3]Gyermekjóléti!$C$27:$C$86</definedName>
    <definedName name="gyj_k_" localSheetId="26">#REF!</definedName>
    <definedName name="gyj_k_" localSheetId="32">#REF!</definedName>
    <definedName name="gyj_k_" localSheetId="36">#REF!</definedName>
    <definedName name="gyj_k_" localSheetId="14">#REF!</definedName>
    <definedName name="gyj_k_">#REF!</definedName>
    <definedName name="intézmény">[4]Háttéradatok!$C$29:$AG$32</definedName>
    <definedName name="Kinga" localSheetId="26">#REF!</definedName>
    <definedName name="Kinga" localSheetId="32">#REF!</definedName>
    <definedName name="Kinga" localSheetId="36">#REF!</definedName>
    <definedName name="Kinga" localSheetId="14">#REF!</definedName>
    <definedName name="Kinga">#REF!</definedName>
    <definedName name="kjz" localSheetId="26">#REF!</definedName>
    <definedName name="kjz" localSheetId="36">#REF!</definedName>
    <definedName name="kjz">#REF!</definedName>
    <definedName name="kjz_k" localSheetId="26">[2]körjegyzőség!$C$9:$C$28</definedName>
    <definedName name="kjz_k">[3]körjegyzőség!$C$9:$C$28</definedName>
    <definedName name="kjz_k_" localSheetId="26">#REF!</definedName>
    <definedName name="kjz_k_" localSheetId="32">#REF!</definedName>
    <definedName name="kjz_k_" localSheetId="36">#REF!</definedName>
    <definedName name="kjz_k_" localSheetId="14">#REF!</definedName>
    <definedName name="kjz_k_">#REF!</definedName>
    <definedName name="más" localSheetId="26">#REF!,#REF!</definedName>
    <definedName name="más" localSheetId="32">#REF!,#REF!</definedName>
    <definedName name="más" localSheetId="36">#REF!,#REF!</definedName>
    <definedName name="más" localSheetId="14">#REF!,#REF!</definedName>
    <definedName name="más">#REF!,#REF!</definedName>
    <definedName name="nep">[4]Háttéradatok!$C$29:$AG$32</definedName>
    <definedName name="nép">[4]Háttéradatok!$C$29:$AG$32</definedName>
    <definedName name="nev_c" localSheetId="26">#REF!</definedName>
    <definedName name="nev_c" localSheetId="32">#REF!</definedName>
    <definedName name="nev_c" localSheetId="36">#REF!</definedName>
    <definedName name="nev_c" localSheetId="14">#REF!</definedName>
    <definedName name="nev_c">#REF!</definedName>
    <definedName name="nev_g" localSheetId="26">#REF!</definedName>
    <definedName name="nev_g" localSheetId="36">#REF!</definedName>
    <definedName name="nev_g">#REF!</definedName>
    <definedName name="nev_k" localSheetId="26">#REF!</definedName>
    <definedName name="nev_k" localSheetId="36">#REF!</definedName>
    <definedName name="nev_k">#REF!</definedName>
    <definedName name="_xlnm.Print_Titles" localSheetId="22">'10. sz. mell.'!$1:$5</definedName>
    <definedName name="_xlnm.Print_Titles" localSheetId="25">'13. sz. mell.'!$4:$5</definedName>
    <definedName name="_xlnm.Print_Titles" localSheetId="26">'14. sz. mell.'!$3:$10</definedName>
    <definedName name="_xlnm.Print_Titles" localSheetId="29">'1a sz tájékoztató t.'!$1:$5</definedName>
    <definedName name="_xlnm.Print_Titles" localSheetId="30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'1.1.sz.mell.'!$A$1:$F$142</definedName>
    <definedName name="_xlnm.Print_Area" localSheetId="4">'1.2.sz.mell. _köt'!$A$1:$F$127</definedName>
    <definedName name="_xlnm.Print_Area" localSheetId="5">'1.3.sz.mell._önk'!$A$1:$F$127</definedName>
    <definedName name="_xlnm.Print_Area" localSheetId="6">'1.4.sz.mell._állig'!$A$1:$F$127</definedName>
    <definedName name="_xlnm.Print_Area" localSheetId="31">'1.sz tájékoztató t.'!$A$1:$O$28</definedName>
    <definedName name="_xlnm.Print_Area" localSheetId="25">'13. sz. mell.'!$A$1:$D$57</definedName>
    <definedName name="_xlnm.Print_Area" localSheetId="29">'1a sz tájékoztató t.'!$A$1:$Q$109</definedName>
    <definedName name="_xlnm.Print_Area" localSheetId="30">'1b. sz tájékoztató t.'!$A$1:$Q$150</definedName>
    <definedName name="_xlnm.Print_Area" localSheetId="8">'2.2.sz.mell  '!$A$1:$J$36</definedName>
    <definedName name="_xlnm.Print_Area" localSheetId="33">'3. sz tájékoztató t.'!$A$1:$D$37</definedName>
    <definedName name="_xlnm.Print_Area" localSheetId="11">'4.sz.mell.'!$A$1:$F$12</definedName>
    <definedName name="_xlnm.Print_Area" localSheetId="12">'5.sz.mell.'!$A$1:$G$47</definedName>
    <definedName name="_xlnm.Print_Area" localSheetId="13">'6.sz.mell.'!$A$1:$G$36</definedName>
    <definedName name="_xlnm.Print_Area" localSheetId="14">'7.sz. mell.'!$A$1:$G$21</definedName>
    <definedName name="_xlnm.Print_Area" localSheetId="15">'8. sz. mell'!$A$1:$G$104</definedName>
    <definedName name="_xlnm.Print_Area" localSheetId="21">'9. sz. mell.'!$A$1:$G$50</definedName>
    <definedName name="szállítók" localSheetId="26">#REF!</definedName>
    <definedName name="szállítók" localSheetId="32">#REF!</definedName>
    <definedName name="szállítók" localSheetId="36">#REF!</definedName>
    <definedName name="szállítók" localSheetId="14">#REF!</definedName>
    <definedName name="szállítók">#REF!</definedName>
    <definedName name="számlaszám" localSheetId="26">#REF!</definedName>
    <definedName name="számlaszám" localSheetId="36">#REF!</definedName>
    <definedName name="számlaszám">#REF!</definedName>
    <definedName name="Tűzoltóság">[7]Háttéradatok!$C$29:$AG$32</definedName>
    <definedName name="xxx">[4]Háttéradatok!$C$29:$AG$32</definedName>
    <definedName name="xxxxxx">[4]Háttéradatok!$C$29:$AG$32</definedName>
  </definedNames>
  <calcPr calcId="152511"/>
</workbook>
</file>

<file path=xl/calcChain.xml><?xml version="1.0" encoding="utf-8"?>
<calcChain xmlns="http://schemas.openxmlformats.org/spreadsheetml/2006/main">
  <c r="C7" i="116" l="1"/>
  <c r="C8" i="116"/>
  <c r="C9" i="116"/>
  <c r="C10" i="116"/>
  <c r="C11" i="116"/>
  <c r="C12" i="116"/>
  <c r="C13" i="116"/>
  <c r="C14" i="116"/>
  <c r="C15" i="116"/>
  <c r="C16" i="116"/>
  <c r="C17" i="116"/>
  <c r="C18" i="116"/>
  <c r="C19" i="116"/>
  <c r="C20" i="116"/>
  <c r="C21" i="116"/>
  <c r="C22" i="116"/>
  <c r="C23" i="116"/>
  <c r="C24" i="116"/>
  <c r="C25" i="116"/>
  <c r="C26" i="116"/>
  <c r="C27" i="116"/>
  <c r="C28" i="116"/>
  <c r="C29" i="116"/>
  <c r="C30" i="116"/>
  <c r="C31" i="116"/>
  <c r="C32" i="116"/>
  <c r="C33" i="116"/>
  <c r="C34" i="116"/>
  <c r="C35" i="116"/>
  <c r="C36" i="116"/>
  <c r="C37" i="116"/>
  <c r="C38" i="116"/>
  <c r="C39" i="116"/>
  <c r="C40" i="116"/>
  <c r="C41" i="116"/>
  <c r="C42" i="116"/>
  <c r="C43" i="116"/>
  <c r="C44" i="116"/>
  <c r="C45" i="116"/>
  <c r="C46" i="116"/>
  <c r="C47" i="116"/>
  <c r="C48" i="116"/>
  <c r="C49" i="116"/>
  <c r="C50" i="116"/>
  <c r="C51" i="116"/>
  <c r="C52" i="116"/>
  <c r="C53" i="116"/>
  <c r="C54" i="116"/>
  <c r="C55" i="116"/>
  <c r="C56" i="116"/>
  <c r="C57" i="116"/>
  <c r="C6" i="116"/>
  <c r="C7" i="115"/>
  <c r="C8" i="115"/>
  <c r="C9" i="115"/>
  <c r="C10" i="115"/>
  <c r="C11" i="115"/>
  <c r="C12" i="115"/>
  <c r="C13" i="115"/>
  <c r="C14" i="115"/>
  <c r="C15" i="115"/>
  <c r="C16" i="115"/>
  <c r="C17" i="115"/>
  <c r="C18" i="115"/>
  <c r="C19" i="115"/>
  <c r="C20" i="115"/>
  <c r="C21" i="115"/>
  <c r="C22" i="115"/>
  <c r="C23" i="115"/>
  <c r="C24" i="115"/>
  <c r="C25" i="115"/>
  <c r="C26" i="115"/>
  <c r="C27" i="115"/>
  <c r="C28" i="115"/>
  <c r="C29" i="115"/>
  <c r="C30" i="115"/>
  <c r="C31" i="115"/>
  <c r="C6" i="115"/>
  <c r="C7" i="114"/>
  <c r="C8" i="114"/>
  <c r="C9" i="114"/>
  <c r="C10" i="114"/>
  <c r="C11" i="114"/>
  <c r="C12" i="114"/>
  <c r="C13" i="114"/>
  <c r="C14" i="114"/>
  <c r="C15" i="114"/>
  <c r="C16" i="114"/>
  <c r="C17" i="114"/>
  <c r="C18" i="114"/>
  <c r="C19" i="114"/>
  <c r="C20" i="114"/>
  <c r="C21" i="114"/>
  <c r="C22" i="114"/>
  <c r="C23" i="114"/>
  <c r="C24" i="114"/>
  <c r="C25" i="114"/>
  <c r="C6" i="114"/>
  <c r="E29" i="73" l="1"/>
  <c r="E66" i="1"/>
  <c r="D136" i="1"/>
  <c r="E136" i="1"/>
  <c r="D137" i="1"/>
  <c r="E137" i="1"/>
  <c r="D126" i="1"/>
  <c r="F74" i="1"/>
  <c r="F75" i="1"/>
  <c r="F76" i="1"/>
  <c r="F77" i="1"/>
  <c r="F78" i="1"/>
  <c r="F81" i="1"/>
  <c r="F82" i="1"/>
  <c r="F83" i="1"/>
  <c r="F85" i="1"/>
  <c r="F88" i="1"/>
  <c r="F97" i="1"/>
  <c r="F98" i="1"/>
  <c r="F99" i="1"/>
  <c r="F102" i="1"/>
  <c r="F103" i="1"/>
  <c r="F110" i="1"/>
  <c r="F73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8" i="1"/>
  <c r="F29" i="1"/>
  <c r="F30" i="1"/>
  <c r="F31" i="1"/>
  <c r="F32" i="1"/>
  <c r="F36" i="1"/>
  <c r="F37" i="1"/>
  <c r="F40" i="1"/>
  <c r="F43" i="1"/>
  <c r="F45" i="1"/>
  <c r="F46" i="1"/>
  <c r="F47" i="1"/>
  <c r="F51" i="1"/>
  <c r="F52" i="1"/>
  <c r="F53" i="1"/>
  <c r="F54" i="1"/>
  <c r="F65" i="1"/>
  <c r="F5" i="1"/>
  <c r="D126" i="91"/>
  <c r="F74" i="91"/>
  <c r="F75" i="91"/>
  <c r="F76" i="91"/>
  <c r="F77" i="91"/>
  <c r="F78" i="91"/>
  <c r="F81" i="91"/>
  <c r="F82" i="91"/>
  <c r="F83" i="91"/>
  <c r="F85" i="91"/>
  <c r="F88" i="91"/>
  <c r="F97" i="91"/>
  <c r="F98" i="91"/>
  <c r="F99" i="91"/>
  <c r="F102" i="91"/>
  <c r="F103" i="91"/>
  <c r="F110" i="91"/>
  <c r="F73" i="91"/>
  <c r="F6" i="91"/>
  <c r="F7" i="91"/>
  <c r="F9" i="91"/>
  <c r="F10" i="91"/>
  <c r="F11" i="91"/>
  <c r="F12" i="91"/>
  <c r="F13" i="91"/>
  <c r="F14" i="91"/>
  <c r="F15" i="91"/>
  <c r="F16" i="91"/>
  <c r="F17" i="91"/>
  <c r="F18" i="91"/>
  <c r="F19" i="91"/>
  <c r="F20" i="91"/>
  <c r="F21" i="91"/>
  <c r="F22" i="91"/>
  <c r="F24" i="91"/>
  <c r="F28" i="91"/>
  <c r="F29" i="91"/>
  <c r="F30" i="91"/>
  <c r="F31" i="91"/>
  <c r="F32" i="91"/>
  <c r="F36" i="91"/>
  <c r="F37" i="91"/>
  <c r="F40" i="91"/>
  <c r="F43" i="91"/>
  <c r="F45" i="91"/>
  <c r="F46" i="91"/>
  <c r="F47" i="91"/>
  <c r="F51" i="91"/>
  <c r="F52" i="91"/>
  <c r="F53" i="91"/>
  <c r="F54" i="91"/>
  <c r="F65" i="91"/>
  <c r="F67" i="91"/>
  <c r="F5" i="91"/>
  <c r="F122" i="92"/>
  <c r="F120" i="92"/>
  <c r="F101" i="92"/>
  <c r="F76" i="92"/>
  <c r="F78" i="92"/>
  <c r="F82" i="92"/>
  <c r="F73" i="92"/>
  <c r="F67" i="92"/>
  <c r="F65" i="92"/>
  <c r="F51" i="92"/>
  <c r="F5" i="92"/>
  <c r="F6" i="92"/>
  <c r="F7" i="92"/>
  <c r="E76" i="92"/>
  <c r="F21" i="112"/>
  <c r="G9" i="112"/>
  <c r="G10" i="112"/>
  <c r="G11" i="112"/>
  <c r="G12" i="112"/>
  <c r="G13" i="112"/>
  <c r="G14" i="112"/>
  <c r="G15" i="112"/>
  <c r="G16" i="112"/>
  <c r="G17" i="112"/>
  <c r="G18" i="112"/>
  <c r="G19" i="112"/>
  <c r="G20" i="112"/>
  <c r="G21" i="112"/>
  <c r="G8" i="112"/>
  <c r="F18" i="112"/>
  <c r="F11" i="112"/>
  <c r="G9" i="3"/>
  <c r="G10" i="3"/>
  <c r="G12" i="3"/>
  <c r="G13" i="3"/>
  <c r="G14" i="3"/>
  <c r="G15" i="3"/>
  <c r="G17" i="3"/>
  <c r="G19" i="3"/>
  <c r="G20" i="3"/>
  <c r="G21" i="3"/>
  <c r="G22" i="3"/>
  <c r="G23" i="3"/>
  <c r="G24" i="3"/>
  <c r="G25" i="3"/>
  <c r="G27" i="3"/>
  <c r="G31" i="3"/>
  <c r="G32" i="3"/>
  <c r="G33" i="3"/>
  <c r="G34" i="3"/>
  <c r="G35" i="3"/>
  <c r="G39" i="3"/>
  <c r="G40" i="3"/>
  <c r="G43" i="3"/>
  <c r="G46" i="3"/>
  <c r="G48" i="3"/>
  <c r="G49" i="3"/>
  <c r="G50" i="3"/>
  <c r="G54" i="3"/>
  <c r="G55" i="3"/>
  <c r="G56" i="3"/>
  <c r="G59" i="3"/>
  <c r="G8" i="3"/>
  <c r="F55" i="3"/>
  <c r="F59" i="3"/>
  <c r="F24" i="3"/>
  <c r="F8" i="3"/>
  <c r="F14" i="3"/>
  <c r="F9" i="3"/>
  <c r="F34" i="3"/>
  <c r="F40" i="3"/>
  <c r="F33" i="3"/>
  <c r="F54" i="3" s="1"/>
  <c r="F49" i="3"/>
  <c r="F46" i="3"/>
  <c r="G64" i="3"/>
  <c r="G66" i="3"/>
  <c r="G67" i="3"/>
  <c r="G68" i="3"/>
  <c r="G69" i="3"/>
  <c r="G72" i="3"/>
  <c r="G73" i="3"/>
  <c r="G74" i="3"/>
  <c r="G75" i="3"/>
  <c r="G77" i="3"/>
  <c r="G80" i="3"/>
  <c r="G89" i="3"/>
  <c r="G90" i="3"/>
  <c r="G91" i="3"/>
  <c r="G93" i="3"/>
  <c r="G95" i="3"/>
  <c r="G96" i="3"/>
  <c r="G65" i="3"/>
  <c r="F95" i="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G25" i="63"/>
  <c r="G26" i="63"/>
  <c r="G27" i="63"/>
  <c r="G28" i="63"/>
  <c r="G29" i="63"/>
  <c r="G30" i="63"/>
  <c r="G31" i="63"/>
  <c r="G32" i="63"/>
  <c r="G33" i="63"/>
  <c r="G34" i="63"/>
  <c r="G35" i="63"/>
  <c r="G36" i="63"/>
  <c r="G37" i="63"/>
  <c r="G46" i="63"/>
  <c r="G47" i="63"/>
  <c r="G5" i="63"/>
  <c r="G32" i="64"/>
  <c r="G33" i="64"/>
  <c r="G34" i="64"/>
  <c r="G6" i="64"/>
  <c r="G7" i="64"/>
  <c r="G8" i="64"/>
  <c r="G9" i="64"/>
  <c r="G10" i="64"/>
  <c r="G11" i="64"/>
  <c r="G12" i="64"/>
  <c r="G13" i="64"/>
  <c r="G14" i="64"/>
  <c r="G15" i="64"/>
  <c r="G17" i="64"/>
  <c r="G18" i="64"/>
  <c r="G19" i="64"/>
  <c r="G20" i="64"/>
  <c r="G21" i="64"/>
  <c r="G22" i="64"/>
  <c r="G23" i="64"/>
  <c r="G24" i="64"/>
  <c r="G25" i="64"/>
  <c r="G26" i="64"/>
  <c r="G27" i="64"/>
  <c r="G28" i="64"/>
  <c r="G29" i="64"/>
  <c r="G30" i="64"/>
  <c r="G5" i="64"/>
  <c r="F32" i="64"/>
  <c r="F29" i="64"/>
  <c r="F80" i="3"/>
  <c r="E88" i="91" s="1"/>
  <c r="E88" i="1" s="1"/>
  <c r="I7" i="61" s="1"/>
  <c r="F39" i="63"/>
  <c r="F44" i="63"/>
  <c r="F43" i="63"/>
  <c r="F42" i="63"/>
  <c r="F41" i="63"/>
  <c r="F40" i="63"/>
  <c r="F33" i="63"/>
  <c r="F30" i="63"/>
  <c r="F45" i="63" s="1"/>
  <c r="G45" i="63" s="1"/>
  <c r="F29" i="63"/>
  <c r="F28" i="63"/>
  <c r="F27" i="63"/>
  <c r="F9" i="63"/>
  <c r="F6" i="63"/>
  <c r="F5" i="63"/>
  <c r="E64" i="3"/>
  <c r="F64" i="3"/>
  <c r="F69" i="3"/>
  <c r="G37" i="103"/>
  <c r="G38" i="103"/>
  <c r="G39" i="103"/>
  <c r="G42" i="103"/>
  <c r="G43" i="103"/>
  <c r="G44" i="103"/>
  <c r="G50" i="103"/>
  <c r="G36" i="103"/>
  <c r="G8" i="103"/>
  <c r="G9" i="103"/>
  <c r="G16" i="103"/>
  <c r="G17" i="103"/>
  <c r="G18" i="103"/>
  <c r="G25" i="103"/>
  <c r="G26" i="103"/>
  <c r="G27" i="103"/>
  <c r="G28" i="103"/>
  <c r="G32" i="103"/>
  <c r="G7" i="103"/>
  <c r="F7" i="103"/>
  <c r="F17" i="103"/>
  <c r="F26" i="103"/>
  <c r="F32" i="103" s="1"/>
  <c r="F50" i="103"/>
  <c r="F36" i="103"/>
  <c r="G35" i="84"/>
  <c r="G37" i="84"/>
  <c r="G38" i="84"/>
  <c r="G41" i="84"/>
  <c r="G42" i="84"/>
  <c r="G43" i="84"/>
  <c r="G49" i="84"/>
  <c r="G36" i="84"/>
  <c r="G8" i="84"/>
  <c r="G11" i="84"/>
  <c r="G13" i="84"/>
  <c r="G16" i="84"/>
  <c r="G25" i="84"/>
  <c r="G26" i="84"/>
  <c r="G27" i="84"/>
  <c r="G28" i="84"/>
  <c r="G31" i="84"/>
  <c r="G7" i="84"/>
  <c r="F27" i="84"/>
  <c r="F7" i="84"/>
  <c r="F26" i="84" s="1"/>
  <c r="F31" i="84" s="1"/>
  <c r="F49" i="84"/>
  <c r="F42" i="84"/>
  <c r="F35" i="84"/>
  <c r="E19" i="73"/>
  <c r="E27" i="73" s="1"/>
  <c r="E126" i="93"/>
  <c r="F126" i="93"/>
  <c r="E78" i="92"/>
  <c r="E73" i="92" s="1"/>
  <c r="E101" i="92" s="1"/>
  <c r="E120" i="92" s="1"/>
  <c r="E84" i="1"/>
  <c r="E85" i="1"/>
  <c r="E8" i="1"/>
  <c r="E23" i="1"/>
  <c r="E25" i="1"/>
  <c r="E26" i="1"/>
  <c r="E27" i="1"/>
  <c r="E34" i="1"/>
  <c r="E38" i="1"/>
  <c r="E39" i="1"/>
  <c r="E41" i="1"/>
  <c r="E42" i="1"/>
  <c r="E45" i="1"/>
  <c r="E43" i="1" s="1"/>
  <c r="E47" i="1"/>
  <c r="E7" i="61" s="1"/>
  <c r="E48" i="1"/>
  <c r="E9" i="91"/>
  <c r="E9" i="1" s="1"/>
  <c r="E10" i="91"/>
  <c r="E10" i="1" s="1"/>
  <c r="E12" i="91"/>
  <c r="E13" i="91"/>
  <c r="E13" i="1" s="1"/>
  <c r="E14" i="91"/>
  <c r="E14" i="1" s="1"/>
  <c r="E15" i="91"/>
  <c r="E15" i="1" s="1"/>
  <c r="E16" i="91"/>
  <c r="E16" i="1" s="1"/>
  <c r="E17" i="91"/>
  <c r="E17" i="1" s="1"/>
  <c r="E18" i="91"/>
  <c r="E18" i="1" s="1"/>
  <c r="E19" i="91"/>
  <c r="E19" i="1" s="1"/>
  <c r="E20" i="91"/>
  <c r="E20" i="1" s="1"/>
  <c r="E8" i="73" s="1"/>
  <c r="E22" i="91"/>
  <c r="E22" i="1" s="1"/>
  <c r="E24" i="91"/>
  <c r="E28" i="91"/>
  <c r="E28" i="1" s="1"/>
  <c r="E29" i="91"/>
  <c r="E29" i="1" s="1"/>
  <c r="E32" i="91"/>
  <c r="E32" i="1" s="1"/>
  <c r="E33" i="91"/>
  <c r="E33" i="1" s="1"/>
  <c r="E34" i="91"/>
  <c r="E35" i="91"/>
  <c r="E35" i="1" s="1"/>
  <c r="E36" i="91"/>
  <c r="E36" i="1" s="1"/>
  <c r="E40" i="91"/>
  <c r="E37" i="91" s="1"/>
  <c r="E41" i="91"/>
  <c r="E44" i="91"/>
  <c r="E45" i="91"/>
  <c r="E47" i="91"/>
  <c r="E46" i="91" s="1"/>
  <c r="E48" i="91"/>
  <c r="E54" i="91"/>
  <c r="E53" i="91" s="1"/>
  <c r="E52" i="91" s="1"/>
  <c r="E110" i="91"/>
  <c r="E110" i="1" s="1"/>
  <c r="E103" i="1" s="1"/>
  <c r="E111" i="91"/>
  <c r="E89" i="91"/>
  <c r="E90" i="91"/>
  <c r="E91" i="91"/>
  <c r="E92" i="91"/>
  <c r="E93" i="91"/>
  <c r="E94" i="91"/>
  <c r="E95" i="91"/>
  <c r="I16" i="61"/>
  <c r="E74" i="91"/>
  <c r="E74" i="1" s="1"/>
  <c r="I6" i="73" s="1"/>
  <c r="E75" i="91"/>
  <c r="E75" i="1" s="1"/>
  <c r="I7" i="73" s="1"/>
  <c r="E76" i="91"/>
  <c r="E76" i="1" s="1"/>
  <c r="I8" i="73" s="1"/>
  <c r="E77" i="91"/>
  <c r="E77" i="1" s="1"/>
  <c r="I9" i="73" s="1"/>
  <c r="E79" i="91"/>
  <c r="E79" i="1" s="1"/>
  <c r="E80" i="91"/>
  <c r="E81" i="91"/>
  <c r="E81" i="1" s="1"/>
  <c r="E82" i="91"/>
  <c r="E82" i="1" s="1"/>
  <c r="E83" i="91"/>
  <c r="E83" i="1" s="1"/>
  <c r="E85" i="91"/>
  <c r="F79" i="3" l="1"/>
  <c r="E7" i="92"/>
  <c r="E122" i="92"/>
  <c r="E43" i="91"/>
  <c r="F78" i="3"/>
  <c r="I25" i="73"/>
  <c r="I27" i="73" s="1"/>
  <c r="E78" i="91"/>
  <c r="E78" i="1" s="1"/>
  <c r="I10" i="73" s="1"/>
  <c r="E103" i="91"/>
  <c r="E102" i="91" s="1"/>
  <c r="E80" i="1"/>
  <c r="E21" i="91"/>
  <c r="E11" i="91"/>
  <c r="E54" i="1"/>
  <c r="E53" i="1" s="1"/>
  <c r="E52" i="1" s="1"/>
  <c r="E24" i="1"/>
  <c r="E15" i="61"/>
  <c r="E31" i="91"/>
  <c r="E46" i="1"/>
  <c r="E40" i="1"/>
  <c r="E13" i="61" s="1"/>
  <c r="E18" i="61" s="1"/>
  <c r="E32" i="61" s="1"/>
  <c r="E34" i="61" s="1"/>
  <c r="E12" i="1"/>
  <c r="E73" i="1"/>
  <c r="E11" i="1"/>
  <c r="E7" i="73" s="1"/>
  <c r="E31" i="1"/>
  <c r="E21" i="1"/>
  <c r="E9" i="73" s="1"/>
  <c r="E30" i="91"/>
  <c r="E91" i="3"/>
  <c r="E67" i="3"/>
  <c r="D85" i="91"/>
  <c r="D85" i="1"/>
  <c r="E90" i="3"/>
  <c r="E73" i="3"/>
  <c r="F94" i="3" l="1"/>
  <c r="G78" i="3"/>
  <c r="G79" i="3"/>
  <c r="E87" i="91"/>
  <c r="E6" i="92"/>
  <c r="E7" i="91"/>
  <c r="E73" i="91"/>
  <c r="I11" i="73"/>
  <c r="I18" i="73" s="1"/>
  <c r="I28" i="73" s="1"/>
  <c r="I30" i="73" s="1"/>
  <c r="E10" i="73"/>
  <c r="E37" i="1"/>
  <c r="E30" i="1" s="1"/>
  <c r="E69" i="3"/>
  <c r="E68" i="3"/>
  <c r="E66" i="3"/>
  <c r="E65" i="3"/>
  <c r="E22" i="3"/>
  <c r="E39" i="3"/>
  <c r="E27" i="3"/>
  <c r="E25" i="3"/>
  <c r="E19" i="3"/>
  <c r="E17" i="3"/>
  <c r="E15" i="3"/>
  <c r="E13" i="3"/>
  <c r="E10" i="3"/>
  <c r="E39" i="103"/>
  <c r="E16" i="103"/>
  <c r="E43" i="84"/>
  <c r="E38" i="84"/>
  <c r="E37" i="84"/>
  <c r="E36" i="84"/>
  <c r="E12" i="84"/>
  <c r="E11" i="84"/>
  <c r="E16" i="84"/>
  <c r="E13" i="84"/>
  <c r="E8" i="84"/>
  <c r="G94" i="3" l="1"/>
  <c r="F99" i="3"/>
  <c r="G99" i="3" s="1"/>
  <c r="F87" i="91"/>
  <c r="E86" i="91"/>
  <c r="F86" i="91" s="1"/>
  <c r="E87" i="1"/>
  <c r="E5" i="92"/>
  <c r="E51" i="92"/>
  <c r="E65" i="92" s="1"/>
  <c r="E67" i="92" s="1"/>
  <c r="E7" i="1"/>
  <c r="E6" i="1" s="1"/>
  <c r="E51" i="1" s="1"/>
  <c r="E65" i="1" s="1"/>
  <c r="E67" i="1" s="1"/>
  <c r="F67" i="1" s="1"/>
  <c r="E6" i="91"/>
  <c r="D29" i="91"/>
  <c r="D28" i="91"/>
  <c r="D19" i="91"/>
  <c r="E27" i="63"/>
  <c r="E101" i="91" l="1"/>
  <c r="I6" i="61"/>
  <c r="I18" i="61" s="1"/>
  <c r="I32" i="61" s="1"/>
  <c r="I34" i="61" s="1"/>
  <c r="F87" i="1"/>
  <c r="E86" i="1"/>
  <c r="E5" i="91"/>
  <c r="E51" i="91"/>
  <c r="E65" i="91" s="1"/>
  <c r="E67" i="91" s="1"/>
  <c r="E6" i="73"/>
  <c r="E18" i="73" s="1"/>
  <c r="E28" i="73" s="1"/>
  <c r="E30" i="73" s="1"/>
  <c r="E5" i="1"/>
  <c r="E37" i="103"/>
  <c r="E7" i="103"/>
  <c r="E18" i="103"/>
  <c r="E120" i="91" l="1"/>
  <c r="E126" i="91"/>
  <c r="F101" i="91"/>
  <c r="F126" i="91" s="1"/>
  <c r="F86" i="1"/>
  <c r="E101" i="1"/>
  <c r="E6" i="63"/>
  <c r="F101" i="1" l="1"/>
  <c r="E120" i="1"/>
  <c r="E126" i="1"/>
  <c r="F120" i="91"/>
  <c r="E122" i="91"/>
  <c r="F122" i="91" s="1"/>
  <c r="D83" i="91"/>
  <c r="D83" i="1" s="1"/>
  <c r="D110" i="91"/>
  <c r="H25" i="73" s="1"/>
  <c r="H27" i="73" s="1"/>
  <c r="D36" i="91"/>
  <c r="D24" i="91"/>
  <c r="D24" i="1" s="1"/>
  <c r="E12" i="112"/>
  <c r="D32" i="64"/>
  <c r="E22" i="64"/>
  <c r="E32" i="64" s="1"/>
  <c r="E33" i="64" s="1"/>
  <c r="E34" i="64" s="1"/>
  <c r="E17" i="63"/>
  <c r="E95" i="3"/>
  <c r="E56" i="3"/>
  <c r="D54" i="91" s="1"/>
  <c r="D54" i="1" s="1"/>
  <c r="D53" i="1" s="1"/>
  <c r="D52" i="1" s="1"/>
  <c r="E24" i="3"/>
  <c r="E38" i="103"/>
  <c r="E36" i="103" s="1"/>
  <c r="E17" i="103"/>
  <c r="E27" i="103"/>
  <c r="E42" i="84"/>
  <c r="E35" i="84"/>
  <c r="E49" i="84" s="1"/>
  <c r="E27" i="84"/>
  <c r="D84" i="1"/>
  <c r="D47" i="1"/>
  <c r="D45" i="1"/>
  <c r="D43" i="1" s="1"/>
  <c r="D42" i="1"/>
  <c r="D39" i="1"/>
  <c r="D38" i="1"/>
  <c r="D29" i="1"/>
  <c r="D28" i="1"/>
  <c r="D27" i="1"/>
  <c r="D26" i="1"/>
  <c r="D25" i="1"/>
  <c r="D23" i="1"/>
  <c r="D8" i="1"/>
  <c r="D111" i="91"/>
  <c r="D99" i="91"/>
  <c r="D99" i="1" s="1"/>
  <c r="H16" i="61" s="1"/>
  <c r="D98" i="91"/>
  <c r="D95" i="91"/>
  <c r="D94" i="91"/>
  <c r="D93" i="91"/>
  <c r="D92" i="91"/>
  <c r="D91" i="91"/>
  <c r="D90" i="91"/>
  <c r="D89" i="91"/>
  <c r="D82" i="91"/>
  <c r="D82" i="1" s="1"/>
  <c r="D81" i="91"/>
  <c r="D81" i="1" s="1"/>
  <c r="D80" i="91"/>
  <c r="D80" i="1" s="1"/>
  <c r="D79" i="91"/>
  <c r="D79" i="1" s="1"/>
  <c r="D77" i="91"/>
  <c r="D77" i="1" s="1"/>
  <c r="H9" i="73" s="1"/>
  <c r="D74" i="91"/>
  <c r="D74" i="1" s="1"/>
  <c r="D48" i="91"/>
  <c r="D48" i="1" s="1"/>
  <c r="D47" i="91"/>
  <c r="D46" i="91" s="1"/>
  <c r="D45" i="91"/>
  <c r="D44" i="91"/>
  <c r="D12" i="73" s="1"/>
  <c r="D41" i="91"/>
  <c r="D41" i="1" s="1"/>
  <c r="D40" i="91"/>
  <c r="D35" i="91"/>
  <c r="D35" i="1" s="1"/>
  <c r="D34" i="91"/>
  <c r="D34" i="1" s="1"/>
  <c r="D33" i="91"/>
  <c r="D33" i="1" s="1"/>
  <c r="D22" i="91"/>
  <c r="D20" i="91"/>
  <c r="D20" i="1" s="1"/>
  <c r="D8" i="73" s="1"/>
  <c r="D19" i="1"/>
  <c r="D18" i="91"/>
  <c r="D18" i="1" s="1"/>
  <c r="D16" i="91"/>
  <c r="D16" i="1" s="1"/>
  <c r="D15" i="91"/>
  <c r="D15" i="1" s="1"/>
  <c r="D14" i="91"/>
  <c r="D14" i="1" s="1"/>
  <c r="D13" i="91"/>
  <c r="D13" i="1" s="1"/>
  <c r="D12" i="91"/>
  <c r="D10" i="91"/>
  <c r="D10" i="1" s="1"/>
  <c r="D9" i="91"/>
  <c r="D9" i="1" s="1"/>
  <c r="D78" i="92"/>
  <c r="D73" i="92" s="1"/>
  <c r="D101" i="92" s="1"/>
  <c r="D120" i="92" s="1"/>
  <c r="D19" i="73"/>
  <c r="D27" i="73" s="1"/>
  <c r="E13" i="63"/>
  <c r="E21" i="112"/>
  <c r="E89" i="3"/>
  <c r="E49" i="3"/>
  <c r="E46" i="3"/>
  <c r="E40" i="3"/>
  <c r="E35" i="3"/>
  <c r="D32" i="91" s="1"/>
  <c r="D32" i="1" s="1"/>
  <c r="E14" i="3"/>
  <c r="E9" i="3"/>
  <c r="E7" i="84"/>
  <c r="F120" i="1" l="1"/>
  <c r="E122" i="1"/>
  <c r="F122" i="1" s="1"/>
  <c r="D103" i="91"/>
  <c r="D102" i="91" s="1"/>
  <c r="E45" i="63"/>
  <c r="D37" i="91"/>
  <c r="D43" i="91"/>
  <c r="D75" i="91"/>
  <c r="D75" i="1" s="1"/>
  <c r="H7" i="73" s="1"/>
  <c r="D78" i="91"/>
  <c r="D46" i="1"/>
  <c r="D17" i="91"/>
  <c r="D17" i="1" s="1"/>
  <c r="D40" i="1"/>
  <c r="D13" i="61" s="1"/>
  <c r="D110" i="1"/>
  <c r="D103" i="1" s="1"/>
  <c r="D7" i="61"/>
  <c r="D15" i="61"/>
  <c r="D97" i="91"/>
  <c r="D53" i="91"/>
  <c r="D52" i="91" s="1"/>
  <c r="D21" i="91"/>
  <c r="D22" i="1"/>
  <c r="D21" i="1" s="1"/>
  <c r="D9" i="73" s="1"/>
  <c r="E80" i="3"/>
  <c r="D88" i="91" s="1"/>
  <c r="D88" i="1" s="1"/>
  <c r="H7" i="61" s="1"/>
  <c r="E46" i="63"/>
  <c r="E47" i="63" s="1"/>
  <c r="E79" i="3"/>
  <c r="D87" i="91" s="1"/>
  <c r="D87" i="1" s="1"/>
  <c r="D98" i="1"/>
  <c r="H11" i="73" s="1"/>
  <c r="D76" i="91"/>
  <c r="D76" i="1" s="1"/>
  <c r="H8" i="73" s="1"/>
  <c r="E55" i="3"/>
  <c r="D36" i="1"/>
  <c r="D31" i="1" s="1"/>
  <c r="D31" i="91"/>
  <c r="E34" i="3"/>
  <c r="E33" i="3" s="1"/>
  <c r="E54" i="3" s="1"/>
  <c r="D11" i="91"/>
  <c r="E50" i="103"/>
  <c r="D12" i="1"/>
  <c r="D11" i="1" s="1"/>
  <c r="D7" i="73" s="1"/>
  <c r="H6" i="73"/>
  <c r="D122" i="92"/>
  <c r="D7" i="92"/>
  <c r="E8" i="3"/>
  <c r="D18" i="61" l="1"/>
  <c r="D32" i="61" s="1"/>
  <c r="D34" i="61" s="1"/>
  <c r="D30" i="91"/>
  <c r="D78" i="1"/>
  <c r="H10" i="73" s="1"/>
  <c r="H18" i="73" s="1"/>
  <c r="H28" i="73" s="1"/>
  <c r="H30" i="73" s="1"/>
  <c r="D37" i="1"/>
  <c r="D6" i="92"/>
  <c r="D7" i="91"/>
  <c r="E78" i="3"/>
  <c r="D86" i="91"/>
  <c r="D73" i="91"/>
  <c r="D97" i="1"/>
  <c r="E59" i="3"/>
  <c r="D30" i="1"/>
  <c r="D10" i="73"/>
  <c r="D73" i="1" l="1"/>
  <c r="D51" i="92"/>
  <c r="D65" i="92" s="1"/>
  <c r="D67" i="92" s="1"/>
  <c r="D5" i="92"/>
  <c r="D6" i="91"/>
  <c r="D7" i="1"/>
  <c r="D6" i="1" s="1"/>
  <c r="D101" i="91"/>
  <c r="D120" i="91" s="1"/>
  <c r="D122" i="91" s="1"/>
  <c r="D86" i="1"/>
  <c r="D101" i="1" s="1"/>
  <c r="K20" i="24"/>
  <c r="J20" i="24"/>
  <c r="F20" i="24"/>
  <c r="E20" i="24"/>
  <c r="C20" i="24"/>
  <c r="C17" i="24"/>
  <c r="H9" i="24"/>
  <c r="G59" i="111"/>
  <c r="G88" i="111" s="1"/>
  <c r="G54" i="111"/>
  <c r="G41" i="111"/>
  <c r="F54" i="111"/>
  <c r="F59" i="111"/>
  <c r="G20" i="111"/>
  <c r="G39" i="111" s="1"/>
  <c r="G5" i="111"/>
  <c r="G19" i="111" s="1"/>
  <c r="F5" i="111"/>
  <c r="E18" i="109"/>
  <c r="D18" i="109"/>
  <c r="E14" i="70"/>
  <c r="D14" i="70"/>
  <c r="E37" i="113"/>
  <c r="C20" i="61"/>
  <c r="C19" i="61" s="1"/>
  <c r="C47" i="1"/>
  <c r="C47" i="91"/>
  <c r="C78" i="92"/>
  <c r="D79" i="3"/>
  <c r="D46" i="63"/>
  <c r="D47" i="63" s="1"/>
  <c r="D80" i="3"/>
  <c r="D13" i="63"/>
  <c r="D20" i="112"/>
  <c r="C19" i="112"/>
  <c r="D19" i="112" s="1"/>
  <c r="C18" i="112"/>
  <c r="D18" i="112" s="1"/>
  <c r="D17" i="112"/>
  <c r="C16" i="112"/>
  <c r="D16" i="112" s="1"/>
  <c r="D15" i="112"/>
  <c r="D14" i="112"/>
  <c r="D13" i="112"/>
  <c r="C12" i="112"/>
  <c r="D12" i="112" s="1"/>
  <c r="C11" i="112"/>
  <c r="D11" i="112" s="1"/>
  <c r="B10" i="112"/>
  <c r="B21" i="112" s="1"/>
  <c r="C9" i="112"/>
  <c r="D9" i="112" s="1"/>
  <c r="C8" i="112"/>
  <c r="D8" i="112" s="1"/>
  <c r="D56" i="3"/>
  <c r="C54" i="91" s="1"/>
  <c r="C53" i="91" s="1"/>
  <c r="C52" i="91" s="1"/>
  <c r="D35" i="3"/>
  <c r="D6" i="73" l="1"/>
  <c r="D18" i="73" s="1"/>
  <c r="D28" i="73" s="1"/>
  <c r="D30" i="73" s="1"/>
  <c r="D5" i="1"/>
  <c r="C10" i="112"/>
  <c r="D5" i="91"/>
  <c r="D51" i="91"/>
  <c r="D65" i="91" s="1"/>
  <c r="D67" i="91" s="1"/>
  <c r="D51" i="1"/>
  <c r="D65" i="1" s="1"/>
  <c r="D67" i="1" s="1"/>
  <c r="D120" i="1"/>
  <c r="D122" i="1" s="1"/>
  <c r="H6" i="61"/>
  <c r="H18" i="61" s="1"/>
  <c r="C21" i="112"/>
  <c r="C54" i="1"/>
  <c r="G58" i="111"/>
  <c r="G90" i="111"/>
  <c r="D33" i="64"/>
  <c r="D34" i="64" s="1"/>
  <c r="D21" i="112"/>
  <c r="D10" i="112"/>
  <c r="H35" i="61" l="1"/>
  <c r="H32" i="61"/>
  <c r="C53" i="1"/>
  <c r="C52" i="1" s="1"/>
  <c r="C14" i="109"/>
  <c r="C20" i="73"/>
  <c r="C19" i="73" s="1"/>
  <c r="C27" i="73" s="1"/>
  <c r="D13" i="84"/>
  <c r="H36" i="61" l="1"/>
  <c r="H34" i="61"/>
  <c r="O5" i="24"/>
  <c r="C82" i="91"/>
  <c r="C82" i="1" s="1"/>
  <c r="E85" i="111"/>
  <c r="E82" i="111"/>
  <c r="E81" i="111" s="1"/>
  <c r="E76" i="111"/>
  <c r="E73" i="111"/>
  <c r="E70" i="111"/>
  <c r="F88" i="111"/>
  <c r="E59" i="111"/>
  <c r="F41" i="111"/>
  <c r="F58" i="111" s="1"/>
  <c r="E41" i="111"/>
  <c r="E58" i="111" s="1"/>
  <c r="E36" i="111"/>
  <c r="F24" i="111"/>
  <c r="F21" i="111"/>
  <c r="E20" i="111"/>
  <c r="F19" i="111"/>
  <c r="E5" i="111"/>
  <c r="E19" i="111" s="1"/>
  <c r="F20" i="111" l="1"/>
  <c r="F39" i="111" s="1"/>
  <c r="E39" i="111"/>
  <c r="E69" i="111"/>
  <c r="E68" i="111" s="1"/>
  <c r="E88" i="111" s="1"/>
  <c r="F90" i="111"/>
  <c r="E90" i="111" l="1"/>
  <c r="C45" i="1"/>
  <c r="C15" i="61" s="1"/>
  <c r="C137" i="1"/>
  <c r="C136" i="1" s="1"/>
  <c r="C38" i="1"/>
  <c r="C39" i="1"/>
  <c r="C42" i="1"/>
  <c r="C23" i="1"/>
  <c r="C24" i="1"/>
  <c r="C25" i="1"/>
  <c r="C26" i="1"/>
  <c r="C27" i="1"/>
  <c r="C28" i="1"/>
  <c r="C29" i="1"/>
  <c r="C8" i="1"/>
  <c r="C12" i="91"/>
  <c r="C12" i="1" s="1"/>
  <c r="C45" i="91"/>
  <c r="C43" i="1" l="1"/>
  <c r="C11" i="109" s="1"/>
  <c r="C40" i="91"/>
  <c r="C40" i="1" s="1"/>
  <c r="C36" i="91"/>
  <c r="C36" i="1" s="1"/>
  <c r="C41" i="91"/>
  <c r="C41" i="1" s="1"/>
  <c r="C74" i="91"/>
  <c r="C74" i="1" s="1"/>
  <c r="C75" i="91"/>
  <c r="C75" i="1" s="1"/>
  <c r="C76" i="91"/>
  <c r="C76" i="1" s="1"/>
  <c r="C77" i="91"/>
  <c r="C77" i="1" s="1"/>
  <c r="C79" i="91"/>
  <c r="C79" i="1" s="1"/>
  <c r="C80" i="91"/>
  <c r="C80" i="1" s="1"/>
  <c r="C81" i="91"/>
  <c r="C81" i="1" s="1"/>
  <c r="C84" i="91"/>
  <c r="C84" i="1" s="1"/>
  <c r="C85" i="91"/>
  <c r="C85" i="1" s="1"/>
  <c r="C89" i="91"/>
  <c r="C90" i="91"/>
  <c r="C91" i="91"/>
  <c r="C92" i="91"/>
  <c r="C93" i="91"/>
  <c r="C94" i="91"/>
  <c r="C95" i="91"/>
  <c r="C98" i="91"/>
  <c r="C98" i="1" s="1"/>
  <c r="C99" i="91"/>
  <c r="C103" i="91"/>
  <c r="C111" i="91"/>
  <c r="C48" i="91"/>
  <c r="C48" i="1" s="1"/>
  <c r="C44" i="91"/>
  <c r="C32" i="91"/>
  <c r="C32" i="1" s="1"/>
  <c r="C33" i="91"/>
  <c r="C34" i="91"/>
  <c r="C34" i="1" s="1"/>
  <c r="C35" i="91"/>
  <c r="C35" i="1" s="1"/>
  <c r="C20" i="91"/>
  <c r="C20" i="1" s="1"/>
  <c r="C22" i="91"/>
  <c r="C22" i="1" s="1"/>
  <c r="C21" i="1" s="1"/>
  <c r="C13" i="91"/>
  <c r="C13" i="1" s="1"/>
  <c r="C14" i="91"/>
  <c r="C14" i="1" s="1"/>
  <c r="C15" i="91"/>
  <c r="C15" i="1" s="1"/>
  <c r="C16" i="91"/>
  <c r="C16" i="1" s="1"/>
  <c r="C17" i="91"/>
  <c r="C17" i="1" s="1"/>
  <c r="C18" i="91"/>
  <c r="C18" i="1" s="1"/>
  <c r="C19" i="91"/>
  <c r="C19" i="1" s="1"/>
  <c r="C9" i="91"/>
  <c r="C9" i="1" s="1"/>
  <c r="C10" i="91"/>
  <c r="C10" i="1" s="1"/>
  <c r="C73" i="92"/>
  <c r="C101" i="92" s="1"/>
  <c r="C120" i="92" s="1"/>
  <c r="D9" i="77"/>
  <c r="D6" i="77"/>
  <c r="D5" i="77"/>
  <c r="C37" i="91" l="1"/>
  <c r="C37" i="1"/>
  <c r="C13" i="61" s="1"/>
  <c r="C18" i="61" s="1"/>
  <c r="C32" i="61" s="1"/>
  <c r="C122" i="92"/>
  <c r="C7" i="92"/>
  <c r="C102" i="91"/>
  <c r="C97" i="91"/>
  <c r="C99" i="1"/>
  <c r="G16" i="61" s="1"/>
  <c r="G11" i="73"/>
  <c r="C78" i="91"/>
  <c r="C78" i="1" s="1"/>
  <c r="G10" i="73" s="1"/>
  <c r="C46" i="91"/>
  <c r="C46" i="1"/>
  <c r="C12" i="109" s="1"/>
  <c r="C43" i="91"/>
  <c r="C12" i="73"/>
  <c r="C31" i="91"/>
  <c r="C33" i="1"/>
  <c r="C31" i="1" s="1"/>
  <c r="C8" i="109"/>
  <c r="C8" i="73"/>
  <c r="C9" i="109"/>
  <c r="C9" i="73"/>
  <c r="C21" i="91"/>
  <c r="C20" i="109"/>
  <c r="G9" i="73"/>
  <c r="C11" i="1"/>
  <c r="C7" i="109" s="1"/>
  <c r="C19" i="109"/>
  <c r="G8" i="73"/>
  <c r="C18" i="109"/>
  <c r="G7" i="73"/>
  <c r="C17" i="109"/>
  <c r="G6" i="73"/>
  <c r="C11" i="91"/>
  <c r="C73" i="91"/>
  <c r="D89" i="3"/>
  <c r="C87" i="91"/>
  <c r="C87" i="1" s="1"/>
  <c r="D69" i="3"/>
  <c r="D64" i="3" s="1"/>
  <c r="D55" i="3"/>
  <c r="D46" i="3"/>
  <c r="D34" i="3"/>
  <c r="D40" i="3"/>
  <c r="D24" i="3"/>
  <c r="D14" i="3"/>
  <c r="C30" i="91" l="1"/>
  <c r="C21" i="109"/>
  <c r="C97" i="1"/>
  <c r="C25" i="109" s="1"/>
  <c r="C7" i="91"/>
  <c r="C6" i="92"/>
  <c r="C73" i="1"/>
  <c r="G18" i="73"/>
  <c r="G28" i="73" s="1"/>
  <c r="C22" i="109"/>
  <c r="G6" i="61"/>
  <c r="C88" i="91"/>
  <c r="C34" i="61"/>
  <c r="D33" i="3"/>
  <c r="C10" i="73"/>
  <c r="C30" i="1"/>
  <c r="C10" i="109" s="1"/>
  <c r="C7" i="73"/>
  <c r="C7" i="1" l="1"/>
  <c r="C6" i="1" s="1"/>
  <c r="C6" i="91"/>
  <c r="C51" i="92"/>
  <c r="C5" i="92"/>
  <c r="C86" i="91"/>
  <c r="C101" i="91" s="1"/>
  <c r="C120" i="91" s="1"/>
  <c r="C122" i="91" s="1"/>
  <c r="C88" i="1"/>
  <c r="D78" i="3"/>
  <c r="G30" i="73"/>
  <c r="D9" i="3"/>
  <c r="C65" i="92" l="1"/>
  <c r="C67" i="92" s="1"/>
  <c r="C126" i="92"/>
  <c r="C5" i="91"/>
  <c r="C51" i="91"/>
  <c r="C65" i="91" s="1"/>
  <c r="C67" i="91" s="1"/>
  <c r="C6" i="73"/>
  <c r="C18" i="73" s="1"/>
  <c r="C6" i="109"/>
  <c r="C51" i="1"/>
  <c r="C65" i="1" s="1"/>
  <c r="C67" i="1" s="1"/>
  <c r="C5" i="1"/>
  <c r="C23" i="109"/>
  <c r="G7" i="61"/>
  <c r="G18" i="61" s="1"/>
  <c r="C86" i="1"/>
  <c r="C101" i="1" s="1"/>
  <c r="D8" i="3"/>
  <c r="C126" i="91" l="1"/>
  <c r="C28" i="73"/>
  <c r="C30" i="73" s="1"/>
  <c r="G32" i="61"/>
  <c r="G35" i="61"/>
  <c r="C120" i="1"/>
  <c r="C122" i="1" s="1"/>
  <c r="C126" i="1"/>
  <c r="D49" i="3"/>
  <c r="D54" i="3" s="1"/>
  <c r="D59" i="3" s="1"/>
  <c r="D7" i="103"/>
  <c r="D36" i="103"/>
  <c r="D50" i="103" s="1"/>
  <c r="D25" i="103" l="1"/>
  <c r="E25" i="103" s="1"/>
  <c r="E26" i="103"/>
  <c r="E32" i="103" s="1"/>
  <c r="D26" i="103"/>
  <c r="D32" i="103" s="1"/>
  <c r="G34" i="61"/>
  <c r="C36" i="61" s="1"/>
  <c r="C131" i="1" s="1"/>
  <c r="G36" i="61"/>
  <c r="D7" i="84"/>
  <c r="D35" i="84"/>
  <c r="D49" i="84" s="1"/>
  <c r="D25" i="84" l="1"/>
  <c r="E25" i="84" s="1"/>
  <c r="E7" i="70"/>
  <c r="D7" i="70"/>
  <c r="D93" i="3" l="1"/>
  <c r="D94" i="3" s="1"/>
  <c r="D99" i="3" s="1"/>
  <c r="D26" i="84"/>
  <c r="D31" i="84" s="1"/>
  <c r="E26" i="84" l="1"/>
  <c r="E31" i="84" s="1"/>
  <c r="E93" i="3"/>
  <c r="E94" i="3" s="1"/>
  <c r="E99" i="3" s="1"/>
  <c r="E11" i="77"/>
  <c r="D11" i="77" l="1"/>
  <c r="O19" i="24" l="1"/>
  <c r="D15" i="70" l="1"/>
  <c r="E15" i="70"/>
  <c r="D15" i="109" l="1"/>
  <c r="D25" i="109" s="1"/>
  <c r="D28" i="109" s="1"/>
  <c r="P2" i="24" l="1"/>
  <c r="E15" i="109"/>
  <c r="E25" i="109" s="1"/>
  <c r="J39" i="61"/>
  <c r="E28" i="109" l="1"/>
  <c r="D111" i="93" l="1"/>
  <c r="D103" i="93"/>
  <c r="D97" i="93"/>
  <c r="D86" i="93"/>
  <c r="D73" i="93"/>
  <c r="D59" i="93"/>
  <c r="D53" i="93"/>
  <c r="D46" i="93"/>
  <c r="D43" i="93"/>
  <c r="D37" i="93"/>
  <c r="D31" i="93"/>
  <c r="D21" i="93"/>
  <c r="D11" i="93"/>
  <c r="D6" i="93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C6" i="93"/>
  <c r="C11" i="93"/>
  <c r="C21" i="93"/>
  <c r="C31" i="93"/>
  <c r="C37" i="93"/>
  <c r="C43" i="93"/>
  <c r="C46" i="93"/>
  <c r="C53" i="93"/>
  <c r="C59" i="93"/>
  <c r="C73" i="93"/>
  <c r="C86" i="93"/>
  <c r="C97" i="93"/>
  <c r="C103" i="93"/>
  <c r="C111" i="93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O26" i="24"/>
  <c r="O25" i="24"/>
  <c r="O24" i="24"/>
  <c r="O23" i="24"/>
  <c r="O22" i="24"/>
  <c r="O20" i="24"/>
  <c r="O13" i="24"/>
  <c r="O12" i="24"/>
  <c r="O10" i="24"/>
  <c r="O7" i="24"/>
  <c r="C27" i="24"/>
  <c r="F11" i="62" l="1"/>
  <c r="C102" i="93"/>
  <c r="D30" i="93"/>
  <c r="D52" i="93"/>
  <c r="D101" i="93"/>
  <c r="P7" i="24"/>
  <c r="P16" i="24"/>
  <c r="P18" i="24"/>
  <c r="P20" i="24"/>
  <c r="P21" i="24"/>
  <c r="P17" i="24"/>
  <c r="P19" i="24"/>
  <c r="O6" i="24"/>
  <c r="O11" i="24"/>
  <c r="C52" i="93"/>
  <c r="C30" i="93"/>
  <c r="C51" i="93" s="1"/>
  <c r="D48" i="90"/>
  <c r="D48" i="81"/>
  <c r="D5" i="93"/>
  <c r="C28" i="24"/>
  <c r="E27" i="24"/>
  <c r="E28" i="24" s="1"/>
  <c r="O16" i="24"/>
  <c r="M14" i="24"/>
  <c r="M28" i="24" s="1"/>
  <c r="N28" i="24"/>
  <c r="I18" i="66"/>
  <c r="D49" i="79"/>
  <c r="D48" i="82"/>
  <c r="J27" i="24"/>
  <c r="J28" i="24" s="1"/>
  <c r="D102" i="93"/>
  <c r="I27" i="24"/>
  <c r="I28" i="24" s="1"/>
  <c r="G27" i="24"/>
  <c r="G28" i="24" s="1"/>
  <c r="L27" i="24"/>
  <c r="L28" i="24" s="1"/>
  <c r="G16" i="89"/>
  <c r="C101" i="93"/>
  <c r="C5" i="93"/>
  <c r="D48" i="80"/>
  <c r="K27" i="24"/>
  <c r="K28" i="24" s="1"/>
  <c r="H27" i="24"/>
  <c r="H28" i="24" s="1"/>
  <c r="F27" i="24"/>
  <c r="F28" i="24" s="1"/>
  <c r="D126" i="93"/>
  <c r="O18" i="24"/>
  <c r="C18" i="88"/>
  <c r="C36" i="88" s="1"/>
  <c r="D19" i="88"/>
  <c r="D18" i="88" s="1"/>
  <c r="D36" i="88" s="1"/>
  <c r="D65" i="93"/>
  <c r="D67" i="93" s="1"/>
  <c r="D120" i="93" l="1"/>
  <c r="D122" i="93" s="1"/>
  <c r="C126" i="93"/>
  <c r="C120" i="93"/>
  <c r="C122" i="93" s="1"/>
  <c r="P11" i="24"/>
  <c r="P24" i="24"/>
  <c r="P27" i="24" s="1"/>
  <c r="C28" i="109"/>
  <c r="P10" i="24"/>
  <c r="O14" i="24"/>
  <c r="B13" i="76"/>
  <c r="P6" i="24"/>
  <c r="P5" i="24"/>
  <c r="P8" i="24"/>
  <c r="O17" i="24"/>
  <c r="C65" i="93"/>
  <c r="C67" i="93" s="1"/>
  <c r="F11" i="77"/>
  <c r="D27" i="24"/>
  <c r="B14" i="76" l="1"/>
  <c r="P9" i="24"/>
  <c r="P14" i="24" s="1"/>
  <c r="C15" i="109"/>
  <c r="D13" i="76"/>
  <c r="E13" i="76" s="1"/>
  <c r="D28" i="24"/>
  <c r="O27" i="24"/>
  <c r="B15" i="76"/>
  <c r="D14" i="76"/>
  <c r="B6" i="76"/>
  <c r="D6" i="76" l="1"/>
  <c r="E6" i="76" s="1"/>
  <c r="D7" i="76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<sst xmlns="http://schemas.openxmlformats.org/spreadsheetml/2006/main" count="3391" uniqueCount="1321">
  <si>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</si>
  <si>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</si>
  <si>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</si>
  <si>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</si>
  <si>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</si>
  <si>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</si>
  <si>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</si>
  <si>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</si>
  <si>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</si>
  <si>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</si>
  <si>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</si>
  <si>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</si>
  <si>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</si>
  <si>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</si>
  <si>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</si>
  <si>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</si>
  <si>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</si>
  <si>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</si>
  <si>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</si>
  <si>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</si>
  <si>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</si>
  <si>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</si>
  <si>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</si>
  <si>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</si>
  <si>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</si>
  <si>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</si>
  <si>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</si>
  <si>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</si>
  <si>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</si>
  <si>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</si>
  <si>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</si>
  <si>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</si>
  <si>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</si>
  <si>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</si>
  <si>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</si>
  <si>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</si>
  <si>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</si>
  <si>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</si>
  <si>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</si>
  <si>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</si>
  <si>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</si>
  <si>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</si>
  <si>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</si>
  <si>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</si>
  <si>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</si>
  <si>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</si>
  <si>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</si>
  <si>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</si>
  <si>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</si>
  <si>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</si>
  <si>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</si>
  <si>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</si>
  <si>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</si>
  <si>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</si>
  <si>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</si>
  <si>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</si>
  <si>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</si>
  <si>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</si>
  <si>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</si>
  <si>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</si>
  <si>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</si>
  <si>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</si>
  <si>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</si>
  <si>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</si>
  <si>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</si>
  <si>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</si>
  <si>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</si>
  <si>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</si>
  <si>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</si>
  <si>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</si>
  <si>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</si>
  <si>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</si>
  <si>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</si>
  <si>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</si>
  <si>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</si>
  <si>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</si>
  <si>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</si>
  <si>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</si>
  <si>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</si>
  <si>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</si>
  <si>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</si>
  <si>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</si>
  <si>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</si>
  <si>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</si>
  <si>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</si>
  <si>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</si>
  <si>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</si>
  <si>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</si>
  <si>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</si>
  <si>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</si>
  <si>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</si>
  <si>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</si>
  <si>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</si>
  <si>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</si>
  <si>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</si>
  <si>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</si>
  <si>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</si>
  <si>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</si>
  <si>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</si>
  <si>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</si>
  <si>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</si>
  <si>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</si>
  <si>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</si>
  <si>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</si>
  <si>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</si>
  <si>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</si>
  <si>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</si>
  <si>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</si>
  <si>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</si>
  <si>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</si>
  <si>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</si>
  <si>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</si>
  <si>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</si>
  <si>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</si>
  <si>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</si>
  <si>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</si>
  <si>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</si>
  <si>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</si>
  <si>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</si>
  <si>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</si>
  <si>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</si>
  <si>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</si>
  <si>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</si>
  <si>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</si>
  <si>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</si>
  <si>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</si>
  <si>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</si>
  <si>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</si>
  <si>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</si>
  <si>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</si>
  <si>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</si>
  <si>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</si>
  <si>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</si>
  <si>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</si>
  <si>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</si>
  <si>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</si>
  <si>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</si>
  <si>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</si>
  <si>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</si>
  <si>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</si>
  <si>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</si>
  <si>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</si>
  <si>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</si>
  <si>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</si>
  <si>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</si>
  <si>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</si>
  <si>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</si>
  <si>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</si>
  <si>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</si>
  <si>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</si>
  <si>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</si>
  <si>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</si>
  <si>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</si>
  <si>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</si>
  <si>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</si>
  <si>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</si>
  <si>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</si>
  <si>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</si>
  <si>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</si>
  <si>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</si>
  <si>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</si>
  <si>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</si>
  <si>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</si>
  <si>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</si>
  <si>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</si>
  <si>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</si>
  <si>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</si>
  <si>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</si>
  <si>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</si>
  <si>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</si>
  <si>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</si>
  <si>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</si>
  <si>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</si>
  <si>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</si>
  <si>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</si>
  <si>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</si>
  <si>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</si>
  <si>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</si>
  <si>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</si>
  <si>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</si>
  <si>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</si>
  <si>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</si>
  <si>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</si>
  <si>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</si>
  <si>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</si>
  <si>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</si>
  <si>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</si>
  <si>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</si>
  <si>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</si>
  <si>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</si>
  <si>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</si>
  <si>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</si>
  <si>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</si>
  <si>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</si>
  <si>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</si>
  <si>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</si>
  <si>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</si>
  <si>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</si>
  <si>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</si>
  <si>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</si>
  <si>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</si>
  <si>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</si>
  <si>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</si>
  <si>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</si>
  <si>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</si>
  <si>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</si>
  <si>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</si>
  <si>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</si>
  <si>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</si>
  <si>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</si>
  <si>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</si>
  <si>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</si>
  <si>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</si>
  <si>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</si>
  <si>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</si>
  <si>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</si>
  <si>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</si>
  <si>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</si>
  <si>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</si>
  <si>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</si>
  <si>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</si>
  <si>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</si>
  <si>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</si>
  <si>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</si>
  <si>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</si>
  <si>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</si>
  <si>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</si>
  <si>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</si>
  <si>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</si>
  <si>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</si>
  <si>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</si>
  <si>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</si>
  <si>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</si>
  <si>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</si>
  <si>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</si>
  <si>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</si>
  <si>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</si>
  <si>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</si>
  <si>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</si>
  <si>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</si>
  <si>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</si>
  <si>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</si>
  <si>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</si>
  <si>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</si>
  <si>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</si>
  <si>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</si>
  <si>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</si>
  <si>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</si>
  <si>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</si>
  <si>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</si>
  <si>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</si>
  <si>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</si>
  <si>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</si>
  <si>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</si>
  <si>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</si>
  <si>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</si>
  <si>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</si>
  <si>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</si>
  <si>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</si>
  <si>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</si>
  <si>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</si>
  <si>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</si>
  <si>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</si>
  <si>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</si>
  <si>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</si>
  <si>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</si>
  <si>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</si>
  <si>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</si>
  <si>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</si>
  <si>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</si>
  <si>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</si>
  <si>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</si>
  <si>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</si>
  <si>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</si>
  <si>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</si>
  <si>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</si>
  <si>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</si>
  <si>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</si>
  <si>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</si>
  <si>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</si>
  <si>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</si>
  <si>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</si>
  <si>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</si>
  <si>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</si>
  <si>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</si>
  <si>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</si>
  <si>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</si>
  <si>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</si>
  <si>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</si>
  <si>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</si>
  <si>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</si>
  <si>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</si>
  <si>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</si>
  <si>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</si>
  <si>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</si>
  <si>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</si>
  <si>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</si>
  <si>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</si>
  <si>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</si>
  <si>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</si>
  <si>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</si>
  <si>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</si>
  <si>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</si>
  <si>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</si>
  <si>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</si>
  <si>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</si>
  <si>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</si>
  <si>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</si>
  <si>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</si>
  <si>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</si>
  <si>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</si>
  <si>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</si>
  <si>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</si>
  <si>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</si>
  <si>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</si>
  <si>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</si>
  <si>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</si>
  <si>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</si>
  <si>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</si>
  <si>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</si>
  <si>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</si>
  <si>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</si>
  <si>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</si>
  <si>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</si>
  <si>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</si>
  <si>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</si>
  <si>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</si>
  <si>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</si>
  <si>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</si>
  <si>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</si>
  <si>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</si>
  <si>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</si>
  <si>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</si>
  <si>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</si>
  <si>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</si>
  <si>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</si>
  <si>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</si>
  <si>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</si>
  <si>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</si>
  <si>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</si>
  <si>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</si>
  <si>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</si>
  <si>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</si>
  <si>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</si>
  <si>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</si>
  <si>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</si>
  <si>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</si>
  <si>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</si>
  <si>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</si>
  <si>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</si>
  <si>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</si>
  <si>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</si>
  <si>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</si>
  <si>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</si>
  <si>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</si>
  <si>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</si>
  <si>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</si>
  <si>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</si>
  <si>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</si>
  <si>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</si>
  <si>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</si>
  <si>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</si>
  <si>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</si>
  <si>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</si>
  <si>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</si>
  <si>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</si>
  <si>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</si>
  <si>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</si>
  <si>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</si>
  <si>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</si>
  <si>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</si>
  <si>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</si>
  <si>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</si>
  <si>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</si>
  <si>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</si>
  <si>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</si>
  <si>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</si>
  <si>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</si>
  <si>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</si>
  <si>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</si>
  <si>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</si>
  <si>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</si>
  <si>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</si>
  <si>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</si>
  <si>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</si>
  <si>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</si>
  <si>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</si>
  <si>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</si>
  <si>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</si>
  <si>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</si>
  <si>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</si>
  <si>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</si>
  <si>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</si>
  <si>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</si>
  <si>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</si>
  <si>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</si>
  <si>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</si>
  <si>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</si>
  <si>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</si>
  <si>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</si>
  <si>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</si>
  <si>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</si>
  <si>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</si>
  <si>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</si>
  <si>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</si>
  <si>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</si>
  <si>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</si>
  <si>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</si>
  <si>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</si>
  <si>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</si>
  <si>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</si>
  <si>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</si>
  <si>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</si>
  <si>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</si>
  <si>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</si>
  <si>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</si>
  <si>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</si>
  <si>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</si>
  <si>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</si>
  <si>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</si>
  <si>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</si>
  <si>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</si>
  <si>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</si>
  <si>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</si>
  <si>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</si>
  <si>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</si>
  <si>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</si>
  <si>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</si>
  <si>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</si>
  <si>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</si>
  <si>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</si>
  <si>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</si>
  <si>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</si>
  <si>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</si>
  <si>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</si>
  <si>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</si>
  <si>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</si>
  <si>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</si>
  <si>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</si>
  <si>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</si>
  <si>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</si>
  <si>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</si>
  <si>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</si>
  <si>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</si>
  <si>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</si>
  <si>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</si>
  <si>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</si>
  <si>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</si>
  <si>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</si>
  <si>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</si>
  <si>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</si>
  <si>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</si>
  <si>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</si>
  <si>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</si>
  <si>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</si>
  <si>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</si>
  <si>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</si>
  <si>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</si>
  <si>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</si>
  <si>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</si>
  <si>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</si>
  <si>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</si>
  <si>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</si>
  <si>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</si>
  <si>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</si>
  <si>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</si>
  <si>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</si>
  <si>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</si>
  <si>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</si>
  <si>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</si>
  <si>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</si>
  <si>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</si>
  <si>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</si>
  <si>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</si>
  <si>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</si>
  <si>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</si>
  <si>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</si>
  <si>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</si>
  <si>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</si>
  <si>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</si>
  <si>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</si>
  <si>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</si>
  <si>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</si>
  <si>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</si>
  <si>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</si>
  <si>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</si>
  <si>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</si>
  <si>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</si>
  <si>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</si>
  <si>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</si>
  <si>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</si>
  <si>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</si>
  <si>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</si>
  <si>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</si>
  <si>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</si>
  <si>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</si>
  <si>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</si>
  <si>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</si>
  <si>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</si>
  <si>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</si>
  <si>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</si>
  <si>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</si>
  <si>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</si>
  <si>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</si>
  <si>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</si>
  <si>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</si>
  <si>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</si>
  <si>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</si>
  <si>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</si>
  <si>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</si>
  <si>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</si>
  <si>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</si>
  <si>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</si>
  <si>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</si>
  <si>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</si>
  <si>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</si>
  <si>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</si>
  <si>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</si>
  <si>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</si>
  <si>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</si>
  <si>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</si>
  <si>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</si>
  <si>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</si>
  <si>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</si>
  <si>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</si>
  <si>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</si>
  <si>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</si>
  <si>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</si>
  <si>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</si>
  <si>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</si>
  <si>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</si>
  <si>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</si>
  <si>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</si>
  <si>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</si>
  <si>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</si>
  <si>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</si>
  <si>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</si>
  <si>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</si>
  <si>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</si>
  <si>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</si>
  <si>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</si>
  <si>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</si>
  <si>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</si>
  <si>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</si>
  <si>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</si>
  <si>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</si>
  <si>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</si>
  <si>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</si>
  <si>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</si>
  <si>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</si>
  <si>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</si>
  <si>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</si>
  <si>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</si>
  <si>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</si>
  <si>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</si>
  <si>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</si>
  <si>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</si>
  <si>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</si>
  <si>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</si>
  <si>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</si>
  <si>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</si>
  <si>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</si>
  <si>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</si>
  <si>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</si>
  <si>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</si>
  <si>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</si>
  <si>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</si>
  <si>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</si>
  <si>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</si>
  <si>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</si>
  <si>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</si>
  <si>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</si>
  <si>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</si>
  <si>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</si>
  <si>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</si>
  <si>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</si>
  <si>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</si>
  <si>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Gyermekorvosi ell. Támogatása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</si>
  <si>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</si>
  <si>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</si>
  <si>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</si>
  <si>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</si>
  <si>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</si>
  <si>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</si>
  <si>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</si>
  <si>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</si>
  <si>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</si>
  <si>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</si>
  <si>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</si>
  <si>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</si>
  <si>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</si>
  <si>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</si>
  <si>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</si>
  <si>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</si>
  <si>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</si>
  <si>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</si>
  <si>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</si>
  <si>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</si>
  <si>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</si>
  <si>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</si>
  <si>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</si>
  <si>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</si>
  <si>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</si>
  <si>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</si>
  <si>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</si>
  <si>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</si>
  <si>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</si>
  <si>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</si>
  <si>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</si>
  <si>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</si>
  <si>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</si>
  <si>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</si>
  <si>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</si>
  <si>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</si>
  <si>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</si>
  <si>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</si>
  <si>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</si>
  <si>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</si>
  <si>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</si>
  <si>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</si>
  <si>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</si>
  <si>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</si>
  <si>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</si>
  <si>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</si>
  <si>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</si>
  <si>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</si>
  <si>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</si>
  <si>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</si>
  <si>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</si>
  <si>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</si>
  <si>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</si>
  <si>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</si>
  <si>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</si>
  <si>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</si>
  <si>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</si>
  <si>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</si>
  <si>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</si>
  <si>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</si>
  <si>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</si>
  <si>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</si>
  <si>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</si>
  <si>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</si>
  <si>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</si>
  <si>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</si>
  <si>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</si>
  <si>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</si>
  <si>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</si>
  <si>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</si>
  <si>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</si>
  <si>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</si>
  <si>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</si>
  <si>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</si>
  <si>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</si>
  <si>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</si>
  <si>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</si>
  <si>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</si>
  <si>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</si>
  <si>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</si>
  <si>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</si>
  <si>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</si>
  <si>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</si>
  <si>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</si>
  <si>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</si>
  <si>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</si>
  <si>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</si>
  <si>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</si>
  <si>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</si>
  <si>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</si>
  <si>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</si>
  <si>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</si>
  <si>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</si>
  <si>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</si>
  <si>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</si>
  <si>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</si>
  <si>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</si>
  <si>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</si>
  <si>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</si>
  <si>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</si>
  <si>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</si>
  <si>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</si>
  <si>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</si>
  <si>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</si>
  <si>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</si>
  <si>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</si>
  <si>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</si>
  <si>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</si>
  <si>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</si>
  <si>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</si>
  <si>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</si>
  <si>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</si>
  <si>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</si>
  <si>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</si>
  <si>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</si>
  <si>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</si>
  <si>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</si>
  <si>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</si>
  <si>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</si>
  <si>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</si>
  <si>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</si>
  <si>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</si>
  <si>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</si>
  <si>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</si>
  <si>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</si>
  <si>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</si>
  <si>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</si>
  <si>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</si>
  <si>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</si>
  <si>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</si>
  <si>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</si>
  <si>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</si>
  <si>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</si>
  <si>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</si>
  <si>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</si>
  <si>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</si>
  <si>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</si>
  <si>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</si>
  <si>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</si>
  <si>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</si>
  <si>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</si>
  <si>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</si>
  <si>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</si>
  <si>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</si>
  <si>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</si>
  <si>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</si>
  <si>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</si>
  <si>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</si>
  <si>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</si>
  <si>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</si>
  <si>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</si>
  <si>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</si>
  <si>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</si>
  <si>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</si>
  <si>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</si>
  <si>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</si>
  <si>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</si>
  <si>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</si>
  <si>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</si>
  <si>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</si>
  <si>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</si>
  <si>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</si>
  <si>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</si>
  <si>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</si>
  <si>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</si>
  <si>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</si>
  <si>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</si>
  <si>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</si>
  <si>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</si>
  <si>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</si>
  <si>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</si>
  <si>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</si>
  <si>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</si>
  <si>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</si>
  <si>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</si>
  <si>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</si>
  <si>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</si>
  <si>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</si>
  <si>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</si>
  <si>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</si>
  <si>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</si>
  <si>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</si>
  <si>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</si>
  <si>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</si>
  <si>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</si>
  <si>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</si>
  <si>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</si>
  <si>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</si>
  <si>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</si>
  <si>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</si>
  <si>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</si>
  <si>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</si>
  <si>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</si>
  <si>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</si>
  <si>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</si>
  <si>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</si>
  <si>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</si>
  <si>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</si>
  <si>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</si>
  <si>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</si>
  <si>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</si>
  <si>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</si>
  <si>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</si>
  <si>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</si>
  <si>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</si>
  <si>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</si>
  <si>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</si>
  <si>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</si>
  <si>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</si>
  <si>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</si>
  <si>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</si>
  <si>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</si>
  <si>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</si>
  <si>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</si>
  <si>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</si>
  <si>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</si>
  <si>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</si>
  <si>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</si>
  <si>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</si>
  <si>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</si>
  <si>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</si>
  <si>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</si>
  <si>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</si>
  <si>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</si>
  <si>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</si>
  <si>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</si>
  <si>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</si>
  <si>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</si>
  <si>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</si>
  <si>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</si>
  <si>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</si>
  <si>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</si>
  <si>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</si>
  <si>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</si>
  <si>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</si>
  <si>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</si>
  <si>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</si>
  <si>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</si>
  <si>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</si>
  <si>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</si>
  <si>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</si>
  <si>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</si>
  <si>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</si>
  <si>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</si>
  <si>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</si>
  <si>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</si>
  <si>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</si>
  <si>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</si>
  <si>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</si>
  <si>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</si>
  <si>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</si>
  <si>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</si>
  <si>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</si>
  <si>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</si>
  <si>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</si>
  <si>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</si>
  <si>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</si>
  <si>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</si>
  <si>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</si>
  <si>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</si>
  <si>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</si>
  <si>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</si>
  <si>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</si>
  <si>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</si>
  <si>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</si>
  <si>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</si>
  <si>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</si>
  <si>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</si>
  <si>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</si>
  <si>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</si>
  <si>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</si>
  <si>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</si>
  <si>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</si>
  <si>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</si>
  <si>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</si>
  <si>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</si>
  <si>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</si>
  <si>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</si>
  <si>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</si>
  <si>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</si>
  <si>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</si>
  <si>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</si>
  <si>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</si>
  <si>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</si>
  <si>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</si>
  <si>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</si>
  <si>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</si>
  <si>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</si>
  <si>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</si>
  <si>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</si>
  <si>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</si>
  <si>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</si>
  <si>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</si>
  <si>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</si>
  <si>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</si>
  <si>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</si>
  <si>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</si>
  <si>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</si>
  <si>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</si>
  <si>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</si>
  <si>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</si>
  <si>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</si>
  <si>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</si>
  <si>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</si>
  <si>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</si>
  <si>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</si>
  <si>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</si>
  <si>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</si>
  <si>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</si>
  <si>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</si>
  <si>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</si>
  <si>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</si>
  <si>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</si>
  <si>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</si>
  <si>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</si>
  <si>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</si>
  <si>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</si>
  <si>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</si>
  <si>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</si>
  <si>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</si>
  <si>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</si>
  <si>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</si>
  <si>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</si>
  <si>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</si>
  <si>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</si>
  <si>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</si>
  <si>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</si>
  <si>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</si>
  <si>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</si>
  <si>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</si>
  <si>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</si>
  <si>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</si>
  <si>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</si>
  <si>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</si>
  <si>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</si>
  <si>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</si>
  <si>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</si>
  <si>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</si>
  <si>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</si>
  <si>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</si>
  <si>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</si>
  <si>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</si>
  <si>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</si>
  <si>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</si>
  <si>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</si>
  <si>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</si>
  <si>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</si>
  <si>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</si>
  <si>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</si>
  <si>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</si>
  <si>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</si>
  <si>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</si>
  <si>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</si>
  <si>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</si>
  <si>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</si>
  <si>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</si>
  <si>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</si>
  <si>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</si>
  <si>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</si>
  <si>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</si>
  <si>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</si>
  <si>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</si>
  <si>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</si>
  <si>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</si>
  <si>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</si>
  <si>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</si>
  <si>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</si>
  <si>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</si>
  <si>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</si>
  <si>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</si>
  <si>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</si>
  <si>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</si>
  <si>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cím</t>
  </si>
  <si>
    <t>Települési önkormányzatok köznevelési feladatainak egyéb támogatása</t>
  </si>
  <si>
    <t>4. számú tájékoztató tábla</t>
  </si>
  <si>
    <t>3. számú tájékoztató tábla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</si>
  <si>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</si>
  <si>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</si>
  <si>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</si>
  <si>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</si>
  <si>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</si>
  <si>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</si>
  <si>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</si>
  <si>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</si>
  <si>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</si>
  <si>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Csobogó sétány játszótér (391/2 hrsz)</t>
  </si>
  <si>
    <t>karbantartás</t>
  </si>
  <si>
    <t>tornaszoba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</si>
  <si>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</si>
  <si>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</si>
  <si>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</si>
  <si>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</si>
  <si>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</si>
  <si>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</si>
  <si>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</si>
  <si>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>Kivitelezés tervezett kezdése</t>
  </si>
  <si>
    <t>ÁFA</t>
  </si>
  <si>
    <t>Felújítások bruttó értéke</t>
  </si>
  <si>
    <t>Beruházási (felhalmozási) kiadások előirányzata feladatonként</t>
  </si>
  <si>
    <t>Beruházások bruttó értéke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</si>
  <si>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</si>
  <si>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</si>
  <si>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</si>
  <si>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</si>
  <si>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</si>
  <si>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</si>
  <si>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</si>
  <si>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</si>
  <si>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</si>
  <si>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</si>
  <si>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</si>
  <si>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</si>
  <si>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</si>
  <si>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</si>
  <si>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</si>
  <si>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</si>
  <si>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</si>
  <si>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</si>
  <si>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(Kjt. szerinti közalkalmazott)</t>
  </si>
  <si>
    <t>takarító és konyhai kisegítő</t>
  </si>
  <si>
    <t>közművelődési igazgatási ügyintéző</t>
  </si>
  <si>
    <t>védőnő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</si>
  <si>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</si>
  <si>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</si>
  <si>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</si>
  <si>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</si>
  <si>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</si>
  <si>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</si>
  <si>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</si>
  <si>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</si>
  <si>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pedagógiai asszisztens</t>
  </si>
  <si>
    <t>dajka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</si>
  <si>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</si>
  <si>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</si>
  <si>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</si>
  <si>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</si>
  <si>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</si>
  <si>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 xml:space="preserve">   -Pénzforg.nélk.kiad/  Elvonások</t>
  </si>
  <si>
    <t>Csobánkai Sportegyesület</t>
  </si>
  <si>
    <t>2013. évről áthúzódó bérkompenzáció</t>
  </si>
  <si>
    <t>E-útdíj bevezetésvel kapcsolatos bevételkiesés ellentételezése</t>
  </si>
  <si>
    <t>2016. évi terv</t>
  </si>
  <si>
    <t>2018. évi előirányzat</t>
  </si>
  <si>
    <t xml:space="preserve">     - Működési támogatás átadás (Civil Alap)</t>
  </si>
  <si>
    <t>udvaron lévő szőlőprés felújítás</t>
  </si>
  <si>
    <t xml:space="preserve">l/2. Közterületi fák karbantartása, fenntartása  </t>
  </si>
  <si>
    <t xml:space="preserve">m/1. Veszélyes hulladékok összegyűjtése és elszállítása </t>
  </si>
  <si>
    <t>n/1. Tiszta Udvar Rendes Ház pályázat, annak keretében elismerő tábla elhelyezésének lehetősége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</si>
  <si>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</si>
  <si>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</si>
  <si>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</si>
  <si>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</si>
  <si>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</si>
  <si>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</si>
  <si>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</si>
  <si>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</si>
  <si>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</si>
  <si>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</si>
  <si>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</si>
  <si>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A rászoruló gyermekek intézményen kívüli szünidei étkeztetésének támogatása</t>
  </si>
  <si>
    <t>2018.</t>
  </si>
  <si>
    <t>2019. évi előirányzat</t>
  </si>
  <si>
    <t>Áru- és készletértékesítés / közvetett szolgáltatás</t>
  </si>
  <si>
    <t>Költségvetési szerv
megnevezése</t>
  </si>
  <si>
    <t>karácsonyi díszvilágítás új</t>
  </si>
  <si>
    <t>Nádas utcai híd</t>
  </si>
  <si>
    <t>forintban</t>
  </si>
  <si>
    <t xml:space="preserve">víz bevezetés </t>
  </si>
  <si>
    <t xml:space="preserve">Hivatal - Fő út 1. (618/1 hrsz) </t>
  </si>
  <si>
    <t xml:space="preserve">Hivatal  - Fő út 1. (618/1 hrsz) </t>
  </si>
  <si>
    <t>2019.</t>
  </si>
  <si>
    <t>Csobánka Község Önkormányzat adósságot keletkeztető ügyletekből 
és kezességvállalásokból fennálló kötelezettségei</t>
  </si>
  <si>
    <t>gondnok</t>
  </si>
  <si>
    <t>3 fő</t>
  </si>
  <si>
    <t>Baross Péter Közösségi Ház és Könyvtár
(Kjt. szerinti közalkalmazott)</t>
  </si>
  <si>
    <t>családsegítő</t>
  </si>
  <si>
    <t>Házi segítségnyújtás</t>
  </si>
  <si>
    <t>szociális gondozó</t>
  </si>
  <si>
    <t>sorszám</t>
  </si>
  <si>
    <t>hrsz.</t>
  </si>
  <si>
    <t>munkanem</t>
  </si>
  <si>
    <t>javasolt előirányzat</t>
  </si>
  <si>
    <t>664/2</t>
  </si>
  <si>
    <t>Középületek, közösségi terek</t>
  </si>
  <si>
    <t>391/2</t>
  </si>
  <si>
    <t xml:space="preserve">vízbevezetés </t>
  </si>
  <si>
    <t>618/1</t>
  </si>
  <si>
    <t>udvaron lévő szőlőprés felújítása</t>
  </si>
  <si>
    <t>Béke út 4.</t>
  </si>
  <si>
    <t>Civil Alap</t>
  </si>
  <si>
    <t>Önszerveződő közösségek támogatása</t>
  </si>
  <si>
    <t>Sportfeladatok ellátása</t>
  </si>
  <si>
    <t>2018. évi 
terv</t>
  </si>
  <si>
    <t>2019. évi 
terv</t>
  </si>
  <si>
    <t>2017. évi
terv</t>
  </si>
  <si>
    <t>I.1.  jogcímhez kapcsolódó kiegészítő támogatás</t>
  </si>
  <si>
    <t>óvodapedagógusok elismert létszáma (pótlólagos összeg)</t>
  </si>
  <si>
    <t>Csobogó sétány - játszótér (391/2 hrsz)</t>
  </si>
  <si>
    <t>a 2018. évi költségvetés Környezetvédelmi Alapjának felhasználására</t>
  </si>
  <si>
    <t>2020. évi előirányzat</t>
  </si>
  <si>
    <t>2018.01.01-jétől</t>
  </si>
  <si>
    <t>Nettó</t>
  </si>
  <si>
    <t>Bruttó</t>
  </si>
  <si>
    <t>a/1. Patakmeder tisztítása, kotrása - patak állapotjavításához kapcsolódó lakossági akció</t>
  </si>
  <si>
    <t>b/2. Rágcsálómentesítés</t>
  </si>
  <si>
    <t>b/3. Közterületi műtárgyak (hulladékgyűjtők, padok, utcatáblák, turisztikai táblák) telepítése, javítása</t>
  </si>
  <si>
    <t>h/1.Szabad-felhasználású pályázati alap környezetvédelemi akciók támogatására – pályázat házi komposztálóra</t>
  </si>
  <si>
    <t>h/2. Pályázati alap települési környezetvédelmi témájú pályázatok meghirdetésére, lakosság szemléletformálására, pályázatokhoz szükséges önerő biztosítására</t>
  </si>
  <si>
    <t>k/1. Özönnövények és allergén növények elleni védekezés (japán keserűfű és parlagfű elleni kampányok)</t>
  </si>
  <si>
    <t>l/1. Virágosítás, közterület zöldítés</t>
  </si>
  <si>
    <t>m/2. Használt étolaj és elem begyűjtése</t>
  </si>
  <si>
    <t>2018. évi Környezetvédelmi Alap</t>
  </si>
  <si>
    <t>Fő út 61-63. sz. alatti bérlakások</t>
  </si>
  <si>
    <t>Fő út 61-63. sz. alatti bérlakások (664/2 hrsz)</t>
  </si>
  <si>
    <t>tető csere</t>
  </si>
  <si>
    <t>játékok minősítése</t>
  </si>
  <si>
    <t xml:space="preserve">új játék vásárlás (játszótér, óvoda) </t>
  </si>
  <si>
    <t>homok pótlása</t>
  </si>
  <si>
    <t>Óvoda-Fő út 11.</t>
  </si>
  <si>
    <t>elavult játék bontása, elszállítás</t>
  </si>
  <si>
    <t>karácsonyi díszvilágítás beüzemelés</t>
  </si>
  <si>
    <t>tárgyaló bútorok</t>
  </si>
  <si>
    <t xml:space="preserve"> + közösségi színtér homlokzati feliratok</t>
  </si>
  <si>
    <t>hátsó udvar füvesítése</t>
  </si>
  <si>
    <t>karácsonyi díszvilágítás beüzemelése</t>
  </si>
  <si>
    <t>közösségi színtér homlokzati feliratok</t>
  </si>
  <si>
    <t>hátsó udvar fűvesítése</t>
  </si>
  <si>
    <t xml:space="preserve">hidak (Fő tér, játszótér, </t>
  </si>
  <si>
    <t>hidak (Fő tér, játszótér, gyermekorvosi, Kukorica köz)</t>
  </si>
  <si>
    <t>Közösségi Tér és Könyvtár -  Béke út 4. (961/3 hrsz)</t>
  </si>
  <si>
    <t>vizesblokkok felújítása (önerő)</t>
  </si>
  <si>
    <t>Hétvezér Park (406/153 hrsz.)</t>
  </si>
  <si>
    <t>mezitlábas park kiépítése</t>
  </si>
  <si>
    <t>felülvizsgálatok (Hivatal, Óvoda, Közösségi Tér)</t>
  </si>
  <si>
    <t>031/4 hrsz. terület rendezés</t>
  </si>
  <si>
    <t>031/4 hrsz. Traktor garázs, fedett szín</t>
  </si>
  <si>
    <t>forgalomszabályozási terv</t>
  </si>
  <si>
    <t>Fő tér burkolat felújítás</t>
  </si>
  <si>
    <t>Csiperke utca</t>
  </si>
  <si>
    <t xml:space="preserve">telekalakítások (járulékos költségek) </t>
  </si>
  <si>
    <t>Bölcsödei feladatellátás</t>
  </si>
  <si>
    <t>önerő</t>
  </si>
  <si>
    <t>telekalakítás + pályázati önerő</t>
  </si>
  <si>
    <t>járdák telekalakítás + pályázati önerő</t>
  </si>
  <si>
    <t xml:space="preserve"> ebből: nettó érték</t>
  </si>
  <si>
    <t xml:space="preserve"> ebből: ÁFA</t>
  </si>
  <si>
    <t>Felhalmozási célú bevételek</t>
  </si>
  <si>
    <t>Bérlemények</t>
  </si>
  <si>
    <t>Csobogó sétány (játszótér)</t>
  </si>
  <si>
    <t>új játék vásárlás (játszótér, óvoda)</t>
  </si>
  <si>
    <t>homok pótlás</t>
  </si>
  <si>
    <t>Fő út 11. (óvoda)</t>
  </si>
  <si>
    <t>Fő út 1. (Hivatal)</t>
  </si>
  <si>
    <t>gyermekorvosi, Kukorica köz)</t>
  </si>
  <si>
    <t>vasbeton szerkezet tervezés, építés</t>
  </si>
  <si>
    <t>tornaszoba felújítás (önerő)</t>
  </si>
  <si>
    <t>(Közösségi Tér és Könyvtár)</t>
  </si>
  <si>
    <t>Hétvezér Park</t>
  </si>
  <si>
    <t>406/153</t>
  </si>
  <si>
    <t>mezitlábas park</t>
  </si>
  <si>
    <t>villám és érintésvédelem</t>
  </si>
  <si>
    <t>031/4 hrsz</t>
  </si>
  <si>
    <t>031/4</t>
  </si>
  <si>
    <t>terület rendezése</t>
  </si>
  <si>
    <t>traktor garázs, fedett szín</t>
  </si>
  <si>
    <t>település</t>
  </si>
  <si>
    <t>terveztetés</t>
  </si>
  <si>
    <t>Fő tér</t>
  </si>
  <si>
    <t>747/2</t>
  </si>
  <si>
    <t>burkolat felújítás</t>
  </si>
  <si>
    <t xml:space="preserve">bölcsődei feladatellátás </t>
  </si>
  <si>
    <t>járdák</t>
  </si>
  <si>
    <t>összesen:</t>
  </si>
  <si>
    <t>2. sz. tájékoztató tábla</t>
  </si>
  <si>
    <t>K I M U T A T Á S
a 2018. évi működési célú pénzeszközátadásokról, céljellegű támogatásokról</t>
  </si>
  <si>
    <t>2017. évi   teljesítés</t>
  </si>
  <si>
    <t>TPA Alap</t>
  </si>
  <si>
    <t>Településképi Pályázati Alap</t>
  </si>
  <si>
    <t>Gördülő költségvetési terv 2018-2020 évekre</t>
  </si>
  <si>
    <t>2020. évi 
terv</t>
  </si>
  <si>
    <t xml:space="preserve">I.6. </t>
  </si>
  <si>
    <t>Polgármesteri illetmény támogatása</t>
  </si>
  <si>
    <t>2017. évi terv</t>
  </si>
  <si>
    <t>2018. évi
terv</t>
  </si>
  <si>
    <t xml:space="preserve">   Államháztartáson belüli megelőlegezés visszafizetése</t>
  </si>
  <si>
    <t>b/1. Az Ök. 2018. évi fejlesztési, felújítási, karbantartási terve szerinti kiadásokra (5db homok- és sótároló láda)</t>
  </si>
  <si>
    <t xml:space="preserve">  Államháztartáson belüli megelőlegezés visszafizetése</t>
  </si>
  <si>
    <t>Államháztartáson belüli megelőlegezés visszautalása</t>
  </si>
  <si>
    <t>Előirányzat-felhasználási terv
2018. évre</t>
  </si>
  <si>
    <t>Komplex felújítási-fejlesztési terv - 2018.</t>
  </si>
  <si>
    <t>12 fő</t>
  </si>
  <si>
    <t>6 fő</t>
  </si>
  <si>
    <t>2018. évi 
eredeti előirányzat</t>
  </si>
  <si>
    <t>2018. évi 
módosított előirányzat</t>
  </si>
  <si>
    <t>2018. évi 
módosított előirányzat
(bruttó)</t>
  </si>
  <si>
    <t>2018. évi 
módosított 
előirányzat</t>
  </si>
  <si>
    <t>2018. évi 
eredeti
előirányzat</t>
  </si>
  <si>
    <t>Elvonások</t>
  </si>
  <si>
    <t>vasbeton szerkezet építése</t>
  </si>
  <si>
    <t>villám- és érintésvédelem felülvizsgálata</t>
  </si>
  <si>
    <t>parkoló fejlesztés Fő út mellett</t>
  </si>
  <si>
    <t>telekvásárlás</t>
  </si>
  <si>
    <t>Vízügyi engedélyezési terv</t>
  </si>
  <si>
    <t>vízbevezetés</t>
  </si>
  <si>
    <t>Közösségi tér és könyvtár -  Béke út 4. (961/3 hrsz)</t>
  </si>
  <si>
    <t>informatikai beszerzés internethez</t>
  </si>
  <si>
    <t>PM­_EUALAPELLATAS_2017 önerő</t>
  </si>
  <si>
    <t>PM¬_CSAPVÍZGAZD_2017 önerő</t>
  </si>
  <si>
    <t>ÖNKORMÚT pályázat önerő</t>
  </si>
  <si>
    <t>Baross Péter Közösségi Tér és Könyvtár</t>
  </si>
  <si>
    <t>Közművelődéi érdekeltségnövelő pályázat (mobilszínpad beszerzés)</t>
  </si>
  <si>
    <t>utak karbantartása</t>
  </si>
  <si>
    <t>Barackvirág, Akácos utca</t>
  </si>
  <si>
    <t>Nádas utcai híd vasbeton szerkezet tervezés, építés*</t>
  </si>
  <si>
    <t>* a Nádas utcai híd vasbeton szerkezet tervezés, építés átkerült a beruházások táblázatba</t>
  </si>
  <si>
    <t>belső ajtók cseréje</t>
  </si>
  <si>
    <t>főlépcső és korlát</t>
  </si>
  <si>
    <t>hivatal világítás csere</t>
  </si>
  <si>
    <t>főbejárati ajtó csere</t>
  </si>
  <si>
    <t>Közösségi ház és könyvtár -  Béke út 4. (961/3 hrsz)</t>
  </si>
  <si>
    <t>kőház előtti korlát</t>
  </si>
  <si>
    <t>hátsó bejárati lépcső</t>
  </si>
  <si>
    <t>fűtés korszerűsítés, éves karbantartási díj</t>
  </si>
  <si>
    <t>utak FAE technológiás javítása</t>
  </si>
  <si>
    <t>Egészségház - Béke út 13.</t>
  </si>
  <si>
    <t>tornaterem parkettázás</t>
  </si>
  <si>
    <t>díszkút és padok telepítése</t>
  </si>
  <si>
    <t xml:space="preserve">Nemzetiségek háza - Béke út 8. </t>
  </si>
  <si>
    <t>hinta beszerzése, telepítése</t>
  </si>
  <si>
    <t>Egyéb működési bevétel</t>
  </si>
  <si>
    <t>kárpíttisztító beszerzés</t>
  </si>
  <si>
    <t>szerszámok</t>
  </si>
  <si>
    <t>Ingatlan vásárlás Csobánka belterület</t>
  </si>
  <si>
    <t>laptop és számítástechnikai eszközök</t>
  </si>
  <si>
    <t>Lépj Időbe Ki Egyesület kompenzáció</t>
  </si>
  <si>
    <t>Vis maior 2018. (támfal) önerő</t>
  </si>
  <si>
    <t>Vis maior 2018. (utak) önerő+felületzárás</t>
  </si>
  <si>
    <t xml:space="preserve">Béke út 4. - Ötterem </t>
  </si>
  <si>
    <t>Béke út 4. - Ötterem bővítés</t>
  </si>
  <si>
    <t xml:space="preserve">Csobánka belterület </t>
  </si>
  <si>
    <t>2018. évi teljesítés
(Ft)</t>
  </si>
  <si>
    <t>2018. évi teljesítés
(%)</t>
  </si>
  <si>
    <t>Csepp Alapítvány kompenzáció</t>
  </si>
  <si>
    <t>Csobánka, Fő tér 7. - Tanoda</t>
  </si>
  <si>
    <t>kazáncsere</t>
  </si>
  <si>
    <t>térfigyelő kamerák villamos energia betáplálás tervezése</t>
  </si>
  <si>
    <t>betlehemi szoborcsoport</t>
  </si>
  <si>
    <t>sószóró</t>
  </si>
  <si>
    <t>salgopolc</t>
  </si>
  <si>
    <t>tároló edények (Környezetvédelmi Alap)</t>
  </si>
  <si>
    <t>Tanoda - Fő tér 7.</t>
  </si>
  <si>
    <t>kompenzáció (felújítás bérleti díjjal szemben)</t>
  </si>
  <si>
    <t>Előző időszak</t>
  </si>
  <si>
    <t>Módosítások (+/-)</t>
  </si>
  <si>
    <t>Tárgyi időszak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</si>
  <si>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</si>
  <si>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</si>
  <si>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</si>
  <si>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</si>
  <si>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</si>
  <si>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D/III/1 Adott előlegek (=D/III/1a+…+D/III/1f)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</si>
  <si>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</si>
  <si>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</si>
  <si>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</si>
  <si>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ESZKÖZÖK ÖSSZESEN (=A+B+C+D+E+F)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</si>
  <si>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</si>
  <si>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</si>
  <si>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</si>
  <si>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</si>
  <si>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</si>
  <si>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</si>
  <si>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</si>
  <si>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</si>
  <si>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</si>
  <si>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</si>
  <si>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</si>
  <si>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</si>
  <si>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</si>
  <si>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D/I/4d - ebből: költségvetési évben esedékes követelések kiszámlázott általános forgalmi adóra</t>
  </si>
  <si>
    <t>D/I Költségvetési évben esedékes követelések (=D/I/1+…+D/I/8)</t>
  </si>
  <si>
    <t>D/III/1e - ebből: foglalkoztatottaknak adott előlegek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</si>
  <si>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</si>
  <si>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</si>
  <si>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</si>
  <si>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</si>
  <si>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</si>
  <si>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</si>
  <si>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</si>
  <si>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A) NEMZETI VAGYONBA TARTOZÓ BEFEKTETETT ESZKÖZÖK (=A/I+A/II+A/III+A/IV)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</si>
  <si>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</si>
  <si>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</si>
  <si>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</si>
  <si>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</si>
  <si>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D/I/4b - ebből: költségvetési évben esedékes követelések tulajdonosi bevételekre</t>
  </si>
  <si>
    <t>D/I/4i - ebből: költségvetési évben esedékes követelések egyéb működési bevételekre</t>
  </si>
  <si>
    <t>D/III/4 Forgótőke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</si>
  <si>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</si>
  <si>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</si>
  <si>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</si>
  <si>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G/I  Nemzeti vagyon induláskori értéke</t>
  </si>
  <si>
    <t>H/I/3 Költségvetési évben esedékes kötelezettségek dologi kiadásokra</t>
  </si>
  <si>
    <t>H/I/4 Költségvetési évben esedékes kötelezettségek ellátottak pénzbeli juttatásaira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</si>
  <si>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</si>
  <si>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</si>
  <si>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</si>
  <si>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</si>
  <si>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</si>
  <si>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H/III/8 Letétre, megőrzésre, fedezetkezelésre átvett pénzeszközök, biztosítékok</t>
  </si>
  <si>
    <t>Csobánkai Polgármesteri Hivatal 
eszközeinek és forrásainak alakulása
2018. december 31.</t>
  </si>
  <si>
    <t>Borostyán Természetvédő Óvoda
eszközeinek és forrásainak alakulása
2019. december 31.</t>
  </si>
  <si>
    <t>Csobánka Község Önkormányzata
eszközeinek és forrásainak alakulása
2018. december 31.</t>
  </si>
  <si>
    <t>adatok foirntban!</t>
  </si>
  <si>
    <t>Értéktípus: Forint</t>
  </si>
  <si>
    <t>Sorszám</t>
  </si>
  <si>
    <t>Összeg</t>
  </si>
  <si>
    <t>Önkormányzat</t>
  </si>
  <si>
    <t>Hivatal</t>
  </si>
  <si>
    <t>Óvoda</t>
  </si>
  <si>
    <t>2</t>
  </si>
  <si>
    <t>1</t>
  </si>
  <si>
    <t>3</t>
  </si>
  <si>
    <t>5</t>
  </si>
  <si>
    <t>01. Alaptevékenység költségvetési bevételei</t>
  </si>
  <si>
    <t>02. Alaptevékenység költségvetési kiadásai</t>
  </si>
  <si>
    <t>I. Alaptevékenység költségvetési egyenlege (=01-02)</t>
  </si>
  <si>
    <t>03. Alaptevékenység finanszírozási bevételei</t>
  </si>
  <si>
    <t>4</t>
  </si>
  <si>
    <t>04. Alaptevékenység finanszírozási kiadásai</t>
  </si>
  <si>
    <t>II. Alaptevékenység finanszírozási egyenlege (=03-04)</t>
  </si>
  <si>
    <t>6</t>
  </si>
  <si>
    <t>A/ Alaptevékenység maradványa (=+-I+-II)</t>
  </si>
  <si>
    <t>7</t>
  </si>
  <si>
    <t>8</t>
  </si>
  <si>
    <t>9</t>
  </si>
  <si>
    <t>10</t>
  </si>
  <si>
    <t>C/ Összes maradvány (=A+B)</t>
  </si>
  <si>
    <t>Csobánka Község Önkormányzatának és Intézményeinek
MARADVÁNYKIMUTATÁSA
2018. december 31.</t>
  </si>
  <si>
    <t>D) Alaptevékenység kötelezettségvállalással terhelt maradványa</t>
  </si>
  <si>
    <t>E) Alaptevékenység szabad maradványa (=A-D)</t>
  </si>
  <si>
    <t>1. melléklet az 5/2019. (IV. 26.) önkormányzati rendelethez</t>
  </si>
  <si>
    <t xml:space="preserve">2.1. melléklet az 5/2019. (IV. 26.) önkormányzati rendelethez     </t>
  </si>
  <si>
    <t xml:space="preserve">2.2. melléklet az 5/2019. (IV. 26.) önkormányzati rendelethez     </t>
  </si>
  <si>
    <r>
      <rPr>
        <b/>
        <sz val="11"/>
        <color indexed="8"/>
        <rFont val="Times New Roman"/>
        <family val="1"/>
        <charset val="238"/>
      </rPr>
      <t>14. melléklet az 5/2019. (IV. 26.) önkormányzati rendelethez</t>
    </r>
    <r>
      <rPr>
        <i/>
        <sz val="11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</si>
</sst>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  <numFmt numFmtId="168" formatCode="#,##0\ &quot;Ft&quot;"/>
    <numFmt numFmtId="169" formatCode="[$-40E]General"/>
    <numFmt numFmtId="170" formatCode="#,##0.00&quot; &quot;[$Ft-40E];[Red]&quot;-&quot;#,##0.00&quot; &quot;[$Ft-40E]"/>
  </numFmts>
  <fonts count="1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FF0000"/>
      <name val="Times New Roman CE"/>
      <family val="1"/>
      <charset val="238"/>
    </font>
    <font>
      <sz val="10"/>
      <name val="Arial CE"/>
      <charset val="238"/>
    </font>
    <font>
      <i/>
      <sz val="9"/>
      <name val="Arial CE"/>
      <charset val="238"/>
    </font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78" fillId="0" borderId="0"/>
    <xf numFmtId="0" fontId="3" fillId="0" borderId="0"/>
    <xf numFmtId="0" fontId="2" fillId="0" borderId="0"/>
    <xf numFmtId="0" fontId="4" fillId="0" borderId="0"/>
    <xf numFmtId="0" fontId="78" fillId="0" borderId="0"/>
    <xf numFmtId="169" fontId="101" fillId="0" borderId="0" applyBorder="0" applyProtection="0"/>
    <xf numFmtId="169" fontId="102" fillId="0" borderId="0" applyBorder="0" applyProtection="0"/>
    <xf numFmtId="0" fontId="103" fillId="0" borderId="0" applyNumberFormat="0" applyBorder="0" applyProtection="0">
      <alignment horizontal="center"/>
    </xf>
    <xf numFmtId="169" fontId="103" fillId="0" borderId="0" applyBorder="0" applyProtection="0">
      <alignment horizontal="center"/>
    </xf>
    <xf numFmtId="0" fontId="103" fillId="0" borderId="0" applyNumberFormat="0" applyBorder="0" applyProtection="0">
      <alignment horizontal="center" textRotation="90"/>
    </xf>
    <xf numFmtId="169" fontId="103" fillId="0" borderId="0" applyBorder="0" applyProtection="0">
      <alignment horizontal="center" textRotation="90"/>
    </xf>
    <xf numFmtId="0" fontId="1" fillId="0" borderId="0"/>
    <xf numFmtId="0" fontId="104" fillId="0" borderId="0" applyNumberFormat="0" applyBorder="0" applyProtection="0"/>
    <xf numFmtId="169" fontId="104" fillId="0" borderId="0" applyBorder="0" applyProtection="0"/>
    <xf numFmtId="170" fontId="104" fillId="0" borderId="0" applyBorder="0" applyProtection="0"/>
    <xf numFmtId="170" fontId="104" fillId="0" borderId="0" applyBorder="0" applyProtection="0"/>
    <xf numFmtId="0" fontId="1" fillId="0" borderId="0"/>
    <xf numFmtId="9" fontId="4" fillId="0" borderId="0" applyFont="0" applyFill="0" applyBorder="0" applyAlignment="0" applyProtection="0"/>
    <xf numFmtId="0" fontId="110" fillId="0" borderId="0"/>
    <xf numFmtId="0" fontId="112" fillId="0" borderId="0"/>
    <xf numFmtId="0" fontId="112" fillId="0" borderId="0"/>
  </cellStyleXfs>
  <cellXfs count="1526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0" fontId="25" fillId="0" borderId="1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vertical="center" wrapText="1" indent="1"/>
    </xf>
    <xf numFmtId="0" fontId="25" fillId="0" borderId="3" xfId="4" applyFont="1" applyFill="1" applyBorder="1" applyAlignment="1" applyProtection="1">
      <alignment horizontal="left" vertical="center" wrapText="1" indent="1"/>
    </xf>
    <xf numFmtId="0" fontId="25" fillId="0" borderId="4" xfId="4" applyFont="1" applyFill="1" applyBorder="1" applyAlignment="1" applyProtection="1">
      <alignment horizontal="left" vertical="center" wrapText="1" indent="1"/>
    </xf>
    <xf numFmtId="0" fontId="25" fillId="0" borderId="5" xfId="4" applyFont="1" applyFill="1" applyBorder="1" applyAlignment="1" applyProtection="1">
      <alignment horizontal="left" vertical="center" wrapText="1" indent="1"/>
    </xf>
    <xf numFmtId="0" fontId="25" fillId="0" borderId="6" xfId="4" applyFont="1" applyFill="1" applyBorder="1" applyAlignment="1" applyProtection="1">
      <alignment horizontal="left" vertical="center" wrapText="1" indent="1"/>
    </xf>
    <xf numFmtId="0" fontId="25" fillId="0" borderId="7" xfId="4" applyFont="1" applyFill="1" applyBorder="1" applyAlignment="1" applyProtection="1">
      <alignment horizontal="left" vertical="center" wrapText="1" indent="1"/>
    </xf>
    <xf numFmtId="49" fontId="25" fillId="0" borderId="8" xfId="4" applyNumberFormat="1" applyFont="1" applyFill="1" applyBorder="1" applyAlignment="1" applyProtection="1">
      <alignment horizontal="left" vertical="center" wrapText="1" indent="1"/>
    </xf>
    <xf numFmtId="49" fontId="25" fillId="0" borderId="9" xfId="4" applyNumberFormat="1" applyFont="1" applyFill="1" applyBorder="1" applyAlignment="1" applyProtection="1">
      <alignment horizontal="left" vertical="center" wrapText="1" indent="1"/>
    </xf>
    <xf numFmtId="49" fontId="25" fillId="0" borderId="10" xfId="4" applyNumberFormat="1" applyFont="1" applyFill="1" applyBorder="1" applyAlignment="1" applyProtection="1">
      <alignment horizontal="left" vertical="center" wrapText="1" indent="1"/>
    </xf>
    <xf numFmtId="49" fontId="25" fillId="0" borderId="11" xfId="4" applyNumberFormat="1" applyFont="1" applyFill="1" applyBorder="1" applyAlignment="1" applyProtection="1">
      <alignment horizontal="left" vertical="center" wrapText="1" indent="1"/>
    </xf>
    <xf numFmtId="49" fontId="25" fillId="0" borderId="12" xfId="4" applyNumberFormat="1" applyFont="1" applyFill="1" applyBorder="1" applyAlignment="1" applyProtection="1">
      <alignment horizontal="left" vertical="center" wrapText="1" indent="1"/>
    </xf>
    <xf numFmtId="49" fontId="25" fillId="0" borderId="13" xfId="4" applyNumberFormat="1" applyFont="1" applyFill="1" applyBorder="1" applyAlignment="1" applyProtection="1">
      <alignment horizontal="left" vertical="center" wrapText="1" indent="1"/>
    </xf>
    <xf numFmtId="49" fontId="25" fillId="0" borderId="14" xfId="4" applyNumberFormat="1" applyFont="1" applyFill="1" applyBorder="1" applyAlignment="1" applyProtection="1">
      <alignment horizontal="left" vertical="center" wrapText="1" indent="1"/>
    </xf>
    <xf numFmtId="0" fontId="25" fillId="0" borderId="0" xfId="4" applyFont="1" applyFill="1" applyBorder="1" applyAlignment="1" applyProtection="1">
      <alignment horizontal="left" vertical="center" wrapText="1" indent="1"/>
    </xf>
    <xf numFmtId="0" fontId="23" fillId="0" borderId="15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23" fillId="0" borderId="17" xfId="4" applyFont="1" applyFill="1" applyBorder="1" applyAlignment="1" applyProtection="1">
      <alignment horizontal="left" vertical="center" wrapText="1" indent="1"/>
    </xf>
    <xf numFmtId="0" fontId="26" fillId="0" borderId="16" xfId="4" applyFont="1" applyFill="1" applyBorder="1" applyAlignment="1" applyProtection="1">
      <alignment horizontal="left" vertical="center" wrapText="1" indent="1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 wrapText="1"/>
      <protection locked="0"/>
    </xf>
    <xf numFmtId="164" fontId="25" fillId="0" borderId="2" xfId="0" applyNumberFormat="1" applyFont="1" applyFill="1" applyBorder="1" applyAlignment="1" applyProtection="1">
      <alignment vertical="center" wrapText="1"/>
      <protection locked="0"/>
    </xf>
    <xf numFmtId="164" fontId="25" fillId="0" borderId="7" xfId="0" applyNumberFormat="1" applyFont="1" applyFill="1" applyBorder="1" applyAlignment="1" applyProtection="1">
      <alignment vertical="center" wrapText="1"/>
      <protection locked="0"/>
    </xf>
    <xf numFmtId="0" fontId="23" fillId="0" borderId="16" xfId="4" applyFont="1" applyFill="1" applyBorder="1" applyAlignment="1" applyProtection="1">
      <alignment vertical="center" wrapText="1"/>
    </xf>
    <xf numFmtId="0" fontId="23" fillId="0" borderId="18" xfId="4" applyFont="1" applyFill="1" applyBorder="1" applyAlignment="1" applyProtection="1">
      <alignment vertical="center" wrapText="1"/>
    </xf>
    <xf numFmtId="0" fontId="33" fillId="0" borderId="2" xfId="0" applyFont="1" applyBorder="1" applyAlignment="1" applyProtection="1">
      <alignment horizontal="left" vertical="center" indent="1"/>
      <protection locked="0"/>
    </xf>
    <xf numFmtId="0" fontId="23" fillId="0" borderId="15" xfId="4" applyFont="1" applyFill="1" applyBorder="1" applyAlignment="1" applyProtection="1">
      <alignment horizontal="center" vertical="center" wrapText="1"/>
    </xf>
    <xf numFmtId="0" fontId="23" fillId="0" borderId="16" xfId="4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11" fillId="0" borderId="16" xfId="5" applyFont="1" applyFill="1" applyBorder="1" applyAlignment="1" applyProtection="1">
      <alignment horizontal="left" vertical="center" indent="1"/>
    </xf>
    <xf numFmtId="0" fontId="15" fillId="0" borderId="0" xfId="4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2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/>
    </xf>
    <xf numFmtId="164" fontId="8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 wrapText="1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vertical="center" wrapText="1"/>
    </xf>
    <xf numFmtId="164" fontId="25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6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5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27" xfId="0" applyNumberFormat="1" applyFont="1" applyFill="1" applyBorder="1" applyAlignment="1" applyProtection="1">
      <alignment vertical="center" wrapText="1"/>
      <protection locked="0"/>
    </xf>
    <xf numFmtId="164" fontId="25" fillId="0" borderId="12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  <protection locked="0"/>
    </xf>
    <xf numFmtId="164" fontId="25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  <protection locked="0"/>
    </xf>
    <xf numFmtId="164" fontId="25" fillId="0" borderId="23" xfId="0" applyNumberFormat="1" applyFont="1" applyFill="1" applyBorder="1" applyAlignment="1" applyProtection="1">
      <alignment vertical="center" wrapText="1"/>
      <protection locked="0"/>
    </xf>
    <xf numFmtId="164" fontId="2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5" fillId="0" borderId="30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3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9" xfId="0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2" xfId="0" applyFont="1" applyFill="1" applyBorder="1" applyAlignment="1" applyProtection="1">
      <alignment vertical="center" wrapText="1"/>
      <protection locked="0"/>
    </xf>
    <xf numFmtId="0" fontId="33" fillId="0" borderId="32" xfId="0" applyFont="1" applyFill="1" applyBorder="1" applyAlignment="1" applyProtection="1">
      <alignment vertical="center" wrapText="1"/>
      <protection locked="0"/>
    </xf>
    <xf numFmtId="164" fontId="3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/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4" fillId="0" borderId="17" xfId="5" applyFont="1" applyFill="1" applyBorder="1" applyAlignment="1" applyProtection="1">
      <alignment horizontal="center" vertical="center" wrapText="1"/>
    </xf>
    <xf numFmtId="0" fontId="34" fillId="0" borderId="18" xfId="5" applyFont="1" applyFill="1" applyBorder="1" applyAlignment="1" applyProtection="1">
      <alignment horizontal="center" vertical="center"/>
    </xf>
    <xf numFmtId="0" fontId="34" fillId="0" borderId="34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5" fillId="0" borderId="15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5" fillId="0" borderId="8" xfId="5" applyFont="1" applyFill="1" applyBorder="1" applyAlignment="1" applyProtection="1">
      <alignment horizontal="left" vertical="center" indent="1"/>
    </xf>
    <xf numFmtId="0" fontId="25" fillId="0" borderId="1" xfId="5" applyFont="1" applyFill="1" applyBorder="1" applyAlignment="1" applyProtection="1">
      <alignment horizontal="left" vertical="center" indent="1"/>
    </xf>
    <xf numFmtId="164" fontId="25" fillId="0" borderId="1" xfId="5" applyNumberFormat="1" applyFont="1" applyFill="1" applyBorder="1" applyAlignment="1" applyProtection="1">
      <alignment vertical="center"/>
      <protection locked="0"/>
    </xf>
    <xf numFmtId="164" fontId="25" fillId="0" borderId="20" xfId="5" applyNumberFormat="1" applyFont="1" applyFill="1" applyBorder="1" applyAlignment="1" applyProtection="1">
      <alignment vertical="center"/>
    </xf>
    <xf numFmtId="0" fontId="25" fillId="0" borderId="9" xfId="5" applyFont="1" applyFill="1" applyBorder="1" applyAlignment="1" applyProtection="1">
      <alignment horizontal="left" vertical="center" indent="1"/>
    </xf>
    <xf numFmtId="164" fontId="25" fillId="0" borderId="2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</xf>
    <xf numFmtId="0" fontId="15" fillId="0" borderId="0" xfId="5" applyFill="1" applyAlignment="1" applyProtection="1">
      <alignment vertical="center"/>
      <protection locked="0"/>
    </xf>
    <xf numFmtId="164" fontId="25" fillId="0" borderId="4" xfId="5" applyNumberFormat="1" applyFont="1" applyFill="1" applyBorder="1" applyAlignment="1" applyProtection="1">
      <alignment vertical="center"/>
      <protection locked="0"/>
    </xf>
    <xf numFmtId="164" fontId="23" fillId="0" borderId="16" xfId="5" applyNumberFormat="1" applyFont="1" applyFill="1" applyBorder="1" applyAlignment="1" applyProtection="1">
      <alignment vertical="center"/>
    </xf>
    <xf numFmtId="164" fontId="23" fillId="0" borderId="23" xfId="5" applyNumberFormat="1" applyFont="1" applyFill="1" applyBorder="1" applyAlignment="1" applyProtection="1">
      <alignment vertical="center"/>
    </xf>
    <xf numFmtId="0" fontId="25" fillId="0" borderId="11" xfId="5" applyFont="1" applyFill="1" applyBorder="1" applyAlignment="1" applyProtection="1">
      <alignment horizontal="left" vertical="center" indent="1"/>
    </xf>
    <xf numFmtId="0" fontId="23" fillId="0" borderId="15" xfId="5" applyFont="1" applyFill="1" applyBorder="1" applyAlignment="1" applyProtection="1">
      <alignment horizontal="left" vertical="center" indent="1"/>
    </xf>
    <xf numFmtId="164" fontId="23" fillId="0" borderId="16" xfId="5" applyNumberFormat="1" applyFont="1" applyFill="1" applyBorder="1" applyProtection="1"/>
    <xf numFmtId="164" fontId="23" fillId="0" borderId="23" xfId="5" applyNumberFormat="1" applyFont="1" applyFill="1" applyBorder="1" applyProtection="1"/>
    <xf numFmtId="0" fontId="15" fillId="0" borderId="0" xfId="5" applyFill="1" applyProtection="1">
      <protection locked="0"/>
    </xf>
    <xf numFmtId="0" fontId="18" fillId="0" borderId="0" xfId="5" applyFont="1" applyFill="1" applyProtection="1"/>
    <xf numFmtId="164" fontId="18" fillId="2" borderId="35" xfId="0" applyNumberFormat="1" applyFont="1" applyFill="1" applyBorder="1" applyAlignment="1" applyProtection="1">
      <alignment horizontal="left" vertical="center" wrapText="1" indent="2"/>
    </xf>
    <xf numFmtId="3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16" xfId="4" applyFont="1" applyFill="1" applyBorder="1" applyAlignment="1" applyProtection="1">
      <alignment horizontal="left" vertical="center" wrapText="1" indent="1"/>
    </xf>
    <xf numFmtId="0" fontId="27" fillId="0" borderId="0" xfId="4" applyFont="1" applyFill="1"/>
    <xf numFmtId="164" fontId="32" fillId="0" borderId="15" xfId="0" applyNumberFormat="1" applyFont="1" applyFill="1" applyBorder="1" applyAlignment="1" applyProtection="1">
      <alignment horizontal="left" vertical="center" wrapText="1" indent="1"/>
    </xf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right" indent="1"/>
    </xf>
    <xf numFmtId="0" fontId="28" fillId="0" borderId="0" xfId="0" applyFont="1" applyAlignment="1">
      <alignment horizontal="center"/>
    </xf>
    <xf numFmtId="164" fontId="3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3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/>
    <xf numFmtId="3" fontId="42" fillId="0" borderId="0" xfId="0" applyNumberFormat="1" applyFont="1" applyFill="1" applyAlignment="1">
      <alignment horizontal="right" indent="1"/>
    </xf>
    <xf numFmtId="3" fontId="34" fillId="0" borderId="0" xfId="0" applyNumberFormat="1" applyFont="1" applyFill="1" applyAlignment="1">
      <alignment horizontal="right" indent="1"/>
    </xf>
    <xf numFmtId="0" fontId="42" fillId="0" borderId="0" xfId="0" applyFont="1" applyFill="1" applyAlignment="1">
      <alignment horizontal="right" indent="1"/>
    </xf>
    <xf numFmtId="0" fontId="9" fillId="0" borderId="37" xfId="0" applyFont="1" applyFill="1" applyBorder="1" applyAlignment="1" applyProtection="1">
      <alignment horizontal="right"/>
    </xf>
    <xf numFmtId="0" fontId="33" fillId="0" borderId="5" xfId="4" applyFont="1" applyFill="1" applyBorder="1" applyAlignment="1" applyProtection="1">
      <alignment horizontal="left" vertical="center" wrapText="1" indent="1"/>
    </xf>
    <xf numFmtId="0" fontId="33" fillId="0" borderId="3" xfId="4" applyFont="1" applyFill="1" applyBorder="1" applyAlignment="1" applyProtection="1">
      <alignment horizontal="left" vertical="center" wrapText="1" indent="1"/>
    </xf>
    <xf numFmtId="0" fontId="25" fillId="0" borderId="2" xfId="4" applyFont="1" applyFill="1" applyBorder="1" applyAlignment="1" applyProtection="1">
      <alignment horizontal="left" indent="6"/>
    </xf>
    <xf numFmtId="0" fontId="25" fillId="0" borderId="2" xfId="4" applyFont="1" applyFill="1" applyBorder="1" applyAlignment="1" applyProtection="1">
      <alignment horizontal="left" vertical="center" wrapText="1" indent="6"/>
    </xf>
    <xf numFmtId="0" fontId="25" fillId="0" borderId="7" xfId="4" applyFont="1" applyFill="1" applyBorder="1" applyAlignment="1" applyProtection="1">
      <alignment horizontal="left" vertical="center" wrapText="1" indent="6"/>
    </xf>
    <xf numFmtId="0" fontId="25" fillId="0" borderId="32" xfId="4" applyFont="1" applyFill="1" applyBorder="1" applyAlignment="1" applyProtection="1">
      <alignment horizontal="left" vertical="center" wrapText="1" indent="6"/>
    </xf>
    <xf numFmtId="0" fontId="49" fillId="0" borderId="0" xfId="0" applyFont="1" applyFill="1"/>
    <xf numFmtId="0" fontId="50" fillId="0" borderId="0" xfId="0" applyFont="1"/>
    <xf numFmtId="49" fontId="25" fillId="0" borderId="2" xfId="4" applyNumberFormat="1" applyFont="1" applyFill="1" applyBorder="1" applyAlignment="1" applyProtection="1">
      <alignment horizontal="left" vertical="center" wrapText="1" indent="1"/>
    </xf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18" fillId="0" borderId="15" xfId="4" applyFont="1" applyFill="1" applyBorder="1" applyAlignment="1">
      <alignment horizontal="center" vertical="center"/>
    </xf>
    <xf numFmtId="0" fontId="18" fillId="0" borderId="16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2" xfId="4" applyFont="1" applyFill="1" applyBorder="1" applyAlignment="1">
      <alignment horizontal="center" vertical="center"/>
    </xf>
    <xf numFmtId="0" fontId="36" fillId="0" borderId="16" xfId="4" applyFont="1" applyFill="1" applyBorder="1"/>
    <xf numFmtId="166" fontId="18" fillId="0" borderId="31" xfId="1" applyNumberFormat="1" applyFont="1" applyFill="1" applyBorder="1"/>
    <xf numFmtId="166" fontId="18" fillId="0" borderId="19" xfId="1" applyNumberFormat="1" applyFont="1" applyFill="1" applyBorder="1"/>
    <xf numFmtId="166" fontId="18" fillId="0" borderId="16" xfId="4" applyNumberFormat="1" applyFont="1" applyFill="1" applyBorder="1"/>
    <xf numFmtId="166" fontId="18" fillId="0" borderId="23" xfId="4" applyNumberFormat="1" applyFont="1" applyFill="1" applyBorder="1"/>
    <xf numFmtId="0" fontId="26" fillId="0" borderId="0" xfId="0" applyFont="1" applyFill="1" applyBorder="1" applyAlignment="1" applyProtection="1">
      <alignment horizontal="right"/>
    </xf>
    <xf numFmtId="49" fontId="25" fillId="0" borderId="4" xfId="4" applyNumberFormat="1" applyFont="1" applyFill="1" applyBorder="1" applyAlignment="1" applyProtection="1">
      <alignment horizontal="left" vertical="center" wrapText="1" indent="1"/>
    </xf>
    <xf numFmtId="49" fontId="25" fillId="0" borderId="5" xfId="4" applyNumberFormat="1" applyFont="1" applyFill="1" applyBorder="1" applyAlignment="1" applyProtection="1">
      <alignment horizontal="left" vertical="center" wrapText="1" indent="1"/>
    </xf>
    <xf numFmtId="49" fontId="25" fillId="0" borderId="32" xfId="4" applyNumberFormat="1" applyFont="1" applyFill="1" applyBorder="1" applyAlignment="1" applyProtection="1">
      <alignment horizontal="left" vertical="center" wrapText="1" indent="1"/>
    </xf>
    <xf numFmtId="49" fontId="32" fillId="0" borderId="16" xfId="4" applyNumberFormat="1" applyFont="1" applyFill="1" applyBorder="1" applyAlignment="1" applyProtection="1">
      <alignment horizontal="left" vertical="center" wrapText="1" indent="1"/>
    </xf>
    <xf numFmtId="49" fontId="25" fillId="0" borderId="7" xfId="4" applyNumberFormat="1" applyFont="1" applyFill="1" applyBorder="1" applyAlignment="1" applyProtection="1">
      <alignment horizontal="left" vertical="center" wrapText="1" indent="1"/>
    </xf>
    <xf numFmtId="0" fontId="47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8" fillId="0" borderId="0" xfId="0" applyFont="1" applyFill="1"/>
    <xf numFmtId="164" fontId="33" fillId="0" borderId="4" xfId="0" applyNumberFormat="1" applyFont="1" applyFill="1" applyBorder="1" applyAlignment="1" applyProtection="1">
      <alignment vertical="center"/>
      <protection locked="0"/>
    </xf>
    <xf numFmtId="164" fontId="33" fillId="0" borderId="2" xfId="0" applyNumberFormat="1" applyFont="1" applyFill="1" applyBorder="1" applyAlignment="1" applyProtection="1">
      <alignment vertical="center"/>
      <protection locked="0"/>
    </xf>
    <xf numFmtId="164" fontId="33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4" xfId="4" applyFont="1" applyFill="1" applyBorder="1" applyProtection="1">
      <protection locked="0"/>
    </xf>
    <xf numFmtId="166" fontId="18" fillId="0" borderId="4" xfId="1" applyNumberFormat="1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166" fontId="18" fillId="0" borderId="2" xfId="1" applyNumberFormat="1" applyFont="1" applyFill="1" applyBorder="1" applyProtection="1">
      <protection locked="0"/>
    </xf>
    <xf numFmtId="0" fontId="18" fillId="0" borderId="7" xfId="4" applyFont="1" applyFill="1" applyBorder="1" applyProtection="1">
      <protection locked="0"/>
    </xf>
    <xf numFmtId="166" fontId="18" fillId="0" borderId="7" xfId="1" applyNumberFormat="1" applyFont="1" applyFill="1" applyBorder="1" applyProtection="1">
      <protection locked="0"/>
    </xf>
    <xf numFmtId="0" fontId="32" fillId="0" borderId="13" xfId="4" applyFont="1" applyFill="1" applyBorder="1" applyAlignment="1" applyProtection="1">
      <alignment horizontal="center" vertical="center" wrapText="1"/>
    </xf>
    <xf numFmtId="0" fontId="33" fillId="0" borderId="15" xfId="4" applyFont="1" applyFill="1" applyBorder="1" applyAlignment="1" applyProtection="1">
      <alignment horizontal="center" vertical="center"/>
    </xf>
    <xf numFmtId="0" fontId="33" fillId="0" borderId="16" xfId="4" applyFont="1" applyFill="1" applyBorder="1" applyAlignment="1" applyProtection="1">
      <alignment horizontal="center" vertical="center"/>
    </xf>
    <xf numFmtId="0" fontId="33" fillId="0" borderId="13" xfId="4" applyFont="1" applyFill="1" applyBorder="1" applyAlignment="1" applyProtection="1">
      <alignment horizontal="center" vertical="center"/>
    </xf>
    <xf numFmtId="0" fontId="33" fillId="0" borderId="9" xfId="4" applyFont="1" applyFill="1" applyBorder="1" applyAlignment="1" applyProtection="1">
      <alignment horizontal="center" vertical="center"/>
    </xf>
    <xf numFmtId="0" fontId="33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30" fillId="0" borderId="3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1"/>
    </xf>
    <xf numFmtId="0" fontId="30" fillId="0" borderId="6" xfId="0" applyFont="1" applyFill="1" applyBorder="1" applyAlignment="1" applyProtection="1">
      <alignment horizontal="left" vertical="center" wrapText="1" indent="8"/>
    </xf>
    <xf numFmtId="0" fontId="33" fillId="0" borderId="4" xfId="0" applyFont="1" applyFill="1" applyBorder="1" applyAlignment="1" applyProtection="1">
      <alignment vertical="center" wrapText="1"/>
    </xf>
    <xf numFmtId="0" fontId="33" fillId="0" borderId="2" xfId="0" applyFont="1" applyFill="1" applyBorder="1" applyAlignment="1" applyProtection="1">
      <alignment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vertical="center" wrapText="1"/>
    </xf>
    <xf numFmtId="164" fontId="32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2" fillId="0" borderId="0" xfId="0" applyNumberFormat="1" applyFont="1" applyFill="1" applyAlignment="1" applyProtection="1">
      <alignment vertical="center" wrapText="1"/>
    </xf>
    <xf numFmtId="0" fontId="11" fillId="0" borderId="39" xfId="0" applyFont="1" applyFill="1" applyBorder="1" applyAlignment="1" applyProtection="1">
      <alignment vertical="center"/>
    </xf>
    <xf numFmtId="0" fontId="11" fillId="0" borderId="4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left" vertical="center" wrapText="1" indent="1"/>
    </xf>
    <xf numFmtId="0" fontId="23" fillId="0" borderId="9" xfId="0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3" fillId="0" borderId="12" xfId="0" applyFont="1" applyFill="1" applyBorder="1" applyAlignment="1" applyProtection="1">
      <alignment horizontal="center" vertical="center" wrapText="1"/>
    </xf>
    <xf numFmtId="49" fontId="25" fillId="0" borderId="7" xfId="0" applyNumberFormat="1" applyFont="1" applyFill="1" applyBorder="1" applyAlignment="1" applyProtection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center"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31" fillId="0" borderId="15" xfId="0" applyFont="1" applyBorder="1" applyAlignment="1" applyProtection="1">
      <alignment horizontal="center" vertical="center" wrapText="1"/>
    </xf>
    <xf numFmtId="0" fontId="44" fillId="0" borderId="44" xfId="0" applyFont="1" applyBorder="1" applyAlignment="1" applyProtection="1">
      <alignment horizontal="center" wrapText="1"/>
    </xf>
    <xf numFmtId="0" fontId="45" fillId="0" borderId="44" xfId="0" applyFont="1" applyBorder="1" applyAlignment="1" applyProtection="1">
      <alignment horizontal="left" wrapText="1" indent="1"/>
    </xf>
    <xf numFmtId="0" fontId="25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23" fillId="0" borderId="4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32" fillId="0" borderId="11" xfId="0" applyFont="1" applyFill="1" applyBorder="1" applyAlignment="1" applyProtection="1">
      <alignment horizontal="center" vertical="center" wrapText="1"/>
    </xf>
    <xf numFmtId="0" fontId="32" fillId="0" borderId="9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/>
    </xf>
    <xf numFmtId="0" fontId="18" fillId="0" borderId="46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right" vertical="top"/>
      <protection locked="0"/>
    </xf>
    <xf numFmtId="164" fontId="22" fillId="0" borderId="0" xfId="0" applyNumberFormat="1" applyFont="1" applyFill="1" applyAlignment="1" applyProtection="1">
      <alignment vertical="center" wrapText="1"/>
      <protection locked="0"/>
    </xf>
    <xf numFmtId="49" fontId="11" fillId="0" borderId="22" xfId="0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Font="1" applyFill="1" applyProtection="1"/>
    <xf numFmtId="0" fontId="33" fillId="0" borderId="11" xfId="0" applyFont="1" applyFill="1" applyBorder="1" applyAlignment="1" applyProtection="1">
      <alignment horizontal="center" vertical="center"/>
    </xf>
    <xf numFmtId="164" fontId="32" fillId="0" borderId="31" xfId="0" applyNumberFormat="1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horizontal="center" vertical="center"/>
    </xf>
    <xf numFmtId="164" fontId="32" fillId="0" borderId="19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3" fillId="0" borderId="7" xfId="0" applyFont="1" applyFill="1" applyBorder="1" applyAlignment="1" applyProtection="1">
      <alignment vertical="center" wrapText="1"/>
    </xf>
    <xf numFmtId="164" fontId="32" fillId="0" borderId="21" xfId="0" applyNumberFormat="1" applyFont="1" applyFill="1" applyBorder="1" applyAlignment="1" applyProtection="1">
      <alignment vertical="center"/>
    </xf>
    <xf numFmtId="0" fontId="32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wrapText="1"/>
    </xf>
    <xf numFmtId="164" fontId="32" fillId="0" borderId="16" xfId="0" applyNumberFormat="1" applyFont="1" applyFill="1" applyBorder="1" applyAlignment="1" applyProtection="1">
      <alignment vertical="center"/>
    </xf>
    <xf numFmtId="164" fontId="32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9" fillId="0" borderId="48" xfId="0" applyFont="1" applyFill="1" applyBorder="1" applyAlignment="1" applyProtection="1">
      <alignment horizontal="center"/>
    </xf>
    <xf numFmtId="0" fontId="48" fillId="0" borderId="0" xfId="0" applyFont="1" applyFill="1" applyProtection="1">
      <protection locked="0"/>
    </xf>
    <xf numFmtId="0" fontId="39" fillId="0" borderId="0" xfId="0" applyFont="1" applyFill="1" applyProtection="1">
      <protection locked="0"/>
    </xf>
    <xf numFmtId="164" fontId="11" fillId="0" borderId="52" xfId="0" applyNumberFormat="1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23" fillId="0" borderId="4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center" vertical="center" wrapText="1"/>
    </xf>
    <xf numFmtId="164" fontId="23" fillId="0" borderId="35" xfId="0" applyNumberFormat="1" applyFont="1" applyFill="1" applyBorder="1" applyAlignment="1" applyProtection="1">
      <alignment horizontal="center" vertical="center" wrapText="1"/>
    </xf>
    <xf numFmtId="164" fontId="23" fillId="0" borderId="23" xfId="0" applyNumberFormat="1" applyFont="1" applyFill="1" applyBorder="1" applyAlignment="1" applyProtection="1">
      <alignment horizontal="center" vertical="center" wrapText="1"/>
    </xf>
    <xf numFmtId="164" fontId="23" fillId="0" borderId="30" xfId="0" applyNumberFormat="1" applyFont="1" applyFill="1" applyBorder="1" applyAlignment="1" applyProtection="1">
      <alignment horizontal="center" vertical="center" wrapText="1"/>
    </xf>
    <xf numFmtId="164" fontId="23" fillId="0" borderId="15" xfId="0" applyNumberFormat="1" applyFont="1" applyFill="1" applyBorder="1" applyAlignment="1" applyProtection="1">
      <alignment horizontal="center" vertical="center" wrapText="1"/>
    </xf>
    <xf numFmtId="164" fontId="23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9" xfId="0" applyNumberFormat="1" applyFont="1" applyFill="1" applyBorder="1" applyAlignment="1" applyProtection="1">
      <alignment horizontal="center" vertical="center" wrapText="1"/>
    </xf>
    <xf numFmtId="164" fontId="25" fillId="0" borderId="26" xfId="0" applyNumberFormat="1" applyFont="1" applyFill="1" applyBorder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23" fillId="0" borderId="8" xfId="0" applyNumberFormat="1" applyFont="1" applyFill="1" applyBorder="1" applyAlignment="1" applyProtection="1">
      <alignment horizontal="center" vertical="center" wrapText="1"/>
    </xf>
    <xf numFmtId="164" fontId="25" fillId="0" borderId="30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8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5" fillId="0" borderId="2" xfId="5" applyFont="1" applyFill="1" applyBorder="1" applyAlignment="1" applyProtection="1">
      <alignment horizontal="left" vertical="center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4" xfId="5" applyFont="1" applyFill="1" applyBorder="1" applyAlignment="1" applyProtection="1">
      <alignment horizontal="left" vertical="center" indent="1"/>
    </xf>
    <xf numFmtId="0" fontId="11" fillId="0" borderId="16" xfId="5" applyFont="1" applyFill="1" applyBorder="1" applyAlignment="1" applyProtection="1">
      <alignment horizontal="left" indent="1"/>
    </xf>
    <xf numFmtId="0" fontId="23" fillId="0" borderId="45" xfId="4" applyFont="1" applyFill="1" applyBorder="1" applyAlignment="1" applyProtection="1">
      <alignment horizontal="left" vertical="center" wrapText="1" indent="1"/>
    </xf>
    <xf numFmtId="49" fontId="25" fillId="0" borderId="53" xfId="4" applyNumberFormat="1" applyFont="1" applyFill="1" applyBorder="1" applyAlignment="1" applyProtection="1">
      <alignment horizontal="left" vertical="center" wrapText="1" indent="1"/>
    </xf>
    <xf numFmtId="49" fontId="25" fillId="0" borderId="54" xfId="4" applyNumberFormat="1" applyFont="1" applyFill="1" applyBorder="1" applyAlignment="1" applyProtection="1">
      <alignment horizontal="left" vertical="center" wrapText="1" indent="1"/>
    </xf>
    <xf numFmtId="49" fontId="25" fillId="0" borderId="41" xfId="4" applyNumberFormat="1" applyFont="1" applyFill="1" applyBorder="1" applyAlignment="1" applyProtection="1">
      <alignment horizontal="left" vertical="center" wrapText="1" indent="1"/>
    </xf>
    <xf numFmtId="0" fontId="23" fillId="0" borderId="8" xfId="4" applyFont="1" applyFill="1" applyBorder="1" applyAlignment="1" applyProtection="1">
      <alignment horizontal="left" vertical="center" wrapText="1" indent="1"/>
    </xf>
    <xf numFmtId="0" fontId="35" fillId="0" borderId="1" xfId="4" applyFont="1" applyFill="1" applyBorder="1" applyAlignment="1" applyProtection="1">
      <alignment horizontal="left" vertical="center" wrapText="1" indent="1"/>
    </xf>
    <xf numFmtId="0" fontId="15" fillId="0" borderId="0" xfId="4" applyFill="1" applyAlignment="1">
      <alignment horizontal="left" vertical="center" indent="1"/>
    </xf>
    <xf numFmtId="0" fontId="31" fillId="0" borderId="16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wrapText="1" indent="1"/>
    </xf>
    <xf numFmtId="0" fontId="51" fillId="0" borderId="2" xfId="0" applyFont="1" applyBorder="1" applyAlignment="1" applyProtection="1">
      <alignment horizontal="left" vertical="center" wrapText="1" indent="1"/>
    </xf>
    <xf numFmtId="0" fontId="30" fillId="0" borderId="2" xfId="0" applyFont="1" applyBorder="1" applyAlignment="1" applyProtection="1">
      <alignment horizontal="left" vertical="center" indent="1"/>
    </xf>
    <xf numFmtId="0" fontId="30" fillId="0" borderId="32" xfId="0" applyFont="1" applyBorder="1" applyAlignment="1" applyProtection="1">
      <alignment horizontal="left" vertical="center" indent="1"/>
    </xf>
    <xf numFmtId="0" fontId="31" fillId="0" borderId="15" xfId="0" applyFont="1" applyBorder="1" applyAlignment="1" applyProtection="1">
      <alignment horizontal="left" vertical="center" wrapText="1" indent="1"/>
    </xf>
    <xf numFmtId="49" fontId="30" fillId="0" borderId="9" xfId="0" applyNumberFormat="1" applyFont="1" applyBorder="1" applyAlignment="1" applyProtection="1">
      <alignment horizontal="left" vertical="center" wrapText="1" indent="2"/>
    </xf>
    <xf numFmtId="49" fontId="31" fillId="0" borderId="9" xfId="0" applyNumberFormat="1" applyFont="1" applyBorder="1" applyAlignment="1" applyProtection="1">
      <alignment horizontal="left" vertical="center" wrapText="1" indent="1"/>
    </xf>
    <xf numFmtId="49" fontId="30" fillId="0" borderId="14" xfId="0" applyNumberFormat="1" applyFont="1" applyBorder="1" applyAlignment="1" applyProtection="1">
      <alignment horizontal="left" vertical="center" wrapText="1" indent="2"/>
    </xf>
    <xf numFmtId="0" fontId="30" fillId="0" borderId="32" xfId="0" applyFont="1" applyBorder="1" applyAlignment="1" applyProtection="1">
      <alignment horizontal="left" vertical="center" wrapText="1" indent="1"/>
    </xf>
    <xf numFmtId="0" fontId="29" fillId="0" borderId="15" xfId="0" applyFont="1" applyBorder="1" applyAlignment="1" applyProtection="1">
      <alignment horizontal="left" vertical="center" wrapText="1" indent="1"/>
    </xf>
    <xf numFmtId="0" fontId="46" fillId="0" borderId="10" xfId="0" applyFont="1" applyBorder="1" applyAlignment="1" applyProtection="1">
      <alignment horizontal="left" vertical="center" wrapText="1" indent="1"/>
    </xf>
    <xf numFmtId="49" fontId="31" fillId="0" borderId="15" xfId="0" applyNumberFormat="1" applyFont="1" applyBorder="1" applyAlignment="1" applyProtection="1">
      <alignment horizontal="left" vertical="center" wrapText="1" indent="1"/>
    </xf>
    <xf numFmtId="49" fontId="30" fillId="0" borderId="11" xfId="0" applyNumberFormat="1" applyFont="1" applyBorder="1" applyAlignment="1" applyProtection="1">
      <alignment horizontal="left" vertical="center" wrapText="1" indent="2"/>
    </xf>
    <xf numFmtId="0" fontId="30" fillId="0" borderId="4" xfId="0" applyFont="1" applyBorder="1" applyAlignment="1" applyProtection="1">
      <alignment horizontal="left" vertical="center" wrapText="1" indent="1"/>
    </xf>
    <xf numFmtId="49" fontId="30" fillId="0" borderId="12" xfId="0" applyNumberFormat="1" applyFont="1" applyBorder="1" applyAlignment="1" applyProtection="1">
      <alignment horizontal="left" vertical="center" wrapText="1" indent="2"/>
    </xf>
    <xf numFmtId="0" fontId="30" fillId="0" borderId="7" xfId="0" applyFont="1" applyBorder="1" applyAlignment="1" applyProtection="1">
      <alignment horizontal="left" vertical="center" wrapText="1" indent="1"/>
    </xf>
    <xf numFmtId="0" fontId="31" fillId="0" borderId="10" xfId="0" applyFont="1" applyBorder="1" applyAlignment="1" applyProtection="1">
      <alignment horizontal="left" vertical="center" wrapText="1" indent="1"/>
    </xf>
    <xf numFmtId="0" fontId="52" fillId="0" borderId="16" xfId="0" applyFont="1" applyBorder="1" applyAlignment="1" applyProtection="1">
      <alignment horizontal="left" vertical="center" wrapText="1" indent="1"/>
    </xf>
    <xf numFmtId="49" fontId="30" fillId="0" borderId="15" xfId="0" applyNumberFormat="1" applyFont="1" applyBorder="1" applyAlignment="1" applyProtection="1">
      <alignment horizontal="left" vertical="center" wrapText="1" indent="1"/>
    </xf>
    <xf numFmtId="49" fontId="51" fillId="0" borderId="15" xfId="0" applyNumberFormat="1" applyFont="1" applyBorder="1" applyAlignment="1" applyProtection="1">
      <alignment horizontal="left" vertical="center" wrapText="1" indent="1"/>
    </xf>
    <xf numFmtId="0" fontId="9" fillId="0" borderId="37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right" vertical="center"/>
    </xf>
    <xf numFmtId="0" fontId="15" fillId="0" borderId="0" xfId="4" applyFill="1" applyAlignment="1"/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3" xfId="0" applyNumberFormat="1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1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25" xfId="0" applyNumberFormat="1" applyFont="1" applyFill="1" applyBorder="1" applyAlignment="1" applyProtection="1">
      <alignment horizontal="center" vertical="center" wrapText="1"/>
    </xf>
    <xf numFmtId="164" fontId="32" fillId="0" borderId="15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25" fillId="0" borderId="56" xfId="0" applyNumberFormat="1" applyFont="1" applyFill="1" applyBorder="1" applyAlignment="1" applyProtection="1">
      <alignment horizontal="left" vertical="center" wrapText="1" indent="1"/>
    </xf>
    <xf numFmtId="164" fontId="36" fillId="0" borderId="25" xfId="0" applyNumberFormat="1" applyFont="1" applyFill="1" applyBorder="1" applyAlignment="1" applyProtection="1">
      <alignment horizontal="left" vertical="center" wrapText="1" indent="1"/>
    </xf>
    <xf numFmtId="164" fontId="4" fillId="0" borderId="30" xfId="0" applyNumberFormat="1" applyFont="1" applyFill="1" applyBorder="1" applyAlignment="1" applyProtection="1">
      <alignment horizontal="left" vertical="center" wrapText="1" indent="1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15" xfId="0" applyNumberFormat="1" applyFont="1" applyFill="1" applyBorder="1" applyAlignment="1" applyProtection="1">
      <alignment horizontal="left" vertical="center" wrapText="1" indent="1"/>
    </xf>
    <xf numFmtId="164" fontId="36" fillId="0" borderId="15" xfId="0" applyNumberFormat="1" applyFont="1" applyFill="1" applyBorder="1" applyAlignment="1" applyProtection="1">
      <alignment horizontal="left" vertical="center" wrapText="1" indent="1"/>
    </xf>
    <xf numFmtId="164" fontId="3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9" xfId="0" quotePrefix="1" applyNumberFormat="1" applyFont="1" applyFill="1" applyBorder="1" applyAlignment="1" applyProtection="1">
      <alignment horizontal="left" vertical="center" wrapText="1" indent="6"/>
    </xf>
    <xf numFmtId="164" fontId="33" fillId="0" borderId="9" xfId="0" quotePrefix="1" applyNumberFormat="1" applyFont="1" applyFill="1" applyBorder="1" applyAlignment="1" applyProtection="1">
      <alignment horizontal="left" vertical="center" wrapText="1" indent="6"/>
    </xf>
    <xf numFmtId="164" fontId="25" fillId="0" borderId="9" xfId="0" quotePrefix="1" applyNumberFormat="1" applyFont="1" applyFill="1" applyBorder="1" applyAlignment="1" applyProtection="1">
      <alignment horizontal="left" vertical="center" wrapText="1" indent="3"/>
    </xf>
    <xf numFmtId="164" fontId="4" fillId="0" borderId="28" xfId="0" applyNumberFormat="1" applyFont="1" applyFill="1" applyBorder="1" applyAlignment="1" applyProtection="1">
      <alignment horizontal="left" vertical="center" wrapText="1" indent="1"/>
    </xf>
    <xf numFmtId="164" fontId="38" fillId="0" borderId="8" xfId="0" applyNumberFormat="1" applyFont="1" applyFill="1" applyBorder="1" applyAlignment="1" applyProtection="1">
      <alignment horizontal="left" vertical="center" wrapText="1" indent="1"/>
    </xf>
    <xf numFmtId="164" fontId="33" fillId="0" borderId="9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2"/>
    </xf>
    <xf numFmtId="164" fontId="38" fillId="0" borderId="2" xfId="0" applyNumberFormat="1" applyFont="1" applyFill="1" applyBorder="1" applyAlignment="1" applyProtection="1">
      <alignment horizontal="left" vertical="center" wrapText="1" indent="1"/>
    </xf>
    <xf numFmtId="164" fontId="33" fillId="0" borderId="11" xfId="0" applyNumberFormat="1" applyFont="1" applyFill="1" applyBorder="1" applyAlignment="1" applyProtection="1">
      <alignment horizontal="left" vertical="center" wrapText="1" indent="1"/>
    </xf>
    <xf numFmtId="164" fontId="25" fillId="0" borderId="11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horizontal="right" vertical="center" wrapText="1" indent="1"/>
    </xf>
    <xf numFmtId="164" fontId="23" fillId="0" borderId="38" xfId="0" applyNumberFormat="1" applyFont="1" applyFill="1" applyBorder="1" applyAlignment="1" applyProtection="1">
      <alignment horizontal="right" vertical="center" wrapText="1" indent="1"/>
    </xf>
    <xf numFmtId="164" fontId="23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3" fillId="0" borderId="44" xfId="0" applyFont="1" applyBorder="1" applyAlignment="1" applyProtection="1">
      <alignment horizontal="center" wrapText="1"/>
    </xf>
    <xf numFmtId="0" fontId="32" fillId="0" borderId="44" xfId="4" applyFont="1" applyFill="1" applyBorder="1" applyAlignment="1" applyProtection="1">
      <alignment horizontal="left" vertical="center" wrapText="1" indent="1"/>
    </xf>
    <xf numFmtId="0" fontId="31" fillId="0" borderId="17" xfId="0" applyFont="1" applyBorder="1" applyAlignment="1" applyProtection="1">
      <alignment horizontal="center" vertical="center" wrapText="1"/>
    </xf>
    <xf numFmtId="0" fontId="33" fillId="0" borderId="32" xfId="4" applyFont="1" applyFill="1" applyBorder="1" applyAlignment="1" applyProtection="1">
      <alignment horizontal="left" vertical="center" wrapText="1" indent="1"/>
    </xf>
    <xf numFmtId="0" fontId="32" fillId="0" borderId="18" xfId="4" applyFont="1" applyFill="1" applyBorder="1" applyAlignment="1" applyProtection="1">
      <alignment horizontal="left" vertical="center" wrapText="1" indent="1"/>
    </xf>
    <xf numFmtId="0" fontId="32" fillId="0" borderId="10" xfId="0" applyFont="1" applyFill="1" applyBorder="1" applyAlignment="1" applyProtection="1">
      <alignment horizontal="center" vertical="center" wrapText="1"/>
    </xf>
    <xf numFmtId="49" fontId="25" fillId="0" borderId="4" xfId="0" applyNumberFormat="1" applyFont="1" applyFill="1" applyBorder="1" applyAlignment="1" applyProtection="1">
      <alignment horizontal="center" vertical="center" wrapText="1"/>
    </xf>
    <xf numFmtId="49" fontId="25" fillId="0" borderId="5" xfId="0" applyNumberFormat="1" applyFont="1" applyFill="1" applyBorder="1" applyAlignment="1" applyProtection="1">
      <alignment horizontal="center" vertical="center" wrapText="1"/>
    </xf>
    <xf numFmtId="49" fontId="11" fillId="0" borderId="22" xfId="0" applyNumberFormat="1" applyFont="1" applyFill="1" applyBorder="1" applyAlignment="1" applyProtection="1">
      <alignment horizontal="right" vertical="center"/>
    </xf>
    <xf numFmtId="0" fontId="11" fillId="0" borderId="32" xfId="0" quotePrefix="1" applyFont="1" applyFill="1" applyBorder="1" applyAlignment="1" applyProtection="1">
      <alignment horizontal="center" vertical="center"/>
    </xf>
    <xf numFmtId="49" fontId="11" fillId="0" borderId="47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164" fontId="3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9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/>
    </xf>
    <xf numFmtId="0" fontId="30" fillId="0" borderId="5" xfId="0" applyFont="1" applyBorder="1" applyAlignment="1" applyProtection="1">
      <alignment horizontal="left" vertical="center" wrapText="1" indent="1"/>
    </xf>
    <xf numFmtId="0" fontId="30" fillId="0" borderId="3" xfId="0" applyFont="1" applyBorder="1" applyAlignment="1" applyProtection="1">
      <alignment horizontal="left" vertical="center" wrapText="1" indent="1"/>
    </xf>
    <xf numFmtId="0" fontId="51" fillId="0" borderId="4" xfId="0" applyFont="1" applyBorder="1" applyAlignment="1" applyProtection="1">
      <alignment horizontal="left" vertical="center" wrapText="1" indent="1"/>
    </xf>
    <xf numFmtId="0" fontId="31" fillId="0" borderId="32" xfId="0" applyFont="1" applyBorder="1" applyAlignment="1" applyProtection="1">
      <alignment horizontal="left" vertical="center" wrapText="1" indent="1"/>
    </xf>
    <xf numFmtId="0" fontId="31" fillId="0" borderId="3" xfId="0" applyFont="1" applyBorder="1" applyAlignment="1" applyProtection="1">
      <alignment horizontal="left" vertical="center" wrapText="1" indent="1"/>
    </xf>
    <xf numFmtId="49" fontId="31" fillId="0" borderId="11" xfId="0" applyNumberFormat="1" applyFont="1" applyBorder="1" applyAlignment="1" applyProtection="1">
      <alignment horizontal="left" vertical="center" wrapText="1" indent="1"/>
    </xf>
    <xf numFmtId="0" fontId="29" fillId="0" borderId="16" xfId="0" applyFont="1" applyBorder="1" applyAlignment="1" applyProtection="1">
      <alignment horizontal="left" vertical="center" wrapText="1" indent="1"/>
    </xf>
    <xf numFmtId="0" fontId="29" fillId="0" borderId="3" xfId="0" applyFont="1" applyBorder="1" applyAlignment="1" applyProtection="1">
      <alignment horizontal="left" vertical="center" wrapText="1" indent="1"/>
    </xf>
    <xf numFmtId="0" fontId="30" fillId="0" borderId="2" xfId="0" quotePrefix="1" applyFont="1" applyBorder="1" applyAlignment="1" applyProtection="1">
      <alignment horizontal="left" vertical="center" wrapText="1" indent="6"/>
    </xf>
    <xf numFmtId="0" fontId="30" fillId="0" borderId="32" xfId="0" quotePrefix="1" applyFont="1" applyBorder="1" applyAlignment="1" applyProtection="1">
      <alignment horizontal="left" vertical="center" wrapText="1" indent="6"/>
    </xf>
    <xf numFmtId="0" fontId="51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9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55" fillId="0" borderId="16" xfId="0" applyFont="1" applyBorder="1" applyAlignment="1" applyProtection="1">
      <alignment horizontal="left" vertical="center" wrapText="1" indent="1"/>
    </xf>
    <xf numFmtId="0" fontId="56" fillId="0" borderId="16" xfId="0" applyFont="1" applyBorder="1" applyAlignment="1" applyProtection="1">
      <alignment horizontal="left" vertical="center" wrapText="1" indent="1"/>
    </xf>
    <xf numFmtId="0" fontId="15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3" fillId="0" borderId="0" xfId="0" applyFont="1"/>
    <xf numFmtId="0" fontId="62" fillId="0" borderId="0" xfId="0" applyFont="1" applyFill="1" applyAlignment="1">
      <alignment horizontal="center"/>
    </xf>
    <xf numFmtId="3" fontId="64" fillId="0" borderId="7" xfId="0" applyNumberFormat="1" applyFont="1" applyFill="1" applyBorder="1" applyAlignment="1">
      <alignment horizontal="center" vertical="center"/>
    </xf>
    <xf numFmtId="0" fontId="64" fillId="0" borderId="7" xfId="0" applyFont="1" applyFill="1" applyBorder="1" applyAlignment="1">
      <alignment horizontal="center" vertical="center" wrapText="1"/>
    </xf>
    <xf numFmtId="3" fontId="64" fillId="0" borderId="7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64" fillId="0" borderId="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4" fillId="0" borderId="4" xfId="0" applyNumberFormat="1" applyFont="1" applyFill="1" applyBorder="1" applyAlignment="1">
      <alignment horizontal="center" vertical="center" wrapText="1"/>
    </xf>
    <xf numFmtId="3" fontId="65" fillId="0" borderId="2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66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top" wrapText="1"/>
    </xf>
    <xf numFmtId="0" fontId="64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5" fillId="4" borderId="2" xfId="0" applyNumberFormat="1" applyFont="1" applyFill="1" applyBorder="1"/>
    <xf numFmtId="3" fontId="62" fillId="4" borderId="2" xfId="0" applyNumberFormat="1" applyFont="1" applyFill="1" applyBorder="1"/>
    <xf numFmtId="3" fontId="67" fillId="5" borderId="2" xfId="0" applyNumberFormat="1" applyFont="1" applyFill="1" applyBorder="1"/>
    <xf numFmtId="3" fontId="68" fillId="5" borderId="2" xfId="0" applyNumberFormat="1" applyFont="1" applyFill="1" applyBorder="1"/>
    <xf numFmtId="0" fontId="58" fillId="0" borderId="2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left" vertical="top" wrapText="1"/>
    </xf>
    <xf numFmtId="3" fontId="58" fillId="3" borderId="2" xfId="0" applyNumberFormat="1" applyFont="1" applyFill="1" applyBorder="1"/>
    <xf numFmtId="0" fontId="58" fillId="0" borderId="0" xfId="0" applyFont="1"/>
    <xf numFmtId="0" fontId="65" fillId="0" borderId="2" xfId="0" applyFont="1" applyBorder="1" applyAlignment="1">
      <alignment horizontal="center" vertical="top" wrapText="1"/>
    </xf>
    <xf numFmtId="0" fontId="65" fillId="0" borderId="6" xfId="0" applyFont="1" applyBorder="1" applyAlignment="1">
      <alignment horizontal="left" vertical="top" wrapText="1"/>
    </xf>
    <xf numFmtId="3" fontId="65" fillId="3" borderId="2" xfId="0" applyNumberFormat="1" applyFont="1" applyFill="1" applyBorder="1"/>
    <xf numFmtId="0" fontId="69" fillId="0" borderId="0" xfId="0" applyFont="1"/>
    <xf numFmtId="0" fontId="65" fillId="0" borderId="6" xfId="0" applyFont="1" applyBorder="1" applyAlignment="1">
      <alignment horizontal="left" vertical="top" wrapText="1" indent="5"/>
    </xf>
    <xf numFmtId="3" fontId="64" fillId="3" borderId="2" xfId="0" applyNumberFormat="1" applyFont="1" applyFill="1" applyBorder="1"/>
    <xf numFmtId="0" fontId="66" fillId="6" borderId="2" xfId="0" applyFont="1" applyFill="1" applyBorder="1" applyAlignment="1">
      <alignment horizontal="center" vertical="top" wrapText="1"/>
    </xf>
    <xf numFmtId="0" fontId="66" fillId="6" borderId="6" xfId="0" applyFont="1" applyFill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center" wrapText="1"/>
    </xf>
    <xf numFmtId="0" fontId="71" fillId="0" borderId="0" xfId="0" applyFont="1"/>
    <xf numFmtId="3" fontId="72" fillId="0" borderId="0" xfId="0" applyNumberFormat="1" applyFont="1"/>
    <xf numFmtId="0" fontId="65" fillId="0" borderId="0" xfId="0" applyFont="1"/>
    <xf numFmtId="3" fontId="62" fillId="3" borderId="2" xfId="0" applyNumberFormat="1" applyFont="1" applyFill="1" applyBorder="1"/>
    <xf numFmtId="0" fontId="62" fillId="0" borderId="0" xfId="0" applyFont="1"/>
    <xf numFmtId="0" fontId="65" fillId="0" borderId="6" xfId="0" quotePrefix="1" applyFont="1" applyBorder="1" applyAlignment="1">
      <alignment horizontal="left" vertical="top" wrapText="1" indent="10"/>
    </xf>
    <xf numFmtId="0" fontId="71" fillId="0" borderId="2" xfId="0" applyFont="1" applyBorder="1" applyAlignment="1">
      <alignment horizontal="center" vertical="top" wrapText="1"/>
    </xf>
    <xf numFmtId="3" fontId="71" fillId="3" borderId="2" xfId="0" applyNumberFormat="1" applyFont="1" applyFill="1" applyBorder="1"/>
    <xf numFmtId="0" fontId="72" fillId="0" borderId="0" xfId="0" applyFont="1"/>
    <xf numFmtId="3" fontId="60" fillId="0" borderId="0" xfId="0" applyNumberFormat="1" applyFont="1"/>
    <xf numFmtId="0" fontId="60" fillId="0" borderId="0" xfId="0" applyFont="1"/>
    <xf numFmtId="0" fontId="66" fillId="0" borderId="2" xfId="0" applyFont="1" applyBorder="1" applyAlignment="1">
      <alignment horizontal="center" vertical="top" wrapText="1"/>
    </xf>
    <xf numFmtId="0" fontId="66" fillId="0" borderId="6" xfId="0" applyFont="1" applyBorder="1" applyAlignment="1">
      <alignment horizontal="left" vertical="top" wrapText="1"/>
    </xf>
    <xf numFmtId="0" fontId="65" fillId="7" borderId="6" xfId="0" applyFont="1" applyFill="1" applyBorder="1" applyAlignment="1">
      <alignment horizontal="left" vertical="top" wrapText="1" indent="5"/>
    </xf>
    <xf numFmtId="3" fontId="65" fillId="3" borderId="2" xfId="0" applyNumberFormat="1" applyFont="1" applyFill="1" applyBorder="1" applyProtection="1">
      <protection locked="0"/>
    </xf>
    <xf numFmtId="3" fontId="60" fillId="3" borderId="2" xfId="0" applyNumberFormat="1" applyFont="1" applyFill="1" applyBorder="1"/>
    <xf numFmtId="0" fontId="71" fillId="0" borderId="6" xfId="0" applyFont="1" applyBorder="1" applyAlignment="1">
      <alignment horizontal="left" vertical="top" wrapText="1" indent="5"/>
    </xf>
    <xf numFmtId="0" fontId="66" fillId="6" borderId="6" xfId="0" applyFont="1" applyFill="1" applyBorder="1" applyAlignment="1" applyProtection="1">
      <alignment horizontal="left" vertical="top" wrapText="1"/>
      <protection locked="0"/>
    </xf>
    <xf numFmtId="3" fontId="66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6" xfId="0" quotePrefix="1" applyFont="1" applyBorder="1" applyAlignment="1" applyProtection="1">
      <alignment horizontal="left" vertical="top" wrapText="1" indent="10"/>
      <protection locked="0"/>
    </xf>
    <xf numFmtId="0" fontId="65" fillId="0" borderId="6" xfId="0" applyFont="1" applyBorder="1" applyAlignment="1">
      <alignment horizontal="left" vertical="top" wrapText="1" indent="10"/>
    </xf>
    <xf numFmtId="0" fontId="65" fillId="7" borderId="6" xfId="0" applyFont="1" applyFill="1" applyBorder="1" applyAlignment="1" applyProtection="1">
      <alignment horizontal="left" vertical="top" wrapText="1" indent="5"/>
      <protection locked="0"/>
    </xf>
    <xf numFmtId="0" fontId="64" fillId="7" borderId="6" xfId="0" applyFont="1" applyFill="1" applyBorder="1" applyAlignment="1">
      <alignment horizontal="left" vertical="top" wrapText="1"/>
    </xf>
    <xf numFmtId="0" fontId="64" fillId="0" borderId="0" xfId="0" applyFont="1" applyAlignment="1">
      <alignment horizontal="center" vertical="top" wrapText="1"/>
    </xf>
    <xf numFmtId="3" fontId="65" fillId="0" borderId="0" xfId="0" applyNumberFormat="1" applyFont="1"/>
    <xf numFmtId="3" fontId="62" fillId="0" borderId="0" xfId="0" applyNumberFormat="1" applyFont="1"/>
    <xf numFmtId="3" fontId="0" fillId="0" borderId="0" xfId="0" applyNumberFormat="1"/>
    <xf numFmtId="0" fontId="64" fillId="0" borderId="0" xfId="0" applyFont="1"/>
    <xf numFmtId="0" fontId="64" fillId="7" borderId="0" xfId="0" applyFont="1" applyFill="1"/>
    <xf numFmtId="0" fontId="0" fillId="7" borderId="0" xfId="0" applyFont="1" applyFill="1"/>
    <xf numFmtId="49" fontId="56" fillId="0" borderId="15" xfId="0" applyNumberFormat="1" applyFont="1" applyBorder="1" applyAlignment="1" applyProtection="1">
      <alignment horizontal="left" vertical="center" wrapText="1" indent="1"/>
    </xf>
    <xf numFmtId="0" fontId="73" fillId="0" borderId="0" xfId="4" applyFont="1" applyFill="1"/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33" fillId="0" borderId="0" xfId="5" applyFont="1" applyFill="1" applyProtection="1">
      <protection locked="0"/>
    </xf>
    <xf numFmtId="0" fontId="33" fillId="0" borderId="0" xfId="5" applyFont="1" applyFill="1" applyProtection="1"/>
    <xf numFmtId="0" fontId="33" fillId="0" borderId="0" xfId="5" applyFont="1" applyFill="1" applyAlignment="1" applyProtection="1">
      <alignment vertical="center"/>
    </xf>
    <xf numFmtId="0" fontId="33" fillId="0" borderId="0" xfId="5" applyFont="1" applyFill="1" applyAlignment="1" applyProtection="1">
      <alignment vertical="center"/>
      <protection locked="0"/>
    </xf>
    <xf numFmtId="3" fontId="64" fillId="0" borderId="0" xfId="0" applyNumberFormat="1" applyFont="1"/>
    <xf numFmtId="0" fontId="66" fillId="0" borderId="0" xfId="0" applyFont="1"/>
    <xf numFmtId="0" fontId="32" fillId="0" borderId="61" xfId="4" applyFont="1" applyFill="1" applyBorder="1" applyAlignment="1" applyProtection="1">
      <alignment horizontal="center" vertical="center" wrapText="1"/>
    </xf>
    <xf numFmtId="0" fontId="33" fillId="0" borderId="35" xfId="4" applyFont="1" applyFill="1" applyBorder="1" applyAlignment="1" applyProtection="1">
      <alignment horizontal="center" vertical="center"/>
    </xf>
    <xf numFmtId="3" fontId="59" fillId="3" borderId="2" xfId="0" applyNumberFormat="1" applyFont="1" applyFill="1" applyBorder="1"/>
    <xf numFmtId="3" fontId="65" fillId="5" borderId="2" xfId="0" applyNumberFormat="1" applyFont="1" applyFill="1" applyBorder="1"/>
    <xf numFmtId="3" fontId="62" fillId="5" borderId="2" xfId="0" applyNumberFormat="1" applyFont="1" applyFill="1" applyBorder="1"/>
    <xf numFmtId="0" fontId="62" fillId="0" borderId="0" xfId="0" applyFont="1" applyFill="1" applyAlignment="1"/>
    <xf numFmtId="0" fontId="64" fillId="0" borderId="0" xfId="0" applyFont="1" applyAlignment="1">
      <alignment horizontal="center"/>
    </xf>
    <xf numFmtId="3" fontId="66" fillId="0" borderId="0" xfId="0" applyNumberFormat="1" applyFont="1"/>
    <xf numFmtId="0" fontId="78" fillId="0" borderId="7" xfId="0" applyFont="1" applyFill="1" applyBorder="1" applyAlignment="1">
      <alignment horizontal="center" vertical="center" wrapText="1"/>
    </xf>
    <xf numFmtId="0" fontId="78" fillId="0" borderId="63" xfId="0" applyFont="1" applyFill="1" applyBorder="1" applyAlignment="1">
      <alignment horizontal="center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8" fillId="0" borderId="4" xfId="0" applyFont="1" applyFill="1" applyBorder="1" applyAlignment="1">
      <alignment horizontal="center" vertical="center" wrapText="1"/>
    </xf>
    <xf numFmtId="0" fontId="78" fillId="0" borderId="36" xfId="0" applyFont="1" applyFill="1" applyBorder="1" applyAlignment="1">
      <alignment horizontal="center" vertical="center" wrapText="1"/>
    </xf>
    <xf numFmtId="0" fontId="78" fillId="0" borderId="4" xfId="0" applyFont="1" applyBorder="1" applyAlignment="1">
      <alignment horizontal="center" vertical="top" wrapText="1"/>
    </xf>
    <xf numFmtId="0" fontId="78" fillId="7" borderId="4" xfId="0" applyFont="1" applyFill="1" applyBorder="1" applyAlignment="1">
      <alignment horizontal="left" vertical="top" wrapText="1"/>
    </xf>
    <xf numFmtId="0" fontId="78" fillId="0" borderId="2" xfId="0" applyFont="1" applyBorder="1" applyAlignment="1">
      <alignment horizontal="center" vertical="top" wrapText="1"/>
    </xf>
    <xf numFmtId="0" fontId="78" fillId="0" borderId="2" xfId="0" applyFont="1" applyBorder="1" applyAlignment="1">
      <alignment horizontal="left" vertical="top" wrapText="1"/>
    </xf>
    <xf numFmtId="3" fontId="66" fillId="6" borderId="6" xfId="0" applyNumberFormat="1" applyFont="1" applyFill="1" applyBorder="1" applyAlignment="1">
      <alignment horizontal="right" vertical="top" wrapText="1"/>
    </xf>
    <xf numFmtId="0" fontId="64" fillId="0" borderId="0" xfId="0" applyFont="1" applyAlignment="1">
      <alignment vertical="center"/>
    </xf>
    <xf numFmtId="0" fontId="80" fillId="0" borderId="2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left" vertical="top" wrapText="1" indent="5"/>
    </xf>
    <xf numFmtId="0" fontId="80" fillId="0" borderId="2" xfId="0" quotePrefix="1" applyFont="1" applyBorder="1" applyAlignment="1">
      <alignment horizontal="center" vertical="top" wrapText="1"/>
    </xf>
    <xf numFmtId="0" fontId="80" fillId="0" borderId="2" xfId="0" quotePrefix="1" applyFont="1" applyBorder="1" applyAlignment="1">
      <alignment horizontal="left" vertical="top" wrapText="1" indent="10"/>
    </xf>
    <xf numFmtId="0" fontId="81" fillId="0" borderId="2" xfId="0" quotePrefix="1" applyFont="1" applyBorder="1" applyAlignment="1">
      <alignment horizontal="center" vertical="top" wrapText="1"/>
    </xf>
    <xf numFmtId="0" fontId="81" fillId="0" borderId="2" xfId="0" quotePrefix="1" applyFont="1" applyBorder="1" applyAlignment="1">
      <alignment horizontal="left" vertical="top" wrapText="1" indent="10"/>
    </xf>
    <xf numFmtId="0" fontId="82" fillId="0" borderId="2" xfId="0" quotePrefix="1" applyFont="1" applyBorder="1" applyAlignment="1">
      <alignment horizontal="center" vertical="top" wrapText="1"/>
    </xf>
    <xf numFmtId="0" fontId="70" fillId="0" borderId="0" xfId="0" applyFont="1" applyAlignment="1">
      <alignment horizontal="left" indent="13"/>
    </xf>
    <xf numFmtId="0" fontId="61" fillId="0" borderId="0" xfId="0" applyFont="1"/>
    <xf numFmtId="0" fontId="78" fillId="7" borderId="2" xfId="0" applyFont="1" applyFill="1" applyBorder="1" applyAlignment="1">
      <alignment horizontal="left" vertical="top" wrapText="1"/>
    </xf>
    <xf numFmtId="0" fontId="80" fillId="0" borderId="2" xfId="0" applyFont="1" applyFill="1" applyBorder="1" applyAlignment="1">
      <alignment horizontal="left" vertical="top" wrapText="1" indent="5"/>
    </xf>
    <xf numFmtId="164" fontId="85" fillId="0" borderId="0" xfId="0" applyNumberFormat="1" applyFont="1" applyFill="1" applyAlignment="1">
      <alignment vertical="center" wrapText="1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/>
    </xf>
    <xf numFmtId="0" fontId="88" fillId="0" borderId="0" xfId="0" applyFont="1" applyFill="1" applyAlignment="1">
      <alignment vertical="center" wrapText="1"/>
    </xf>
    <xf numFmtId="0" fontId="86" fillId="0" borderId="0" xfId="0" applyFont="1" applyFill="1" applyAlignment="1">
      <alignment horizontal="center"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88" fillId="0" borderId="0" xfId="0" applyFont="1" applyFill="1" applyAlignment="1" applyProtection="1">
      <alignment horizontal="left" vertical="center" wrapText="1"/>
    </xf>
    <xf numFmtId="0" fontId="88" fillId="0" borderId="0" xfId="0" applyFont="1" applyFill="1" applyAlignment="1" applyProtection="1">
      <alignment vertical="center" wrapText="1"/>
    </xf>
    <xf numFmtId="0" fontId="87" fillId="0" borderId="15" xfId="0" applyFont="1" applyFill="1" applyBorder="1" applyAlignment="1" applyProtection="1">
      <alignment horizontal="left" vertical="center"/>
    </xf>
    <xf numFmtId="0" fontId="92" fillId="0" borderId="46" xfId="0" applyFont="1" applyFill="1" applyBorder="1" applyAlignment="1" applyProtection="1">
      <alignment vertical="center" wrapText="1"/>
    </xf>
    <xf numFmtId="0" fontId="87" fillId="0" borderId="44" xfId="0" applyFont="1" applyFill="1" applyBorder="1" applyAlignment="1" applyProtection="1">
      <alignment vertical="center" wrapText="1"/>
    </xf>
    <xf numFmtId="0" fontId="88" fillId="0" borderId="0" xfId="0" applyFont="1" applyFill="1" applyAlignment="1">
      <alignment horizontal="left" vertical="center" wrapText="1"/>
    </xf>
    <xf numFmtId="0" fontId="11" fillId="0" borderId="67" xfId="0" applyFont="1" applyFill="1" applyBorder="1" applyAlignment="1" applyProtection="1">
      <alignment horizontal="center" vertical="center" wrapText="1"/>
    </xf>
    <xf numFmtId="0" fontId="23" fillId="0" borderId="35" xfId="0" applyFont="1" applyFill="1" applyBorder="1" applyAlignment="1" applyProtection="1">
      <alignment horizontal="center" vertical="center" wrapText="1"/>
    </xf>
    <xf numFmtId="0" fontId="54" fillId="0" borderId="44" xfId="0" applyFont="1" applyBorder="1" applyAlignment="1" applyProtection="1">
      <alignment horizontal="center" wrapText="1"/>
    </xf>
    <xf numFmtId="0" fontId="46" fillId="0" borderId="44" xfId="0" applyFont="1" applyBorder="1" applyAlignment="1" applyProtection="1">
      <alignment horizontal="center" wrapText="1"/>
    </xf>
    <xf numFmtId="164" fontId="36" fillId="0" borderId="23" xfId="0" applyNumberFormat="1" applyFont="1" applyFill="1" applyBorder="1" applyAlignment="1" applyProtection="1">
      <alignment horizontal="right" vertical="center" wrapText="1" indent="1"/>
    </xf>
    <xf numFmtId="164" fontId="36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49" fontId="25" fillId="0" borderId="40" xfId="4" applyNumberFormat="1" applyFont="1" applyFill="1" applyBorder="1" applyAlignment="1" applyProtection="1">
      <alignment horizontal="left" vertical="center" wrapText="1" indent="1"/>
    </xf>
    <xf numFmtId="0" fontId="32" fillId="0" borderId="35" xfId="0" applyFont="1" applyFill="1" applyBorder="1" applyAlignment="1" applyProtection="1">
      <alignment horizontal="left" vertical="center" wrapText="1" indent="1"/>
    </xf>
    <xf numFmtId="0" fontId="25" fillId="0" borderId="61" xfId="4" applyFont="1" applyFill="1" applyBorder="1" applyAlignment="1" applyProtection="1">
      <alignment horizontal="left" vertical="center" wrapText="1" indent="1"/>
    </xf>
    <xf numFmtId="0" fontId="25" fillId="0" borderId="55" xfId="4" applyFont="1" applyFill="1" applyBorder="1" applyAlignment="1" applyProtection="1">
      <alignment horizontal="left" vertical="center" wrapText="1" indent="1"/>
    </xf>
    <xf numFmtId="0" fontId="25" fillId="0" borderId="29" xfId="4" applyFont="1" applyFill="1" applyBorder="1" applyAlignment="1" applyProtection="1">
      <alignment horizontal="left" vertical="center" wrapText="1" indent="1"/>
    </xf>
    <xf numFmtId="0" fontId="25" fillId="0" borderId="69" xfId="4" applyFont="1" applyFill="1" applyBorder="1" applyAlignment="1" applyProtection="1">
      <alignment horizontal="left" vertical="center" wrapText="1" indent="1"/>
    </xf>
    <xf numFmtId="0" fontId="32" fillId="0" borderId="35" xfId="4" applyFont="1" applyFill="1" applyBorder="1" applyAlignment="1" applyProtection="1">
      <alignment horizontal="left" vertical="center" wrapText="1" indent="1"/>
    </xf>
    <xf numFmtId="0" fontId="33" fillId="0" borderId="61" xfId="4" applyFont="1" applyFill="1" applyBorder="1" applyAlignment="1" applyProtection="1">
      <alignment horizontal="left" vertical="center" wrapText="1" indent="1"/>
    </xf>
    <xf numFmtId="0" fontId="33" fillId="0" borderId="68" xfId="4" applyFont="1" applyFill="1" applyBorder="1" applyAlignment="1" applyProtection="1">
      <alignment horizontal="left" vertical="center" wrapText="1" indent="1"/>
    </xf>
    <xf numFmtId="0" fontId="32" fillId="0" borderId="67" xfId="4" applyFont="1" applyFill="1" applyBorder="1" applyAlignment="1" applyProtection="1">
      <alignment horizontal="left" vertical="center" wrapText="1" indent="1"/>
    </xf>
    <xf numFmtId="0" fontId="33" fillId="0" borderId="62" xfId="4" applyFont="1" applyFill="1" applyBorder="1" applyAlignment="1" applyProtection="1">
      <alignment horizontal="left" vertical="center" wrapText="1" indent="1"/>
    </xf>
    <xf numFmtId="0" fontId="33" fillId="0" borderId="77" xfId="4" applyFont="1" applyFill="1" applyBorder="1" applyAlignment="1" applyProtection="1">
      <alignment horizontal="left" vertical="center" wrapText="1" indent="1"/>
    </xf>
    <xf numFmtId="0" fontId="32" fillId="0" borderId="46" xfId="4" applyFont="1" applyFill="1" applyBorder="1" applyAlignment="1" applyProtection="1">
      <alignment horizontal="left" vertical="center" wrapText="1" indent="1"/>
    </xf>
    <xf numFmtId="0" fontId="45" fillId="0" borderId="46" xfId="0" applyFont="1" applyBorder="1" applyAlignment="1" applyProtection="1">
      <alignment horizontal="left" wrapText="1" indent="1"/>
    </xf>
    <xf numFmtId="0" fontId="23" fillId="0" borderId="35" xfId="4" applyFont="1" applyFill="1" applyBorder="1" applyAlignment="1" applyProtection="1">
      <alignment horizontal="left" vertical="center" wrapText="1" indent="1"/>
    </xf>
    <xf numFmtId="0" fontId="11" fillId="0" borderId="35" xfId="0" applyFont="1" applyFill="1" applyBorder="1" applyAlignment="1" applyProtection="1">
      <alignment horizontal="left" vertical="center" wrapText="1" indent="1"/>
    </xf>
    <xf numFmtId="0" fontId="33" fillId="0" borderId="52" xfId="4" applyFont="1" applyFill="1" applyBorder="1" applyAlignment="1" applyProtection="1">
      <alignment horizontal="left" vertical="center" wrapText="1" indent="1"/>
    </xf>
    <xf numFmtId="0" fontId="29" fillId="0" borderId="46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center" vertical="center" wrapText="1"/>
    </xf>
    <xf numFmtId="3" fontId="33" fillId="0" borderId="49" xfId="0" applyNumberFormat="1" applyFont="1" applyBorder="1" applyAlignment="1" applyProtection="1">
      <alignment horizontal="right" vertical="center" indent="1"/>
      <protection locked="0"/>
    </xf>
    <xf numFmtId="3" fontId="36" fillId="0" borderId="38" xfId="0" applyNumberFormat="1" applyFont="1" applyFill="1" applyBorder="1" applyAlignment="1" applyProtection="1">
      <alignment horizontal="right" vertical="center" indent="1"/>
    </xf>
    <xf numFmtId="164" fontId="18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center" indent="1"/>
    </xf>
    <xf numFmtId="0" fontId="4" fillId="0" borderId="0" xfId="4" applyFont="1" applyFill="1"/>
    <xf numFmtId="164" fontId="7" fillId="0" borderId="67" xfId="4" applyNumberFormat="1" applyFont="1" applyFill="1" applyBorder="1" applyAlignment="1" applyProtection="1">
      <alignment horizontal="right" vertical="center" wrapText="1" indent="1"/>
    </xf>
    <xf numFmtId="164" fontId="7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46" xfId="4" applyNumberFormat="1" applyFont="1" applyFill="1" applyBorder="1" applyAlignment="1" applyProtection="1">
      <alignment horizontal="right" vertical="center" wrapText="1" indent="1"/>
    </xf>
    <xf numFmtId="164" fontId="7" fillId="0" borderId="16" xfId="4" applyNumberFormat="1" applyFont="1" applyFill="1" applyBorder="1" applyAlignment="1" applyProtection="1">
      <alignment horizontal="right" vertical="center" wrapText="1" indent="1"/>
    </xf>
    <xf numFmtId="164" fontId="7" fillId="0" borderId="38" xfId="4" applyNumberFormat="1" applyFont="1" applyFill="1" applyBorder="1" applyAlignment="1" applyProtection="1">
      <alignment horizontal="right" vertical="center" wrapText="1" indent="1"/>
    </xf>
    <xf numFmtId="164" fontId="18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4" applyNumberFormat="1" applyFont="1" applyFill="1" applyBorder="1" applyAlignment="1" applyProtection="1">
      <alignment horizontal="right" vertical="center" wrapText="1" indent="1"/>
    </xf>
    <xf numFmtId="164" fontId="21" fillId="0" borderId="65" xfId="4" applyNumberFormat="1" applyFont="1" applyFill="1" applyBorder="1" applyAlignment="1" applyProtection="1">
      <alignment horizontal="right" vertical="center" wrapText="1" indent="1"/>
    </xf>
    <xf numFmtId="164" fontId="21" fillId="0" borderId="4" xfId="4" applyNumberFormat="1" applyFont="1" applyFill="1" applyBorder="1" applyAlignment="1" applyProtection="1">
      <alignment horizontal="right" vertical="center" wrapText="1" indent="1"/>
    </xf>
    <xf numFmtId="164" fontId="21" fillId="0" borderId="64" xfId="4" applyNumberFormat="1" applyFont="1" applyFill="1" applyBorder="1" applyAlignment="1" applyProtection="1">
      <alignment horizontal="right" vertical="center" wrapText="1" indent="1"/>
    </xf>
    <xf numFmtId="164" fontId="21" fillId="0" borderId="2" xfId="4" applyNumberFormat="1" applyFont="1" applyFill="1" applyBorder="1" applyAlignment="1" applyProtection="1">
      <alignment horizontal="right" vertical="center" wrapText="1" indent="1"/>
    </xf>
    <xf numFmtId="164" fontId="37" fillId="0" borderId="35" xfId="4" applyNumberFormat="1" applyFont="1" applyFill="1" applyBorder="1" applyAlignment="1" applyProtection="1">
      <alignment horizontal="right" vertical="center" wrapText="1" indent="1"/>
    </xf>
    <xf numFmtId="164" fontId="37" fillId="0" borderId="16" xfId="4" applyNumberFormat="1" applyFont="1" applyFill="1" applyBorder="1" applyAlignment="1" applyProtection="1">
      <alignment horizontal="right" vertical="center" wrapText="1" indent="1"/>
    </xf>
    <xf numFmtId="164" fontId="36" fillId="0" borderId="35" xfId="4" applyNumberFormat="1" applyFont="1" applyFill="1" applyBorder="1" applyAlignment="1" applyProtection="1">
      <alignment horizontal="right" vertical="center" wrapText="1" indent="1"/>
    </xf>
    <xf numFmtId="164" fontId="36" fillId="0" borderId="16" xfId="4" applyNumberFormat="1" applyFont="1" applyFill="1" applyBorder="1" applyAlignment="1" applyProtection="1">
      <alignment horizontal="right" vertical="center" wrapText="1" indent="1"/>
    </xf>
    <xf numFmtId="164" fontId="21" fillId="0" borderId="69" xfId="4" applyNumberFormat="1" applyFont="1" applyFill="1" applyBorder="1" applyAlignment="1" applyProtection="1">
      <alignment horizontal="right" vertical="center" wrapText="1" indent="1"/>
    </xf>
    <xf numFmtId="164" fontId="21" fillId="0" borderId="55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18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9" xfId="0" applyFont="1" applyBorder="1" applyAlignment="1" applyProtection="1">
      <alignment horizontal="right" vertical="center" wrapText="1" indent="1"/>
      <protection locked="0"/>
    </xf>
    <xf numFmtId="0" fontId="74" fillId="0" borderId="4" xfId="0" applyFont="1" applyBorder="1" applyAlignment="1" applyProtection="1">
      <alignment horizontal="right" vertical="center" wrapText="1" indent="1"/>
      <protection locked="0"/>
    </xf>
    <xf numFmtId="0" fontId="74" fillId="0" borderId="55" xfId="0" applyFont="1" applyBorder="1" applyAlignment="1" applyProtection="1">
      <alignment horizontal="right" vertical="center" wrapText="1" indent="1"/>
      <protection locked="0"/>
    </xf>
    <xf numFmtId="0" fontId="74" fillId="0" borderId="2" xfId="0" applyFont="1" applyBorder="1" applyAlignment="1" applyProtection="1">
      <alignment horizontal="right" vertical="center" wrapText="1" indent="1"/>
      <protection locked="0"/>
    </xf>
    <xf numFmtId="0" fontId="74" fillId="0" borderId="62" xfId="0" applyFont="1" applyBorder="1" applyAlignment="1" applyProtection="1">
      <alignment horizontal="right" vertical="center" wrapText="1" indent="1"/>
      <protection locked="0"/>
    </xf>
    <xf numFmtId="0" fontId="74" fillId="0" borderId="7" xfId="0" applyFont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Border="1" applyAlignment="1" applyProtection="1">
      <alignment horizontal="right" vertical="center" wrapText="1" indent="1"/>
    </xf>
    <xf numFmtId="164" fontId="53" fillId="0" borderId="16" xfId="0" applyNumberFormat="1" applyFont="1" applyBorder="1" applyAlignment="1" applyProtection="1">
      <alignment horizontal="right" vertical="center" wrapText="1" indent="1"/>
    </xf>
    <xf numFmtId="0" fontId="53" fillId="0" borderId="35" xfId="0" quotePrefix="1" applyFont="1" applyBorder="1" applyAlignment="1" applyProtection="1">
      <alignment horizontal="right" vertical="center" wrapText="1" indent="1"/>
      <protection locked="0"/>
    </xf>
    <xf numFmtId="0" fontId="53" fillId="0" borderId="16" xfId="0" quotePrefix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Fill="1" applyAlignment="1" applyProtection="1">
      <alignment horizontal="right" vertical="center" indent="1"/>
    </xf>
    <xf numFmtId="164" fontId="7" fillId="0" borderId="23" xfId="4" applyNumberFormat="1" applyFont="1" applyFill="1" applyBorder="1" applyAlignment="1" applyProtection="1">
      <alignment horizontal="right" vertical="center" wrapText="1" indent="1"/>
    </xf>
    <xf numFmtId="164" fontId="53" fillId="0" borderId="23" xfId="0" applyNumberFormat="1" applyFont="1" applyBorder="1" applyAlignment="1" applyProtection="1">
      <alignment horizontal="right" vertical="center" wrapText="1" indent="1"/>
    </xf>
    <xf numFmtId="164" fontId="74" fillId="0" borderId="23" xfId="0" applyNumberFormat="1" applyFont="1" applyBorder="1" applyAlignment="1" applyProtection="1">
      <alignment horizontal="right" vertical="center" wrapText="1" indent="1"/>
    </xf>
    <xf numFmtId="0" fontId="75" fillId="0" borderId="23" xfId="0" applyFont="1" applyBorder="1" applyAlignment="1" applyProtection="1">
      <alignment horizontal="right" vertical="center" wrapText="1" indent="1"/>
    </xf>
    <xf numFmtId="164" fontId="75" fillId="0" borderId="23" xfId="0" applyNumberFormat="1" applyFont="1" applyBorder="1" applyAlignment="1" applyProtection="1">
      <alignment horizontal="right" vertical="center" wrapText="1" indent="1"/>
    </xf>
    <xf numFmtId="0" fontId="74" fillId="0" borderId="23" xfId="0" applyFont="1" applyBorder="1" applyAlignment="1" applyProtection="1">
      <alignment horizontal="right" vertical="center" wrapText="1" indent="1"/>
    </xf>
    <xf numFmtId="0" fontId="4" fillId="0" borderId="0" xfId="4" applyFont="1" applyFill="1" applyAlignment="1">
      <alignment horizontal="right" vertical="center" indent="1"/>
    </xf>
    <xf numFmtId="164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8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7" fillId="0" borderId="0" xfId="0" applyNumberFormat="1" applyFont="1" applyFill="1" applyAlignment="1" applyProtection="1">
      <alignment horizontal="right" vertical="center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6" fillId="0" borderId="44" xfId="0" applyNumberFormat="1" applyFont="1" applyFill="1" applyBorder="1" applyAlignment="1" applyProtection="1">
      <alignment horizontal="centerContinuous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55" xfId="0" applyNumberFormat="1" applyFont="1" applyFill="1" applyBorder="1" applyAlignment="1" applyProtection="1">
      <alignment horizontal="right" vertical="center" wrapText="1" indent="1"/>
    </xf>
    <xf numFmtId="164" fontId="1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61" xfId="0" applyNumberFormat="1" applyFont="1" applyFill="1" applyBorder="1" applyAlignment="1" applyProtection="1">
      <alignment horizontal="right" vertical="center" wrapText="1" indent="1"/>
    </xf>
    <xf numFmtId="164" fontId="9" fillId="0" borderId="60" xfId="0" applyNumberFormat="1" applyFont="1" applyFill="1" applyBorder="1" applyAlignment="1" applyProtection="1">
      <alignment horizontal="right" vertical="center" wrapText="1" indent="1"/>
    </xf>
    <xf numFmtId="164" fontId="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6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3" fontId="36" fillId="0" borderId="16" xfId="0" applyNumberFormat="1" applyFont="1" applyBorder="1" applyAlignment="1" applyProtection="1">
      <alignment horizontal="center" vertical="center" wrapText="1"/>
    </xf>
    <xf numFmtId="3" fontId="36" fillId="0" borderId="16" xfId="0" applyNumberFormat="1" applyFont="1" applyFill="1" applyBorder="1" applyAlignment="1" applyProtection="1">
      <alignment horizontal="right" vertical="center" indent="1"/>
    </xf>
    <xf numFmtId="164" fontId="18" fillId="0" borderId="0" xfId="4" applyNumberFormat="1" applyFont="1" applyFill="1"/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54" fillId="0" borderId="16" xfId="0" applyFont="1" applyFill="1" applyBorder="1" applyAlignment="1" applyProtection="1">
      <alignment horizontal="center" wrapText="1"/>
    </xf>
    <xf numFmtId="0" fontId="54" fillId="0" borderId="74" xfId="0" applyFont="1" applyFill="1" applyBorder="1" applyAlignment="1" applyProtection="1">
      <alignment horizontal="center" wrapText="1"/>
    </xf>
    <xf numFmtId="0" fontId="29" fillId="0" borderId="67" xfId="0" applyFont="1" applyFill="1" applyBorder="1" applyAlignment="1" applyProtection="1">
      <alignment horizontal="left" vertical="center" wrapText="1" indent="1"/>
    </xf>
    <xf numFmtId="0" fontId="30" fillId="0" borderId="61" xfId="0" applyFont="1" applyFill="1" applyBorder="1" applyAlignment="1" applyProtection="1">
      <alignment horizontal="left" vertical="center" wrapText="1" indent="1"/>
    </xf>
    <xf numFmtId="0" fontId="30" fillId="0" borderId="55" xfId="0" applyFont="1" applyFill="1" applyBorder="1" applyAlignment="1" applyProtection="1">
      <alignment horizontal="left" vertical="center" wrapText="1" indent="1"/>
    </xf>
    <xf numFmtId="0" fontId="31" fillId="0" borderId="68" xfId="0" applyFont="1" applyFill="1" applyBorder="1" applyAlignment="1" applyProtection="1">
      <alignment horizontal="left" vertical="center" wrapText="1" indent="1"/>
    </xf>
    <xf numFmtId="0" fontId="31" fillId="0" borderId="35" xfId="0" applyFont="1" applyFill="1" applyBorder="1" applyAlignment="1" applyProtection="1">
      <alignment horizontal="left" vertical="center" wrapText="1" indent="1"/>
    </xf>
    <xf numFmtId="0" fontId="30" fillId="0" borderId="68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wrapText="1" indent="1"/>
    </xf>
    <xf numFmtId="0" fontId="30" fillId="0" borderId="2" xfId="0" quotePrefix="1" applyFont="1" applyFill="1" applyBorder="1" applyAlignment="1" applyProtection="1">
      <alignment horizontal="left" vertical="center" wrapText="1" indent="6"/>
    </xf>
    <xf numFmtId="0" fontId="30" fillId="0" borderId="32" xfId="0" quotePrefix="1" applyFont="1" applyFill="1" applyBorder="1" applyAlignment="1" applyProtection="1">
      <alignment horizontal="left" vertical="center" wrapText="1" indent="6"/>
    </xf>
    <xf numFmtId="0" fontId="31" fillId="0" borderId="15" xfId="0" applyFont="1" applyFill="1" applyBorder="1" applyAlignment="1" applyProtection="1">
      <alignment horizontal="left" vertical="center" wrapText="1" indent="1"/>
    </xf>
    <xf numFmtId="0" fontId="31" fillId="0" borderId="16" xfId="0" applyFont="1" applyFill="1" applyBorder="1" applyAlignment="1" applyProtection="1">
      <alignment horizontal="left" vertical="center" wrapText="1" indent="1"/>
    </xf>
    <xf numFmtId="49" fontId="51" fillId="0" borderId="15" xfId="0" applyNumberFormat="1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left" vertical="center" wrapText="1" indent="1"/>
    </xf>
    <xf numFmtId="49" fontId="30" fillId="0" borderId="11" xfId="0" applyNumberFormat="1" applyFont="1" applyFill="1" applyBorder="1" applyAlignment="1" applyProtection="1">
      <alignment horizontal="left" vertical="center" wrapText="1" indent="2"/>
    </xf>
    <xf numFmtId="0" fontId="30" fillId="0" borderId="4" xfId="0" applyFont="1" applyFill="1" applyBorder="1" applyAlignment="1" applyProtection="1">
      <alignment horizontal="left" vertical="center" wrapText="1" indent="1"/>
    </xf>
    <xf numFmtId="49" fontId="30" fillId="0" borderId="9" xfId="0" applyNumberFormat="1" applyFont="1" applyFill="1" applyBorder="1" applyAlignment="1" applyProtection="1">
      <alignment horizontal="left" vertical="center" wrapText="1" indent="2"/>
    </xf>
    <xf numFmtId="49" fontId="30" fillId="0" borderId="12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left" vertical="center" wrapText="1" inden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31" fillId="0" borderId="10" xfId="0" applyFont="1" applyFill="1" applyBorder="1" applyAlignment="1" applyProtection="1">
      <alignment horizontal="left" vertical="center" wrapText="1" indent="1"/>
    </xf>
    <xf numFmtId="0" fontId="29" fillId="0" borderId="3" xfId="0" applyFont="1" applyFill="1" applyBorder="1" applyAlignment="1" applyProtection="1">
      <alignment horizontal="left" vertical="center" wrapText="1" indent="1"/>
    </xf>
    <xf numFmtId="3" fontId="33" fillId="8" borderId="2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/>
    <xf numFmtId="0" fontId="40" fillId="0" borderId="0" xfId="0" applyFont="1" applyAlignment="1" applyProtection="1">
      <alignment horizontal="right"/>
    </xf>
    <xf numFmtId="0" fontId="30" fillId="0" borderId="5" xfId="0" applyFont="1" applyFill="1" applyBorder="1" applyAlignment="1" applyProtection="1">
      <alignment horizontal="left" vertical="center" wrapText="1" indent="1"/>
    </xf>
    <xf numFmtId="0" fontId="30" fillId="0" borderId="3" xfId="0" applyFont="1" applyFill="1" applyBorder="1" applyAlignment="1" applyProtection="1">
      <alignment horizontal="lef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4" xfId="0" applyFont="1" applyFill="1" applyBorder="1" applyAlignment="1" applyProtection="1">
      <alignment horizontal="left" vertical="center" wrapText="1" indent="1"/>
    </xf>
    <xf numFmtId="0" fontId="51" fillId="0" borderId="2" xfId="0" applyFont="1" applyFill="1" applyBorder="1" applyAlignment="1" applyProtection="1">
      <alignment horizontal="left" vertical="center" wrapText="1" indent="1"/>
    </xf>
    <xf numFmtId="0" fontId="30" fillId="0" borderId="2" xfId="0" applyFont="1" applyFill="1" applyBorder="1" applyAlignment="1" applyProtection="1">
      <alignment horizontal="left" vertical="center" indent="1"/>
    </xf>
    <xf numFmtId="0" fontId="30" fillId="0" borderId="32" xfId="0" applyFont="1" applyFill="1" applyBorder="1" applyAlignment="1" applyProtection="1">
      <alignment horizontal="left" vertical="center" indent="1"/>
    </xf>
    <xf numFmtId="0" fontId="31" fillId="0" borderId="32" xfId="0" applyFont="1" applyFill="1" applyBorder="1" applyAlignment="1" applyProtection="1">
      <alignment horizontal="left" vertical="center" wrapText="1" indent="1"/>
    </xf>
    <xf numFmtId="0" fontId="30" fillId="0" borderId="32" xfId="0" applyFont="1" applyFill="1" applyBorder="1" applyAlignment="1" applyProtection="1">
      <alignment horizontal="left" vertical="center" wrapText="1" indent="1"/>
    </xf>
    <xf numFmtId="0" fontId="31" fillId="0" borderId="3" xfId="0" applyFont="1" applyFill="1" applyBorder="1" applyAlignment="1" applyProtection="1">
      <alignment horizontal="left" vertical="center" wrapText="1" indent="1"/>
    </xf>
    <xf numFmtId="49" fontId="31" fillId="0" borderId="11" xfId="0" applyNumberFormat="1" applyFont="1" applyFill="1" applyBorder="1" applyAlignment="1" applyProtection="1">
      <alignment horizontal="left" vertical="center" wrapText="1" indent="1"/>
    </xf>
    <xf numFmtId="49" fontId="31" fillId="0" borderId="9" xfId="0" applyNumberFormat="1" applyFont="1" applyFill="1" applyBorder="1" applyAlignment="1" applyProtection="1">
      <alignment horizontal="left" vertical="center" wrapText="1" indent="1"/>
    </xf>
    <xf numFmtId="49" fontId="30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15" xfId="0" applyFont="1" applyFill="1" applyBorder="1" applyAlignment="1" applyProtection="1">
      <alignment horizontal="left" vertical="center" wrapText="1" indent="1"/>
    </xf>
    <xf numFmtId="0" fontId="46" fillId="0" borderId="10" xfId="0" applyFont="1" applyFill="1" applyBorder="1" applyAlignment="1" applyProtection="1">
      <alignment horizontal="left" vertical="center" wrapText="1" indent="1"/>
    </xf>
    <xf numFmtId="164" fontId="1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53" fillId="0" borderId="23" xfId="0" applyNumberFormat="1" applyFont="1" applyFill="1" applyBorder="1" applyAlignment="1" applyProtection="1">
      <alignment horizontal="right" vertical="center" wrapText="1" indent="1"/>
    </xf>
    <xf numFmtId="164" fontId="74" fillId="0" borderId="23" xfId="0" applyNumberFormat="1" applyFont="1" applyFill="1" applyBorder="1" applyAlignment="1" applyProtection="1">
      <alignment horizontal="right" vertical="center" wrapText="1" indent="1"/>
    </xf>
    <xf numFmtId="164" fontId="15" fillId="0" borderId="0" xfId="4" applyNumberFormat="1" applyFill="1"/>
    <xf numFmtId="0" fontId="32" fillId="0" borderId="18" xfId="4" applyFont="1" applyFill="1" applyBorder="1" applyAlignment="1" applyProtection="1">
      <alignment horizontal="center" vertical="center" wrapText="1"/>
    </xf>
    <xf numFmtId="0" fontId="33" fillId="0" borderId="69" xfId="4" applyFont="1" applyFill="1" applyBorder="1" applyProtection="1"/>
    <xf numFmtId="0" fontId="46" fillId="0" borderId="55" xfId="0" applyFont="1" applyBorder="1" applyAlignment="1">
      <alignment horizontal="justify" wrapText="1"/>
    </xf>
    <xf numFmtId="0" fontId="46" fillId="0" borderId="55" xfId="0" applyFont="1" applyBorder="1" applyAlignment="1">
      <alignment wrapText="1"/>
    </xf>
    <xf numFmtId="0" fontId="46" fillId="0" borderId="52" xfId="0" applyFont="1" applyBorder="1" applyAlignment="1">
      <alignment wrapText="1"/>
    </xf>
    <xf numFmtId="0" fontId="32" fillId="0" borderId="17" xfId="4" applyFont="1" applyFill="1" applyBorder="1" applyAlignment="1" applyProtection="1">
      <alignment horizontal="center" vertical="center" wrapText="1"/>
    </xf>
    <xf numFmtId="3" fontId="33" fillId="0" borderId="53" xfId="1" applyNumberFormat="1" applyFont="1" applyFill="1" applyBorder="1" applyAlignment="1" applyProtection="1">
      <alignment horizontal="right"/>
      <protection locked="0"/>
    </xf>
    <xf numFmtId="3" fontId="33" fillId="0" borderId="5" xfId="1" applyNumberFormat="1" applyFont="1" applyFill="1" applyBorder="1" applyAlignment="1" applyProtection="1">
      <alignment horizontal="right"/>
      <protection locked="0"/>
    </xf>
    <xf numFmtId="3" fontId="33" fillId="0" borderId="54" xfId="1" applyNumberFormat="1" applyFont="1" applyFill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right"/>
      <protection locked="0"/>
    </xf>
    <xf numFmtId="3" fontId="46" fillId="0" borderId="2" xfId="0" applyNumberFormat="1" applyFont="1" applyBorder="1" applyAlignment="1">
      <alignment horizontal="right" wrapText="1"/>
    </xf>
    <xf numFmtId="3" fontId="33" fillId="0" borderId="41" xfId="1" applyNumberFormat="1" applyFont="1" applyFill="1" applyBorder="1" applyAlignment="1" applyProtection="1">
      <alignment horizontal="right"/>
      <protection locked="0"/>
    </xf>
    <xf numFmtId="3" fontId="46" fillId="0" borderId="7" xfId="0" applyNumberFormat="1" applyFont="1" applyBorder="1" applyAlignment="1">
      <alignment horizontal="right" wrapText="1"/>
    </xf>
    <xf numFmtId="3" fontId="32" fillId="0" borderId="45" xfId="1" applyNumberFormat="1" applyFont="1" applyFill="1" applyBorder="1" applyAlignment="1" applyProtection="1">
      <alignment horizontal="right"/>
    </xf>
    <xf numFmtId="3" fontId="34" fillId="0" borderId="16" xfId="4" applyNumberFormat="1" applyFont="1" applyFill="1" applyBorder="1" applyAlignment="1" applyProtection="1">
      <alignment horizontal="right"/>
    </xf>
    <xf numFmtId="164" fontId="74" fillId="0" borderId="2" xfId="6" applyNumberFormat="1" applyFont="1" applyFill="1" applyBorder="1" applyAlignment="1">
      <alignment vertical="center" wrapText="1"/>
    </xf>
    <xf numFmtId="0" fontId="74" fillId="0" borderId="2" xfId="7" applyFont="1" applyFill="1" applyBorder="1" applyAlignment="1">
      <alignment vertical="center" wrapText="1"/>
    </xf>
    <xf numFmtId="0" fontId="74" fillId="0" borderId="0" xfId="0" applyFont="1" applyAlignment="1"/>
    <xf numFmtId="0" fontId="36" fillId="0" borderId="7" xfId="4" applyFont="1" applyFill="1" applyBorder="1" applyAlignment="1">
      <alignment horizontal="center" vertical="center" wrapText="1"/>
    </xf>
    <xf numFmtId="0" fontId="74" fillId="0" borderId="2" xfId="0" applyFont="1" applyFill="1" applyBorder="1" applyAlignment="1">
      <alignment vertical="center"/>
    </xf>
    <xf numFmtId="0" fontId="33" fillId="0" borderId="11" xfId="0" applyFont="1" applyBorder="1" applyAlignment="1" applyProtection="1">
      <alignment horizontal="right" vertical="center" indent="1"/>
    </xf>
    <xf numFmtId="0" fontId="33" fillId="0" borderId="4" xfId="0" applyFont="1" applyBorder="1" applyAlignment="1" applyProtection="1">
      <alignment horizontal="left" vertical="center" indent="1"/>
      <protection locked="0"/>
    </xf>
    <xf numFmtId="3" fontId="33" fillId="0" borderId="51" xfId="0" applyNumberFormat="1" applyFont="1" applyBorder="1" applyAlignment="1" applyProtection="1">
      <alignment horizontal="right" vertical="center" indent="1"/>
      <protection locked="0"/>
    </xf>
    <xf numFmtId="0" fontId="33" fillId="0" borderId="17" xfId="0" applyFont="1" applyBorder="1" applyAlignment="1" applyProtection="1">
      <alignment horizontal="right" vertical="center" indent="1"/>
    </xf>
    <xf numFmtId="0" fontId="33" fillId="0" borderId="18" xfId="0" applyFont="1" applyBorder="1" applyAlignment="1" applyProtection="1">
      <alignment horizontal="left" vertical="center" indent="1"/>
      <protection locked="0"/>
    </xf>
    <xf numFmtId="3" fontId="33" fillId="0" borderId="18" xfId="0" applyNumberFormat="1" applyFont="1" applyBorder="1" applyAlignment="1" applyProtection="1">
      <alignment horizontal="right" vertical="center" indent="1"/>
      <protection locked="0"/>
    </xf>
    <xf numFmtId="3" fontId="33" fillId="0" borderId="59" xfId="0" applyNumberFormat="1" applyFont="1" applyBorder="1" applyAlignment="1" applyProtection="1">
      <alignment horizontal="right" vertical="center" indent="1"/>
      <protection locked="0"/>
    </xf>
    <xf numFmtId="3" fontId="33" fillId="8" borderId="4" xfId="0" applyNumberFormat="1" applyFont="1" applyFill="1" applyBorder="1" applyAlignment="1" applyProtection="1">
      <alignment horizontal="right" vertical="center" indent="1"/>
      <protection locked="0"/>
    </xf>
    <xf numFmtId="3" fontId="32" fillId="0" borderId="16" xfId="0" applyNumberFormat="1" applyFont="1" applyBorder="1" applyAlignment="1" applyProtection="1">
      <alignment horizontal="right" vertical="center" indent="1"/>
      <protection locked="0"/>
    </xf>
    <xf numFmtId="3" fontId="32" fillId="0" borderId="38" xfId="0" applyNumberFormat="1" applyFont="1" applyBorder="1" applyAlignment="1" applyProtection="1">
      <alignment horizontal="right" vertical="center" indent="1"/>
      <protection locked="0"/>
    </xf>
    <xf numFmtId="0" fontId="36" fillId="0" borderId="0" xfId="0" applyFont="1"/>
    <xf numFmtId="164" fontId="74" fillId="0" borderId="0" xfId="0" applyNumberFormat="1" applyFont="1" applyFill="1" applyAlignment="1" applyProtection="1">
      <alignment horizontal="center" vertical="center" wrapText="1"/>
    </xf>
    <xf numFmtId="164" fontId="53" fillId="0" borderId="58" xfId="0" applyNumberFormat="1" applyFont="1" applyFill="1" applyBorder="1" applyAlignment="1">
      <alignment horizontal="center" vertical="center" wrapText="1"/>
    </xf>
    <xf numFmtId="164" fontId="74" fillId="0" borderId="0" xfId="0" applyNumberFormat="1" applyFont="1" applyFill="1" applyAlignment="1">
      <alignment horizontal="center" vertical="center" wrapText="1"/>
    </xf>
    <xf numFmtId="164" fontId="74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49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3" fillId="0" borderId="49" xfId="0" applyNumberFormat="1" applyFont="1" applyFill="1" applyBorder="1" applyAlignment="1">
      <alignment horizontal="center" vertical="center" wrapText="1"/>
    </xf>
    <xf numFmtId="164" fontId="53" fillId="0" borderId="70" xfId="0" applyNumberFormat="1" applyFont="1" applyFill="1" applyBorder="1" applyAlignment="1">
      <alignment horizontal="left" vertical="center" wrapText="1"/>
    </xf>
    <xf numFmtId="164" fontId="53" fillId="0" borderId="57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36" fillId="2" borderId="5" xfId="0" applyNumberFormat="1" applyFont="1" applyFill="1" applyBorder="1" applyAlignment="1" applyProtection="1">
      <alignment horizontal="center" vertical="center" wrapText="1"/>
    </xf>
    <xf numFmtId="49" fontId="36" fillId="2" borderId="2" xfId="0" applyNumberFormat="1" applyFont="1" applyFill="1" applyBorder="1" applyAlignment="1" applyProtection="1">
      <alignment horizontal="center" vertical="center" wrapText="1"/>
    </xf>
    <xf numFmtId="49" fontId="36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4" fillId="0" borderId="0" xfId="0" applyFont="1"/>
    <xf numFmtId="0" fontId="53" fillId="0" borderId="0" xfId="0" applyFont="1" applyAlignment="1">
      <alignment horizontal="justify"/>
    </xf>
    <xf numFmtId="167" fontId="74" fillId="0" borderId="0" xfId="0" applyNumberFormat="1" applyFont="1"/>
    <xf numFmtId="4" fontId="74" fillId="0" borderId="0" xfId="0" applyNumberFormat="1" applyFont="1" applyAlignment="1">
      <alignment horizontal="center"/>
    </xf>
    <xf numFmtId="0" fontId="53" fillId="0" borderId="0" xfId="0" applyFont="1" applyAlignment="1"/>
    <xf numFmtId="0" fontId="96" fillId="0" borderId="0" xfId="0" applyFont="1" applyAlignment="1"/>
    <xf numFmtId="164" fontId="25" fillId="0" borderId="20" xfId="5" applyNumberFormat="1" applyFont="1" applyFill="1" applyBorder="1" applyAlignment="1" applyProtection="1">
      <alignment vertical="center"/>
      <protection locked="0"/>
    </xf>
    <xf numFmtId="164" fontId="25" fillId="0" borderId="19" xfId="5" applyNumberFormat="1" applyFont="1" applyFill="1" applyBorder="1" applyAlignment="1" applyProtection="1">
      <alignment vertical="center"/>
      <protection locked="0"/>
    </xf>
    <xf numFmtId="164" fontId="25" fillId="0" borderId="31" xfId="5" applyNumberFormat="1" applyFont="1" applyFill="1" applyBorder="1" applyAlignment="1" applyProtection="1">
      <alignment vertical="center"/>
      <protection locked="0"/>
    </xf>
    <xf numFmtId="0" fontId="33" fillId="0" borderId="2" xfId="0" applyFont="1" applyFill="1" applyBorder="1" applyAlignment="1" applyProtection="1">
      <alignment horizontal="left" vertical="center" indent="1"/>
      <protection locked="0"/>
    </xf>
    <xf numFmtId="3" fontId="33" fillId="0" borderId="2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3" fillId="0" borderId="32" xfId="0" applyFont="1" applyFill="1" applyBorder="1" applyAlignment="1" applyProtection="1">
      <alignment horizontal="left" vertical="center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3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5" fillId="8" borderId="4" xfId="5" applyFont="1" applyFill="1" applyBorder="1" applyAlignment="1" applyProtection="1">
      <alignment horizontal="left" vertical="center" indent="1"/>
    </xf>
    <xf numFmtId="164" fontId="25" fillId="8" borderId="4" xfId="5" applyNumberFormat="1" applyFont="1" applyFill="1" applyBorder="1" applyAlignment="1" applyProtection="1">
      <alignment vertical="center"/>
      <protection locked="0"/>
    </xf>
    <xf numFmtId="164" fontId="25" fillId="8" borderId="31" xfId="5" applyNumberFormat="1" applyFont="1" applyFill="1" applyBorder="1" applyAlignment="1" applyProtection="1">
      <alignment vertical="center"/>
    </xf>
    <xf numFmtId="0" fontId="25" fillId="8" borderId="2" xfId="5" applyFont="1" applyFill="1" applyBorder="1" applyAlignment="1" applyProtection="1">
      <alignment horizontal="left" vertical="center" wrapText="1" indent="1"/>
    </xf>
    <xf numFmtId="164" fontId="25" fillId="8" borderId="2" xfId="5" applyNumberFormat="1" applyFont="1" applyFill="1" applyBorder="1" applyAlignment="1" applyProtection="1">
      <alignment vertical="center"/>
      <protection locked="0"/>
    </xf>
    <xf numFmtId="164" fontId="25" fillId="8" borderId="19" xfId="5" applyNumberFormat="1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horizontal="left" vertical="center" indent="1"/>
      <protection locked="0"/>
    </xf>
    <xf numFmtId="3" fontId="3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3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3" fillId="0" borderId="3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34" xfId="4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</xf>
    <xf numFmtId="164" fontId="21" fillId="0" borderId="78" xfId="0" applyNumberFormat="1" applyFont="1" applyFill="1" applyBorder="1" applyAlignment="1" applyProtection="1">
      <alignment horizontal="right" vertical="center" wrapText="1" indent="1"/>
    </xf>
    <xf numFmtId="164" fontId="21" fillId="0" borderId="6" xfId="0" applyNumberFormat="1" applyFont="1" applyFill="1" applyBorder="1" applyAlignment="1" applyProtection="1">
      <alignment horizontal="right" vertical="center" wrapText="1" indent="1"/>
    </xf>
    <xf numFmtId="164" fontId="3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7" fillId="0" borderId="67" xfId="0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vertical="center" wrapTex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</xf>
    <xf numFmtId="0" fontId="11" fillId="0" borderId="79" xfId="0" applyFont="1" applyFill="1" applyBorder="1" applyAlignment="1" applyProtection="1">
      <alignment vertical="center"/>
    </xf>
    <xf numFmtId="0" fontId="11" fillId="0" borderId="8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164" fontId="7" fillId="0" borderId="60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Border="1" applyAlignment="1" applyProtection="1">
      <alignment horizontal="right" vertical="center" wrapText="1" indent="1"/>
      <protection locked="0"/>
    </xf>
    <xf numFmtId="0" fontId="74" fillId="0" borderId="64" xfId="0" applyFont="1" applyBorder="1" applyAlignment="1" applyProtection="1">
      <alignment horizontal="right" vertical="center" wrapText="1" indent="1"/>
      <protection locked="0"/>
    </xf>
    <xf numFmtId="0" fontId="74" fillId="0" borderId="42" xfId="0" applyFont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Border="1" applyAlignment="1" applyProtection="1">
      <alignment horizontal="right" vertical="center" wrapText="1" indent="1"/>
    </xf>
    <xf numFmtId="0" fontId="53" fillId="0" borderId="46" xfId="0" quotePrefix="1" applyFont="1" applyBorder="1" applyAlignment="1" applyProtection="1">
      <alignment horizontal="right" vertical="center" wrapText="1" indent="1"/>
      <protection locked="0"/>
    </xf>
    <xf numFmtId="164" fontId="36" fillId="0" borderId="46" xfId="4" applyNumberFormat="1" applyFont="1" applyFill="1" applyBorder="1" applyAlignment="1" applyProtection="1">
      <alignment horizontal="right" vertical="center" wrapText="1" indent="1"/>
    </xf>
    <xf numFmtId="164" fontId="1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31" xfId="0" applyFont="1" applyBorder="1" applyAlignment="1" applyProtection="1">
      <alignment horizontal="right" vertical="center" wrapText="1" indent="1"/>
      <protection locked="0"/>
    </xf>
    <xf numFmtId="0" fontId="74" fillId="0" borderId="19" xfId="0" applyFont="1" applyBorder="1" applyAlignment="1" applyProtection="1">
      <alignment horizontal="right" vertical="center" wrapText="1" indent="1"/>
      <protection locked="0"/>
    </xf>
    <xf numFmtId="0" fontId="74" fillId="0" borderId="21" xfId="0" applyFont="1" applyBorder="1" applyAlignment="1" applyProtection="1">
      <alignment horizontal="right" vertical="center" wrapText="1" indent="1"/>
      <protection locked="0"/>
    </xf>
    <xf numFmtId="0" fontId="53" fillId="0" borderId="23" xfId="0" quotePrefix="1" applyFont="1" applyBorder="1" applyAlignment="1" applyProtection="1">
      <alignment horizontal="right" vertical="center" wrapText="1" indent="1"/>
      <protection locked="0"/>
    </xf>
    <xf numFmtId="164" fontId="32" fillId="0" borderId="46" xfId="0" applyNumberFormat="1" applyFont="1" applyFill="1" applyBorder="1" applyAlignment="1" applyProtection="1">
      <alignment horizontal="center" vertical="center" wrapText="1"/>
    </xf>
    <xf numFmtId="164" fontId="32" fillId="0" borderId="23" xfId="0" applyNumberFormat="1" applyFont="1" applyFill="1" applyBorder="1" applyAlignment="1" applyProtection="1">
      <alignment horizontal="center" vertical="center" wrapText="1"/>
    </xf>
    <xf numFmtId="0" fontId="30" fillId="0" borderId="69" xfId="0" applyFont="1" applyFill="1" applyBorder="1" applyAlignment="1" applyProtection="1">
      <alignment horizontal="left" vertical="center" wrapText="1" indent="1"/>
    </xf>
    <xf numFmtId="0" fontId="30" fillId="0" borderId="52" xfId="0" applyFont="1" applyFill="1" applyBorder="1" applyAlignment="1" applyProtection="1">
      <alignment horizontal="left" vertical="center" wrapText="1" indent="1"/>
    </xf>
    <xf numFmtId="0" fontId="30" fillId="0" borderId="62" xfId="0" applyFont="1" applyFill="1" applyBorder="1" applyAlignment="1" applyProtection="1">
      <alignment horizontal="left" vertical="center" wrapText="1" indent="1"/>
    </xf>
    <xf numFmtId="0" fontId="51" fillId="0" borderId="69" xfId="0" applyFont="1" applyFill="1" applyBorder="1" applyAlignment="1" applyProtection="1">
      <alignment horizontal="left" vertical="center" wrapText="1" indent="1"/>
    </xf>
    <xf numFmtId="0" fontId="51" fillId="0" borderId="55" xfId="0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164" fontId="7" fillId="0" borderId="34" xfId="0" applyNumberFormat="1" applyFont="1" applyFill="1" applyBorder="1" applyAlignment="1" applyProtection="1">
      <alignment horizontal="right" vertical="center" wrapText="1" indent="1"/>
    </xf>
    <xf numFmtId="0" fontId="53" fillId="0" borderId="84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top" wrapText="1"/>
    </xf>
    <xf numFmtId="0" fontId="74" fillId="0" borderId="25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top" wrapText="1"/>
    </xf>
    <xf numFmtId="0" fontId="74" fillId="0" borderId="73" xfId="0" applyFont="1" applyBorder="1" applyAlignment="1">
      <alignment horizontal="center" vertical="top" wrapText="1"/>
    </xf>
    <xf numFmtId="0" fontId="74" fillId="0" borderId="30" xfId="0" applyFont="1" applyBorder="1" applyAlignment="1">
      <alignment horizontal="center" vertical="top" wrapText="1"/>
    </xf>
    <xf numFmtId="0" fontId="53" fillId="0" borderId="30" xfId="0" applyFont="1" applyBorder="1" applyAlignment="1">
      <alignment horizontal="center" vertical="top" wrapText="1"/>
    </xf>
    <xf numFmtId="0" fontId="74" fillId="0" borderId="30" xfId="0" applyFont="1" applyBorder="1" applyAlignment="1">
      <alignment vertical="top" wrapText="1"/>
    </xf>
    <xf numFmtId="0" fontId="74" fillId="0" borderId="66" xfId="0" applyFont="1" applyBorder="1" applyAlignment="1">
      <alignment vertical="top" wrapText="1"/>
    </xf>
    <xf numFmtId="0" fontId="74" fillId="0" borderId="66" xfId="0" applyFont="1" applyBorder="1" applyAlignment="1">
      <alignment horizontal="center" vertical="top" wrapText="1"/>
    </xf>
    <xf numFmtId="0" fontId="34" fillId="0" borderId="18" xfId="5" applyFont="1" applyFill="1" applyBorder="1" applyAlignment="1" applyProtection="1">
      <alignment horizontal="center" vertical="center" wrapText="1"/>
    </xf>
    <xf numFmtId="0" fontId="34" fillId="0" borderId="34" xfId="5" applyFont="1" applyFill="1" applyBorder="1" applyAlignment="1" applyProtection="1">
      <alignment horizontal="center" vertical="center" wrapText="1"/>
    </xf>
    <xf numFmtId="0" fontId="4" fillId="0" borderId="0" xfId="10" applyFill="1"/>
    <xf numFmtId="0" fontId="76" fillId="0" borderId="0" xfId="10" applyFont="1"/>
    <xf numFmtId="49" fontId="76" fillId="0" borderId="0" xfId="10" applyNumberFormat="1" applyFont="1"/>
    <xf numFmtId="0" fontId="4" fillId="0" borderId="0" xfId="10" applyFill="1" applyAlignment="1"/>
    <xf numFmtId="3" fontId="53" fillId="0" borderId="23" xfId="10" applyNumberFormat="1" applyFont="1" applyFill="1" applyBorder="1" applyAlignment="1">
      <alignment horizontal="center" vertical="center" wrapText="1"/>
    </xf>
    <xf numFmtId="0" fontId="21" fillId="0" borderId="0" xfId="10" applyFont="1" applyFill="1" applyAlignment="1">
      <alignment vertical="center"/>
    </xf>
    <xf numFmtId="3" fontId="53" fillId="0" borderId="22" xfId="10" applyNumberFormat="1" applyFont="1" applyFill="1" applyBorder="1" applyAlignment="1">
      <alignment horizontal="right" wrapText="1"/>
    </xf>
    <xf numFmtId="49" fontId="74" fillId="0" borderId="2" xfId="10" applyNumberFormat="1" applyFont="1" applyFill="1" applyBorder="1" applyAlignment="1">
      <alignment horizontal="center" vertical="center" wrapText="1"/>
    </xf>
    <xf numFmtId="0" fontId="74" fillId="0" borderId="2" xfId="10" applyFont="1" applyFill="1" applyBorder="1" applyAlignment="1">
      <alignment horizontal="left" vertical="center" wrapText="1"/>
    </xf>
    <xf numFmtId="0" fontId="75" fillId="0" borderId="2" xfId="10" applyFont="1" applyFill="1" applyBorder="1" applyAlignment="1">
      <alignment horizontal="left" vertical="center" wrapText="1" indent="3"/>
    </xf>
    <xf numFmtId="49" fontId="74" fillId="0" borderId="2" xfId="10" applyNumberFormat="1" applyFont="1" applyBorder="1" applyAlignment="1">
      <alignment horizontal="right" vertical="center" wrapText="1"/>
    </xf>
    <xf numFmtId="0" fontId="75" fillId="0" borderId="2" xfId="10" applyFont="1" applyBorder="1" applyAlignment="1">
      <alignment horizontal="left" vertical="center" wrapText="1" indent="3"/>
    </xf>
    <xf numFmtId="3" fontId="75" fillId="0" borderId="19" xfId="10" applyNumberFormat="1" applyFont="1" applyFill="1" applyBorder="1" applyAlignment="1">
      <alignment horizontal="right" vertical="center"/>
    </xf>
    <xf numFmtId="49" fontId="74" fillId="0" borderId="2" xfId="10" applyNumberFormat="1" applyFont="1" applyBorder="1" applyAlignment="1">
      <alignment horizontal="center" vertical="center" wrapText="1"/>
    </xf>
    <xf numFmtId="0" fontId="74" fillId="0" borderId="2" xfId="10" applyFont="1" applyBorder="1" applyAlignment="1">
      <alignment horizontal="justify" vertical="center" wrapText="1"/>
    </xf>
    <xf numFmtId="3" fontId="74" fillId="0" borderId="19" xfId="10" applyNumberFormat="1" applyFont="1" applyFill="1" applyBorder="1" applyAlignment="1">
      <alignment horizontal="right" vertical="center"/>
    </xf>
    <xf numFmtId="0" fontId="74" fillId="0" borderId="7" xfId="10" applyFont="1" applyFill="1" applyBorder="1" applyAlignment="1">
      <alignment horizontal="center" vertical="center" wrapText="1"/>
    </xf>
    <xf numFmtId="49" fontId="74" fillId="0" borderId="62" xfId="10" applyNumberFormat="1" applyFont="1" applyBorder="1" applyAlignment="1">
      <alignment horizontal="center" vertical="center" wrapText="1"/>
    </xf>
    <xf numFmtId="0" fontId="74" fillId="0" borderId="63" xfId="10" applyFont="1" applyBorder="1" applyAlignment="1">
      <alignment horizontal="justify" vertical="center" wrapText="1"/>
    </xf>
    <xf numFmtId="3" fontId="74" fillId="0" borderId="21" xfId="10" applyNumberFormat="1" applyFont="1" applyFill="1" applyBorder="1" applyAlignment="1">
      <alignment horizontal="right" vertical="center"/>
    </xf>
    <xf numFmtId="0" fontId="77" fillId="0" borderId="2" xfId="10" applyFont="1" applyBorder="1" applyAlignment="1">
      <alignment horizontal="center" wrapText="1"/>
    </xf>
    <xf numFmtId="3" fontId="53" fillId="0" borderId="19" xfId="10" applyNumberFormat="1" applyFont="1" applyFill="1" applyBorder="1" applyAlignment="1">
      <alignment horizontal="right" vertical="center"/>
    </xf>
    <xf numFmtId="3" fontId="4" fillId="0" borderId="0" xfId="10" applyNumberFormat="1" applyFill="1"/>
    <xf numFmtId="3" fontId="53" fillId="0" borderId="22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horizontal="right" vertical="center" wrapText="1"/>
    </xf>
    <xf numFmtId="0" fontId="94" fillId="0" borderId="2" xfId="10" applyFont="1" applyBorder="1" applyAlignment="1">
      <alignment horizontal="left" vertical="center" wrapText="1" indent="3"/>
    </xf>
    <xf numFmtId="3" fontId="94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/>
    <xf numFmtId="0" fontId="4" fillId="0" borderId="0" xfId="10" applyFont="1" applyFill="1"/>
    <xf numFmtId="49" fontId="53" fillId="0" borderId="2" xfId="10" applyNumberFormat="1" applyFont="1" applyBorder="1" applyAlignment="1">
      <alignment horizontal="center" vertical="center" wrapText="1"/>
    </xf>
    <xf numFmtId="0" fontId="53" fillId="0" borderId="55" xfId="10" applyFont="1" applyBorder="1" applyAlignment="1">
      <alignment vertical="center" wrapText="1"/>
    </xf>
    <xf numFmtId="0" fontId="97" fillId="0" borderId="2" xfId="10" applyFont="1" applyBorder="1" applyAlignment="1">
      <alignment horizontal="left" vertical="center" wrapText="1" indent="3"/>
    </xf>
    <xf numFmtId="3" fontId="97" fillId="0" borderId="19" xfId="10" applyNumberFormat="1" applyFont="1" applyFill="1" applyBorder="1" applyAlignment="1">
      <alignment horizontal="right" vertical="center"/>
    </xf>
    <xf numFmtId="0" fontId="95" fillId="0" borderId="0" xfId="10" applyFont="1" applyFill="1" applyAlignment="1" applyProtection="1">
      <alignment vertical="center"/>
    </xf>
    <xf numFmtId="0" fontId="53" fillId="0" borderId="2" xfId="10" applyFont="1" applyBorder="1" applyAlignment="1">
      <alignment horizontal="center" vertical="center" wrapText="1"/>
    </xf>
    <xf numFmtId="0" fontId="21" fillId="0" borderId="0" xfId="10" applyFont="1" applyFill="1"/>
    <xf numFmtId="3" fontId="76" fillId="0" borderId="19" xfId="10" applyNumberFormat="1" applyFont="1" applyFill="1" applyBorder="1" applyAlignment="1">
      <alignment horizontal="right" vertical="center"/>
    </xf>
    <xf numFmtId="49" fontId="93" fillId="0" borderId="2" xfId="10" applyNumberFormat="1" applyFont="1" applyBorder="1" applyAlignment="1">
      <alignment vertical="center" wrapText="1"/>
    </xf>
    <xf numFmtId="49" fontId="93" fillId="0" borderId="32" xfId="10" applyNumberFormat="1" applyFont="1" applyBorder="1" applyAlignment="1">
      <alignment vertical="center" wrapText="1"/>
    </xf>
    <xf numFmtId="0" fontId="94" fillId="0" borderId="32" xfId="10" applyFont="1" applyBorder="1" applyAlignment="1">
      <alignment horizontal="left" vertical="center" wrapText="1" indent="3"/>
    </xf>
    <xf numFmtId="3" fontId="94" fillId="0" borderId="21" xfId="10" applyNumberFormat="1" applyFont="1" applyFill="1" applyBorder="1" applyAlignment="1">
      <alignment horizontal="right" vertical="center"/>
    </xf>
    <xf numFmtId="3" fontId="77" fillId="0" borderId="23" xfId="10" applyNumberFormat="1" applyFont="1" applyFill="1" applyBorder="1" applyAlignment="1">
      <alignment horizontal="right" vertical="center"/>
    </xf>
    <xf numFmtId="0" fontId="53" fillId="0" borderId="5" xfId="10" applyFont="1" applyBorder="1" applyAlignment="1">
      <alignment horizontal="center" vertical="center" wrapText="1"/>
    </xf>
    <xf numFmtId="0" fontId="36" fillId="0" borderId="0" xfId="10" applyFont="1" applyFill="1"/>
    <xf numFmtId="3" fontId="77" fillId="0" borderId="19" xfId="10" applyNumberFormat="1" applyFont="1" applyFill="1" applyBorder="1" applyAlignment="1">
      <alignment horizontal="right" vertical="center"/>
    </xf>
    <xf numFmtId="49" fontId="76" fillId="0" borderId="2" xfId="10" applyNumberFormat="1" applyFont="1" applyBorder="1" applyAlignment="1">
      <alignment horizontal="center" vertical="center" wrapText="1"/>
    </xf>
    <xf numFmtId="0" fontId="76" fillId="0" borderId="2" xfId="10" applyFont="1" applyBorder="1" applyAlignment="1">
      <alignment horizontal="justify" vertical="center" wrapText="1"/>
    </xf>
    <xf numFmtId="0" fontId="77" fillId="0" borderId="68" xfId="10" applyFont="1" applyBorder="1" applyAlignment="1">
      <alignment horizontal="center" vertical="center" wrapText="1"/>
    </xf>
    <xf numFmtId="49" fontId="76" fillId="0" borderId="40" xfId="10" applyNumberFormat="1" applyFont="1" applyBorder="1" applyAlignment="1">
      <alignment horizontal="center" vertical="center" wrapText="1"/>
    </xf>
    <xf numFmtId="0" fontId="76" fillId="0" borderId="32" xfId="10" applyFont="1" applyBorder="1" applyAlignment="1">
      <alignment horizontal="justify" vertical="center" wrapText="1"/>
    </xf>
    <xf numFmtId="3" fontId="76" fillId="0" borderId="33" xfId="10" applyNumberFormat="1" applyFont="1" applyFill="1" applyBorder="1" applyAlignment="1">
      <alignment horizontal="right" vertical="center"/>
    </xf>
    <xf numFmtId="3" fontId="77" fillId="0" borderId="22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2"/>
    </xf>
    <xf numFmtId="3" fontId="83" fillId="0" borderId="19" xfId="10" applyNumberFormat="1" applyFont="1" applyFill="1" applyBorder="1" applyAlignment="1">
      <alignment horizontal="right" vertical="center"/>
    </xf>
    <xf numFmtId="0" fontId="83" fillId="0" borderId="2" xfId="10" applyFont="1" applyBorder="1" applyAlignment="1">
      <alignment horizontal="left" vertical="center" wrapText="1" indent="4"/>
    </xf>
    <xf numFmtId="49" fontId="76" fillId="0" borderId="7" xfId="10" applyNumberFormat="1" applyFont="1" applyBorder="1" applyAlignment="1">
      <alignment horizontal="center" vertical="center" wrapText="1"/>
    </xf>
    <xf numFmtId="0" fontId="83" fillId="0" borderId="7" xfId="10" applyFont="1" applyBorder="1" applyAlignment="1">
      <alignment horizontal="left" vertical="center" wrapText="1" indent="4"/>
    </xf>
    <xf numFmtId="3" fontId="83" fillId="0" borderId="21" xfId="10" applyNumberFormat="1" applyFont="1" applyFill="1" applyBorder="1" applyAlignment="1">
      <alignment horizontal="right" vertical="center"/>
    </xf>
    <xf numFmtId="0" fontId="77" fillId="0" borderId="0" xfId="10" applyFont="1" applyBorder="1" applyAlignment="1">
      <alignment horizontal="center" vertical="center" wrapText="1"/>
    </xf>
    <xf numFmtId="0" fontId="77" fillId="0" borderId="0" xfId="10" applyFont="1" applyBorder="1" applyAlignment="1">
      <alignment horizontal="left" vertical="center" wrapText="1"/>
    </xf>
    <xf numFmtId="49" fontId="77" fillId="0" borderId="0" xfId="10" applyNumberFormat="1" applyFont="1" applyBorder="1" applyAlignment="1">
      <alignment horizontal="left" vertical="center" wrapText="1"/>
    </xf>
    <xf numFmtId="3" fontId="77" fillId="0" borderId="0" xfId="10" applyNumberFormat="1" applyFont="1" applyFill="1" applyBorder="1" applyAlignment="1">
      <alignment horizontal="right" vertical="center"/>
    </xf>
    <xf numFmtId="3" fontId="77" fillId="0" borderId="25" xfId="10" applyNumberFormat="1" applyFont="1" applyFill="1" applyBorder="1" applyAlignment="1">
      <alignment horizontal="right" vertical="center"/>
    </xf>
    <xf numFmtId="49" fontId="77" fillId="0" borderId="0" xfId="10" applyNumberFormat="1" applyFont="1" applyBorder="1" applyAlignment="1">
      <alignment horizontal="center" vertical="center" wrapText="1"/>
    </xf>
    <xf numFmtId="0" fontId="77" fillId="0" borderId="0" xfId="10" applyFont="1" applyBorder="1" applyAlignment="1">
      <alignment horizontal="justify" vertical="center" wrapText="1"/>
    </xf>
    <xf numFmtId="0" fontId="77" fillId="0" borderId="13" xfId="10" applyFont="1" applyBorder="1" applyAlignment="1">
      <alignment horizontal="center" vertical="center"/>
    </xf>
    <xf numFmtId="0" fontId="77" fillId="0" borderId="8" xfId="10" applyFont="1" applyBorder="1" applyAlignment="1">
      <alignment horizontal="center" vertical="center"/>
    </xf>
    <xf numFmtId="3" fontId="77" fillId="0" borderId="20" xfId="10" applyNumberFormat="1" applyFont="1" applyFill="1" applyBorder="1" applyAlignment="1">
      <alignment horizontal="right" vertical="center"/>
    </xf>
    <xf numFmtId="0" fontId="77" fillId="0" borderId="9" xfId="10" applyFont="1" applyBorder="1" applyAlignment="1">
      <alignment horizontal="center" vertical="center"/>
    </xf>
    <xf numFmtId="0" fontId="77" fillId="0" borderId="14" xfId="10" applyFont="1" applyBorder="1" applyAlignment="1">
      <alignment horizontal="center" vertical="center"/>
    </xf>
    <xf numFmtId="3" fontId="53" fillId="0" borderId="33" xfId="10" applyNumberFormat="1" applyFont="1" applyFill="1" applyBorder="1" applyAlignment="1">
      <alignment horizontal="right" vertical="center"/>
    </xf>
    <xf numFmtId="49" fontId="4" fillId="0" borderId="0" xfId="10" applyNumberFormat="1" applyFill="1"/>
    <xf numFmtId="0" fontId="77" fillId="0" borderId="52" xfId="10" applyFont="1" applyBorder="1" applyAlignment="1">
      <alignment vertical="center" wrapText="1"/>
    </xf>
    <xf numFmtId="0" fontId="77" fillId="0" borderId="77" xfId="10" applyFont="1" applyBorder="1" applyAlignment="1">
      <alignment vertical="center" wrapText="1"/>
    </xf>
    <xf numFmtId="0" fontId="77" fillId="0" borderId="40" xfId="10" applyFont="1" applyBorder="1" applyAlignment="1">
      <alignment vertical="center" wrapText="1"/>
    </xf>
    <xf numFmtId="164" fontId="15" fillId="0" borderId="0" xfId="5" applyNumberFormat="1" applyFill="1" applyAlignment="1" applyProtection="1">
      <alignment vertical="center"/>
      <protection locked="0"/>
    </xf>
    <xf numFmtId="0" fontId="11" fillId="0" borderId="45" xfId="0" applyFont="1" applyFill="1" applyBorder="1" applyAlignment="1" applyProtection="1">
      <alignment horizontal="center" vertical="center" wrapText="1"/>
    </xf>
    <xf numFmtId="3" fontId="74" fillId="0" borderId="0" xfId="10" applyNumberFormat="1" applyFont="1" applyFill="1" applyBorder="1"/>
    <xf numFmtId="0" fontId="74" fillId="0" borderId="0" xfId="10" applyFont="1" applyFill="1"/>
    <xf numFmtId="3" fontId="74" fillId="0" borderId="4" xfId="11" applyNumberFormat="1" applyFont="1" applyFill="1" applyBorder="1" applyAlignment="1">
      <alignment horizontal="right" vertical="center"/>
    </xf>
    <xf numFmtId="3" fontId="74" fillId="0" borderId="4" xfId="10" applyNumberFormat="1" applyFont="1" applyFill="1" applyBorder="1" applyAlignment="1">
      <alignment horizontal="right" vertical="center"/>
    </xf>
    <xf numFmtId="49" fontId="74" fillId="0" borderId="54" xfId="11" applyNumberFormat="1" applyFont="1" applyFill="1" applyBorder="1" applyAlignment="1">
      <alignment vertical="center" wrapText="1"/>
    </xf>
    <xf numFmtId="3" fontId="74" fillId="0" borderId="2" xfId="11" applyNumberFormat="1" applyFont="1" applyFill="1" applyBorder="1" applyAlignment="1">
      <alignment horizontal="right" vertical="center"/>
    </xf>
    <xf numFmtId="3" fontId="74" fillId="0" borderId="2" xfId="10" applyNumberFormat="1" applyFont="1" applyFill="1" applyBorder="1" applyAlignment="1">
      <alignment horizontal="right" vertical="center"/>
    </xf>
    <xf numFmtId="49" fontId="74" fillId="0" borderId="41" xfId="11" applyNumberFormat="1" applyFont="1" applyFill="1" applyBorder="1" applyAlignment="1">
      <alignment vertical="center" wrapText="1"/>
    </xf>
    <xf numFmtId="3" fontId="74" fillId="0" borderId="7" xfId="11" applyNumberFormat="1" applyFont="1" applyFill="1" applyBorder="1" applyAlignment="1">
      <alignment horizontal="right" vertical="center"/>
    </xf>
    <xf numFmtId="3" fontId="74" fillId="0" borderId="7" xfId="10" applyNumberFormat="1" applyFont="1" applyFill="1" applyBorder="1" applyAlignment="1">
      <alignment horizontal="right" vertical="center"/>
    </xf>
    <xf numFmtId="3" fontId="53" fillId="0" borderId="16" xfId="10" applyNumberFormat="1" applyFont="1" applyFill="1" applyBorder="1" applyAlignment="1">
      <alignment horizontal="right" vertical="center"/>
    </xf>
    <xf numFmtId="0" fontId="53" fillId="0" borderId="15" xfId="1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74" fillId="0" borderId="2" xfId="0" applyFont="1" applyFill="1" applyBorder="1" applyAlignment="1">
      <alignment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74" fillId="0" borderId="4" xfId="7" applyFont="1" applyFill="1" applyBorder="1" applyAlignment="1">
      <alignment vertical="center" wrapText="1"/>
    </xf>
    <xf numFmtId="0" fontId="99" fillId="0" borderId="2" xfId="9" applyFont="1" applyBorder="1" applyAlignment="1">
      <alignment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10" borderId="2" xfId="0" applyNumberFormat="1" applyFont="1" applyFill="1" applyBorder="1" applyAlignment="1" applyProtection="1">
      <alignment horizontal="center" vertical="center" wrapText="1"/>
    </xf>
    <xf numFmtId="164" fontId="36" fillId="8" borderId="2" xfId="0" applyNumberFormat="1" applyFont="1" applyFill="1" applyBorder="1" applyAlignment="1" applyProtection="1">
      <alignment vertical="center" wrapText="1"/>
    </xf>
    <xf numFmtId="164" fontId="74" fillId="0" borderId="39" xfId="0" applyNumberFormat="1" applyFont="1" applyFill="1" applyBorder="1" applyAlignment="1">
      <alignment horizontal="left" vertical="center" wrapText="1"/>
    </xf>
    <xf numFmtId="164" fontId="74" fillId="0" borderId="54" xfId="0" applyNumberFormat="1" applyFont="1" applyFill="1" applyBorder="1" applyAlignment="1">
      <alignment horizontal="left" vertical="center" wrapText="1"/>
    </xf>
    <xf numFmtId="164" fontId="74" fillId="0" borderId="13" xfId="6" applyNumberFormat="1" applyFont="1" applyFill="1" applyBorder="1" applyAlignment="1">
      <alignment vertical="center" wrapText="1"/>
    </xf>
    <xf numFmtId="164" fontId="74" fillId="0" borderId="5" xfId="6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64" fontId="74" fillId="0" borderId="9" xfId="6" applyNumberFormat="1" applyFont="1" applyFill="1" applyBorder="1" applyAlignment="1">
      <alignment vertical="center" wrapText="1"/>
    </xf>
    <xf numFmtId="0" fontId="74" fillId="0" borderId="9" xfId="7" applyFont="1" applyFill="1" applyBorder="1" applyAlignment="1">
      <alignment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</xf>
    <xf numFmtId="0" fontId="1" fillId="0" borderId="0" xfId="23"/>
    <xf numFmtId="0" fontId="100" fillId="0" borderId="0" xfId="23" applyFont="1" applyAlignment="1">
      <alignment horizontal="center"/>
    </xf>
    <xf numFmtId="168" fontId="1" fillId="0" borderId="0" xfId="23" applyNumberFormat="1" applyAlignment="1">
      <alignment horizontal="right"/>
    </xf>
    <xf numFmtId="0" fontId="98" fillId="0" borderId="37" xfId="23" applyFont="1" applyBorder="1" applyAlignment="1">
      <alignment horizontal="center" vertical="center"/>
    </xf>
    <xf numFmtId="168" fontId="98" fillId="0" borderId="37" xfId="23" applyNumberFormat="1" applyFont="1" applyBorder="1" applyAlignment="1">
      <alignment horizontal="right" vertical="center"/>
    </xf>
    <xf numFmtId="0" fontId="99" fillId="0" borderId="25" xfId="23" applyFont="1" applyBorder="1" applyAlignment="1">
      <alignment horizontal="center" vertical="center"/>
    </xf>
    <xf numFmtId="0" fontId="99" fillId="0" borderId="38" xfId="23" applyFont="1" applyBorder="1" applyAlignment="1">
      <alignment horizontal="center" vertical="center"/>
    </xf>
    <xf numFmtId="0" fontId="99" fillId="0" borderId="38" xfId="23" applyFont="1" applyBorder="1" applyAlignment="1">
      <alignment vertical="center"/>
    </xf>
    <xf numFmtId="0" fontId="98" fillId="0" borderId="0" xfId="23" applyFont="1" applyAlignment="1">
      <alignment horizontal="justify" vertical="center"/>
    </xf>
    <xf numFmtId="0" fontId="100" fillId="0" borderId="0" xfId="23" applyFont="1" applyAlignment="1">
      <alignment horizontal="center" vertical="center"/>
    </xf>
    <xf numFmtId="0" fontId="99" fillId="0" borderId="25" xfId="23" applyFont="1" applyBorder="1" applyAlignment="1">
      <alignment vertical="center"/>
    </xf>
    <xf numFmtId="0" fontId="99" fillId="0" borderId="45" xfId="23" applyFont="1" applyBorder="1" applyAlignment="1">
      <alignment horizontal="center" vertical="center"/>
    </xf>
    <xf numFmtId="0" fontId="99" fillId="0" borderId="73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99" fillId="0" borderId="47" xfId="23" applyFont="1" applyBorder="1" applyAlignment="1">
      <alignment horizontal="center" vertical="center"/>
    </xf>
    <xf numFmtId="0" fontId="99" fillId="0" borderId="37" xfId="23" applyFont="1" applyBorder="1" applyAlignment="1">
      <alignment horizontal="center" vertical="center"/>
    </xf>
    <xf numFmtId="0" fontId="99" fillId="0" borderId="66" xfId="23" applyFont="1" applyBorder="1" applyAlignment="1">
      <alignment horizontal="justify" vertical="center"/>
    </xf>
    <xf numFmtId="0" fontId="99" fillId="0" borderId="50" xfId="23" applyFont="1" applyBorder="1" applyAlignment="1">
      <alignment horizontal="center" vertical="center"/>
    </xf>
    <xf numFmtId="0" fontId="99" fillId="0" borderId="60" xfId="23" applyFont="1" applyBorder="1" applyAlignment="1">
      <alignment horizontal="center" vertical="center"/>
    </xf>
    <xf numFmtId="0" fontId="99" fillId="0" borderId="73" xfId="23" applyFont="1" applyBorder="1" applyAlignment="1">
      <alignment vertical="center"/>
    </xf>
    <xf numFmtId="0" fontId="99" fillId="0" borderId="26" xfId="23" applyFont="1" applyBorder="1" applyAlignment="1">
      <alignment horizontal="center" vertical="center"/>
    </xf>
    <xf numFmtId="0" fontId="99" fillId="0" borderId="64" xfId="23" applyFont="1" applyBorder="1" applyAlignment="1">
      <alignment horizontal="center" vertical="center"/>
    </xf>
    <xf numFmtId="0" fontId="99" fillId="0" borderId="26" xfId="23" applyFont="1" applyBorder="1" applyAlignment="1">
      <alignment vertical="center"/>
    </xf>
    <xf numFmtId="0" fontId="99" fillId="0" borderId="71" xfId="23" applyFont="1" applyBorder="1" applyAlignment="1">
      <alignment horizontal="center" vertical="center"/>
    </xf>
    <xf numFmtId="0" fontId="99" fillId="0" borderId="42" xfId="23" applyFont="1" applyBorder="1" applyAlignment="1">
      <alignment horizontal="center" vertical="center"/>
    </xf>
    <xf numFmtId="0" fontId="99" fillId="0" borderId="27" xfId="23" applyFont="1" applyBorder="1" applyAlignment="1">
      <alignment horizontal="center" vertical="center"/>
    </xf>
    <xf numFmtId="0" fontId="99" fillId="0" borderId="27" xfId="23" applyFont="1" applyBorder="1" applyAlignment="1">
      <alignment vertical="center"/>
    </xf>
    <xf numFmtId="0" fontId="99" fillId="0" borderId="25" xfId="23" applyFont="1" applyFill="1" applyBorder="1" applyAlignment="1">
      <alignment vertical="center"/>
    </xf>
    <xf numFmtId="0" fontId="99" fillId="0" borderId="25" xfId="23" applyFont="1" applyFill="1" applyBorder="1" applyAlignment="1">
      <alignment horizontal="center" vertical="center"/>
    </xf>
    <xf numFmtId="0" fontId="1" fillId="0" borderId="25" xfId="23" applyFont="1" applyBorder="1" applyAlignment="1">
      <alignment horizontal="center"/>
    </xf>
    <xf numFmtId="164" fontId="74" fillId="0" borderId="0" xfId="23" applyNumberFormat="1" applyFont="1" applyFill="1" applyBorder="1" applyAlignment="1">
      <alignment horizontal="left" vertical="center" wrapText="1"/>
    </xf>
    <xf numFmtId="164" fontId="74" fillId="0" borderId="0" xfId="2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3" applyBorder="1"/>
    <xf numFmtId="168" fontId="99" fillId="8" borderId="38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horizontal="right" vertical="center"/>
    </xf>
    <xf numFmtId="168" fontId="99" fillId="8" borderId="25" xfId="23" applyNumberFormat="1" applyFont="1" applyFill="1" applyBorder="1" applyAlignment="1">
      <alignment vertical="center"/>
    </xf>
    <xf numFmtId="0" fontId="1" fillId="8" borderId="25" xfId="23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26" xfId="23" applyNumberFormat="1" applyFont="1" applyFill="1" applyBorder="1" applyAlignment="1">
      <alignment horizontal="right" vertical="center"/>
    </xf>
    <xf numFmtId="168" fontId="99" fillId="8" borderId="71" xfId="23" applyNumberFormat="1" applyFont="1" applyFill="1" applyBorder="1" applyAlignment="1">
      <alignment horizontal="right" vertical="center"/>
    </xf>
    <xf numFmtId="168" fontId="1" fillId="8" borderId="38" xfId="23" applyNumberFormat="1" applyFont="1" applyFill="1" applyBorder="1" applyAlignment="1">
      <alignment horizontal="right"/>
    </xf>
    <xf numFmtId="0" fontId="33" fillId="0" borderId="8" xfId="0" applyFont="1" applyBorder="1" applyAlignment="1" applyProtection="1">
      <alignment horizontal="right" vertical="center" indent="1"/>
    </xf>
    <xf numFmtId="3" fontId="33" fillId="0" borderId="21" xfId="0" applyNumberFormat="1" applyFont="1" applyFill="1" applyBorder="1" applyAlignment="1" applyProtection="1">
      <alignment horizontal="right" vertical="center" indent="1"/>
      <protection locked="0"/>
    </xf>
    <xf numFmtId="0" fontId="33" fillId="0" borderId="14" xfId="0" applyFont="1" applyBorder="1" applyAlignment="1" applyProtection="1">
      <alignment horizontal="right" vertical="center" indent="1"/>
    </xf>
    <xf numFmtId="0" fontId="77" fillId="0" borderId="29" xfId="10" applyFont="1" applyBorder="1" applyAlignment="1">
      <alignment horizontal="center" wrapText="1"/>
    </xf>
    <xf numFmtId="0" fontId="77" fillId="0" borderId="78" xfId="10" applyFont="1" applyBorder="1" applyAlignment="1">
      <alignment horizontal="left" vertical="center" wrapText="1"/>
    </xf>
    <xf numFmtId="3" fontId="53" fillId="0" borderId="25" xfId="10" applyNumberFormat="1" applyFont="1" applyFill="1" applyBorder="1" applyAlignment="1">
      <alignment horizontal="center" vertical="center" wrapText="1"/>
    </xf>
    <xf numFmtId="3" fontId="74" fillId="0" borderId="19" xfId="10" applyNumberFormat="1" applyFont="1" applyFill="1" applyBorder="1" applyAlignment="1">
      <alignment horizontal="right" vertical="center" wrapText="1"/>
    </xf>
    <xf numFmtId="3" fontId="75" fillId="0" borderId="19" xfId="10" applyNumberFormat="1" applyFont="1" applyFill="1" applyBorder="1" applyAlignment="1">
      <alignment horizontal="right" vertical="center" wrapText="1"/>
    </xf>
    <xf numFmtId="164" fontId="105" fillId="0" borderId="45" xfId="23" applyNumberFormat="1" applyFont="1" applyFill="1" applyBorder="1" applyAlignment="1">
      <alignment horizontal="left" vertical="center" wrapText="1"/>
    </xf>
    <xf numFmtId="164" fontId="105" fillId="0" borderId="46" xfId="23" applyNumberFormat="1" applyFont="1" applyFill="1" applyBorder="1" applyAlignment="1" applyProtection="1">
      <alignment horizontal="center" vertical="center" wrapText="1"/>
      <protection locked="0"/>
    </xf>
    <xf numFmtId="0" fontId="98" fillId="0" borderId="46" xfId="23" applyFont="1" applyBorder="1"/>
    <xf numFmtId="168" fontId="98" fillId="0" borderId="38" xfId="23" applyNumberFormat="1" applyFont="1" applyBorder="1" applyAlignment="1">
      <alignment horizontal="right"/>
    </xf>
    <xf numFmtId="49" fontId="25" fillId="0" borderId="69" xfId="4" applyNumberFormat="1" applyFont="1" applyFill="1" applyBorder="1" applyAlignment="1" applyProtection="1">
      <alignment horizontal="left" vertical="center" wrapText="1" indent="1"/>
    </xf>
    <xf numFmtId="49" fontId="25" fillId="0" borderId="55" xfId="4" applyNumberFormat="1" applyFont="1" applyFill="1" applyBorder="1" applyAlignment="1" applyProtection="1">
      <alignment horizontal="left" vertical="center" wrapText="1" indent="1"/>
    </xf>
    <xf numFmtId="49" fontId="25" fillId="0" borderId="62" xfId="4" applyNumberFormat="1" applyFont="1" applyFill="1" applyBorder="1" applyAlignment="1" applyProtection="1">
      <alignment horizontal="left" vertical="center" wrapText="1" indent="1"/>
    </xf>
    <xf numFmtId="0" fontId="23" fillId="0" borderId="67" xfId="4" applyFont="1" applyFill="1" applyBorder="1" applyAlignment="1" applyProtection="1">
      <alignment horizontal="left" vertical="center" wrapText="1" indent="1"/>
    </xf>
    <xf numFmtId="49" fontId="25" fillId="0" borderId="61" xfId="4" applyNumberFormat="1" applyFont="1" applyFill="1" applyBorder="1" applyAlignment="1" applyProtection="1">
      <alignment horizontal="left" vertical="center" wrapText="1" indent="1"/>
    </xf>
    <xf numFmtId="49" fontId="25" fillId="0" borderId="52" xfId="4" applyNumberFormat="1" applyFont="1" applyFill="1" applyBorder="1" applyAlignment="1" applyProtection="1">
      <alignment horizontal="left" vertical="center" wrapText="1" indent="1"/>
    </xf>
    <xf numFmtId="0" fontId="12" fillId="0" borderId="35" xfId="0" applyFont="1" applyFill="1" applyBorder="1" applyAlignment="1" applyProtection="1">
      <alignment vertical="center" wrapText="1"/>
    </xf>
    <xf numFmtId="49" fontId="25" fillId="0" borderId="35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Fill="1" applyBorder="1" applyAlignment="1" applyProtection="1">
      <alignment horizontal="center" vertical="center" wrapText="1"/>
    </xf>
    <xf numFmtId="0" fontId="32" fillId="0" borderId="45" xfId="4" applyFont="1" applyFill="1" applyBorder="1" applyAlignment="1" applyProtection="1">
      <alignment horizontal="left" vertical="center" wrapText="1" indent="1"/>
    </xf>
    <xf numFmtId="0" fontId="25" fillId="0" borderId="70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vertical="center" wrapText="1" indent="1"/>
    </xf>
    <xf numFmtId="0" fontId="25" fillId="0" borderId="54" xfId="4" applyFont="1" applyFill="1" applyBorder="1" applyAlignment="1" applyProtection="1">
      <alignment horizontal="left" indent="7"/>
    </xf>
    <xf numFmtId="0" fontId="30" fillId="0" borderId="54" xfId="0" applyFont="1" applyFill="1" applyBorder="1" applyAlignment="1" applyProtection="1">
      <alignment horizontal="left" vertical="center" wrapText="1" indent="6"/>
    </xf>
    <xf numFmtId="0" fontId="25" fillId="0" borderId="53" xfId="4" applyFont="1" applyFill="1" applyBorder="1" applyAlignment="1" applyProtection="1">
      <alignment horizontal="left" vertical="center" wrapText="1" indent="6"/>
    </xf>
    <xf numFmtId="0" fontId="25" fillId="0" borderId="54" xfId="4" applyFont="1" applyFill="1" applyBorder="1" applyAlignment="1" applyProtection="1">
      <alignment horizontal="left" vertical="center" wrapText="1" indent="6"/>
    </xf>
    <xf numFmtId="0" fontId="25" fillId="0" borderId="39" xfId="4" applyFont="1" applyFill="1" applyBorder="1" applyAlignment="1" applyProtection="1">
      <alignment horizontal="left" vertical="center" wrapText="1" indent="6"/>
    </xf>
    <xf numFmtId="0" fontId="30" fillId="0" borderId="70" xfId="0" applyFont="1" applyFill="1" applyBorder="1" applyAlignment="1" applyProtection="1">
      <alignment horizontal="left" vertical="center" wrapText="1" indent="1"/>
    </xf>
    <xf numFmtId="0" fontId="30" fillId="0" borderId="54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6"/>
    </xf>
    <xf numFmtId="0" fontId="31" fillId="0" borderId="56" xfId="0" applyFont="1" applyFill="1" applyBorder="1" applyAlignment="1" applyProtection="1">
      <alignment horizontal="left" vertical="center" wrapText="1" indent="1"/>
    </xf>
    <xf numFmtId="0" fontId="30" fillId="0" borderId="39" xfId="0" applyFont="1" applyFill="1" applyBorder="1" applyAlignment="1" applyProtection="1">
      <alignment horizontal="left" vertical="center" wrapText="1" indent="1"/>
    </xf>
    <xf numFmtId="0" fontId="31" fillId="0" borderId="79" xfId="0" applyFont="1" applyFill="1" applyBorder="1" applyAlignment="1" applyProtection="1">
      <alignment horizontal="left" vertical="center" wrapText="1" indent="1"/>
    </xf>
    <xf numFmtId="0" fontId="31" fillId="0" borderId="45" xfId="0" applyFont="1" applyFill="1" applyBorder="1" applyAlignment="1" applyProtection="1">
      <alignment horizontal="left" vertical="center" wrapText="1" indent="1"/>
    </xf>
    <xf numFmtId="0" fontId="30" fillId="0" borderId="79" xfId="0" applyFont="1" applyFill="1" applyBorder="1" applyAlignment="1" applyProtection="1">
      <alignment horizontal="left" vertical="center" wrapText="1" indent="1"/>
    </xf>
    <xf numFmtId="0" fontId="43" fillId="0" borderId="60" xfId="0" applyFont="1" applyBorder="1" applyAlignment="1" applyProtection="1">
      <alignment horizontal="center" wrapText="1"/>
    </xf>
    <xf numFmtId="0" fontId="25" fillId="0" borderId="53" xfId="4" applyFont="1" applyFill="1" applyBorder="1" applyAlignment="1" applyProtection="1">
      <alignment horizontal="left" vertical="center" wrapText="1" indent="1"/>
    </xf>
    <xf numFmtId="0" fontId="32" fillId="0" borderId="85" xfId="4" applyFont="1" applyFill="1" applyBorder="1" applyAlignment="1" applyProtection="1">
      <alignment horizontal="left" vertical="center" wrapText="1" indent="1"/>
    </xf>
    <xf numFmtId="0" fontId="11" fillId="0" borderId="45" xfId="0" applyFont="1" applyFill="1" applyBorder="1" applyAlignment="1" applyProtection="1">
      <alignment horizontal="left" vertical="center" wrapText="1" indent="1"/>
    </xf>
    <xf numFmtId="0" fontId="21" fillId="0" borderId="37" xfId="0" applyFont="1" applyFill="1" applyBorder="1" applyAlignment="1">
      <alignment horizontal="right" vertical="center"/>
    </xf>
    <xf numFmtId="0" fontId="46" fillId="0" borderId="0" xfId="0" applyFont="1" applyBorder="1" applyAlignment="1" applyProtection="1">
      <alignment horizontal="right" vertical="top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164" fontId="3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0" applyFont="1" applyFill="1" applyBorder="1" applyAlignment="1" applyProtection="1">
      <alignment horizontal="center" vertical="center"/>
    </xf>
    <xf numFmtId="164" fontId="7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5" xfId="0" applyNumberFormat="1" applyFont="1" applyFill="1" applyBorder="1" applyAlignment="1" applyProtection="1">
      <alignment horizontal="right" vertical="center" wrapText="1" indent="1"/>
    </xf>
    <xf numFmtId="3" fontId="74" fillId="0" borderId="55" xfId="10" applyNumberFormat="1" applyFont="1" applyFill="1" applyBorder="1" applyAlignment="1">
      <alignment horizontal="right" vertical="center"/>
    </xf>
    <xf numFmtId="3" fontId="53" fillId="0" borderId="35" xfId="10" applyNumberFormat="1" applyFont="1" applyFill="1" applyBorder="1" applyAlignment="1">
      <alignment horizontal="right" vertical="center"/>
    </xf>
    <xf numFmtId="49" fontId="74" fillId="0" borderId="53" xfId="11" applyNumberFormat="1" applyFont="1" applyFill="1" applyBorder="1" applyAlignment="1">
      <alignment vertical="center" wrapText="1"/>
    </xf>
    <xf numFmtId="3" fontId="74" fillId="0" borderId="69" xfId="10" applyNumberFormat="1" applyFont="1" applyFill="1" applyBorder="1" applyAlignment="1">
      <alignment horizontal="right" vertical="center"/>
    </xf>
    <xf numFmtId="164" fontId="36" fillId="9" borderId="2" xfId="10" applyNumberFormat="1" applyFont="1" applyFill="1" applyBorder="1" applyAlignment="1" applyProtection="1">
      <alignment horizontal="center" vertical="center" wrapText="1"/>
    </xf>
    <xf numFmtId="3" fontId="53" fillId="9" borderId="2" xfId="1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 applyProtection="1">
      <alignment horizontal="center" vertical="center" wrapText="1"/>
    </xf>
    <xf numFmtId="164" fontId="36" fillId="0" borderId="68" xfId="0" applyNumberFormat="1" applyFont="1" applyFill="1" applyBorder="1" applyAlignment="1" applyProtection="1">
      <alignment horizontal="center" vertical="center" wrapText="1"/>
    </xf>
    <xf numFmtId="164" fontId="0" fillId="0" borderId="61" xfId="0" applyNumberFormat="1" applyFont="1" applyFill="1" applyBorder="1" applyAlignment="1" applyProtection="1">
      <alignment vertical="center" wrapText="1"/>
      <protection locked="0"/>
    </xf>
    <xf numFmtId="164" fontId="0" fillId="0" borderId="55" xfId="0" applyNumberFormat="1" applyFont="1" applyFill="1" applyBorder="1" applyAlignment="1" applyProtection="1">
      <alignment vertical="center" wrapText="1"/>
      <protection locked="0"/>
    </xf>
    <xf numFmtId="3" fontId="36" fillId="0" borderId="61" xfId="0" applyNumberFormat="1" applyFont="1" applyFill="1" applyBorder="1" applyAlignment="1" applyProtection="1">
      <alignment vertical="center" wrapText="1"/>
    </xf>
    <xf numFmtId="164" fontId="0" fillId="0" borderId="55" xfId="0" applyNumberFormat="1" applyFont="1" applyFill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2" fillId="0" borderId="35" xfId="0" applyNumberFormat="1" applyFont="1" applyFill="1" applyBorder="1" applyAlignment="1" applyProtection="1">
      <alignment horizontal="center" vertical="center" wrapText="1"/>
    </xf>
    <xf numFmtId="164" fontId="21" fillId="0" borderId="69" xfId="0" applyNumberFormat="1" applyFont="1" applyFill="1" applyBorder="1" applyAlignment="1" applyProtection="1">
      <alignment horizontal="right" vertical="center" wrapText="1" indent="1"/>
    </xf>
    <xf numFmtId="164" fontId="36" fillId="0" borderId="46" xfId="0" applyNumberFormat="1" applyFont="1" applyFill="1" applyBorder="1" applyAlignment="1" applyProtection="1">
      <alignment horizontal="centerContinuous" vertical="center" wrapText="1"/>
    </xf>
    <xf numFmtId="0" fontId="15" fillId="0" borderId="25" xfId="4" applyFill="1" applyBorder="1"/>
    <xf numFmtId="164" fontId="18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46" xfId="4" applyNumberFormat="1" applyFont="1" applyFill="1" applyBorder="1" applyAlignment="1" applyProtection="1">
      <alignment horizontal="right" vertical="center" wrapText="1" indent="1"/>
    </xf>
    <xf numFmtId="164" fontId="4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1" xfId="4" applyNumberFormat="1" applyFont="1" applyFill="1" applyBorder="1" applyAlignment="1" applyProtection="1">
      <alignment horizontal="right" vertical="center" wrapText="1" indent="1"/>
    </xf>
    <xf numFmtId="164" fontId="21" fillId="0" borderId="19" xfId="4" applyNumberFormat="1" applyFont="1" applyFill="1" applyBorder="1" applyAlignment="1" applyProtection="1">
      <alignment horizontal="right" vertical="center" wrapText="1" indent="1"/>
    </xf>
    <xf numFmtId="164" fontId="4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23" xfId="4" applyNumberFormat="1" applyFont="1" applyFill="1" applyBorder="1" applyAlignment="1" applyProtection="1">
      <alignment horizontal="right" vertical="center" wrapText="1" indent="1"/>
    </xf>
    <xf numFmtId="164" fontId="36" fillId="0" borderId="23" xfId="4" applyNumberFormat="1" applyFont="1" applyFill="1" applyBorder="1" applyAlignment="1" applyProtection="1">
      <alignment horizontal="right" vertical="center" wrapText="1" indent="1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24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6" xfId="4" applyNumberFormat="1" applyFont="1" applyFill="1" applyBorder="1" applyAlignment="1" applyProtection="1">
      <alignment horizontal="right" vertical="center" wrapText="1" indent="1"/>
    </xf>
    <xf numFmtId="0" fontId="74" fillId="0" borderId="65" xfId="0" applyFont="1" applyFill="1" applyBorder="1" applyAlignment="1" applyProtection="1">
      <alignment horizontal="right" vertical="center" wrapText="1" indent="1"/>
      <protection locked="0"/>
    </xf>
    <xf numFmtId="0" fontId="74" fillId="0" borderId="64" xfId="0" applyFont="1" applyFill="1" applyBorder="1" applyAlignment="1" applyProtection="1">
      <alignment horizontal="right" vertical="center" wrapText="1" indent="1"/>
      <protection locked="0"/>
    </xf>
    <xf numFmtId="0" fontId="74" fillId="0" borderId="42" xfId="0" applyFont="1" applyFill="1" applyBorder="1" applyAlignment="1" applyProtection="1">
      <alignment horizontal="right" vertical="center" wrapText="1" indent="1"/>
      <protection locked="0"/>
    </xf>
    <xf numFmtId="164" fontId="53" fillId="0" borderId="46" xfId="0" applyNumberFormat="1" applyFont="1" applyFill="1" applyBorder="1" applyAlignment="1" applyProtection="1">
      <alignment horizontal="right" vertical="center" wrapText="1" indent="1"/>
    </xf>
    <xf numFmtId="0" fontId="53" fillId="0" borderId="46" xfId="0" quotePrefix="1" applyFont="1" applyFill="1" applyBorder="1" applyAlignment="1" applyProtection="1">
      <alignment horizontal="right" vertical="center" wrapText="1" indent="1"/>
      <protection locked="0"/>
    </xf>
    <xf numFmtId="164" fontId="7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7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46" xfId="4" applyNumberFormat="1" applyFont="1" applyFill="1" applyBorder="1" applyAlignment="1" applyProtection="1">
      <alignment horizontal="right" vertical="center" wrapText="1" indent="1"/>
    </xf>
    <xf numFmtId="0" fontId="73" fillId="0" borderId="25" xfId="4" applyFont="1" applyFill="1" applyBorder="1"/>
    <xf numFmtId="0" fontId="32" fillId="0" borderId="8" xfId="0" applyFont="1" applyFill="1" applyBorder="1" applyAlignment="1" applyProtection="1">
      <alignment horizontal="center" vertical="center" wrapText="1"/>
    </xf>
    <xf numFmtId="49" fontId="25" fillId="0" borderId="1" xfId="4" applyNumberFormat="1" applyFont="1" applyFill="1" applyBorder="1" applyAlignment="1" applyProtection="1">
      <alignment horizontal="left" vertical="center" wrapText="1" indent="1"/>
    </xf>
    <xf numFmtId="49" fontId="25" fillId="0" borderId="29" xfId="4" applyNumberFormat="1" applyFont="1" applyFill="1" applyBorder="1" applyAlignment="1" applyProtection="1">
      <alignment horizontal="left" vertical="center" wrapText="1" indent="1"/>
    </xf>
    <xf numFmtId="0" fontId="25" fillId="0" borderId="56" xfId="4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>
      <alignment vertical="center" wrapText="1"/>
    </xf>
    <xf numFmtId="164" fontId="7" fillId="0" borderId="60" xfId="0" applyNumberFormat="1" applyFont="1" applyFill="1" applyBorder="1" applyAlignment="1" applyProtection="1">
      <alignment horizontal="righ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3" fontId="0" fillId="8" borderId="2" xfId="0" applyNumberFormat="1" applyFont="1" applyFill="1" applyBorder="1" applyAlignment="1" applyProtection="1">
      <alignment vertical="center" wrapText="1"/>
      <protection locked="0"/>
    </xf>
    <xf numFmtId="164" fontId="74" fillId="8" borderId="4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4" fillId="8" borderId="7" xfId="7" applyFont="1" applyFill="1" applyBorder="1" applyAlignment="1">
      <alignment vertical="center" wrapText="1"/>
    </xf>
    <xf numFmtId="164" fontId="74" fillId="8" borderId="7" xfId="6" applyNumberFormat="1" applyFont="1" applyFill="1" applyBorder="1" applyAlignment="1">
      <alignment vertical="center" wrapText="1"/>
    </xf>
    <xf numFmtId="164" fontId="74" fillId="8" borderId="2" xfId="6" applyNumberFormat="1" applyFont="1" applyFill="1" applyBorder="1" applyAlignment="1">
      <alignment vertical="center" wrapText="1"/>
    </xf>
    <xf numFmtId="0" fontId="74" fillId="8" borderId="2" xfId="7" applyFont="1" applyFill="1" applyBorder="1" applyAlignment="1">
      <alignment vertical="center" wrapText="1"/>
    </xf>
    <xf numFmtId="164" fontId="74" fillId="8" borderId="65" xfId="6" applyNumberFormat="1" applyFont="1" applyFill="1" applyBorder="1" applyAlignment="1">
      <alignment vertical="center" wrapText="1"/>
    </xf>
    <xf numFmtId="0" fontId="80" fillId="8" borderId="2" xfId="0" applyFont="1" applyFill="1" applyBorder="1" applyAlignment="1">
      <alignment wrapText="1"/>
    </xf>
    <xf numFmtId="164" fontId="74" fillId="8" borderId="55" xfId="6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Alignment="1">
      <alignment vertical="center" wrapText="1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4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9" fillId="0" borderId="0" xfId="0" applyFont="1" applyFill="1" applyAlignment="1">
      <alignment horizontal="center" vertical="center" wrapText="1"/>
    </xf>
    <xf numFmtId="164" fontId="74" fillId="8" borderId="29" xfId="6" applyNumberFormat="1" applyFont="1" applyFill="1" applyBorder="1" applyAlignment="1">
      <alignment vertical="center" wrapText="1"/>
    </xf>
    <xf numFmtId="0" fontId="80" fillId="8" borderId="1" xfId="0" applyFont="1" applyFill="1" applyBorder="1" applyAlignment="1">
      <alignment wrapText="1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7" xfId="0" applyNumberFormat="1" applyFont="1" applyFill="1" applyBorder="1" applyAlignment="1" applyProtection="1">
      <alignment vertical="center" wrapText="1"/>
      <protection locked="0"/>
    </xf>
    <xf numFmtId="164" fontId="74" fillId="8" borderId="9" xfId="6" applyNumberFormat="1" applyFont="1" applyFill="1" applyBorder="1" applyAlignment="1">
      <alignment vertical="center" wrapText="1"/>
    </xf>
    <xf numFmtId="164" fontId="74" fillId="8" borderId="12" xfId="6" applyNumberFormat="1" applyFont="1" applyFill="1" applyBorder="1" applyAlignment="1">
      <alignment vertical="center" wrapText="1"/>
    </xf>
    <xf numFmtId="0" fontId="80" fillId="8" borderId="7" xfId="0" applyFont="1" applyFill="1" applyBorder="1" applyAlignment="1">
      <alignment wrapText="1"/>
    </xf>
    <xf numFmtId="164" fontId="74" fillId="8" borderId="41" xfId="6" applyNumberFormat="1" applyFont="1" applyFill="1" applyBorder="1" applyAlignment="1">
      <alignment vertical="center" wrapText="1"/>
    </xf>
    <xf numFmtId="3" fontId="0" fillId="8" borderId="62" xfId="0" applyNumberFormat="1" applyFont="1" applyFill="1" applyBorder="1" applyAlignment="1" applyProtection="1">
      <alignment vertical="center" wrapText="1"/>
      <protection locked="0"/>
    </xf>
    <xf numFmtId="0" fontId="80" fillId="8" borderId="32" xfId="0" applyFont="1" applyFill="1" applyBorder="1" applyAlignment="1">
      <alignment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23" fillId="0" borderId="35" xfId="4" applyFont="1" applyFill="1" applyBorder="1" applyAlignment="1" applyProtection="1">
      <alignment horizontal="center" vertical="center" wrapText="1"/>
    </xf>
    <xf numFmtId="164" fontId="7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5" xfId="4" applyNumberFormat="1" applyFont="1" applyFill="1" applyBorder="1" applyAlignment="1" applyProtection="1">
      <alignment horizontal="right" vertical="center" wrapText="1" indent="1"/>
    </xf>
    <xf numFmtId="0" fontId="74" fillId="0" borderId="69" xfId="0" applyFont="1" applyFill="1" applyBorder="1" applyAlignment="1" applyProtection="1">
      <alignment horizontal="right" vertical="center" wrapText="1" indent="1"/>
      <protection locked="0"/>
    </xf>
    <xf numFmtId="0" fontId="74" fillId="0" borderId="55" xfId="0" applyFont="1" applyFill="1" applyBorder="1" applyAlignment="1" applyProtection="1">
      <alignment horizontal="right" vertical="center" wrapText="1" indent="1"/>
      <protection locked="0"/>
    </xf>
    <xf numFmtId="3" fontId="7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0" fontId="74" fillId="0" borderId="62" xfId="0" applyFont="1" applyFill="1" applyBorder="1" applyAlignment="1" applyProtection="1">
      <alignment horizontal="right" vertical="center" wrapText="1" indent="1"/>
      <protection locked="0"/>
    </xf>
    <xf numFmtId="164" fontId="53" fillId="0" borderId="35" xfId="0" applyNumberFormat="1" applyFont="1" applyFill="1" applyBorder="1" applyAlignment="1" applyProtection="1">
      <alignment horizontal="right" vertical="center" wrapText="1" indent="1"/>
    </xf>
    <xf numFmtId="0" fontId="53" fillId="0" borderId="35" xfId="0" quotePrefix="1" applyFont="1" applyFill="1" applyBorder="1" applyAlignment="1" applyProtection="1">
      <alignment horizontal="right" vertical="center" wrapText="1" indent="1"/>
      <protection locked="0"/>
    </xf>
    <xf numFmtId="0" fontId="74" fillId="0" borderId="4" xfId="0" applyFont="1" applyFill="1" applyBorder="1" applyAlignment="1" applyProtection="1">
      <alignment horizontal="right" vertical="center" wrapText="1" indent="1"/>
      <protection locked="0"/>
    </xf>
    <xf numFmtId="0" fontId="74" fillId="0" borderId="2" xfId="0" applyFont="1" applyFill="1" applyBorder="1" applyAlignment="1" applyProtection="1">
      <alignment horizontal="right" vertical="center" wrapText="1" indent="1"/>
      <protection locked="0"/>
    </xf>
    <xf numFmtId="0" fontId="23" fillId="0" borderId="23" xfId="4" applyFont="1" applyFill="1" applyBorder="1" applyAlignment="1" applyProtection="1">
      <alignment horizontal="center" vertical="center" wrapText="1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6" xfId="0" applyNumberFormat="1" applyFont="1" applyFill="1" applyBorder="1" applyAlignment="1" applyProtection="1">
      <alignment horizontal="center" vertical="center" wrapText="1"/>
    </xf>
    <xf numFmtId="0" fontId="32" fillId="0" borderId="67" xfId="4" applyFont="1" applyFill="1" applyBorder="1" applyAlignment="1" applyProtection="1">
      <alignment horizontal="center" vertical="center" wrapText="1"/>
    </xf>
    <xf numFmtId="3" fontId="33" fillId="0" borderId="69" xfId="1" applyNumberFormat="1" applyFont="1" applyFill="1" applyBorder="1" applyAlignment="1" applyProtection="1">
      <alignment horizontal="right"/>
      <protection locked="0"/>
    </xf>
    <xf numFmtId="3" fontId="33" fillId="0" borderId="55" xfId="1" applyNumberFormat="1" applyFont="1" applyFill="1" applyBorder="1" applyAlignment="1" applyProtection="1">
      <alignment horizontal="right"/>
      <protection locked="0"/>
    </xf>
    <xf numFmtId="3" fontId="33" fillId="0" borderId="62" xfId="1" applyNumberFormat="1" applyFont="1" applyFill="1" applyBorder="1" applyAlignment="1" applyProtection="1">
      <alignment horizontal="right"/>
      <protection locked="0"/>
    </xf>
    <xf numFmtId="3" fontId="32" fillId="0" borderId="35" xfId="1" applyNumberFormat="1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36" fillId="0" borderId="67" xfId="0" applyFont="1" applyFill="1" applyBorder="1" applyAlignment="1" applyProtection="1">
      <alignment horizontal="center" vertical="center" wrapText="1"/>
    </xf>
    <xf numFmtId="164" fontId="0" fillId="8" borderId="69" xfId="0" applyNumberFormat="1" applyFont="1" applyFill="1" applyBorder="1" applyAlignment="1" applyProtection="1">
      <alignment vertical="center" wrapText="1"/>
      <protection locked="0"/>
    </xf>
    <xf numFmtId="164" fontId="0" fillId="8" borderId="55" xfId="0" applyNumberFormat="1" applyFont="1" applyFill="1" applyBorder="1" applyAlignment="1" applyProtection="1">
      <alignment vertical="center" wrapText="1"/>
      <protection locked="0"/>
    </xf>
    <xf numFmtId="3" fontId="0" fillId="8" borderId="55" xfId="0" applyNumberFormat="1" applyFont="1" applyFill="1" applyBorder="1" applyAlignment="1" applyProtection="1">
      <alignment vertical="center" wrapText="1"/>
      <protection locked="0"/>
    </xf>
    <xf numFmtId="164" fontId="36" fillId="0" borderId="16" xfId="0" applyNumberFormat="1" applyFont="1" applyFill="1" applyBorder="1" applyAlignment="1" applyProtection="1">
      <alignment horizontal="center" vertical="center" wrapText="1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</xf>
    <xf numFmtId="49" fontId="36" fillId="0" borderId="5" xfId="0" applyNumberFormat="1" applyFont="1" applyFill="1" applyBorder="1" applyAlignment="1" applyProtection="1">
      <alignment horizontal="center" vertical="center" wrapText="1"/>
    </xf>
    <xf numFmtId="164" fontId="36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64" fontId="36" fillId="0" borderId="31" xfId="0" applyNumberFormat="1" applyFont="1" applyFill="1" applyBorder="1" applyAlignment="1" applyProtection="1">
      <alignment horizontal="center" vertical="center" wrapText="1"/>
    </xf>
    <xf numFmtId="0" fontId="74" fillId="0" borderId="54" xfId="7" applyFont="1" applyFill="1" applyBorder="1" applyAlignment="1">
      <alignment vertical="center" wrapText="1"/>
    </xf>
    <xf numFmtId="0" fontId="74" fillId="8" borderId="9" xfId="7" applyFont="1" applyFill="1" applyBorder="1" applyAlignment="1">
      <alignment vertical="center" wrapText="1"/>
    </xf>
    <xf numFmtId="164" fontId="53" fillId="8" borderId="9" xfId="0" applyNumberFormat="1" applyFont="1" applyFill="1" applyBorder="1" applyAlignment="1">
      <alignment horizontal="left" vertical="center" wrapText="1"/>
    </xf>
    <xf numFmtId="164" fontId="74" fillId="0" borderId="9" xfId="0" applyNumberFormat="1" applyFont="1" applyFill="1" applyBorder="1" applyAlignment="1">
      <alignment horizontal="left" vertical="center" wrapText="1"/>
    </xf>
    <xf numFmtId="164" fontId="74" fillId="0" borderId="14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0" fontId="36" fillId="0" borderId="4" xfId="0" applyNumberFormat="1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3" fontId="74" fillId="0" borderId="69" xfId="10" applyNumberFormat="1" applyFont="1" applyFill="1" applyBorder="1" applyAlignment="1">
      <alignment vertical="center"/>
    </xf>
    <xf numFmtId="3" fontId="74" fillId="0" borderId="55" xfId="10" applyNumberFormat="1" applyFont="1" applyFill="1" applyBorder="1" applyAlignment="1">
      <alignment vertical="center"/>
    </xf>
    <xf numFmtId="3" fontId="74" fillId="0" borderId="62" xfId="10" applyNumberFormat="1" applyFont="1" applyFill="1" applyBorder="1" applyAlignment="1">
      <alignment vertical="center"/>
    </xf>
    <xf numFmtId="3" fontId="74" fillId="0" borderId="2" xfId="10" applyNumberFormat="1" applyFont="1" applyFill="1" applyBorder="1" applyAlignment="1">
      <alignment vertical="center"/>
    </xf>
    <xf numFmtId="3" fontId="74" fillId="0" borderId="7" xfId="10" applyNumberFormat="1" applyFont="1" applyFill="1" applyBorder="1" applyAlignment="1">
      <alignment vertical="center"/>
    </xf>
    <xf numFmtId="0" fontId="7" fillId="0" borderId="35" xfId="0" applyFont="1" applyFill="1" applyBorder="1" applyAlignment="1" applyProtection="1">
      <alignment horizontal="center" vertical="center" wrapText="1"/>
    </xf>
    <xf numFmtId="164" fontId="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1" xfId="0" applyNumberFormat="1" applyFont="1" applyFill="1" applyBorder="1" applyAlignment="1" applyProtection="1">
      <alignment horizontal="right" vertical="center" wrapText="1" indent="1"/>
    </xf>
    <xf numFmtId="164" fontId="12" fillId="0" borderId="55" xfId="0" applyNumberFormat="1" applyFont="1" applyFill="1" applyBorder="1" applyAlignment="1" applyProtection="1">
      <alignment horizontal="right" vertical="center" wrapText="1" indent="1"/>
    </xf>
    <xf numFmtId="164" fontId="9" fillId="0" borderId="67" xfId="0" applyNumberFormat="1" applyFont="1" applyFill="1" applyBorder="1" applyAlignment="1" applyProtection="1">
      <alignment horizontal="right" vertical="center" wrapText="1" indent="1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7" xfId="0" applyNumberFormat="1" applyFont="1" applyFill="1" applyBorder="1" applyAlignment="1" applyProtection="1">
      <alignment horizontal="center" vertical="center" wrapTex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23" xfId="24" applyNumberFormat="1" applyFont="1" applyFill="1" applyBorder="1" applyAlignment="1" applyProtection="1">
      <alignment horizontal="right" vertical="center" wrapText="1" indent="1"/>
    </xf>
    <xf numFmtId="10" fontId="7" fillId="0" borderId="35" xfId="24" applyNumberFormat="1" applyFont="1" applyFill="1" applyBorder="1" applyAlignment="1" applyProtection="1">
      <alignment horizontal="right" vertical="center" wrapText="1" indent="1"/>
    </xf>
    <xf numFmtId="10" fontId="18" fillId="0" borderId="5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2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1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32" xfId="2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16" xfId="24" applyNumberFormat="1" applyFont="1" applyFill="1" applyBorder="1" applyAlignment="1" applyProtection="1">
      <alignment horizontal="right" vertical="center" wrapText="1" indent="1"/>
    </xf>
    <xf numFmtId="10" fontId="18" fillId="0" borderId="3" xfId="2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16" xfId="2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67" xfId="24" applyNumberFormat="1" applyFont="1" applyFill="1" applyBorder="1" applyAlignment="1" applyProtection="1">
      <alignment horizontal="right" vertical="center" wrapText="1" indent="1"/>
    </xf>
    <xf numFmtId="10" fontId="18" fillId="0" borderId="4" xfId="2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18" xfId="24" applyNumberFormat="1" applyFont="1" applyFill="1" applyBorder="1" applyAlignment="1" applyProtection="1">
      <alignment horizontal="right" vertical="center" wrapText="1" indent="1"/>
    </xf>
    <xf numFmtId="10" fontId="18" fillId="0" borderId="7" xfId="2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18" xfId="24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8" xfId="0" applyNumberFormat="1" applyFont="1" applyFill="1" applyBorder="1" applyAlignment="1" applyProtection="1">
      <alignment horizontal="right" vertical="center" wrapText="1" indent="1"/>
    </xf>
    <xf numFmtId="3" fontId="4" fillId="8" borderId="62" xfId="0" applyNumberFormat="1" applyFont="1" applyFill="1" applyBorder="1" applyAlignment="1" applyProtection="1">
      <alignment vertical="center" wrapText="1"/>
      <protection locked="0"/>
    </xf>
    <xf numFmtId="0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32" xfId="0" applyNumberFormat="1" applyFont="1" applyFill="1" applyBorder="1" applyAlignment="1" applyProtection="1">
      <alignment vertical="center" wrapText="1"/>
      <protection locked="0"/>
    </xf>
    <xf numFmtId="164" fontId="74" fillId="8" borderId="14" xfId="6" applyNumberFormat="1" applyFont="1" applyFill="1" applyBorder="1" applyAlignment="1">
      <alignment vertical="center" wrapText="1"/>
    </xf>
    <xf numFmtId="3" fontId="4" fillId="8" borderId="32" xfId="0" applyNumberFormat="1" applyFont="1" applyFill="1" applyBorder="1" applyAlignment="1" applyProtection="1">
      <alignment vertical="center" wrapText="1"/>
      <protection locked="0"/>
    </xf>
    <xf numFmtId="3" fontId="4" fillId="8" borderId="7" xfId="0" applyNumberFormat="1" applyFont="1" applyFill="1" applyBorder="1" applyAlignment="1" applyProtection="1">
      <alignment vertical="center" wrapText="1"/>
      <protection locked="0"/>
    </xf>
    <xf numFmtId="3" fontId="4" fillId="8" borderId="2" xfId="0" applyNumberFormat="1" applyFont="1" applyFill="1" applyBorder="1" applyAlignment="1" applyProtection="1">
      <alignment vertical="center" wrapText="1"/>
      <protection locked="0"/>
    </xf>
    <xf numFmtId="1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10" fontId="0" fillId="0" borderId="19" xfId="24" applyNumberFormat="1" applyFont="1" applyFill="1" applyBorder="1" applyAlignment="1" applyProtection="1">
      <alignment vertical="center" wrapText="1"/>
      <protection locked="0"/>
    </xf>
    <xf numFmtId="10" fontId="36" fillId="8" borderId="2" xfId="24" applyNumberFormat="1" applyFont="1" applyFill="1" applyBorder="1" applyAlignment="1" applyProtection="1">
      <alignment vertical="center" wrapText="1"/>
    </xf>
    <xf numFmtId="10" fontId="0" fillId="0" borderId="2" xfId="24" applyNumberFormat="1" applyFont="1" applyFill="1" applyBorder="1" applyAlignment="1" applyProtection="1">
      <alignment vertical="center" wrapText="1"/>
    </xf>
    <xf numFmtId="10" fontId="0" fillId="0" borderId="32" xfId="24" applyNumberFormat="1" applyFont="1" applyFill="1" applyBorder="1" applyAlignment="1" applyProtection="1">
      <alignment vertical="center" wrapText="1"/>
    </xf>
    <xf numFmtId="10" fontId="0" fillId="0" borderId="5" xfId="24" applyNumberFormat="1" applyFont="1" applyFill="1" applyBorder="1" applyAlignment="1" applyProtection="1">
      <alignment vertical="center" wrapText="1"/>
      <protection locked="0"/>
    </xf>
    <xf numFmtId="10" fontId="0" fillId="0" borderId="2" xfId="24" applyNumberFormat="1" applyFont="1" applyFill="1" applyBorder="1" applyAlignment="1" applyProtection="1">
      <alignment vertical="center" wrapText="1"/>
      <protection locked="0"/>
    </xf>
    <xf numFmtId="10" fontId="0" fillId="8" borderId="4" xfId="24" applyNumberFormat="1" applyFont="1" applyFill="1" applyBorder="1" applyAlignment="1" applyProtection="1">
      <alignment vertical="center" wrapText="1"/>
      <protection locked="0"/>
    </xf>
    <xf numFmtId="10" fontId="0" fillId="8" borderId="2" xfId="24" applyNumberFormat="1" applyFont="1" applyFill="1" applyBorder="1" applyAlignment="1" applyProtection="1">
      <alignment vertical="center" wrapText="1"/>
      <protection locked="0"/>
    </xf>
    <xf numFmtId="10" fontId="0" fillId="8" borderId="7" xfId="24" applyNumberFormat="1" applyFont="1" applyFill="1" applyBorder="1" applyAlignment="1" applyProtection="1">
      <alignment vertical="center" wrapText="1"/>
      <protection locked="0"/>
    </xf>
    <xf numFmtId="10" fontId="0" fillId="8" borderId="32" xfId="24" applyNumberFormat="1" applyFont="1" applyFill="1" applyBorder="1" applyAlignment="1" applyProtection="1">
      <alignment vertical="center" wrapText="1"/>
      <protection locked="0"/>
    </xf>
    <xf numFmtId="10" fontId="36" fillId="0" borderId="61" xfId="24" applyNumberFormat="1" applyFont="1" applyFill="1" applyBorder="1" applyAlignment="1" applyProtection="1">
      <alignment vertical="center" wrapText="1"/>
    </xf>
    <xf numFmtId="10" fontId="18" fillId="0" borderId="55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69" xfId="2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1" xfId="24" applyNumberFormat="1" applyFont="1" applyFill="1" applyBorder="1" applyAlignment="1" applyProtection="1">
      <alignment horizontal="right" vertical="center" wrapText="1" indent="1"/>
      <protection locked="0"/>
    </xf>
    <xf numFmtId="10" fontId="9" fillId="0" borderId="35" xfId="24" applyNumberFormat="1" applyFont="1" applyFill="1" applyBorder="1" applyAlignment="1" applyProtection="1">
      <alignment horizontal="right" vertical="center" wrapText="1" indent="1"/>
    </xf>
    <xf numFmtId="10" fontId="12" fillId="0" borderId="61" xfId="24" applyNumberFormat="1" applyFont="1" applyFill="1" applyBorder="1" applyAlignment="1" applyProtection="1">
      <alignment horizontal="right" vertical="center" wrapText="1" indent="1"/>
    </xf>
    <xf numFmtId="10" fontId="12" fillId="0" borderId="55" xfId="24" applyNumberFormat="1" applyFont="1" applyFill="1" applyBorder="1" applyAlignment="1" applyProtection="1">
      <alignment horizontal="right" vertical="center" wrapText="1" indent="1"/>
    </xf>
    <xf numFmtId="10" fontId="9" fillId="0" borderId="67" xfId="24" applyNumberFormat="1" applyFont="1" applyFill="1" applyBorder="1" applyAlignment="1" applyProtection="1">
      <alignment horizontal="right" vertical="center" wrapText="1" indent="1"/>
    </xf>
    <xf numFmtId="10" fontId="18" fillId="0" borderId="18" xfId="24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19" xfId="24" applyNumberFormat="1" applyFont="1" applyFill="1" applyBorder="1" applyAlignment="1">
      <alignment vertical="center"/>
    </xf>
    <xf numFmtId="10" fontId="37" fillId="0" borderId="23" xfId="24" applyNumberFormat="1" applyFont="1" applyFill="1" applyBorder="1" applyAlignment="1" applyProtection="1">
      <alignment horizontal="right" vertical="center" wrapText="1" indent="1"/>
    </xf>
    <xf numFmtId="10" fontId="36" fillId="0" borderId="23" xfId="24" applyNumberFormat="1" applyFont="1" applyFill="1" applyBorder="1" applyAlignment="1" applyProtection="1">
      <alignment horizontal="right" vertical="center" wrapText="1" indent="1"/>
    </xf>
    <xf numFmtId="10" fontId="36" fillId="0" borderId="24" xfId="24" quotePrefix="1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61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62" xfId="24" applyNumberFormat="1" applyFont="1" applyFill="1" applyBorder="1" applyAlignment="1" applyProtection="1">
      <alignment horizontal="right" vertical="center" wrapText="1" indent="1"/>
      <protection locked="0"/>
    </xf>
    <xf numFmtId="10" fontId="53" fillId="0" borderId="35" xfId="24" applyNumberFormat="1" applyFont="1" applyBorder="1" applyAlignment="1" applyProtection="1">
      <alignment horizontal="right" vertical="center" wrapText="1" indent="1"/>
    </xf>
    <xf numFmtId="10" fontId="53" fillId="0" borderId="35" xfId="24" quotePrefix="1" applyNumberFormat="1" applyFont="1" applyBorder="1" applyAlignment="1" applyProtection="1">
      <alignment horizontal="right" vertical="center" wrapText="1" indent="1"/>
      <protection locked="0"/>
    </xf>
    <xf numFmtId="10" fontId="36" fillId="0" borderId="35" xfId="24" applyNumberFormat="1" applyFont="1" applyFill="1" applyBorder="1" applyAlignment="1" applyProtection="1">
      <alignment horizontal="right" vertical="center" wrapText="1" indent="1"/>
    </xf>
    <xf numFmtId="10" fontId="36" fillId="0" borderId="35" xfId="24" applyNumberFormat="1" applyFont="1" applyFill="1" applyBorder="1" applyAlignment="1" applyProtection="1">
      <alignment horizontal="right" vertical="center" wrapText="1" indent="1"/>
      <protection locked="0"/>
    </xf>
    <xf numFmtId="10" fontId="4" fillId="0" borderId="55" xfId="24" applyNumberFormat="1" applyFont="1" applyFill="1" applyBorder="1" applyAlignment="1" applyProtection="1">
      <alignment horizontal="right" vertical="center" wrapText="1" indent="1"/>
      <protection locked="0"/>
    </xf>
    <xf numFmtId="10" fontId="21" fillId="0" borderId="69" xfId="24" applyNumberFormat="1" applyFont="1" applyFill="1" applyBorder="1" applyAlignment="1" applyProtection="1">
      <alignment horizontal="right" vertical="center" wrapText="1" indent="1"/>
    </xf>
    <xf numFmtId="10" fontId="21" fillId="0" borderId="55" xfId="24" applyNumberFormat="1" applyFont="1" applyFill="1" applyBorder="1" applyAlignment="1" applyProtection="1">
      <alignment horizontal="right" vertical="center" wrapText="1" indent="1"/>
    </xf>
    <xf numFmtId="10" fontId="4" fillId="0" borderId="62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29" xfId="24" applyNumberFormat="1" applyFont="1" applyFill="1" applyBorder="1" applyAlignment="1" applyProtection="1">
      <alignment horizontal="right" vertical="center" wrapText="1" indent="1"/>
      <protection locked="0"/>
    </xf>
    <xf numFmtId="10" fontId="4" fillId="0" borderId="69" xfId="24" applyNumberFormat="1" applyFont="1" applyFill="1" applyBorder="1" applyAlignment="1" applyProtection="1">
      <alignment horizontal="right" vertical="center" wrapText="1" indent="1"/>
      <protection locked="0"/>
    </xf>
    <xf numFmtId="10" fontId="4" fillId="0" borderId="29" xfId="24" applyNumberFormat="1" applyFont="1" applyFill="1" applyBorder="1" applyAlignment="1" applyProtection="1">
      <alignment horizontal="right" vertical="center" wrapText="1" indent="1"/>
      <protection locked="0"/>
    </xf>
    <xf numFmtId="10" fontId="37" fillId="0" borderId="35" xfId="24" applyNumberFormat="1" applyFont="1" applyFill="1" applyBorder="1" applyAlignment="1" applyProtection="1">
      <alignment horizontal="right" vertical="center" wrapText="1" indent="1"/>
    </xf>
    <xf numFmtId="10" fontId="4" fillId="0" borderId="52" xfId="24" applyNumberFormat="1" applyFont="1" applyFill="1" applyBorder="1" applyAlignment="1" applyProtection="1">
      <alignment horizontal="right" vertical="center" wrapText="1" indent="1"/>
      <protection locked="0"/>
    </xf>
    <xf numFmtId="10" fontId="36" fillId="0" borderId="68" xfId="24" quotePrefix="1" applyNumberFormat="1" applyFont="1" applyFill="1" applyBorder="1" applyAlignment="1" applyProtection="1">
      <alignment horizontal="right" vertical="center" wrapText="1" indent="1"/>
      <protection locked="0"/>
    </xf>
    <xf numFmtId="10" fontId="12" fillId="0" borderId="35" xfId="24" applyNumberFormat="1" applyFont="1" applyFill="1" applyBorder="1" applyAlignment="1" applyProtection="1">
      <alignment horizontal="right" vertical="center" wrapText="1" indent="1"/>
    </xf>
    <xf numFmtId="10" fontId="74" fillId="0" borderId="4" xfId="24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2" xfId="24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62" xfId="24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69" xfId="24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55" xfId="24" applyNumberFormat="1" applyFont="1" applyFill="1" applyBorder="1" applyAlignment="1" applyProtection="1">
      <alignment horizontal="right" vertical="center" wrapText="1" indent="1"/>
      <protection locked="0"/>
    </xf>
    <xf numFmtId="10" fontId="53" fillId="0" borderId="35" xfId="24" applyNumberFormat="1" applyFont="1" applyFill="1" applyBorder="1" applyAlignment="1" applyProtection="1">
      <alignment horizontal="right" vertical="center" wrapText="1" indent="1"/>
    </xf>
    <xf numFmtId="10" fontId="53" fillId="0" borderId="35" xfId="24" quotePrefix="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5" xfId="4" applyNumberFormat="1" applyFont="1" applyFill="1" applyBorder="1" applyAlignment="1" applyProtection="1">
      <alignment horizontal="right" vertical="center" wrapText="1" indent="1"/>
    </xf>
    <xf numFmtId="3" fontId="18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0" fontId="7" fillId="0" borderId="35" xfId="24" applyNumberFormat="1" applyFont="1" applyFill="1" applyBorder="1" applyAlignment="1" applyProtection="1">
      <alignment horizontal="right" vertical="center" wrapText="1" indent="1"/>
      <protection locked="0"/>
    </xf>
    <xf numFmtId="10" fontId="18" fillId="0" borderId="52" xfId="24" applyNumberFormat="1" applyFont="1" applyFill="1" applyBorder="1" applyAlignment="1" applyProtection="1">
      <alignment horizontal="right" vertical="center" wrapText="1" indent="1"/>
      <protection locked="0"/>
    </xf>
    <xf numFmtId="10" fontId="21" fillId="0" borderId="35" xfId="24" applyNumberFormat="1" applyFont="1" applyFill="1" applyBorder="1" applyAlignment="1" applyProtection="1">
      <alignment horizontal="right" vertical="center" wrapText="1" indent="1"/>
    </xf>
    <xf numFmtId="10" fontId="74" fillId="0" borderId="69" xfId="24" applyNumberFormat="1" applyFont="1" applyBorder="1" applyAlignment="1" applyProtection="1">
      <alignment horizontal="right" vertical="center" wrapText="1" indent="1"/>
      <protection locked="0"/>
    </xf>
    <xf numFmtId="10" fontId="74" fillId="0" borderId="55" xfId="24" applyNumberFormat="1" applyFont="1" applyBorder="1" applyAlignment="1" applyProtection="1">
      <alignment horizontal="right" vertical="center" wrapText="1" indent="1"/>
      <protection locked="0"/>
    </xf>
    <xf numFmtId="10" fontId="74" fillId="0" borderId="62" xfId="24" applyNumberFormat="1" applyFont="1" applyBorder="1" applyAlignment="1" applyProtection="1">
      <alignment horizontal="right" vertical="center" wrapText="1" indent="1"/>
      <protection locked="0"/>
    </xf>
    <xf numFmtId="3" fontId="0" fillId="8" borderId="4" xfId="0" applyNumberFormat="1" applyFont="1" applyFill="1" applyBorder="1" applyAlignment="1" applyProtection="1">
      <alignment vertical="center" wrapText="1"/>
      <protection locked="0"/>
    </xf>
    <xf numFmtId="0" fontId="110" fillId="0" borderId="0" xfId="25"/>
    <xf numFmtId="0" fontId="110" fillId="0" borderId="0" xfId="25" applyAlignment="1">
      <alignment horizontal="center"/>
    </xf>
    <xf numFmtId="3" fontId="74" fillId="0" borderId="19" xfId="25" applyNumberFormat="1" applyFont="1" applyBorder="1" applyAlignment="1">
      <alignment horizontal="right" vertical="top" wrapText="1"/>
    </xf>
    <xf numFmtId="3" fontId="53" fillId="0" borderId="19" xfId="25" applyNumberFormat="1" applyFont="1" applyBorder="1" applyAlignment="1">
      <alignment horizontal="right" vertical="top" wrapText="1"/>
    </xf>
    <xf numFmtId="0" fontId="30" fillId="0" borderId="9" xfId="25" applyFont="1" applyFill="1" applyBorder="1" applyAlignment="1">
      <alignment horizontal="center" vertical="top" wrapText="1"/>
    </xf>
    <xf numFmtId="0" fontId="30" fillId="0" borderId="2" xfId="25" applyFont="1" applyFill="1" applyBorder="1" applyAlignment="1">
      <alignment horizontal="center" vertical="top" wrapText="1"/>
    </xf>
    <xf numFmtId="0" fontId="30" fillId="0" borderId="19" xfId="25" applyFont="1" applyFill="1" applyBorder="1" applyAlignment="1">
      <alignment horizontal="center" vertical="top" wrapText="1"/>
    </xf>
    <xf numFmtId="0" fontId="74" fillId="0" borderId="2" xfId="25" applyFont="1" applyBorder="1" applyAlignment="1">
      <alignment vertical="center" wrapText="1"/>
    </xf>
    <xf numFmtId="0" fontId="53" fillId="0" borderId="2" xfId="25" applyFont="1" applyBorder="1" applyAlignment="1">
      <alignment vertical="center" wrapText="1"/>
    </xf>
    <xf numFmtId="3" fontId="53" fillId="0" borderId="2" xfId="25" applyNumberFormat="1" applyFont="1" applyBorder="1" applyAlignment="1">
      <alignment horizontal="right" vertical="center" wrapText="1"/>
    </xf>
    <xf numFmtId="3" fontId="53" fillId="0" borderId="19" xfId="25" applyNumberFormat="1" applyFont="1" applyBorder="1" applyAlignment="1">
      <alignment horizontal="right" vertical="center" wrapText="1"/>
    </xf>
    <xf numFmtId="3" fontId="74" fillId="0" borderId="2" xfId="25" applyNumberFormat="1" applyFont="1" applyBorder="1" applyAlignment="1">
      <alignment horizontal="right" vertical="center" wrapText="1"/>
    </xf>
    <xf numFmtId="3" fontId="74" fillId="0" borderId="19" xfId="25" applyNumberFormat="1" applyFont="1" applyBorder="1" applyAlignment="1">
      <alignment horizontal="right" vertical="center" wrapText="1"/>
    </xf>
    <xf numFmtId="0" fontId="53" fillId="0" borderId="5" xfId="25" applyFont="1" applyFill="1" applyBorder="1" applyAlignment="1">
      <alignment horizontal="center" vertical="center" wrapText="1"/>
    </xf>
    <xf numFmtId="0" fontId="53" fillId="0" borderId="22" xfId="25" applyFont="1" applyFill="1" applyBorder="1" applyAlignment="1">
      <alignment horizontal="center" vertical="center" wrapText="1"/>
    </xf>
    <xf numFmtId="0" fontId="31" fillId="0" borderId="2" xfId="25" applyFont="1" applyFill="1" applyBorder="1" applyAlignment="1">
      <alignment horizontal="center" vertical="top" wrapText="1"/>
    </xf>
    <xf numFmtId="0" fontId="31" fillId="0" borderId="19" xfId="25" applyFont="1" applyFill="1" applyBorder="1" applyAlignment="1">
      <alignment horizontal="center" vertical="top" wrapText="1"/>
    </xf>
    <xf numFmtId="0" fontId="53" fillId="11" borderId="2" xfId="25" applyFont="1" applyFill="1" applyBorder="1" applyAlignment="1">
      <alignment vertical="center" wrapText="1"/>
    </xf>
    <xf numFmtId="3" fontId="53" fillId="11" borderId="2" xfId="25" applyNumberFormat="1" applyFont="1" applyFill="1" applyBorder="1" applyAlignment="1">
      <alignment horizontal="right" vertical="center" wrapText="1"/>
    </xf>
    <xf numFmtId="3" fontId="53" fillId="11" borderId="19" xfId="25" applyNumberFormat="1" applyFont="1" applyFill="1" applyBorder="1" applyAlignment="1">
      <alignment horizontal="right" vertical="center" wrapText="1"/>
    </xf>
    <xf numFmtId="0" fontId="53" fillId="11" borderId="32" xfId="25" applyFont="1" applyFill="1" applyBorder="1" applyAlignment="1">
      <alignment vertical="center" wrapText="1"/>
    </xf>
    <xf numFmtId="3" fontId="53" fillId="11" borderId="32" xfId="25" applyNumberFormat="1" applyFont="1" applyFill="1" applyBorder="1" applyAlignment="1">
      <alignment horizontal="right" vertical="center" wrapText="1"/>
    </xf>
    <xf numFmtId="3" fontId="53" fillId="11" borderId="33" xfId="25" applyNumberFormat="1" applyFont="1" applyFill="1" applyBorder="1" applyAlignment="1">
      <alignment horizontal="right" vertical="center" wrapText="1"/>
    </xf>
    <xf numFmtId="0" fontId="53" fillId="0" borderId="9" xfId="25" applyFont="1" applyBorder="1" applyAlignment="1">
      <alignment horizontal="left" vertical="center" wrapText="1"/>
    </xf>
    <xf numFmtId="0" fontId="74" fillId="0" borderId="9" xfId="25" applyFont="1" applyBorder="1" applyAlignment="1">
      <alignment horizontal="left" vertical="center" wrapText="1"/>
    </xf>
    <xf numFmtId="0" fontId="53" fillId="11" borderId="9" xfId="25" applyFont="1" applyFill="1" applyBorder="1" applyAlignment="1">
      <alignment horizontal="left" vertical="center" wrapText="1"/>
    </xf>
    <xf numFmtId="0" fontId="53" fillId="11" borderId="14" xfId="25" applyFont="1" applyFill="1" applyBorder="1" applyAlignment="1">
      <alignment horizontal="left" vertical="center" wrapText="1"/>
    </xf>
    <xf numFmtId="0" fontId="53" fillId="0" borderId="13" xfId="25" applyFont="1" applyFill="1" applyBorder="1" applyAlignment="1">
      <alignment horizontal="center" vertical="center" wrapText="1"/>
    </xf>
    <xf numFmtId="0" fontId="31" fillId="0" borderId="9" xfId="25" applyFont="1" applyFill="1" applyBorder="1" applyAlignment="1">
      <alignment horizontal="center" vertical="top" wrapText="1"/>
    </xf>
    <xf numFmtId="0" fontId="112" fillId="0" borderId="0" xfId="26" applyFont="1"/>
    <xf numFmtId="0" fontId="113" fillId="0" borderId="0" xfId="26" applyFont="1" applyBorder="1" applyAlignment="1">
      <alignment horizontal="left" vertical="center"/>
    </xf>
    <xf numFmtId="0" fontId="114" fillId="0" borderId="0" xfId="26" applyFont="1" applyAlignment="1">
      <alignment horizontal="left" vertical="center"/>
    </xf>
    <xf numFmtId="0" fontId="115" fillId="0" borderId="0" xfId="26" applyFont="1" applyBorder="1" applyAlignment="1">
      <alignment horizontal="left" vertical="center"/>
    </xf>
    <xf numFmtId="0" fontId="119" fillId="12" borderId="87" xfId="26" applyFont="1" applyFill="1" applyBorder="1" applyAlignment="1">
      <alignment horizontal="center" vertical="center" wrapText="1"/>
    </xf>
    <xf numFmtId="0" fontId="120" fillId="12" borderId="87" xfId="26" applyFont="1" applyFill="1" applyBorder="1" applyAlignment="1">
      <alignment horizontal="center" vertical="center"/>
    </xf>
    <xf numFmtId="49" fontId="120" fillId="12" borderId="87" xfId="26" applyNumberFormat="1" applyFont="1" applyFill="1" applyBorder="1" applyAlignment="1">
      <alignment horizontal="center" vertical="center"/>
    </xf>
    <xf numFmtId="49" fontId="114" fillId="0" borderId="87" xfId="27" applyNumberFormat="1" applyFont="1" applyBorder="1" applyAlignment="1">
      <alignment horizontal="center"/>
    </xf>
    <xf numFmtId="49" fontId="114" fillId="0" borderId="87" xfId="26" applyNumberFormat="1" applyFont="1" applyBorder="1" applyAlignment="1">
      <alignment horizontal="center"/>
    </xf>
    <xf numFmtId="0" fontId="112" fillId="0" borderId="87" xfId="26" applyFont="1" applyBorder="1" applyAlignment="1">
      <alignment horizontal="center" vertical="center"/>
    </xf>
    <xf numFmtId="49" fontId="112" fillId="0" borderId="87" xfId="26" applyNumberFormat="1" applyFont="1" applyBorder="1" applyAlignment="1">
      <alignment horizontal="center" vertical="center"/>
    </xf>
    <xf numFmtId="0" fontId="112" fillId="0" borderId="87" xfId="26" applyFont="1" applyBorder="1" applyAlignment="1">
      <alignment vertical="center" wrapText="1"/>
    </xf>
    <xf numFmtId="0" fontId="78" fillId="0" borderId="87" xfId="26" applyFont="1" applyBorder="1" applyAlignment="1">
      <alignment horizontal="center" vertical="center"/>
    </xf>
    <xf numFmtId="0" fontId="120" fillId="0" borderId="87" xfId="26" applyFont="1" applyBorder="1" applyAlignment="1">
      <alignment vertical="center" wrapText="1"/>
    </xf>
    <xf numFmtId="0" fontId="112" fillId="0" borderId="0" xfId="26" applyFont="1" applyBorder="1"/>
    <xf numFmtId="3" fontId="78" fillId="0" borderId="87" xfId="9" applyNumberFormat="1" applyFont="1" applyBorder="1" applyAlignment="1">
      <alignment horizontal="right" vertical="top" wrapText="1"/>
    </xf>
    <xf numFmtId="3" fontId="119" fillId="0" borderId="87" xfId="9" applyNumberFormat="1" applyFont="1" applyBorder="1" applyAlignment="1">
      <alignment horizontal="right" vertical="top" wrapText="1"/>
    </xf>
    <xf numFmtId="0" fontId="0" fillId="0" borderId="87" xfId="0" applyBorder="1"/>
    <xf numFmtId="0" fontId="119" fillId="0" borderId="87" xfId="9" applyFont="1" applyBorder="1" applyAlignment="1">
      <alignment horizontal="left" vertical="top" wrapText="1"/>
    </xf>
    <xf numFmtId="0" fontId="53" fillId="0" borderId="25" xfId="0" applyFont="1" applyBorder="1" applyAlignment="1">
      <alignment horizontal="center" vertical="top" wrapText="1"/>
    </xf>
    <xf numFmtId="0" fontId="53" fillId="0" borderId="0" xfId="0" applyFont="1" applyAlignment="1">
      <alignment horizontal="center" wrapText="1"/>
    </xf>
    <xf numFmtId="0" fontId="53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74" fillId="0" borderId="2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top" wrapText="1"/>
    </xf>
    <xf numFmtId="0" fontId="53" fillId="0" borderId="81" xfId="0" applyFont="1" applyBorder="1" applyAlignment="1">
      <alignment horizontal="center" vertical="top" wrapText="1"/>
    </xf>
    <xf numFmtId="0" fontId="53" fillId="0" borderId="82" xfId="0" applyFont="1" applyBorder="1" applyAlignment="1">
      <alignment horizontal="center" vertical="top" wrapText="1"/>
    </xf>
    <xf numFmtId="0" fontId="53" fillId="0" borderId="83" xfId="0" applyFont="1" applyBorder="1" applyAlignment="1">
      <alignment horizontal="center" vertical="top" wrapText="1"/>
    </xf>
    <xf numFmtId="164" fontId="40" fillId="0" borderId="37" xfId="4" applyNumberFormat="1" applyFont="1" applyFill="1" applyBorder="1" applyAlignment="1" applyProtection="1">
      <alignment horizontal="left" vertical="center"/>
    </xf>
    <xf numFmtId="164" fontId="40" fillId="0" borderId="37" xfId="4" applyNumberFormat="1" applyFont="1" applyFill="1" applyBorder="1" applyAlignment="1" applyProtection="1">
      <alignment horizontal="left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27" fillId="0" borderId="0" xfId="4" applyFont="1" applyFill="1" applyAlignment="1" applyProtection="1">
      <alignment horizontal="center"/>
    </xf>
    <xf numFmtId="164" fontId="34" fillId="0" borderId="73" xfId="0" applyNumberFormat="1" applyFont="1" applyFill="1" applyBorder="1" applyAlignment="1" applyProtection="1">
      <alignment horizontal="center" vertical="center" wrapText="1"/>
    </xf>
    <xf numFmtId="164" fontId="34" fillId="0" borderId="66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textRotation="180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34" fillId="0" borderId="72" xfId="0" applyNumberFormat="1" applyFont="1" applyFill="1" applyBorder="1" applyAlignment="1" applyProtection="1">
      <alignment horizontal="center" vertical="center" wrapText="1"/>
    </xf>
    <xf numFmtId="164" fontId="34" fillId="0" borderId="71" xfId="0" applyNumberFormat="1" applyFont="1" applyFill="1" applyBorder="1" applyAlignment="1" applyProtection="1">
      <alignment horizontal="center" vertical="center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6" fillId="0" borderId="22" xfId="4" applyFont="1" applyFill="1" applyBorder="1" applyAlignment="1">
      <alignment horizontal="center" vertical="center" wrapText="1"/>
    </xf>
    <xf numFmtId="0" fontId="36" fillId="0" borderId="21" xfId="4" applyFont="1" applyFill="1" applyBorder="1" applyAlignment="1">
      <alignment horizontal="center" vertical="center" wrapText="1"/>
    </xf>
    <xf numFmtId="0" fontId="36" fillId="0" borderId="13" xfId="4" applyFont="1" applyFill="1" applyBorder="1" applyAlignment="1">
      <alignment horizontal="center" vertical="center" wrapText="1"/>
    </xf>
    <xf numFmtId="0" fontId="36" fillId="0" borderId="12" xfId="4" applyFont="1" applyFill="1" applyBorder="1" applyAlignment="1">
      <alignment horizontal="center" vertical="center" wrapText="1"/>
    </xf>
    <xf numFmtId="0" fontId="36" fillId="0" borderId="5" xfId="4" applyFont="1" applyFill="1" applyBorder="1" applyAlignment="1">
      <alignment horizontal="center" vertical="center" wrapText="1"/>
    </xf>
    <xf numFmtId="0" fontId="36" fillId="0" borderId="7" xfId="4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right"/>
    </xf>
    <xf numFmtId="0" fontId="34" fillId="0" borderId="15" xfId="4" applyFont="1" applyFill="1" applyBorder="1" applyAlignment="1" applyProtection="1">
      <alignment horizontal="left"/>
    </xf>
    <xf numFmtId="0" fontId="34" fillId="0" borderId="35" xfId="4" applyFont="1" applyFill="1" applyBorder="1" applyAlignment="1" applyProtection="1">
      <alignment horizontal="left"/>
    </xf>
    <xf numFmtId="0" fontId="25" fillId="0" borderId="60" xfId="4" applyFont="1" applyFill="1" applyBorder="1" applyAlignment="1">
      <alignment horizontal="justify" vertical="center" wrapText="1"/>
    </xf>
    <xf numFmtId="164" fontId="53" fillId="0" borderId="45" xfId="0" applyNumberFormat="1" applyFont="1" applyFill="1" applyBorder="1" applyAlignment="1" applyProtection="1">
      <alignment horizontal="center" vertical="center" wrapText="1"/>
    </xf>
    <xf numFmtId="164" fontId="53" fillId="0" borderId="4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>
      <alignment horizontal="center" vertical="center" wrapText="1"/>
    </xf>
    <xf numFmtId="164" fontId="53" fillId="0" borderId="13" xfId="0" applyNumberFormat="1" applyFont="1" applyFill="1" applyBorder="1" applyAlignment="1" applyProtection="1">
      <alignment horizontal="center" vertical="center" wrapText="1"/>
    </xf>
    <xf numFmtId="164" fontId="53" fillId="0" borderId="5" xfId="0" applyNumberFormat="1" applyFont="1" applyFill="1" applyBorder="1" applyAlignment="1" applyProtection="1">
      <alignment horizontal="center" vertical="center" wrapText="1"/>
    </xf>
    <xf numFmtId="164" fontId="53" fillId="0" borderId="11" xfId="0" applyNumberFormat="1" applyFont="1" applyFill="1" applyBorder="1" applyAlignment="1" applyProtection="1">
      <alignment horizontal="center" vertical="center" wrapText="1"/>
    </xf>
    <xf numFmtId="164" fontId="53" fillId="0" borderId="4" xfId="0" applyNumberFormat="1" applyFont="1" applyFill="1" applyBorder="1" applyAlignment="1" applyProtection="1">
      <alignment horizontal="center" vertical="center" wrapText="1"/>
    </xf>
    <xf numFmtId="164" fontId="75" fillId="0" borderId="0" xfId="0" applyNumberFormat="1" applyFont="1" applyFill="1" applyAlignment="1">
      <alignment horizontal="left" vertical="center" wrapText="1"/>
    </xf>
    <xf numFmtId="0" fontId="74" fillId="0" borderId="0" xfId="10" applyFont="1" applyFill="1" applyAlignment="1" applyProtection="1">
      <alignment horizontal="center" vertical="top"/>
      <protection locked="0"/>
    </xf>
    <xf numFmtId="0" fontId="53" fillId="9" borderId="13" xfId="11" applyFont="1" applyFill="1" applyBorder="1" applyAlignment="1">
      <alignment horizontal="center" vertical="center" wrapText="1"/>
    </xf>
    <xf numFmtId="0" fontId="53" fillId="9" borderId="9" xfId="11" applyFont="1" applyFill="1" applyBorder="1" applyAlignment="1">
      <alignment horizontal="center" vertical="center" wrapText="1"/>
    </xf>
    <xf numFmtId="164" fontId="36" fillId="9" borderId="5" xfId="10" applyNumberFormat="1" applyFont="1" applyFill="1" applyBorder="1" applyAlignment="1" applyProtection="1">
      <alignment horizontal="center" vertical="center" wrapText="1"/>
    </xf>
    <xf numFmtId="164" fontId="36" fillId="9" borderId="61" xfId="10" applyNumberFormat="1" applyFont="1" applyFill="1" applyBorder="1" applyAlignment="1" applyProtection="1">
      <alignment horizontal="center" vertical="center" wrapText="1"/>
    </xf>
    <xf numFmtId="164" fontId="36" fillId="9" borderId="55" xfId="10" applyNumberFormat="1" applyFont="1" applyFill="1" applyBorder="1" applyAlignment="1" applyProtection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7" fillId="0" borderId="45" xfId="0" quotePrefix="1" applyFont="1" applyFill="1" applyBorder="1" applyAlignment="1" applyProtection="1">
      <alignment horizontal="center" vertical="center"/>
    </xf>
    <xf numFmtId="0" fontId="7" fillId="0" borderId="46" xfId="0" quotePrefix="1" applyFont="1" applyFill="1" applyBorder="1" applyAlignment="1" applyProtection="1">
      <alignment horizontal="center" vertical="center"/>
    </xf>
    <xf numFmtId="0" fontId="7" fillId="0" borderId="38" xfId="0" quotePrefix="1" applyFont="1" applyFill="1" applyBorder="1" applyAlignment="1" applyProtection="1">
      <alignment horizontal="center" vertical="center"/>
    </xf>
    <xf numFmtId="0" fontId="11" fillId="0" borderId="70" xfId="0" applyFont="1" applyFill="1" applyBorder="1" applyAlignment="1" applyProtection="1">
      <alignment horizontal="center" vertical="center" wrapText="1"/>
    </xf>
    <xf numFmtId="0" fontId="11" fillId="0" borderId="76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55" xfId="0" quotePrefix="1" applyFont="1" applyFill="1" applyBorder="1" applyAlignment="1" applyProtection="1">
      <alignment horizontal="center" vertical="center"/>
    </xf>
    <xf numFmtId="0" fontId="7" fillId="0" borderId="64" xfId="0" quotePrefix="1" applyFont="1" applyFill="1" applyBorder="1" applyAlignment="1" applyProtection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</xf>
    <xf numFmtId="0" fontId="19" fillId="0" borderId="0" xfId="25" applyFont="1" applyAlignment="1">
      <alignment horizontal="center" wrapText="1"/>
    </xf>
    <xf numFmtId="0" fontId="19" fillId="0" borderId="0" xfId="25" applyFont="1" applyAlignment="1">
      <alignment horizontal="center"/>
    </xf>
    <xf numFmtId="0" fontId="110" fillId="0" borderId="0" xfId="25" applyAlignment="1">
      <alignment horizontal="center"/>
    </xf>
    <xf numFmtId="0" fontId="111" fillId="0" borderId="37" xfId="25" applyFont="1" applyBorder="1" applyAlignment="1">
      <alignment horizontal="right"/>
    </xf>
    <xf numFmtId="0" fontId="122" fillId="0" borderId="0" xfId="26" applyFont="1" applyBorder="1" applyAlignment="1">
      <alignment horizontal="right" vertical="center" wrapText="1"/>
    </xf>
    <xf numFmtId="0" fontId="116" fillId="0" borderId="0" xfId="26" applyFont="1" applyBorder="1" applyAlignment="1">
      <alignment horizontal="center" vertical="center" wrapText="1"/>
    </xf>
    <xf numFmtId="0" fontId="116" fillId="0" borderId="0" xfId="26" applyFont="1" applyBorder="1" applyAlignment="1">
      <alignment horizontal="center" vertical="center"/>
    </xf>
    <xf numFmtId="0" fontId="117" fillId="0" borderId="0" xfId="26" applyFont="1" applyAlignment="1">
      <alignment horizontal="center" vertical="center" wrapText="1"/>
    </xf>
    <xf numFmtId="0" fontId="118" fillId="0" borderId="86" xfId="26" applyFont="1" applyBorder="1" applyAlignment="1">
      <alignment horizontal="right"/>
    </xf>
    <xf numFmtId="49" fontId="119" fillId="12" borderId="87" xfId="27" applyNumberFormat="1" applyFont="1" applyFill="1" applyBorder="1" applyAlignment="1">
      <alignment horizontal="center" vertical="center" wrapText="1"/>
    </xf>
    <xf numFmtId="0" fontId="119" fillId="12" borderId="87" xfId="26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center" wrapText="1"/>
    </xf>
    <xf numFmtId="164" fontId="11" fillId="0" borderId="45" xfId="0" applyNumberFormat="1" applyFont="1" applyFill="1" applyBorder="1" applyAlignment="1" applyProtection="1">
      <alignment horizontal="left" vertical="center" wrapText="1" indent="2"/>
    </xf>
    <xf numFmtId="164" fontId="11" fillId="0" borderId="38" xfId="0" applyNumberFormat="1" applyFont="1" applyFill="1" applyBorder="1" applyAlignment="1" applyProtection="1">
      <alignment horizontal="left" vertical="center" wrapText="1" indent="2"/>
    </xf>
    <xf numFmtId="164" fontId="11" fillId="0" borderId="73" xfId="0" applyNumberFormat="1" applyFont="1" applyFill="1" applyBorder="1" applyAlignment="1" applyProtection="1">
      <alignment horizontal="center" vertical="center"/>
    </xf>
    <xf numFmtId="164" fontId="11" fillId="0" borderId="66" xfId="0" applyNumberFormat="1" applyFont="1" applyFill="1" applyBorder="1" applyAlignment="1" applyProtection="1">
      <alignment horizontal="center" vertical="center"/>
    </xf>
    <xf numFmtId="164" fontId="11" fillId="0" borderId="70" xfId="0" applyNumberFormat="1" applyFont="1" applyFill="1" applyBorder="1" applyAlignment="1" applyProtection="1">
      <alignment horizontal="center" vertical="center"/>
    </xf>
    <xf numFmtId="164" fontId="11" fillId="0" borderId="75" xfId="0" applyNumberFormat="1" applyFont="1" applyFill="1" applyBorder="1" applyAlignment="1" applyProtection="1">
      <alignment horizontal="center" vertical="center"/>
    </xf>
    <xf numFmtId="164" fontId="11" fillId="0" borderId="57" xfId="0" applyNumberFormat="1" applyFont="1" applyFill="1" applyBorder="1" applyAlignment="1" applyProtection="1">
      <alignment horizontal="center" vertical="center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66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right"/>
    </xf>
    <xf numFmtId="0" fontId="62" fillId="0" borderId="0" xfId="0" applyFont="1" applyFill="1" applyAlignment="1">
      <alignment horizontal="center"/>
    </xf>
    <xf numFmtId="3" fontId="64" fillId="0" borderId="55" xfId="0" applyNumberFormat="1" applyFont="1" applyFill="1" applyBorder="1" applyAlignment="1">
      <alignment horizontal="center" vertical="center" wrapText="1"/>
    </xf>
    <xf numFmtId="3" fontId="64" fillId="0" borderId="64" xfId="0" applyNumberFormat="1" applyFont="1" applyFill="1" applyBorder="1" applyAlignment="1">
      <alignment horizontal="center" vertical="center" wrapText="1"/>
    </xf>
    <xf numFmtId="3" fontId="64" fillId="0" borderId="6" xfId="0" applyNumberFormat="1" applyFont="1" applyFill="1" applyBorder="1" applyAlignment="1">
      <alignment horizontal="center" vertical="center" wrapText="1"/>
    </xf>
    <xf numFmtId="3" fontId="65" fillId="0" borderId="55" xfId="0" applyNumberFormat="1" applyFont="1" applyFill="1" applyBorder="1" applyAlignment="1">
      <alignment horizontal="center" vertical="center" wrapText="1"/>
    </xf>
    <xf numFmtId="3" fontId="65" fillId="0" borderId="64" xfId="0" applyNumberFormat="1" applyFont="1" applyFill="1" applyBorder="1" applyAlignment="1">
      <alignment horizontal="center" vertical="center" wrapText="1"/>
    </xf>
    <xf numFmtId="3" fontId="65" fillId="0" borderId="6" xfId="0" applyNumberFormat="1" applyFont="1" applyFill="1" applyBorder="1" applyAlignment="1">
      <alignment horizontal="center" vertical="center" wrapText="1"/>
    </xf>
    <xf numFmtId="0" fontId="24" fillId="0" borderId="35" xfId="5" applyFont="1" applyFill="1" applyBorder="1" applyAlignment="1" applyProtection="1">
      <alignment horizontal="left" vertical="center" indent="1"/>
    </xf>
    <xf numFmtId="0" fontId="24" fillId="0" borderId="46" xfId="5" applyFont="1" applyFill="1" applyBorder="1" applyAlignment="1" applyProtection="1">
      <alignment horizontal="left" vertical="center" indent="1"/>
    </xf>
    <xf numFmtId="0" fontId="24" fillId="0" borderId="38" xfId="5" applyFont="1" applyFill="1" applyBorder="1" applyAlignment="1" applyProtection="1">
      <alignment horizontal="left" vertical="center" indent="1"/>
    </xf>
    <xf numFmtId="0" fontId="27" fillId="0" borderId="0" xfId="5" applyFont="1" applyFill="1" applyAlignment="1" applyProtection="1">
      <alignment horizontal="center" wrapText="1"/>
    </xf>
    <xf numFmtId="0" fontId="27" fillId="0" borderId="0" xfId="5" applyFont="1" applyFill="1" applyAlignment="1" applyProtection="1">
      <alignment horizontal="center"/>
    </xf>
    <xf numFmtId="0" fontId="99" fillId="0" borderId="73" xfId="23" applyFont="1" applyBorder="1" applyAlignment="1">
      <alignment horizontal="center" vertical="center"/>
    </xf>
    <xf numFmtId="0" fontId="99" fillId="0" borderId="30" xfId="23" applyFont="1" applyBorder="1" applyAlignment="1">
      <alignment horizontal="center" vertical="center"/>
    </xf>
    <xf numFmtId="0" fontId="99" fillId="0" borderId="66" xfId="23" applyFont="1" applyBorder="1" applyAlignment="1">
      <alignment horizontal="center" vertical="center"/>
    </xf>
    <xf numFmtId="0" fontId="1" fillId="0" borderId="30" xfId="23" applyBorder="1" applyAlignment="1">
      <alignment horizontal="center" vertical="center"/>
    </xf>
    <xf numFmtId="0" fontId="1" fillId="0" borderId="66" xfId="23" applyBorder="1" applyAlignment="1">
      <alignment horizontal="center" vertical="center"/>
    </xf>
    <xf numFmtId="0" fontId="1" fillId="0" borderId="66" xfId="23" applyFont="1" applyBorder="1" applyAlignment="1">
      <alignment horizontal="center" vertical="center"/>
    </xf>
    <xf numFmtId="0" fontId="99" fillId="0" borderId="25" xfId="23" quotePrefix="1" applyFont="1" applyBorder="1" applyAlignment="1">
      <alignment vertical="center"/>
    </xf>
    <xf numFmtId="0" fontId="99" fillId="0" borderId="25" xfId="23" applyFont="1" applyBorder="1" applyAlignment="1">
      <alignment vertical="center"/>
    </xf>
    <xf numFmtId="168" fontId="99" fillId="8" borderId="25" xfId="23" applyNumberFormat="1" applyFont="1" applyFill="1" applyBorder="1" applyAlignment="1">
      <alignment horizontal="right" vertical="center"/>
    </xf>
    <xf numFmtId="0" fontId="1" fillId="8" borderId="25" xfId="23" applyFont="1" applyFill="1" applyBorder="1" applyAlignment="1">
      <alignment horizontal="right" vertical="center"/>
    </xf>
    <xf numFmtId="0" fontId="108" fillId="0" borderId="0" xfId="23" applyFont="1" applyAlignment="1">
      <alignment horizontal="right"/>
    </xf>
    <xf numFmtId="0" fontId="98" fillId="0" borderId="0" xfId="9" applyFont="1" applyAlignment="1">
      <alignment horizontal="center"/>
    </xf>
    <xf numFmtId="0" fontId="99" fillId="0" borderId="73" xfId="23" applyFont="1" applyBorder="1" applyAlignment="1">
      <alignment horizontal="left" vertical="center"/>
    </xf>
    <xf numFmtId="0" fontId="99" fillId="0" borderId="66" xfId="23" applyFont="1" applyBorder="1" applyAlignment="1">
      <alignment horizontal="left" vertical="center"/>
    </xf>
    <xf numFmtId="168" fontId="99" fillId="8" borderId="73" xfId="23" applyNumberFormat="1" applyFont="1" applyFill="1" applyBorder="1" applyAlignment="1">
      <alignment horizontal="right" vertical="center"/>
    </xf>
    <xf numFmtId="168" fontId="99" fillId="8" borderId="66" xfId="23" applyNumberFormat="1" applyFont="1" applyFill="1" applyBorder="1" applyAlignment="1">
      <alignment horizontal="right" vertical="center"/>
    </xf>
    <xf numFmtId="0" fontId="99" fillId="0" borderId="56" xfId="23" applyFont="1" applyBorder="1" applyAlignment="1">
      <alignment horizontal="center" vertical="center"/>
    </xf>
    <xf numFmtId="0" fontId="99" fillId="0" borderId="79" xfId="23" applyFont="1" applyBorder="1" applyAlignment="1">
      <alignment horizontal="center" vertical="center"/>
    </xf>
    <xf numFmtId="0" fontId="33" fillId="0" borderId="6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107" fillId="0" borderId="0" xfId="0" applyNumberFormat="1" applyFont="1" applyAlignment="1">
      <alignment horizontal="right"/>
    </xf>
    <xf numFmtId="0" fontId="40" fillId="0" borderId="0" xfId="0" applyFont="1" applyAlignment="1" applyProtection="1">
      <alignment horizontal="right"/>
    </xf>
    <xf numFmtId="0" fontId="34" fillId="0" borderId="45" xfId="0" applyFont="1" applyBorder="1" applyAlignment="1" applyProtection="1">
      <alignment horizontal="left" vertical="center"/>
    </xf>
    <xf numFmtId="0" fontId="34" fillId="0" borderId="46" xfId="0" applyFont="1" applyBorder="1" applyAlignment="1" applyProtection="1">
      <alignment horizontal="left" vertical="center"/>
    </xf>
    <xf numFmtId="0" fontId="34" fillId="0" borderId="38" xfId="0" applyFont="1" applyBorder="1" applyAlignment="1" applyProtection="1">
      <alignment horizontal="left" vertical="center"/>
    </xf>
    <xf numFmtId="0" fontId="32" fillId="0" borderId="45" xfId="0" applyFont="1" applyBorder="1" applyAlignment="1" applyProtection="1">
      <alignment horizontal="center" vertical="center"/>
    </xf>
    <xf numFmtId="0" fontId="32" fillId="0" borderId="46" xfId="0" applyFont="1" applyBorder="1" applyAlignment="1" applyProtection="1">
      <alignment horizontal="center" vertical="center"/>
    </xf>
    <xf numFmtId="0" fontId="32" fillId="0" borderId="44" xfId="0" applyFont="1" applyBorder="1" applyAlignment="1" applyProtection="1">
      <alignment horizontal="center" vertical="center"/>
    </xf>
    <xf numFmtId="0" fontId="106" fillId="0" borderId="0" xfId="5" applyFont="1" applyFill="1" applyAlignment="1" applyProtection="1">
      <alignment horizontal="right"/>
      <protection locked="0"/>
    </xf>
    <xf numFmtId="0" fontId="19" fillId="0" borderId="0" xfId="10" applyFont="1" applyFill="1" applyBorder="1" applyAlignment="1" applyProtection="1">
      <alignment horizontal="center" vertical="center"/>
    </xf>
    <xf numFmtId="0" fontId="77" fillId="0" borderId="17" xfId="10" applyFont="1" applyBorder="1" applyAlignment="1">
      <alignment horizontal="center" vertical="center" wrapText="1"/>
    </xf>
    <xf numFmtId="0" fontId="4" fillId="0" borderId="8" xfId="10" applyBorder="1"/>
    <xf numFmtId="0" fontId="4" fillId="0" borderId="10" xfId="10" applyBorder="1"/>
    <xf numFmtId="0" fontId="53" fillId="0" borderId="18" xfId="10" applyFont="1" applyBorder="1" applyAlignment="1">
      <alignment horizontal="center" vertical="center" wrapText="1"/>
    </xf>
    <xf numFmtId="0" fontId="53" fillId="0" borderId="1" xfId="10" applyFont="1" applyBorder="1" applyAlignment="1">
      <alignment horizontal="center" vertical="center" wrapText="1"/>
    </xf>
    <xf numFmtId="0" fontId="53" fillId="0" borderId="4" xfId="10" applyFont="1" applyBorder="1" applyAlignment="1">
      <alignment horizontal="center" vertical="center" wrapText="1"/>
    </xf>
    <xf numFmtId="0" fontId="53" fillId="0" borderId="5" xfId="10" applyFont="1" applyBorder="1" applyAlignment="1">
      <alignment horizontal="left" vertical="center" wrapText="1"/>
    </xf>
    <xf numFmtId="0" fontId="53" fillId="0" borderId="2" xfId="10" applyFont="1" applyBorder="1" applyAlignment="1">
      <alignment horizontal="center" vertical="center" wrapText="1"/>
    </xf>
    <xf numFmtId="0" fontId="53" fillId="0" borderId="7" xfId="10" applyFont="1" applyBorder="1" applyAlignment="1">
      <alignment horizontal="center" vertical="center" wrapText="1"/>
    </xf>
    <xf numFmtId="0" fontId="53" fillId="0" borderId="2" xfId="10" applyFont="1" applyBorder="1" applyAlignment="1">
      <alignment horizontal="left" vertical="center" wrapText="1"/>
    </xf>
    <xf numFmtId="0" fontId="76" fillId="0" borderId="2" xfId="10" applyFont="1" applyBorder="1" applyAlignment="1">
      <alignment horizontal="center" vertical="center" wrapText="1"/>
    </xf>
    <xf numFmtId="0" fontId="76" fillId="0" borderId="32" xfId="10" applyFont="1" applyBorder="1" applyAlignment="1">
      <alignment horizontal="center" vertical="center" wrapText="1"/>
    </xf>
    <xf numFmtId="0" fontId="76" fillId="0" borderId="2" xfId="10" applyFont="1" applyBorder="1" applyAlignment="1">
      <alignment horizontal="left" vertical="center" wrapText="1"/>
    </xf>
    <xf numFmtId="0" fontId="77" fillId="0" borderId="35" xfId="10" applyFont="1" applyBorder="1" applyAlignment="1">
      <alignment horizontal="left" vertical="center" wrapText="1"/>
    </xf>
    <xf numFmtId="0" fontId="77" fillId="0" borderId="46" xfId="10" applyFont="1" applyBorder="1" applyAlignment="1">
      <alignment horizontal="left" vertical="center" wrapText="1"/>
    </xf>
    <xf numFmtId="0" fontId="77" fillId="0" borderId="44" xfId="10" applyFont="1" applyBorder="1" applyAlignment="1">
      <alignment horizontal="left" vertical="center" wrapText="1"/>
    </xf>
    <xf numFmtId="0" fontId="77" fillId="0" borderId="45" xfId="10" applyFont="1" applyFill="1" applyBorder="1" applyAlignment="1">
      <alignment horizontal="center" vertical="center" wrapText="1"/>
    </xf>
    <xf numFmtId="0" fontId="77" fillId="0" borderId="46" xfId="10" applyFont="1" applyFill="1" applyBorder="1" applyAlignment="1">
      <alignment horizontal="center" vertical="center" wrapText="1"/>
    </xf>
    <xf numFmtId="0" fontId="77" fillId="0" borderId="44" xfId="10" applyFont="1" applyFill="1" applyBorder="1" applyAlignment="1">
      <alignment horizontal="center" vertical="center" wrapText="1"/>
    </xf>
    <xf numFmtId="0" fontId="77" fillId="0" borderId="70" xfId="10" applyFont="1" applyFill="1" applyBorder="1" applyAlignment="1">
      <alignment horizontal="center" vertical="center" wrapText="1"/>
    </xf>
    <xf numFmtId="0" fontId="77" fillId="0" borderId="54" xfId="10" applyFont="1" applyFill="1" applyBorder="1" applyAlignment="1">
      <alignment horizontal="center" vertical="center" wrapText="1"/>
    </xf>
    <xf numFmtId="0" fontId="77" fillId="0" borderId="41" xfId="10" applyFont="1" applyFill="1" applyBorder="1" applyAlignment="1">
      <alignment horizontal="center" vertical="center" wrapText="1"/>
    </xf>
    <xf numFmtId="0" fontId="77" fillId="0" borderId="39" xfId="10" applyFont="1" applyFill="1" applyBorder="1" applyAlignment="1">
      <alignment horizontal="center" vertical="center" wrapText="1"/>
    </xf>
    <xf numFmtId="0" fontId="53" fillId="0" borderId="5" xfId="10" applyFont="1" applyFill="1" applyBorder="1" applyAlignment="1">
      <alignment horizontal="center" vertical="center" wrapText="1"/>
    </xf>
    <xf numFmtId="0" fontId="53" fillId="0" borderId="2" xfId="10" applyFont="1" applyFill="1" applyBorder="1" applyAlignment="1">
      <alignment horizontal="center" vertical="center" wrapText="1"/>
    </xf>
    <xf numFmtId="0" fontId="53" fillId="0" borderId="61" xfId="10" applyFont="1" applyFill="1" applyBorder="1" applyAlignment="1">
      <alignment horizontal="left" vertical="center" wrapText="1"/>
    </xf>
    <xf numFmtId="0" fontId="53" fillId="0" borderId="76" xfId="10" applyFont="1" applyFill="1" applyBorder="1" applyAlignment="1">
      <alignment horizontal="left" vertical="center" wrapText="1"/>
    </xf>
    <xf numFmtId="0" fontId="77" fillId="0" borderId="2" xfId="10" applyFont="1" applyBorder="1" applyAlignment="1">
      <alignment horizontal="left" vertical="center" wrapText="1"/>
    </xf>
    <xf numFmtId="0" fontId="74" fillId="0" borderId="2" xfId="10" applyFont="1" applyBorder="1" applyAlignment="1">
      <alignment horizontal="center" vertical="center" wrapText="1"/>
    </xf>
    <xf numFmtId="0" fontId="53" fillId="0" borderId="55" xfId="10" applyFont="1" applyBorder="1" applyAlignment="1">
      <alignment horizontal="left" vertical="center" wrapText="1"/>
    </xf>
    <xf numFmtId="0" fontId="53" fillId="0" borderId="6" xfId="10" applyFont="1" applyBorder="1" applyAlignment="1">
      <alignment horizontal="left" vertical="center" wrapText="1"/>
    </xf>
    <xf numFmtId="0" fontId="77" fillId="0" borderId="7" xfId="10" applyFont="1" applyBorder="1" applyAlignment="1">
      <alignment horizontal="center" vertical="center" wrapText="1"/>
    </xf>
    <xf numFmtId="0" fontId="77" fillId="0" borderId="1" xfId="10" applyFont="1" applyBorder="1" applyAlignment="1">
      <alignment horizontal="center" vertical="center" wrapText="1"/>
    </xf>
    <xf numFmtId="0" fontId="77" fillId="0" borderId="55" xfId="10" applyFont="1" applyBorder="1" applyAlignment="1">
      <alignment horizontal="left" vertical="center" wrapText="1"/>
    </xf>
    <xf numFmtId="0" fontId="77" fillId="0" borderId="6" xfId="10" applyFont="1" applyBorder="1" applyAlignment="1">
      <alignment horizontal="left" vertical="center" wrapText="1"/>
    </xf>
    <xf numFmtId="0" fontId="77" fillId="0" borderId="68" xfId="10" applyFont="1" applyBorder="1" applyAlignment="1">
      <alignment horizontal="left" vertical="center" wrapText="1"/>
    </xf>
    <xf numFmtId="0" fontId="77" fillId="0" borderId="37" xfId="10" applyFont="1" applyBorder="1" applyAlignment="1">
      <alignment horizontal="left" vertical="center" wrapText="1"/>
    </xf>
    <xf numFmtId="0" fontId="77" fillId="0" borderId="80" xfId="10" applyFont="1" applyBorder="1" applyAlignment="1">
      <alignment horizontal="left" vertical="center" wrapText="1"/>
    </xf>
    <xf numFmtId="0" fontId="77" fillId="0" borderId="64" xfId="10" applyFont="1" applyBorder="1" applyAlignment="1">
      <alignment horizontal="left" vertical="center" wrapText="1"/>
    </xf>
    <xf numFmtId="0" fontId="77" fillId="0" borderId="70" xfId="10" applyFont="1" applyBorder="1" applyAlignment="1">
      <alignment horizontal="center" vertical="center" wrapText="1"/>
    </xf>
    <xf numFmtId="0" fontId="77" fillId="0" borderId="54" xfId="10" applyFont="1" applyBorder="1" applyAlignment="1">
      <alignment horizontal="center" vertical="center" wrapText="1"/>
    </xf>
    <xf numFmtId="0" fontId="77" fillId="0" borderId="39" xfId="10" applyFont="1" applyBorder="1" applyAlignment="1">
      <alignment horizontal="center" vertical="center" wrapText="1"/>
    </xf>
    <xf numFmtId="0" fontId="77" fillId="0" borderId="5" xfId="10" applyFont="1" applyBorder="1" applyAlignment="1">
      <alignment horizontal="center" vertical="center" wrapText="1"/>
    </xf>
    <xf numFmtId="0" fontId="77" fillId="0" borderId="2" xfId="10" applyFont="1" applyBorder="1" applyAlignment="1">
      <alignment horizontal="center" vertical="center" wrapText="1"/>
    </xf>
    <xf numFmtId="0" fontId="77" fillId="0" borderId="61" xfId="10" applyFont="1" applyBorder="1" applyAlignment="1">
      <alignment horizontal="left" vertical="center" wrapText="1"/>
    </xf>
    <xf numFmtId="0" fontId="77" fillId="0" borderId="76" xfId="10" applyFont="1" applyBorder="1" applyAlignment="1">
      <alignment horizontal="left" vertical="center" wrapText="1"/>
    </xf>
    <xf numFmtId="0" fontId="77" fillId="0" borderId="45" xfId="10" applyFont="1" applyBorder="1" applyAlignment="1">
      <alignment horizontal="center" vertical="center" wrapText="1"/>
    </xf>
    <xf numFmtId="0" fontId="77" fillId="0" borderId="46" xfId="10" applyFont="1" applyBorder="1" applyAlignment="1">
      <alignment horizontal="center" vertical="center" wrapText="1"/>
    </xf>
    <xf numFmtId="0" fontId="77" fillId="0" borderId="38" xfId="10" applyFont="1" applyBorder="1" applyAlignment="1">
      <alignment horizontal="center" vertical="center" wrapText="1"/>
    </xf>
    <xf numFmtId="0" fontId="77" fillId="0" borderId="75" xfId="10" applyFont="1" applyBorder="1" applyAlignment="1">
      <alignment horizontal="left" vertical="center" wrapText="1"/>
    </xf>
    <xf numFmtId="0" fontId="84" fillId="0" borderId="0" xfId="10" applyFont="1" applyBorder="1" applyAlignment="1">
      <alignment horizontal="center" vertical="center" wrapText="1"/>
    </xf>
    <xf numFmtId="0" fontId="77" fillId="0" borderId="41" xfId="10" applyFont="1" applyBorder="1" applyAlignment="1">
      <alignment horizontal="center" vertical="center" wrapText="1"/>
    </xf>
    <xf numFmtId="0" fontId="53" fillId="0" borderId="61" xfId="10" applyFont="1" applyBorder="1" applyAlignment="1">
      <alignment horizontal="left" vertical="center" wrapText="1"/>
    </xf>
    <xf numFmtId="0" fontId="53" fillId="0" borderId="76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center" vertical="center" wrapText="1"/>
    </xf>
    <xf numFmtId="0" fontId="77" fillId="0" borderId="40" xfId="10" applyFont="1" applyBorder="1" applyAlignment="1">
      <alignment horizontal="center" vertical="center" wrapText="1"/>
    </xf>
    <xf numFmtId="0" fontId="77" fillId="0" borderId="52" xfId="10" applyFont="1" applyBorder="1" applyAlignment="1">
      <alignment horizontal="left" vertical="center" wrapText="1"/>
    </xf>
    <xf numFmtId="0" fontId="77" fillId="0" borderId="77" xfId="10" applyFont="1" applyBorder="1" applyAlignment="1">
      <alignment horizontal="left" vertical="center" wrapText="1"/>
    </xf>
    <xf numFmtId="0" fontId="77" fillId="0" borderId="40" xfId="10" applyFont="1" applyBorder="1" applyAlignment="1">
      <alignment horizontal="left" vertical="center" wrapText="1"/>
    </xf>
  </cellXfs>
  <cellStyles count="28">
    <cellStyle name="Excel Built-in Normal" xfId="12"/>
    <cellStyle name="Excel Built-in Normal 1" xfId="13"/>
    <cellStyle name="Ezres" xfId="1" builtinId="3"/>
    <cellStyle name="Heading" xfId="14"/>
    <cellStyle name="Heading 1" xfId="15"/>
    <cellStyle name="Heading1" xfId="16"/>
    <cellStyle name="Heading1 1" xfId="17"/>
    <cellStyle name="Hiperhivatkozás" xfId="2"/>
    <cellStyle name="Már látott hiperhivatkozás" xfId="3"/>
    <cellStyle name="Normál" xfId="0" builtinId="0"/>
    <cellStyle name="Normál 2" xfId="8"/>
    <cellStyle name="Normál 2 2" xfId="7"/>
    <cellStyle name="Normál 2 2 2" xfId="11"/>
    <cellStyle name="Normál 2 3" xfId="10"/>
    <cellStyle name="Normál 3" xfId="9"/>
    <cellStyle name="Normál 3 2" xfId="23"/>
    <cellStyle name="Normál 4" xfId="18"/>
    <cellStyle name="Normál 4 2" xfId="26"/>
    <cellStyle name="Normál 5" xfId="25"/>
    <cellStyle name="Normál_2001 évi terv" xfId="6"/>
    <cellStyle name="Normal_KTRSZJ" xfId="27"/>
    <cellStyle name="Normál_KVRENMUNKA" xfId="4"/>
    <cellStyle name="Normál_SEGEDLETEK" xfId="5"/>
    <cellStyle name="Result" xfId="19"/>
    <cellStyle name="Result 1" xfId="20"/>
    <cellStyle name="Result2" xfId="21"/>
    <cellStyle name="Result2 1" xfId="22"/>
    <cellStyle name="Százalék" xfId="24" builtinId="5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3.2" x14ac:dyDescent="0.25"/>
  <cols>
    <col min="1" max="1" width="206.44140625" style="484" customWidth="1"/>
    <col min="2" max="16384" width="9.33203125" style="484"/>
  </cols>
  <sheetData>
    <row r="1" spans="1:1" s="483" customFormat="1" ht="14.4" x14ac:dyDescent="0.3">
      <c r="A1" s="483" t="s">
        <v>414</v>
      </c>
    </row>
    <row r="2" spans="1:1" s="483" customFormat="1" ht="14.4" x14ac:dyDescent="0.3">
      <c r="A2" s="483" t="s">
        <v>415</v>
      </c>
    </row>
    <row r="3" spans="1:1" s="483" customFormat="1" ht="14.4" x14ac:dyDescent="0.3">
      <c r="A3" s="483" t="s">
        <v>416</v>
      </c>
    </row>
    <row r="4" spans="1:1" s="483" customFormat="1" ht="14.4" x14ac:dyDescent="0.3">
      <c r="A4" s="483" t="s">
        <v>417</v>
      </c>
    </row>
    <row r="5" spans="1:1" s="483" customFormat="1" ht="14.4" x14ac:dyDescent="0.3">
      <c r="A5" s="483" t="s">
        <v>418</v>
      </c>
    </row>
    <row r="6" spans="1:1" s="483" customFormat="1" ht="14.4" x14ac:dyDescent="0.3">
      <c r="A6" s="483" t="s">
        <v>419</v>
      </c>
    </row>
    <row r="7" spans="1:1" s="483" customFormat="1" ht="14.4" x14ac:dyDescent="0.3">
      <c r="A7" s="483" t="s">
        <v>420</v>
      </c>
    </row>
    <row r="8" spans="1:1" s="483" customFormat="1" ht="14.4" x14ac:dyDescent="0.3">
      <c r="A8" s="483" t="s">
        <v>421</v>
      </c>
    </row>
    <row r="9" spans="1:1" s="483" customFormat="1" ht="14.4" x14ac:dyDescent="0.3">
      <c r="A9" s="483" t="s">
        <v>422</v>
      </c>
    </row>
    <row r="10" spans="1:1" s="483" customFormat="1" ht="14.4" x14ac:dyDescent="0.3">
      <c r="A10" s="483" t="s">
        <v>423</v>
      </c>
    </row>
    <row r="11" spans="1:1" s="483" customFormat="1" ht="14.4" x14ac:dyDescent="0.3">
      <c r="A11" s="483" t="s">
        <v>424</v>
      </c>
    </row>
    <row r="12" spans="1:1" s="483" customFormat="1" ht="14.4" x14ac:dyDescent="0.3">
      <c r="A12" s="483" t="s">
        <v>425</v>
      </c>
    </row>
    <row r="13" spans="1:1" s="483" customFormat="1" ht="14.4" x14ac:dyDescent="0.3">
      <c r="A13" s="483" t="s">
        <v>426</v>
      </c>
    </row>
    <row r="14" spans="1:1" s="483" customFormat="1" ht="14.4" x14ac:dyDescent="0.3">
      <c r="A14" s="483" t="s">
        <v>427</v>
      </c>
    </row>
    <row r="15" spans="1:1" s="483" customFormat="1" ht="14.4" x14ac:dyDescent="0.3">
      <c r="A15" s="483" t="s">
        <v>428</v>
      </c>
    </row>
    <row r="16" spans="1:1" s="483" customFormat="1" ht="14.4" x14ac:dyDescent="0.3">
      <c r="A16" s="483" t="s">
        <v>429</v>
      </c>
    </row>
    <row r="17" spans="1:1" s="483" customFormat="1" ht="14.4" x14ac:dyDescent="0.3">
      <c r="A17" s="483" t="s">
        <v>430</v>
      </c>
    </row>
    <row r="18" spans="1:1" s="483" customFormat="1" ht="14.4" x14ac:dyDescent="0.3">
      <c r="A18" s="483" t="s">
        <v>431</v>
      </c>
    </row>
    <row r="19" spans="1:1" s="483" customFormat="1" ht="14.4" x14ac:dyDescent="0.3">
      <c r="A19" s="483" t="s">
        <v>432</v>
      </c>
    </row>
    <row r="20" spans="1:1" s="483" customFormat="1" ht="14.4" x14ac:dyDescent="0.3">
      <c r="A20" s="483" t="s">
        <v>433</v>
      </c>
    </row>
    <row r="21" spans="1:1" s="483" customFormat="1" ht="14.4" x14ac:dyDescent="0.3">
      <c r="A21" s="483" t="s">
        <v>434</v>
      </c>
    </row>
    <row r="22" spans="1:1" s="483" customFormat="1" ht="14.4" x14ac:dyDescent="0.3">
      <c r="A22" s="483" t="s">
        <v>435</v>
      </c>
    </row>
    <row r="23" spans="1:1" s="483" customFormat="1" ht="14.4" x14ac:dyDescent="0.3">
      <c r="A23" s="483" t="s">
        <v>436</v>
      </c>
    </row>
    <row r="24" spans="1:1" s="483" customFormat="1" ht="14.4" x14ac:dyDescent="0.3">
      <c r="A24" s="483" t="s">
        <v>437</v>
      </c>
    </row>
    <row r="25" spans="1:1" s="483" customFormat="1" ht="14.4" x14ac:dyDescent="0.3">
      <c r="A25" s="483" t="s">
        <v>438</v>
      </c>
    </row>
    <row r="26" spans="1:1" s="483" customFormat="1" ht="14.4" x14ac:dyDescent="0.3">
      <c r="A26" s="483" t="s">
        <v>439</v>
      </c>
    </row>
    <row r="27" spans="1:1" s="483" customFormat="1" ht="14.4" x14ac:dyDescent="0.3">
      <c r="A27" s="483" t="s">
        <v>440</v>
      </c>
    </row>
    <row r="28" spans="1:1" s="483" customFormat="1" ht="14.4" x14ac:dyDescent="0.3">
      <c r="A28" s="483" t="s">
        <v>441</v>
      </c>
    </row>
    <row r="29" spans="1:1" s="483" customFormat="1" ht="14.4" x14ac:dyDescent="0.3">
      <c r="A29" s="483" t="s">
        <v>442</v>
      </c>
    </row>
    <row r="30" spans="1:1" s="483" customFormat="1" ht="14.4" x14ac:dyDescent="0.3">
      <c r="A30" s="483" t="s">
        <v>443</v>
      </c>
    </row>
    <row r="31" spans="1:1" s="483" customFormat="1" ht="14.4" x14ac:dyDescent="0.3">
      <c r="A31" s="483" t="s">
        <v>444</v>
      </c>
    </row>
    <row r="32" spans="1:1" s="483" customFormat="1" ht="14.4" x14ac:dyDescent="0.3">
      <c r="A32" s="483" t="s">
        <v>445</v>
      </c>
    </row>
    <row r="33" spans="1:1" s="483" customFormat="1" ht="14.4" x14ac:dyDescent="0.3">
      <c r="A33" s="483" t="s">
        <v>446</v>
      </c>
    </row>
    <row r="34" spans="1:1" s="483" customFormat="1" ht="14.4" x14ac:dyDescent="0.3">
      <c r="A34" s="483" t="s">
        <v>447</v>
      </c>
    </row>
    <row r="35" spans="1:1" s="483" customFormat="1" ht="14.4" x14ac:dyDescent="0.3">
      <c r="A35" s="483" t="s">
        <v>448</v>
      </c>
    </row>
  </sheetData>
  <phoneticPr fontId="33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8" t="s">
        <v>96</v>
      </c>
      <c r="E1" s="131" t="s">
        <v>103</v>
      </c>
    </row>
    <row r="3" spans="1:5" x14ac:dyDescent="0.25">
      <c r="A3" s="136"/>
      <c r="B3" s="137"/>
      <c r="C3" s="136"/>
      <c r="D3" s="139"/>
      <c r="E3" s="137"/>
    </row>
    <row r="4" spans="1:5" ht="15.6" x14ac:dyDescent="0.3">
      <c r="A4" s="93" t="s">
        <v>395</v>
      </c>
      <c r="B4" s="138"/>
      <c r="C4" s="147"/>
      <c r="D4" s="139"/>
      <c r="E4" s="137"/>
    </row>
    <row r="5" spans="1:5" x14ac:dyDescent="0.25">
      <c r="A5" s="136"/>
      <c r="B5" s="137"/>
      <c r="C5" s="136"/>
      <c r="D5" s="139"/>
      <c r="E5" s="137"/>
    </row>
    <row r="6" spans="1:5" x14ac:dyDescent="0.25">
      <c r="A6" s="136" t="s">
        <v>194</v>
      </c>
      <c r="B6" s="137" t="e">
        <f>+'1.1.sz.mell.'!#REF!</f>
        <v>#REF!</v>
      </c>
      <c r="C6" s="136" t="s">
        <v>402</v>
      </c>
      <c r="D6" s="139" t="e">
        <f>+'2.1.sz.mell  '!#REF!+'2.2.sz.mell  '!#REF!</f>
        <v>#REF!</v>
      </c>
      <c r="E6" s="137" t="e">
        <f t="shared" ref="E6:E15" si="0">+B6-D6</f>
        <v>#REF!</v>
      </c>
    </row>
    <row r="7" spans="1:5" x14ac:dyDescent="0.25">
      <c r="A7" s="136" t="s">
        <v>97</v>
      </c>
      <c r="B7" s="137" t="e">
        <f>+'1.1.sz.mell.'!#REF!</f>
        <v>#REF!</v>
      </c>
      <c r="C7" s="136" t="s">
        <v>403</v>
      </c>
      <c r="D7" s="139" t="e">
        <f>+'2.1.sz.mell  '!#REF!+'2.2.sz.mell  '!#REF!</f>
        <v>#REF!</v>
      </c>
      <c r="E7" s="137" t="e">
        <f t="shared" si="0"/>
        <v>#REF!</v>
      </c>
    </row>
    <row r="8" spans="1:5" x14ac:dyDescent="0.25">
      <c r="A8" s="136" t="s">
        <v>393</v>
      </c>
      <c r="B8" s="137" t="e">
        <f>+'1.1.sz.mell.'!#REF!</f>
        <v>#REF!</v>
      </c>
      <c r="C8" s="136" t="s">
        <v>404</v>
      </c>
      <c r="D8" s="139" t="e">
        <f>+'2.1.sz.mell  '!#REF!+'2.2.sz.mell  '!#REF!</f>
        <v>#REF!</v>
      </c>
      <c r="E8" s="137" t="e">
        <f t="shared" si="0"/>
        <v>#REF!</v>
      </c>
    </row>
    <row r="9" spans="1:5" x14ac:dyDescent="0.25">
      <c r="A9" s="136"/>
      <c r="B9" s="137"/>
      <c r="C9" s="136"/>
      <c r="D9" s="139"/>
      <c r="E9" s="137"/>
    </row>
    <row r="10" spans="1:5" x14ac:dyDescent="0.25">
      <c r="A10" s="136"/>
      <c r="B10" s="137"/>
      <c r="C10" s="136"/>
      <c r="D10" s="139"/>
      <c r="E10" s="137"/>
    </row>
    <row r="11" spans="1:5" ht="15.6" x14ac:dyDescent="0.3">
      <c r="A11" s="93" t="s">
        <v>396</v>
      </c>
      <c r="B11" s="138"/>
      <c r="C11" s="147"/>
      <c r="D11" s="139"/>
      <c r="E11" s="137"/>
    </row>
    <row r="12" spans="1:5" x14ac:dyDescent="0.25">
      <c r="A12" s="136"/>
      <c r="B12" s="137"/>
      <c r="C12" s="136"/>
      <c r="D12" s="139"/>
      <c r="E12" s="137"/>
    </row>
    <row r="13" spans="1:5" x14ac:dyDescent="0.25">
      <c r="A13" s="136" t="s">
        <v>121</v>
      </c>
      <c r="B13" s="137" t="e">
        <f>+'1.1.sz.mell.'!#REF!</f>
        <v>#REF!</v>
      </c>
      <c r="C13" s="136" t="s">
        <v>405</v>
      </c>
      <c r="D13" s="139" t="e">
        <f>+'2.1.sz.mell  '!#REF!+'2.2.sz.mell  '!#REF!</f>
        <v>#REF!</v>
      </c>
      <c r="E13" s="137" t="e">
        <f t="shared" si="0"/>
        <v>#REF!</v>
      </c>
    </row>
    <row r="14" spans="1:5" x14ac:dyDescent="0.25">
      <c r="A14" s="136" t="s">
        <v>98</v>
      </c>
      <c r="B14" s="137" t="e">
        <f>+'1.1.sz.mell.'!#REF!</f>
        <v>#REF!</v>
      </c>
      <c r="C14" s="136" t="s">
        <v>406</v>
      </c>
      <c r="D14" s="139" t="e">
        <f>+'2.1.sz.mell  '!#REF!+'2.2.sz.mell  '!#REF!</f>
        <v>#REF!</v>
      </c>
      <c r="E14" s="137" t="e">
        <f t="shared" si="0"/>
        <v>#REF!</v>
      </c>
    </row>
    <row r="15" spans="1:5" x14ac:dyDescent="0.25">
      <c r="A15" s="136" t="s">
        <v>394</v>
      </c>
      <c r="B15" s="137" t="e">
        <f>+'1.1.sz.mell.'!#REF!</f>
        <v>#REF!</v>
      </c>
      <c r="C15" s="136" t="s">
        <v>407</v>
      </c>
      <c r="D15" s="139" t="e">
        <f>+'2.1.sz.mell  '!#REF!+'2.2.sz.mell  '!#REF!</f>
        <v>#REF!</v>
      </c>
      <c r="E15" s="137" t="e">
        <f t="shared" si="0"/>
        <v>#REF!</v>
      </c>
    </row>
    <row r="16" spans="1:5" x14ac:dyDescent="0.25">
      <c r="A16" s="129"/>
      <c r="B16" s="129"/>
      <c r="C16" s="136"/>
      <c r="D16" s="139"/>
      <c r="E16" s="130"/>
    </row>
    <row r="17" spans="1:5" x14ac:dyDescent="0.25">
      <c r="A17" s="129"/>
      <c r="B17" s="129"/>
      <c r="C17" s="129"/>
      <c r="D17" s="129"/>
      <c r="E17" s="129"/>
    </row>
    <row r="18" spans="1:5" x14ac:dyDescent="0.25">
      <c r="A18" s="129"/>
      <c r="B18" s="129"/>
      <c r="C18" s="129"/>
      <c r="D18" s="129"/>
      <c r="E18" s="129"/>
    </row>
    <row r="19" spans="1:5" x14ac:dyDescent="0.25">
      <c r="A19" s="129"/>
      <c r="B19" s="129"/>
      <c r="C19" s="129"/>
      <c r="D19" s="129"/>
      <c r="E19" s="129"/>
    </row>
  </sheetData>
  <sheetProtection sheet="1"/>
  <phoneticPr fontId="33" type="noConversion"/>
  <conditionalFormatting sqref="E3:E15">
    <cfRule type="cellIs" dxfId="8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1"/>
  <sheetViews>
    <sheetView view="pageLayout" zoomScaleNormal="120" zoomScaleSheetLayoutView="100" workbookViewId="0">
      <selection sqref="A1:F1"/>
    </sheetView>
  </sheetViews>
  <sheetFormatPr defaultColWidth="9.33203125" defaultRowHeight="13.8" x14ac:dyDescent="0.25"/>
  <cols>
    <col min="1" max="1" width="5.6640625" style="150" customWidth="1"/>
    <col min="2" max="2" width="43.109375" style="150" bestFit="1" customWidth="1"/>
    <col min="3" max="6" width="14" style="150" customWidth="1"/>
    <col min="7" max="16384" width="9.33203125" style="150"/>
  </cols>
  <sheetData>
    <row r="1" spans="1:7" ht="33" customHeight="1" x14ac:dyDescent="0.25">
      <c r="A1" s="1360" t="s">
        <v>1049</v>
      </c>
      <c r="B1" s="1360"/>
      <c r="C1" s="1360"/>
      <c r="D1" s="1360"/>
      <c r="E1" s="1360"/>
      <c r="F1" s="1360"/>
    </row>
    <row r="2" spans="1:7" ht="15.9" customHeight="1" thickBot="1" x14ac:dyDescent="0.35">
      <c r="A2" s="151"/>
      <c r="B2" s="151"/>
      <c r="C2" s="1361"/>
      <c r="D2" s="1361"/>
      <c r="E2" s="1368" t="s">
        <v>923</v>
      </c>
      <c r="F2" s="1368"/>
      <c r="G2" s="157"/>
    </row>
    <row r="3" spans="1:7" ht="63" customHeight="1" x14ac:dyDescent="0.25">
      <c r="A3" s="1364" t="s">
        <v>883</v>
      </c>
      <c r="B3" s="1366" t="s">
        <v>198</v>
      </c>
      <c r="C3" s="1366" t="s">
        <v>397</v>
      </c>
      <c r="D3" s="1366"/>
      <c r="E3" s="1366"/>
      <c r="F3" s="1362" t="s">
        <v>370</v>
      </c>
    </row>
    <row r="4" spans="1:7" ht="14.4" thickBot="1" x14ac:dyDescent="0.3">
      <c r="A4" s="1365"/>
      <c r="B4" s="1367"/>
      <c r="C4" s="743" t="s">
        <v>978</v>
      </c>
      <c r="D4" s="743" t="s">
        <v>1038</v>
      </c>
      <c r="E4" s="743" t="s">
        <v>1048</v>
      </c>
      <c r="F4" s="1363"/>
    </row>
    <row r="5" spans="1:7" ht="14.4" thickBot="1" x14ac:dyDescent="0.3">
      <c r="A5" s="154">
        <v>1</v>
      </c>
      <c r="B5" s="155">
        <v>2</v>
      </c>
      <c r="C5" s="155">
        <v>3</v>
      </c>
      <c r="D5" s="155">
        <v>4</v>
      </c>
      <c r="E5" s="155">
        <v>5</v>
      </c>
      <c r="F5" s="156">
        <v>6</v>
      </c>
    </row>
    <row r="6" spans="1:7" x14ac:dyDescent="0.25">
      <c r="A6" s="153" t="s">
        <v>885</v>
      </c>
      <c r="B6" s="181"/>
      <c r="C6" s="182"/>
      <c r="D6" s="182"/>
      <c r="E6" s="182"/>
      <c r="F6" s="160">
        <f>SUM(C6:E6)</f>
        <v>0</v>
      </c>
    </row>
    <row r="7" spans="1:7" x14ac:dyDescent="0.25">
      <c r="A7" s="152" t="s">
        <v>886</v>
      </c>
      <c r="B7" s="183"/>
      <c r="C7" s="184"/>
      <c r="D7" s="184"/>
      <c r="E7" s="184"/>
      <c r="F7" s="161">
        <f>SUM(C7:E7)</f>
        <v>0</v>
      </c>
    </row>
    <row r="8" spans="1:7" x14ac:dyDescent="0.25">
      <c r="A8" s="152" t="s">
        <v>887</v>
      </c>
      <c r="B8" s="183"/>
      <c r="C8" s="184"/>
      <c r="D8" s="184"/>
      <c r="E8" s="184"/>
      <c r="F8" s="161">
        <f>SUM(C8:E8)</f>
        <v>0</v>
      </c>
    </row>
    <row r="9" spans="1:7" x14ac:dyDescent="0.25">
      <c r="A9" s="152" t="s">
        <v>888</v>
      </c>
      <c r="B9" s="183"/>
      <c r="C9" s="184"/>
      <c r="D9" s="184"/>
      <c r="E9" s="184"/>
      <c r="F9" s="161">
        <f>SUM(C9:E9)</f>
        <v>0</v>
      </c>
    </row>
    <row r="10" spans="1:7" ht="14.4" thickBot="1" x14ac:dyDescent="0.3">
      <c r="A10" s="158" t="s">
        <v>889</v>
      </c>
      <c r="B10" s="185"/>
      <c r="C10" s="186"/>
      <c r="D10" s="186"/>
      <c r="E10" s="186"/>
      <c r="F10" s="161">
        <f>SUM(C10:E10)</f>
        <v>0</v>
      </c>
    </row>
    <row r="11" spans="1:7" ht="14.4" thickBot="1" x14ac:dyDescent="0.3">
      <c r="A11" s="154" t="s">
        <v>890</v>
      </c>
      <c r="B11" s="159" t="s">
        <v>200</v>
      </c>
      <c r="C11" s="162">
        <f>SUM(C6:C10)</f>
        <v>0</v>
      </c>
      <c r="D11" s="162">
        <f>SUM(D6:D10)</f>
        <v>0</v>
      </c>
      <c r="E11" s="162">
        <f>SUM(E6:E10)</f>
        <v>0</v>
      </c>
      <c r="F11" s="163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0" orientation="portrait" r:id="rId1"/>
  <headerFooter alignWithMargins="0">
    <oddHeader>&amp;R&amp;"Times New Roman CE,Félkövér dőlt"&amp;11 &amp;"Times New Roman CE,Félkövér"3. melléklet az 5/2019. (IV. 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"/>
  <sheetViews>
    <sheetView view="pageLayout" zoomScaleNormal="120" zoomScaleSheetLayoutView="100" workbookViewId="0">
      <selection activeCell="H9" sqref="H9"/>
    </sheetView>
  </sheetViews>
  <sheetFormatPr defaultColWidth="9.33203125" defaultRowHeight="13.8" x14ac:dyDescent="0.25"/>
  <cols>
    <col min="1" max="1" width="5.6640625" style="150" customWidth="1"/>
    <col min="2" max="2" width="68.6640625" style="150" customWidth="1"/>
    <col min="3" max="3" width="11.44140625" style="150" hidden="1" customWidth="1"/>
    <col min="4" max="6" width="14.77734375" style="150" customWidth="1"/>
    <col min="7" max="16384" width="9.33203125" style="150"/>
  </cols>
  <sheetData>
    <row r="1" spans="1:6" ht="33" customHeight="1" x14ac:dyDescent="0.25">
      <c r="A1" s="1360" t="s">
        <v>571</v>
      </c>
      <c r="B1" s="1360"/>
      <c r="C1" s="1360"/>
      <c r="D1" s="1360"/>
      <c r="E1" s="1360"/>
      <c r="F1" s="1360"/>
    </row>
    <row r="2" spans="1:6" ht="15.9" customHeight="1" thickBot="1" x14ac:dyDescent="0.3">
      <c r="A2" s="151"/>
      <c r="B2" s="151"/>
      <c r="C2" s="164"/>
      <c r="D2" s="164"/>
      <c r="E2" s="164"/>
      <c r="F2" s="164" t="s">
        <v>923</v>
      </c>
    </row>
    <row r="3" spans="1:6" ht="35.25" customHeight="1" thickBot="1" x14ac:dyDescent="0.3">
      <c r="A3" s="187" t="s">
        <v>883</v>
      </c>
      <c r="B3" s="494" t="s">
        <v>195</v>
      </c>
      <c r="C3" s="730" t="s">
        <v>941</v>
      </c>
      <c r="D3" s="725" t="s">
        <v>1020</v>
      </c>
      <c r="E3" s="725" t="s">
        <v>1039</v>
      </c>
      <c r="F3" s="1155" t="s">
        <v>1077</v>
      </c>
    </row>
    <row r="4" spans="1:6" ht="14.4" thickBot="1" x14ac:dyDescent="0.3">
      <c r="A4" s="188">
        <v>1</v>
      </c>
      <c r="B4" s="495">
        <v>2</v>
      </c>
      <c r="C4" s="188">
        <v>3</v>
      </c>
      <c r="D4" s="189">
        <v>3</v>
      </c>
      <c r="E4" s="189">
        <v>4</v>
      </c>
      <c r="F4" s="495">
        <v>5</v>
      </c>
    </row>
    <row r="5" spans="1:6" x14ac:dyDescent="0.25">
      <c r="A5" s="190" t="s">
        <v>885</v>
      </c>
      <c r="B5" s="726" t="s">
        <v>928</v>
      </c>
      <c r="C5" s="731">
        <v>87700</v>
      </c>
      <c r="D5" s="732">
        <f>'8. sz. mell'!D10</f>
        <v>107000</v>
      </c>
      <c r="E5" s="732">
        <v>97000</v>
      </c>
      <c r="F5" s="1156">
        <v>97000</v>
      </c>
    </row>
    <row r="6" spans="1:6" ht="24" x14ac:dyDescent="0.25">
      <c r="A6" s="191" t="s">
        <v>886</v>
      </c>
      <c r="B6" s="727" t="s">
        <v>371</v>
      </c>
      <c r="C6" s="733">
        <v>414</v>
      </c>
      <c r="D6" s="734">
        <f>'8. sz. mell'!D17</f>
        <v>15033</v>
      </c>
      <c r="E6" s="734">
        <v>15000</v>
      </c>
      <c r="F6" s="1157">
        <v>15000</v>
      </c>
    </row>
    <row r="7" spans="1:6" x14ac:dyDescent="0.25">
      <c r="A7" s="191" t="s">
        <v>887</v>
      </c>
      <c r="B7" s="728" t="s">
        <v>201</v>
      </c>
      <c r="C7" s="733">
        <v>2816</v>
      </c>
      <c r="D7" s="735"/>
      <c r="E7" s="735"/>
      <c r="F7" s="1157"/>
    </row>
    <row r="8" spans="1:6" ht="24" x14ac:dyDescent="0.25">
      <c r="A8" s="191" t="s">
        <v>888</v>
      </c>
      <c r="B8" s="728" t="s">
        <v>373</v>
      </c>
      <c r="C8" s="733">
        <v>0</v>
      </c>
      <c r="D8" s="735"/>
      <c r="E8" s="735"/>
      <c r="F8" s="1157"/>
    </row>
    <row r="9" spans="1:6" x14ac:dyDescent="0.25">
      <c r="A9" s="192" t="s">
        <v>889</v>
      </c>
      <c r="B9" s="728" t="s">
        <v>372</v>
      </c>
      <c r="C9" s="733">
        <v>0</v>
      </c>
      <c r="D9" s="735">
        <f>'8. sz. mell'!D12</f>
        <v>3100</v>
      </c>
      <c r="E9" s="735">
        <v>3100</v>
      </c>
      <c r="F9" s="1157">
        <v>3100</v>
      </c>
    </row>
    <row r="10" spans="1:6" ht="14.4" thickBot="1" x14ac:dyDescent="0.3">
      <c r="A10" s="191" t="s">
        <v>890</v>
      </c>
      <c r="B10" s="729" t="s">
        <v>196</v>
      </c>
      <c r="C10" s="736">
        <v>0</v>
      </c>
      <c r="D10" s="737"/>
      <c r="E10" s="737"/>
      <c r="F10" s="1158"/>
    </row>
    <row r="11" spans="1:6" ht="14.4" thickBot="1" x14ac:dyDescent="0.3">
      <c r="A11" s="1369" t="s">
        <v>202</v>
      </c>
      <c r="B11" s="1370"/>
      <c r="C11" s="738">
        <v>90930</v>
      </c>
      <c r="D11" s="739">
        <f>SUM(D5:D10)</f>
        <v>125133</v>
      </c>
      <c r="E11" s="739">
        <f>SUM(E5:E10)</f>
        <v>115100</v>
      </c>
      <c r="F11" s="1159">
        <f>SUM(F5:F10)</f>
        <v>115100</v>
      </c>
    </row>
    <row r="12" spans="1:6" ht="23.25" customHeight="1" x14ac:dyDescent="0.25">
      <c r="A12" s="1371" t="s">
        <v>238</v>
      </c>
      <c r="B12" s="1371"/>
      <c r="C12" s="1371"/>
    </row>
  </sheetData>
  <mergeCells count="3">
    <mergeCell ref="A11:B11"/>
    <mergeCell ref="A12:C12"/>
    <mergeCell ref="A1:F1"/>
  </mergeCells>
  <phoneticPr fontId="33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64" orientation="portrait" r:id="rId1"/>
  <headerFooter alignWithMargins="0">
    <oddHeader>&amp;R&amp;"Times New Roman CE,Félkövér"&amp;11 4. melléklet az 5/2019. (IV. 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47"/>
  <sheetViews>
    <sheetView view="pageLayout" zoomScaleNormal="100" zoomScaleSheetLayoutView="100" workbookViewId="0">
      <selection activeCell="F33" sqref="F33"/>
    </sheetView>
  </sheetViews>
  <sheetFormatPr defaultColWidth="9.33203125" defaultRowHeight="13.2" x14ac:dyDescent="0.25"/>
  <cols>
    <col min="1" max="1" width="48.6640625" style="759" customWidth="1"/>
    <col min="2" max="2" width="43.77734375" style="758" customWidth="1"/>
    <col min="3" max="3" width="12.6640625" style="770" customWidth="1"/>
    <col min="4" max="5" width="21.109375" style="678" customWidth="1"/>
    <col min="6" max="6" width="12.77734375" style="44" customWidth="1"/>
    <col min="7" max="7" width="13.77734375" style="44" customWidth="1"/>
    <col min="8" max="16384" width="9.33203125" style="44"/>
  </cols>
  <sheetData>
    <row r="1" spans="1:7" ht="24.75" customHeight="1" x14ac:dyDescent="0.25">
      <c r="A1" s="1374" t="s">
        <v>976</v>
      </c>
      <c r="B1" s="1374"/>
      <c r="C1" s="1374"/>
      <c r="D1" s="1374"/>
      <c r="E1" s="1374"/>
      <c r="F1" s="1374"/>
      <c r="G1" s="1374"/>
    </row>
    <row r="2" spans="1:7" ht="23.25" customHeight="1" thickBot="1" x14ac:dyDescent="0.35">
      <c r="B2" s="756"/>
      <c r="C2" s="766"/>
      <c r="G2" s="760" t="s">
        <v>1044</v>
      </c>
    </row>
    <row r="3" spans="1:7" s="47" customFormat="1" ht="48.75" customHeight="1" thickBot="1" x14ac:dyDescent="0.3">
      <c r="A3" s="1372" t="s">
        <v>14</v>
      </c>
      <c r="B3" s="1373"/>
      <c r="C3" s="761" t="s">
        <v>973</v>
      </c>
      <c r="D3" s="1066" t="s">
        <v>1174</v>
      </c>
      <c r="E3" s="1161" t="s">
        <v>1173</v>
      </c>
      <c r="F3" s="1160" t="s">
        <v>1218</v>
      </c>
      <c r="G3" s="1042" t="s">
        <v>1219</v>
      </c>
    </row>
    <row r="4" spans="1:7" s="50" customFormat="1" ht="15" customHeight="1" thickBot="1" x14ac:dyDescent="0.3">
      <c r="A4" s="1372">
        <v>1</v>
      </c>
      <c r="B4" s="1373"/>
      <c r="C4" s="939">
        <v>2</v>
      </c>
      <c r="D4" s="1060">
        <v>3</v>
      </c>
      <c r="E4" s="1066">
        <v>4</v>
      </c>
      <c r="F4" s="1165">
        <v>5</v>
      </c>
      <c r="G4" s="786">
        <v>6</v>
      </c>
    </row>
    <row r="5" spans="1:7" s="50" customFormat="1" ht="15" customHeight="1" x14ac:dyDescent="0.25">
      <c r="A5" s="950" t="s">
        <v>1046</v>
      </c>
      <c r="B5" s="951" t="s">
        <v>1042</v>
      </c>
      <c r="C5" s="952">
        <v>2018</v>
      </c>
      <c r="D5" s="1061">
        <v>800000</v>
      </c>
      <c r="E5" s="1061">
        <v>800000</v>
      </c>
      <c r="F5" s="1166">
        <f>282310+76224</f>
        <v>358534</v>
      </c>
      <c r="G5" s="1237">
        <f>F5/E5</f>
        <v>0.4481675</v>
      </c>
    </row>
    <row r="6" spans="1:7" s="50" customFormat="1" ht="15" customHeight="1" x14ac:dyDescent="0.25">
      <c r="A6" s="953" t="s">
        <v>1075</v>
      </c>
      <c r="B6" s="740" t="s">
        <v>1094</v>
      </c>
      <c r="C6" s="938">
        <v>2018</v>
      </c>
      <c r="D6" s="1062">
        <v>800000</v>
      </c>
      <c r="E6" s="1062">
        <f>800000+1037000</f>
        <v>1837000</v>
      </c>
      <c r="F6" s="762">
        <f>1446803+390637</f>
        <v>1837440</v>
      </c>
      <c r="G6" s="1238">
        <f t="shared" ref="G6:G47" si="0">F6/E6</f>
        <v>1.0002395209580839</v>
      </c>
    </row>
    <row r="7" spans="1:7" ht="25.5" customHeight="1" x14ac:dyDescent="0.25">
      <c r="A7" s="953" t="s">
        <v>1107</v>
      </c>
      <c r="B7" s="741" t="s">
        <v>1103</v>
      </c>
      <c r="C7" s="938">
        <v>2018</v>
      </c>
      <c r="D7" s="1062">
        <v>200000</v>
      </c>
      <c r="E7" s="1062">
        <v>200000</v>
      </c>
      <c r="F7" s="1232">
        <v>0</v>
      </c>
      <c r="G7" s="1238">
        <f t="shared" si="0"/>
        <v>0</v>
      </c>
    </row>
    <row r="8" spans="1:7" ht="27" customHeight="1" x14ac:dyDescent="0.25">
      <c r="A8" s="953" t="s">
        <v>1107</v>
      </c>
      <c r="B8" s="741" t="s">
        <v>965</v>
      </c>
      <c r="C8" s="938">
        <v>2018</v>
      </c>
      <c r="D8" s="1062">
        <v>3000000</v>
      </c>
      <c r="E8" s="1062">
        <v>3000000</v>
      </c>
      <c r="F8" s="1232">
        <v>0</v>
      </c>
      <c r="G8" s="1238">
        <f t="shared" si="0"/>
        <v>0</v>
      </c>
    </row>
    <row r="9" spans="1:7" ht="27" customHeight="1" x14ac:dyDescent="0.25">
      <c r="A9" s="954" t="s">
        <v>1109</v>
      </c>
      <c r="B9" s="741" t="s">
        <v>1110</v>
      </c>
      <c r="C9" s="938">
        <v>2018</v>
      </c>
      <c r="D9" s="1062">
        <v>3000000</v>
      </c>
      <c r="E9" s="1062">
        <v>3000000</v>
      </c>
      <c r="F9" s="762">
        <f>664750+179483</f>
        <v>844233</v>
      </c>
      <c r="G9" s="1238">
        <f t="shared" si="0"/>
        <v>0.28141100000000002</v>
      </c>
    </row>
    <row r="10" spans="1:7" ht="30.75" customHeight="1" x14ac:dyDescent="0.25">
      <c r="A10" s="954" t="s">
        <v>971</v>
      </c>
      <c r="B10" s="741" t="s">
        <v>1111</v>
      </c>
      <c r="C10" s="938">
        <v>2018</v>
      </c>
      <c r="D10" s="1062">
        <v>2000000</v>
      </c>
      <c r="E10" s="1062">
        <v>2000000</v>
      </c>
      <c r="F10" s="1232">
        <v>0</v>
      </c>
      <c r="G10" s="1238">
        <f t="shared" si="0"/>
        <v>0</v>
      </c>
    </row>
    <row r="11" spans="1:7" ht="15.9" customHeight="1" x14ac:dyDescent="0.25">
      <c r="A11" s="953" t="s">
        <v>971</v>
      </c>
      <c r="B11" s="741" t="s">
        <v>1112</v>
      </c>
      <c r="C11" s="938">
        <v>2018</v>
      </c>
      <c r="D11" s="1062">
        <v>3000000</v>
      </c>
      <c r="E11" s="1062">
        <v>3000000</v>
      </c>
      <c r="F11" s="1232">
        <v>0</v>
      </c>
      <c r="G11" s="1238">
        <f t="shared" si="0"/>
        <v>0</v>
      </c>
    </row>
    <row r="12" spans="1:7" ht="15.9" customHeight="1" x14ac:dyDescent="0.25">
      <c r="A12" s="953" t="s">
        <v>971</v>
      </c>
      <c r="B12" s="741" t="s">
        <v>1113</v>
      </c>
      <c r="C12" s="938">
        <v>2018</v>
      </c>
      <c r="D12" s="1062">
        <v>4000000</v>
      </c>
      <c r="E12" s="1062">
        <v>4000000</v>
      </c>
      <c r="F12" s="1232">
        <v>0</v>
      </c>
      <c r="G12" s="1238">
        <f t="shared" si="0"/>
        <v>0</v>
      </c>
    </row>
    <row r="13" spans="1:7" ht="15.9" customHeight="1" x14ac:dyDescent="0.25">
      <c r="A13" s="953" t="s">
        <v>971</v>
      </c>
      <c r="B13" s="741" t="s">
        <v>1114</v>
      </c>
      <c r="C13" s="938">
        <v>2018</v>
      </c>
      <c r="D13" s="1062">
        <f>1800000*1.27</f>
        <v>2286000</v>
      </c>
      <c r="E13" s="1062">
        <f>1800000*1.27</f>
        <v>2286000</v>
      </c>
      <c r="F13" s="1232">
        <v>0</v>
      </c>
      <c r="G13" s="1238">
        <f t="shared" si="0"/>
        <v>0</v>
      </c>
    </row>
    <row r="14" spans="1:7" ht="15.9" customHeight="1" x14ac:dyDescent="0.25">
      <c r="A14" s="953" t="s">
        <v>1116</v>
      </c>
      <c r="B14" s="741" t="s">
        <v>1117</v>
      </c>
      <c r="C14" s="938">
        <v>2018</v>
      </c>
      <c r="D14" s="1062">
        <v>500000</v>
      </c>
      <c r="E14" s="1062">
        <v>500000</v>
      </c>
      <c r="F14" s="1232">
        <v>0</v>
      </c>
      <c r="G14" s="1238">
        <f t="shared" si="0"/>
        <v>0</v>
      </c>
    </row>
    <row r="15" spans="1:7" ht="15.9" customHeight="1" x14ac:dyDescent="0.25">
      <c r="A15" s="953" t="s">
        <v>1118</v>
      </c>
      <c r="B15" s="741" t="s">
        <v>1119</v>
      </c>
      <c r="C15" s="938">
        <v>2018</v>
      </c>
      <c r="D15" s="1062">
        <v>10000000</v>
      </c>
      <c r="E15" s="1062">
        <v>10000000</v>
      </c>
      <c r="F15" s="1232">
        <v>0</v>
      </c>
      <c r="G15" s="1238">
        <f t="shared" si="0"/>
        <v>0</v>
      </c>
    </row>
    <row r="16" spans="1:7" ht="15.9" customHeight="1" x14ac:dyDescent="0.25">
      <c r="A16" s="1108" t="s">
        <v>1043</v>
      </c>
      <c r="B16" s="1108" t="s">
        <v>1176</v>
      </c>
      <c r="C16" s="1109">
        <v>2018</v>
      </c>
      <c r="D16" s="1107">
        <v>0</v>
      </c>
      <c r="E16" s="1162">
        <v>6000000</v>
      </c>
      <c r="F16" s="1289">
        <v>0</v>
      </c>
      <c r="G16" s="1239">
        <f t="shared" si="0"/>
        <v>0</v>
      </c>
    </row>
    <row r="17" spans="1:7" ht="15.9" customHeight="1" x14ac:dyDescent="0.25">
      <c r="A17" s="1110" t="s">
        <v>971</v>
      </c>
      <c r="B17" s="1110" t="s">
        <v>1177</v>
      </c>
      <c r="C17" s="1109">
        <v>2018</v>
      </c>
      <c r="D17" s="1107">
        <v>0</v>
      </c>
      <c r="E17" s="1163">
        <f>1000000-735000</f>
        <v>265000</v>
      </c>
      <c r="F17" s="1107">
        <v>0</v>
      </c>
      <c r="G17" s="1240">
        <f t="shared" si="0"/>
        <v>0</v>
      </c>
    </row>
    <row r="18" spans="1:7" ht="15.9" customHeight="1" x14ac:dyDescent="0.25">
      <c r="A18" s="1111" t="s">
        <v>971</v>
      </c>
      <c r="B18" s="1110" t="s">
        <v>1178</v>
      </c>
      <c r="C18" s="1109">
        <v>2018</v>
      </c>
      <c r="D18" s="1107">
        <v>0</v>
      </c>
      <c r="E18" s="1163">
        <v>7840000</v>
      </c>
      <c r="F18" s="1107">
        <v>0</v>
      </c>
      <c r="G18" s="1240">
        <f t="shared" si="0"/>
        <v>0</v>
      </c>
    </row>
    <row r="19" spans="1:7" ht="15.9" customHeight="1" x14ac:dyDescent="0.25">
      <c r="A19" s="1111" t="s">
        <v>971</v>
      </c>
      <c r="B19" s="1110" t="s">
        <v>1179</v>
      </c>
      <c r="C19" s="1109">
        <v>2018</v>
      </c>
      <c r="D19" s="1107">
        <v>0</v>
      </c>
      <c r="E19" s="1163">
        <v>3000000</v>
      </c>
      <c r="F19" s="1107">
        <v>0</v>
      </c>
      <c r="G19" s="1240">
        <f t="shared" si="0"/>
        <v>0</v>
      </c>
    </row>
    <row r="20" spans="1:7" ht="15.9" customHeight="1" x14ac:dyDescent="0.25">
      <c r="A20" s="1111" t="s">
        <v>971</v>
      </c>
      <c r="B20" s="1110" t="s">
        <v>1180</v>
      </c>
      <c r="C20" s="1109">
        <v>2018</v>
      </c>
      <c r="D20" s="1107">
        <v>0</v>
      </c>
      <c r="E20" s="1163">
        <v>376000</v>
      </c>
      <c r="F20" s="1107">
        <v>0</v>
      </c>
      <c r="G20" s="1240">
        <f t="shared" si="0"/>
        <v>0</v>
      </c>
    </row>
    <row r="21" spans="1:7" ht="15.9" customHeight="1" x14ac:dyDescent="0.25">
      <c r="A21" s="1112" t="s">
        <v>1190</v>
      </c>
      <c r="B21" s="1113" t="s">
        <v>1181</v>
      </c>
      <c r="C21" s="1109">
        <v>2018</v>
      </c>
      <c r="D21" s="1107">
        <v>0</v>
      </c>
      <c r="E21" s="1163">
        <v>10140768</v>
      </c>
      <c r="F21" s="1107">
        <v>170000</v>
      </c>
      <c r="G21" s="1240">
        <f t="shared" si="0"/>
        <v>1.6764016295412736E-2</v>
      </c>
    </row>
    <row r="22" spans="1:7" ht="17.25" customHeight="1" x14ac:dyDescent="0.25">
      <c r="A22" s="1112" t="s">
        <v>1182</v>
      </c>
      <c r="B22" s="1113" t="s">
        <v>1183</v>
      </c>
      <c r="C22" s="1109">
        <v>2018</v>
      </c>
      <c r="D22" s="1107">
        <v>0</v>
      </c>
      <c r="E22" s="1164">
        <v>600000</v>
      </c>
      <c r="F22" s="1107">
        <v>0</v>
      </c>
      <c r="G22" s="1240">
        <f t="shared" si="0"/>
        <v>0</v>
      </c>
    </row>
    <row r="23" spans="1:7" ht="15.9" customHeight="1" x14ac:dyDescent="0.25">
      <c r="A23" s="1112" t="s">
        <v>971</v>
      </c>
      <c r="B23" s="1113" t="s">
        <v>1184</v>
      </c>
      <c r="C23" s="1109">
        <v>2018</v>
      </c>
      <c r="D23" s="1107">
        <v>0</v>
      </c>
      <c r="E23" s="1164">
        <v>10500000</v>
      </c>
      <c r="F23" s="1107">
        <v>0</v>
      </c>
      <c r="G23" s="1240">
        <f t="shared" si="0"/>
        <v>0</v>
      </c>
    </row>
    <row r="24" spans="1:7" ht="15.9" customHeight="1" x14ac:dyDescent="0.25">
      <c r="A24" s="1112" t="s">
        <v>971</v>
      </c>
      <c r="B24" s="1113" t="s">
        <v>1185</v>
      </c>
      <c r="C24" s="1109">
        <v>2018</v>
      </c>
      <c r="D24" s="1107">
        <v>0</v>
      </c>
      <c r="E24" s="1164">
        <v>14849000</v>
      </c>
      <c r="F24" s="1107">
        <v>0</v>
      </c>
      <c r="G24" s="1240">
        <f t="shared" si="0"/>
        <v>0</v>
      </c>
    </row>
    <row r="25" spans="1:7" ht="15.9" customHeight="1" x14ac:dyDescent="0.25">
      <c r="A25" s="1114" t="s">
        <v>971</v>
      </c>
      <c r="B25" s="1113" t="s">
        <v>1186</v>
      </c>
      <c r="C25" s="1109">
        <v>2018</v>
      </c>
      <c r="D25" s="1107">
        <v>0</v>
      </c>
      <c r="E25" s="1164">
        <v>8000000</v>
      </c>
      <c r="F25" s="1107">
        <v>0</v>
      </c>
      <c r="G25" s="1240">
        <f t="shared" si="0"/>
        <v>0</v>
      </c>
    </row>
    <row r="26" spans="1:7" ht="15.9" customHeight="1" x14ac:dyDescent="0.25">
      <c r="A26" s="1114" t="s">
        <v>1187</v>
      </c>
      <c r="B26" s="1115" t="s">
        <v>1188</v>
      </c>
      <c r="C26" s="1109">
        <v>2018</v>
      </c>
      <c r="D26" s="1107">
        <v>0</v>
      </c>
      <c r="E26" s="1164">
        <v>2500000</v>
      </c>
      <c r="F26" s="1107">
        <v>0</v>
      </c>
      <c r="G26" s="1240">
        <f t="shared" si="0"/>
        <v>0</v>
      </c>
    </row>
    <row r="27" spans="1:7" ht="15.9" customHeight="1" x14ac:dyDescent="0.25">
      <c r="A27" s="1116" t="s">
        <v>971</v>
      </c>
      <c r="B27" s="1115" t="s">
        <v>1189</v>
      </c>
      <c r="C27" s="1109">
        <v>2018</v>
      </c>
      <c r="D27" s="1107">
        <v>0</v>
      </c>
      <c r="E27" s="1164">
        <f>50800000+416000</f>
        <v>51216000</v>
      </c>
      <c r="F27" s="1107">
        <f>24852097+6710066</f>
        <v>31562163</v>
      </c>
      <c r="G27" s="1240">
        <f t="shared" si="0"/>
        <v>0.61625591611996255</v>
      </c>
    </row>
    <row r="28" spans="1:7" ht="15.9" customHeight="1" x14ac:dyDescent="0.25">
      <c r="A28" s="1125" t="s">
        <v>963</v>
      </c>
      <c r="B28" s="1126" t="s">
        <v>1206</v>
      </c>
      <c r="C28" s="1127">
        <v>2018</v>
      </c>
      <c r="D28" s="1128">
        <v>0</v>
      </c>
      <c r="E28" s="1133">
        <v>200000</v>
      </c>
      <c r="F28" s="1128">
        <f>164200+44334</f>
        <v>208534</v>
      </c>
      <c r="G28" s="1241">
        <f t="shared" si="0"/>
        <v>1.04267</v>
      </c>
    </row>
    <row r="29" spans="1:7" ht="15.9" customHeight="1" x14ac:dyDescent="0.25">
      <c r="A29" s="1129" t="s">
        <v>971</v>
      </c>
      <c r="B29" s="1115" t="s">
        <v>1208</v>
      </c>
      <c r="C29" s="1109">
        <v>2018</v>
      </c>
      <c r="D29" s="1107">
        <v>0</v>
      </c>
      <c r="E29" s="1164">
        <v>85000</v>
      </c>
      <c r="F29" s="1107">
        <f>67614+18256</f>
        <v>85870</v>
      </c>
      <c r="G29" s="1240">
        <f t="shared" si="0"/>
        <v>1.0102352941176471</v>
      </c>
    </row>
    <row r="30" spans="1:7" ht="15.9" customHeight="1" x14ac:dyDescent="0.25">
      <c r="A30" s="1130" t="s">
        <v>971</v>
      </c>
      <c r="B30" s="1131" t="s">
        <v>1209</v>
      </c>
      <c r="C30" s="1127">
        <v>2018</v>
      </c>
      <c r="D30" s="1128">
        <v>0</v>
      </c>
      <c r="E30" s="1133">
        <v>192000</v>
      </c>
      <c r="F30" s="1128">
        <f>10260+45095+30000+14803+12175+3997+2770</f>
        <v>119100</v>
      </c>
      <c r="G30" s="1241">
        <f t="shared" si="0"/>
        <v>0.62031250000000004</v>
      </c>
    </row>
    <row r="31" spans="1:7" ht="15.9" customHeight="1" x14ac:dyDescent="0.25">
      <c r="A31" s="1132" t="s">
        <v>971</v>
      </c>
      <c r="B31" s="1131" t="s">
        <v>1213</v>
      </c>
      <c r="C31" s="1127">
        <v>2018</v>
      </c>
      <c r="D31" s="1133">
        <v>0</v>
      </c>
      <c r="E31" s="1133">
        <v>4200000</v>
      </c>
      <c r="F31" s="1128">
        <v>0</v>
      </c>
      <c r="G31" s="1241">
        <f t="shared" si="0"/>
        <v>0</v>
      </c>
    </row>
    <row r="32" spans="1:7" ht="15.9" customHeight="1" x14ac:dyDescent="0.25">
      <c r="A32" s="1132" t="s">
        <v>971</v>
      </c>
      <c r="B32" s="1131" t="s">
        <v>1214</v>
      </c>
      <c r="C32" s="1127">
        <v>2018</v>
      </c>
      <c r="D32" s="1133">
        <v>0</v>
      </c>
      <c r="E32" s="1133">
        <v>9339410</v>
      </c>
      <c r="F32" s="1128">
        <v>0</v>
      </c>
      <c r="G32" s="1241">
        <f t="shared" si="0"/>
        <v>0</v>
      </c>
    </row>
    <row r="33" spans="1:7" ht="15.9" customHeight="1" x14ac:dyDescent="0.25">
      <c r="A33" s="1132" t="s">
        <v>1046</v>
      </c>
      <c r="B33" s="1131" t="s">
        <v>1211</v>
      </c>
      <c r="C33" s="1127">
        <v>2018</v>
      </c>
      <c r="D33" s="1224">
        <v>0</v>
      </c>
      <c r="E33" s="1224">
        <v>120000</v>
      </c>
      <c r="F33" s="1128">
        <f>88976+5265+25446</f>
        <v>119687</v>
      </c>
      <c r="G33" s="1241">
        <f t="shared" si="0"/>
        <v>0.99739166666666668</v>
      </c>
    </row>
    <row r="34" spans="1:7" ht="15.9" customHeight="1" x14ac:dyDescent="0.25">
      <c r="A34" s="1132" t="s">
        <v>1215</v>
      </c>
      <c r="B34" s="1131" t="s">
        <v>1212</v>
      </c>
      <c r="C34" s="1127">
        <v>2018</v>
      </c>
      <c r="D34" s="1224">
        <v>0</v>
      </c>
      <c r="E34" s="1224">
        <v>452400</v>
      </c>
      <c r="F34" s="1128">
        <v>452340</v>
      </c>
      <c r="G34" s="1241">
        <f t="shared" si="0"/>
        <v>0.99986737400530501</v>
      </c>
    </row>
    <row r="35" spans="1:7" ht="15.9" customHeight="1" x14ac:dyDescent="0.25">
      <c r="A35" s="1132" t="s">
        <v>1216</v>
      </c>
      <c r="B35" s="1131" t="s">
        <v>1212</v>
      </c>
      <c r="C35" s="1127">
        <v>2018</v>
      </c>
      <c r="D35" s="1224">
        <v>0</v>
      </c>
      <c r="E35" s="1224">
        <v>129300</v>
      </c>
      <c r="F35" s="1128">
        <v>129240</v>
      </c>
      <c r="G35" s="1241">
        <f t="shared" si="0"/>
        <v>0.99953596287703017</v>
      </c>
    </row>
    <row r="36" spans="1:7" ht="15.9" customHeight="1" x14ac:dyDescent="0.25">
      <c r="A36" s="1132" t="s">
        <v>1217</v>
      </c>
      <c r="B36" s="1131" t="s">
        <v>1212</v>
      </c>
      <c r="C36" s="1127">
        <v>2018</v>
      </c>
      <c r="D36" s="1224">
        <v>0</v>
      </c>
      <c r="E36" s="1224">
        <v>1426300</v>
      </c>
      <c r="F36" s="1128">
        <v>1426300</v>
      </c>
      <c r="G36" s="1241">
        <f t="shared" si="0"/>
        <v>1</v>
      </c>
    </row>
    <row r="37" spans="1:7" ht="15.9" customHeight="1" x14ac:dyDescent="0.25">
      <c r="A37" s="1132" t="s">
        <v>971</v>
      </c>
      <c r="B37" s="1131" t="s">
        <v>1210</v>
      </c>
      <c r="C37" s="1127">
        <v>2018</v>
      </c>
      <c r="D37" s="1224">
        <v>0</v>
      </c>
      <c r="E37" s="1224">
        <v>8040000</v>
      </c>
      <c r="F37" s="1128">
        <v>8040000</v>
      </c>
      <c r="G37" s="1241">
        <f t="shared" si="0"/>
        <v>1</v>
      </c>
    </row>
    <row r="38" spans="1:7" ht="15.9" customHeight="1" x14ac:dyDescent="0.25">
      <c r="A38" s="1132" t="s">
        <v>1217</v>
      </c>
      <c r="B38" s="1131" t="s">
        <v>1220</v>
      </c>
      <c r="C38" s="1127">
        <v>2018</v>
      </c>
      <c r="D38" s="1224">
        <v>0</v>
      </c>
      <c r="E38" s="1224">
        <v>0</v>
      </c>
      <c r="F38" s="1128">
        <v>469046</v>
      </c>
      <c r="G38" s="1241">
        <v>0</v>
      </c>
    </row>
    <row r="39" spans="1:7" ht="15.9" customHeight="1" x14ac:dyDescent="0.25">
      <c r="A39" s="1130" t="s">
        <v>1221</v>
      </c>
      <c r="B39" s="1131" t="s">
        <v>1222</v>
      </c>
      <c r="C39" s="1127">
        <v>2018</v>
      </c>
      <c r="D39" s="1229">
        <v>0</v>
      </c>
      <c r="E39" s="1229">
        <v>0</v>
      </c>
      <c r="F39" s="1128">
        <f>328149+50000+225000+149351+13500</f>
        <v>766000</v>
      </c>
      <c r="G39" s="1241">
        <v>0</v>
      </c>
    </row>
    <row r="40" spans="1:7" ht="22.5" customHeight="1" x14ac:dyDescent="0.25">
      <c r="A40" s="1130" t="s">
        <v>971</v>
      </c>
      <c r="B40" s="1131" t="s">
        <v>1223</v>
      </c>
      <c r="C40" s="1127">
        <v>2018</v>
      </c>
      <c r="D40" s="1229">
        <v>0</v>
      </c>
      <c r="E40" s="1229">
        <v>0</v>
      </c>
      <c r="F40" s="1128">
        <f>100000+27000</f>
        <v>127000</v>
      </c>
      <c r="G40" s="1241">
        <v>0</v>
      </c>
    </row>
    <row r="41" spans="1:7" ht="15.9" customHeight="1" x14ac:dyDescent="0.25">
      <c r="A41" s="1130" t="s">
        <v>971</v>
      </c>
      <c r="B41" s="1131" t="s">
        <v>1224</v>
      </c>
      <c r="C41" s="1127">
        <v>2018</v>
      </c>
      <c r="D41" s="1229">
        <v>0</v>
      </c>
      <c r="E41" s="1229">
        <v>0</v>
      </c>
      <c r="F41" s="1128">
        <f>246149+66460</f>
        <v>312609</v>
      </c>
      <c r="G41" s="1241">
        <v>0</v>
      </c>
    </row>
    <row r="42" spans="1:7" ht="15.9" customHeight="1" x14ac:dyDescent="0.25">
      <c r="A42" s="1129" t="s">
        <v>971</v>
      </c>
      <c r="B42" s="1115" t="s">
        <v>1225</v>
      </c>
      <c r="C42" s="1109">
        <v>2018</v>
      </c>
      <c r="D42" s="1230">
        <v>0</v>
      </c>
      <c r="E42" s="1230">
        <v>0</v>
      </c>
      <c r="F42" s="1107">
        <f>324724+87676</f>
        <v>412400</v>
      </c>
      <c r="G42" s="1240">
        <v>0</v>
      </c>
    </row>
    <row r="43" spans="1:7" ht="15.9" customHeight="1" x14ac:dyDescent="0.25">
      <c r="A43" s="1130" t="s">
        <v>971</v>
      </c>
      <c r="B43" s="1131" t="s">
        <v>1226</v>
      </c>
      <c r="C43" s="1127">
        <v>2018</v>
      </c>
      <c r="D43" s="1229">
        <v>0</v>
      </c>
      <c r="E43" s="1229">
        <v>0</v>
      </c>
      <c r="F43" s="1128">
        <f>51992+14038</f>
        <v>66030</v>
      </c>
      <c r="G43" s="1241">
        <v>0</v>
      </c>
    </row>
    <row r="44" spans="1:7" ht="15.9" customHeight="1" thickBot="1" x14ac:dyDescent="0.3">
      <c r="A44" s="1227" t="s">
        <v>971</v>
      </c>
      <c r="B44" s="1134" t="s">
        <v>1227</v>
      </c>
      <c r="C44" s="1225">
        <v>2018</v>
      </c>
      <c r="D44" s="1228">
        <v>0</v>
      </c>
      <c r="E44" s="1228">
        <v>0</v>
      </c>
      <c r="F44" s="1226">
        <f>194000+52380</f>
        <v>246380</v>
      </c>
      <c r="G44" s="1242">
        <v>0</v>
      </c>
    </row>
    <row r="45" spans="1:7" x14ac:dyDescent="0.25">
      <c r="A45" s="764" t="s">
        <v>977</v>
      </c>
      <c r="B45" s="765"/>
      <c r="C45" s="767"/>
      <c r="D45" s="1063">
        <v>29586000</v>
      </c>
      <c r="E45" s="1063">
        <f>SUM(E5:E37)</f>
        <v>170094178</v>
      </c>
      <c r="F45" s="1063">
        <f>SUM(F5:F44)</f>
        <v>47752906</v>
      </c>
      <c r="G45" s="1243">
        <f t="shared" si="0"/>
        <v>0.28074391823099321</v>
      </c>
    </row>
    <row r="46" spans="1:7" x14ac:dyDescent="0.25">
      <c r="A46" s="949" t="s">
        <v>1122</v>
      </c>
      <c r="B46" s="763"/>
      <c r="C46" s="768"/>
      <c r="D46" s="1064">
        <f>D45/1.27</f>
        <v>23296062.992125984</v>
      </c>
      <c r="E46" s="1064">
        <f>E45/1.27</f>
        <v>133932423.62204725</v>
      </c>
      <c r="F46" s="956">
        <v>39879113</v>
      </c>
      <c r="G46" s="1235">
        <f t="shared" si="0"/>
        <v>0.29775547937919428</v>
      </c>
    </row>
    <row r="47" spans="1:7" ht="13.8" thickBot="1" x14ac:dyDescent="0.3">
      <c r="A47" s="948" t="s">
        <v>1123</v>
      </c>
      <c r="B47" s="757"/>
      <c r="C47" s="769"/>
      <c r="D47" s="1065">
        <f>D46*0.27</f>
        <v>6289937.0078740157</v>
      </c>
      <c r="E47" s="1065">
        <f>E46*0.27</f>
        <v>36161754.377952762</v>
      </c>
      <c r="F47" s="1167">
        <v>7873793</v>
      </c>
      <c r="G47" s="1236">
        <f t="shared" si="0"/>
        <v>0.21773813620061874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2" orientation="landscape" horizontalDpi="300" verticalDpi="300" r:id="rId1"/>
  <headerFooter alignWithMargins="0">
    <oddHeader>&amp;R&amp;"Times New Roman CE,Félkövér dőlt"&amp;11 &amp;"Times New Roman CE,Félkövér"5. melléklet az 5/2019. (IV. 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36"/>
  <sheetViews>
    <sheetView view="pageLayout" zoomScaleNormal="100" zoomScaleSheetLayoutView="100" workbookViewId="0">
      <selection activeCell="G20" sqref="G20:G21"/>
    </sheetView>
  </sheetViews>
  <sheetFormatPr defaultColWidth="6.33203125" defaultRowHeight="13.2" x14ac:dyDescent="0.25"/>
  <cols>
    <col min="1" max="1" width="50" style="759" bestFit="1" customWidth="1"/>
    <col min="2" max="2" width="59.77734375" style="758" customWidth="1"/>
    <col min="3" max="3" width="17.33203125" style="770" customWidth="1"/>
    <col min="4" max="4" width="17.33203125" style="678" customWidth="1"/>
    <col min="5" max="5" width="17.33203125" style="44" customWidth="1"/>
    <col min="6" max="7" width="14.77734375" style="44" customWidth="1"/>
    <col min="8" max="16384" width="6.33203125" style="44"/>
  </cols>
  <sheetData>
    <row r="1" spans="1:7" ht="24.75" customHeight="1" x14ac:dyDescent="0.25">
      <c r="A1" s="1374" t="s">
        <v>815</v>
      </c>
      <c r="B1" s="1374"/>
      <c r="C1" s="1374"/>
      <c r="D1" s="1374"/>
      <c r="E1" s="1374"/>
      <c r="F1" s="1374"/>
      <c r="G1" s="1374"/>
    </row>
    <row r="2" spans="1:7" ht="23.25" customHeight="1" thickBot="1" x14ac:dyDescent="0.35">
      <c r="B2" s="756"/>
      <c r="C2" s="766"/>
      <c r="G2" s="760" t="s">
        <v>1044</v>
      </c>
    </row>
    <row r="3" spans="1:7" s="47" customFormat="1" ht="48.75" customHeight="1" x14ac:dyDescent="0.25">
      <c r="A3" s="1375" t="s">
        <v>15</v>
      </c>
      <c r="B3" s="1376"/>
      <c r="C3" s="1168" t="s">
        <v>973</v>
      </c>
      <c r="D3" s="1169" t="s">
        <v>1020</v>
      </c>
      <c r="E3" s="1170" t="s">
        <v>1171</v>
      </c>
      <c r="F3" s="1170" t="s">
        <v>1218</v>
      </c>
      <c r="G3" s="1179" t="s">
        <v>1219</v>
      </c>
    </row>
    <row r="4" spans="1:7" s="50" customFormat="1" ht="15" customHeight="1" x14ac:dyDescent="0.25">
      <c r="A4" s="1377">
        <v>1</v>
      </c>
      <c r="B4" s="1378"/>
      <c r="C4" s="1178">
        <v>2</v>
      </c>
      <c r="D4" s="1059">
        <v>3</v>
      </c>
      <c r="E4" s="1059">
        <v>4</v>
      </c>
      <c r="F4" s="1059">
        <v>5</v>
      </c>
      <c r="G4" s="1171">
        <v>6</v>
      </c>
    </row>
    <row r="5" spans="1:7" s="50" customFormat="1" ht="15" customHeight="1" x14ac:dyDescent="0.25">
      <c r="A5" s="954" t="s">
        <v>1091</v>
      </c>
      <c r="B5" s="741" t="s">
        <v>1092</v>
      </c>
      <c r="C5" s="940">
        <v>2018</v>
      </c>
      <c r="D5" s="762">
        <v>2000000</v>
      </c>
      <c r="E5" s="762">
        <v>2000000</v>
      </c>
      <c r="F5" s="1231">
        <v>0</v>
      </c>
      <c r="G5" s="1233">
        <f>F5/E5</f>
        <v>0</v>
      </c>
    </row>
    <row r="6" spans="1:7" ht="15.9" customHeight="1" x14ac:dyDescent="0.25">
      <c r="A6" s="954" t="s">
        <v>963</v>
      </c>
      <c r="B6" s="741" t="s">
        <v>1093</v>
      </c>
      <c r="C6" s="938">
        <v>2018</v>
      </c>
      <c r="D6" s="762">
        <v>100000</v>
      </c>
      <c r="E6" s="762">
        <v>100000</v>
      </c>
      <c r="F6" s="1231">
        <v>0</v>
      </c>
      <c r="G6" s="1233">
        <f t="shared" ref="G6:G34" si="0">F6/E6</f>
        <v>0</v>
      </c>
    </row>
    <row r="7" spans="1:7" ht="15.9" customHeight="1" x14ac:dyDescent="0.25">
      <c r="A7" s="953" t="s">
        <v>963</v>
      </c>
      <c r="B7" s="740" t="s">
        <v>1045</v>
      </c>
      <c r="C7" s="940">
        <v>2018</v>
      </c>
      <c r="D7" s="762">
        <v>350000</v>
      </c>
      <c r="E7" s="762">
        <v>350000</v>
      </c>
      <c r="F7" s="1231">
        <v>0</v>
      </c>
      <c r="G7" s="1233">
        <f t="shared" si="0"/>
        <v>0</v>
      </c>
    </row>
    <row r="8" spans="1:7" ht="15.9" customHeight="1" x14ac:dyDescent="0.25">
      <c r="A8" s="953" t="s">
        <v>963</v>
      </c>
      <c r="B8" s="740" t="s">
        <v>1095</v>
      </c>
      <c r="C8" s="938">
        <v>2018</v>
      </c>
      <c r="D8" s="762">
        <v>250000</v>
      </c>
      <c r="E8" s="762">
        <v>250000</v>
      </c>
      <c r="F8" s="1231">
        <v>0</v>
      </c>
      <c r="G8" s="1233">
        <f t="shared" si="0"/>
        <v>0</v>
      </c>
    </row>
    <row r="9" spans="1:7" ht="15.9" customHeight="1" x14ac:dyDescent="0.25">
      <c r="A9" s="953" t="s">
        <v>1096</v>
      </c>
      <c r="B9" s="740" t="s">
        <v>1097</v>
      </c>
      <c r="C9" s="938">
        <v>2018</v>
      </c>
      <c r="D9" s="762">
        <v>50000</v>
      </c>
      <c r="E9" s="762">
        <v>50000</v>
      </c>
      <c r="F9" s="1231">
        <v>0</v>
      </c>
      <c r="G9" s="1233">
        <f t="shared" si="0"/>
        <v>0</v>
      </c>
    </row>
    <row r="10" spans="1:7" s="570" customFormat="1" ht="15.9" customHeight="1" x14ac:dyDescent="0.25">
      <c r="A10" s="953" t="s">
        <v>1046</v>
      </c>
      <c r="B10" s="740" t="s">
        <v>1099</v>
      </c>
      <c r="C10" s="940">
        <v>2018</v>
      </c>
      <c r="D10" s="762">
        <v>300000</v>
      </c>
      <c r="E10" s="762">
        <v>300000</v>
      </c>
      <c r="F10" s="1231">
        <v>0</v>
      </c>
      <c r="G10" s="1233">
        <f t="shared" si="0"/>
        <v>0</v>
      </c>
    </row>
    <row r="11" spans="1:7" s="570" customFormat="1" ht="21.75" customHeight="1" x14ac:dyDescent="0.25">
      <c r="A11" s="953" t="s">
        <v>1047</v>
      </c>
      <c r="B11" s="740" t="s">
        <v>1102</v>
      </c>
      <c r="C11" s="938">
        <v>2018</v>
      </c>
      <c r="D11" s="762">
        <v>150000</v>
      </c>
      <c r="E11" s="762">
        <v>150000</v>
      </c>
      <c r="F11" s="1231">
        <v>0</v>
      </c>
      <c r="G11" s="1233">
        <f t="shared" si="0"/>
        <v>0</v>
      </c>
    </row>
    <row r="12" spans="1:7" s="570" customFormat="1" ht="25.5" customHeight="1" x14ac:dyDescent="0.25">
      <c r="A12" s="953" t="s">
        <v>1047</v>
      </c>
      <c r="B12" s="741" t="s">
        <v>1022</v>
      </c>
      <c r="C12" s="938">
        <v>2018</v>
      </c>
      <c r="D12" s="762">
        <v>400000</v>
      </c>
      <c r="E12" s="762">
        <v>400000</v>
      </c>
      <c r="F12" s="1231">
        <v>0</v>
      </c>
      <c r="G12" s="1233">
        <f t="shared" si="0"/>
        <v>0</v>
      </c>
    </row>
    <row r="13" spans="1:7" s="570" customFormat="1" ht="15.9" customHeight="1" x14ac:dyDescent="0.25">
      <c r="A13" s="953" t="s">
        <v>1047</v>
      </c>
      <c r="B13" s="744" t="s">
        <v>1104</v>
      </c>
      <c r="C13" s="938">
        <v>2018</v>
      </c>
      <c r="D13" s="762">
        <v>50000</v>
      </c>
      <c r="E13" s="762">
        <v>50000</v>
      </c>
      <c r="F13" s="1231">
        <v>0</v>
      </c>
      <c r="G13" s="1233">
        <f t="shared" si="0"/>
        <v>0</v>
      </c>
    </row>
    <row r="14" spans="1:7" s="570" customFormat="1" ht="15.9" customHeight="1" x14ac:dyDescent="0.25">
      <c r="A14" s="1172" t="s">
        <v>1107</v>
      </c>
      <c r="B14" s="944" t="s">
        <v>1108</v>
      </c>
      <c r="C14" s="942">
        <v>2018</v>
      </c>
      <c r="D14" s="762">
        <v>1000000</v>
      </c>
      <c r="E14" s="762">
        <v>1000000</v>
      </c>
      <c r="F14" s="1231">
        <v>0</v>
      </c>
      <c r="G14" s="1233">
        <f t="shared" si="0"/>
        <v>0</v>
      </c>
    </row>
    <row r="15" spans="1:7" s="570" customFormat="1" ht="30.75" customHeight="1" x14ac:dyDescent="0.25">
      <c r="A15" s="954" t="s">
        <v>971</v>
      </c>
      <c r="B15" s="941" t="s">
        <v>1106</v>
      </c>
      <c r="C15" s="940">
        <v>2018</v>
      </c>
      <c r="D15" s="762">
        <v>1000000</v>
      </c>
      <c r="E15" s="762">
        <v>1000000</v>
      </c>
      <c r="F15" s="1231">
        <v>0</v>
      </c>
      <c r="G15" s="1233">
        <f t="shared" si="0"/>
        <v>0</v>
      </c>
    </row>
    <row r="16" spans="1:7" s="570" customFormat="1" ht="15.9" customHeight="1" x14ac:dyDescent="0.25">
      <c r="A16" s="954" t="s">
        <v>971</v>
      </c>
      <c r="B16" s="744" t="s">
        <v>1191</v>
      </c>
      <c r="C16" s="938">
        <v>2018</v>
      </c>
      <c r="D16" s="762">
        <v>3000000</v>
      </c>
      <c r="E16" s="1232">
        <v>0</v>
      </c>
      <c r="F16" s="1231">
        <v>0</v>
      </c>
      <c r="G16" s="1233">
        <v>0</v>
      </c>
    </row>
    <row r="17" spans="1:7" s="570" customFormat="1" ht="15.9" customHeight="1" x14ac:dyDescent="0.25">
      <c r="A17" s="1172" t="s">
        <v>971</v>
      </c>
      <c r="B17" s="744" t="s">
        <v>1115</v>
      </c>
      <c r="C17" s="945">
        <v>2018</v>
      </c>
      <c r="D17" s="762">
        <v>2000000</v>
      </c>
      <c r="E17" s="762">
        <v>2000000</v>
      </c>
      <c r="F17" s="1231">
        <v>0</v>
      </c>
      <c r="G17" s="1233">
        <f t="shared" si="0"/>
        <v>0</v>
      </c>
    </row>
    <row r="18" spans="1:7" ht="15.9" customHeight="1" x14ac:dyDescent="0.25">
      <c r="A18" s="954" t="s">
        <v>971</v>
      </c>
      <c r="B18" s="943" t="s">
        <v>1121</v>
      </c>
      <c r="C18" s="940">
        <v>2018</v>
      </c>
      <c r="D18" s="762">
        <v>1000000</v>
      </c>
      <c r="E18" s="762">
        <v>1000000</v>
      </c>
      <c r="F18" s="1231">
        <v>0</v>
      </c>
      <c r="G18" s="1233">
        <f t="shared" si="0"/>
        <v>0</v>
      </c>
    </row>
    <row r="19" spans="1:7" s="1119" customFormat="1" ht="15.9" customHeight="1" x14ac:dyDescent="0.25">
      <c r="A19" s="1129" t="s">
        <v>963</v>
      </c>
      <c r="B19" s="740" t="s">
        <v>1045</v>
      </c>
      <c r="C19" s="1117">
        <v>2018</v>
      </c>
      <c r="D19" s="1118">
        <v>0</v>
      </c>
      <c r="E19" s="1118">
        <v>150000</v>
      </c>
      <c r="F19" s="1231">
        <v>0</v>
      </c>
      <c r="G19" s="1233">
        <f t="shared" si="0"/>
        <v>0</v>
      </c>
    </row>
    <row r="20" spans="1:7" s="1119" customFormat="1" ht="15.9" customHeight="1" x14ac:dyDescent="0.25">
      <c r="A20" s="1129" t="s">
        <v>1046</v>
      </c>
      <c r="B20" s="740" t="s">
        <v>1193</v>
      </c>
      <c r="C20" s="1117">
        <v>2018</v>
      </c>
      <c r="D20" s="1118">
        <v>0</v>
      </c>
      <c r="E20" s="1118">
        <v>500000</v>
      </c>
      <c r="F20" s="1231">
        <v>0</v>
      </c>
      <c r="G20" s="1233">
        <f t="shared" si="0"/>
        <v>0</v>
      </c>
    </row>
    <row r="21" spans="1:7" s="1119" customFormat="1" ht="15.9" customHeight="1" x14ac:dyDescent="0.25">
      <c r="A21" s="1129" t="s">
        <v>1047</v>
      </c>
      <c r="B21" s="741" t="s">
        <v>1022</v>
      </c>
      <c r="C21" s="1117">
        <v>2018</v>
      </c>
      <c r="D21" s="1118">
        <v>0</v>
      </c>
      <c r="E21" s="1118">
        <v>600000</v>
      </c>
      <c r="F21" s="1231">
        <v>0</v>
      </c>
      <c r="G21" s="1233">
        <f t="shared" si="0"/>
        <v>0</v>
      </c>
    </row>
    <row r="22" spans="1:7" s="1119" customFormat="1" ht="15.9" customHeight="1" x14ac:dyDescent="0.25">
      <c r="A22" s="1129" t="s">
        <v>1046</v>
      </c>
      <c r="B22" s="741" t="s">
        <v>1204</v>
      </c>
      <c r="C22" s="1117">
        <v>2018</v>
      </c>
      <c r="D22" s="1118">
        <v>0</v>
      </c>
      <c r="E22" s="1118">
        <f>350000+120000</f>
        <v>470000</v>
      </c>
      <c r="F22" s="1231">
        <v>0</v>
      </c>
      <c r="G22" s="1233">
        <f t="shared" si="0"/>
        <v>0</v>
      </c>
    </row>
    <row r="23" spans="1:7" s="1119" customFormat="1" ht="15.9" customHeight="1" x14ac:dyDescent="0.25">
      <c r="A23" s="1129" t="s">
        <v>1047</v>
      </c>
      <c r="B23" s="744" t="s">
        <v>1194</v>
      </c>
      <c r="C23" s="1117">
        <v>2018</v>
      </c>
      <c r="D23" s="1118">
        <v>0</v>
      </c>
      <c r="E23" s="1118">
        <v>100000</v>
      </c>
      <c r="F23" s="1231">
        <v>0</v>
      </c>
      <c r="G23" s="1233">
        <f t="shared" si="0"/>
        <v>0</v>
      </c>
    </row>
    <row r="24" spans="1:7" s="1119" customFormat="1" ht="15.9" customHeight="1" x14ac:dyDescent="0.25">
      <c r="A24" s="1129" t="s">
        <v>1046</v>
      </c>
      <c r="B24" s="744" t="s">
        <v>1195</v>
      </c>
      <c r="C24" s="1117">
        <v>2018</v>
      </c>
      <c r="D24" s="1118">
        <v>0</v>
      </c>
      <c r="E24" s="1118">
        <v>500000</v>
      </c>
      <c r="F24" s="1231">
        <v>0</v>
      </c>
      <c r="G24" s="1233">
        <f t="shared" si="0"/>
        <v>0</v>
      </c>
    </row>
    <row r="25" spans="1:7" s="1119" customFormat="1" ht="15.9" customHeight="1" x14ac:dyDescent="0.25">
      <c r="A25" s="1173" t="s">
        <v>1205</v>
      </c>
      <c r="B25" s="744" t="s">
        <v>1196</v>
      </c>
      <c r="C25" s="1117">
        <v>2018</v>
      </c>
      <c r="D25" s="1118">
        <v>0</v>
      </c>
      <c r="E25" s="1118">
        <v>100000</v>
      </c>
      <c r="F25" s="1231">
        <v>0</v>
      </c>
      <c r="G25" s="1233">
        <f t="shared" si="0"/>
        <v>0</v>
      </c>
    </row>
    <row r="26" spans="1:7" s="1119" customFormat="1" ht="15.9" customHeight="1" x14ac:dyDescent="0.25">
      <c r="A26" s="1173" t="s">
        <v>1197</v>
      </c>
      <c r="B26" s="741" t="s">
        <v>1198</v>
      </c>
      <c r="C26" s="1117">
        <v>2018</v>
      </c>
      <c r="D26" s="1118">
        <v>0</v>
      </c>
      <c r="E26" s="1118">
        <v>100000</v>
      </c>
      <c r="F26" s="1231">
        <v>0</v>
      </c>
      <c r="G26" s="1233">
        <f t="shared" si="0"/>
        <v>0</v>
      </c>
    </row>
    <row r="27" spans="1:7" s="1119" customFormat="1" ht="15.9" customHeight="1" x14ac:dyDescent="0.25">
      <c r="A27" s="1173" t="s">
        <v>1197</v>
      </c>
      <c r="B27" s="741" t="s">
        <v>1199</v>
      </c>
      <c r="C27" s="1117">
        <v>2018</v>
      </c>
      <c r="D27" s="1118">
        <v>0</v>
      </c>
      <c r="E27" s="1118">
        <v>150000</v>
      </c>
      <c r="F27" s="1231">
        <v>0</v>
      </c>
      <c r="G27" s="1233">
        <f t="shared" si="0"/>
        <v>0</v>
      </c>
    </row>
    <row r="28" spans="1:7" s="1119" customFormat="1" ht="15.9" customHeight="1" x14ac:dyDescent="0.25">
      <c r="A28" s="1173" t="s">
        <v>971</v>
      </c>
      <c r="B28" s="741" t="s">
        <v>1200</v>
      </c>
      <c r="C28" s="1117">
        <v>2018</v>
      </c>
      <c r="D28" s="1118">
        <v>0</v>
      </c>
      <c r="E28" s="1118">
        <v>833000</v>
      </c>
      <c r="F28" s="1231">
        <v>0</v>
      </c>
      <c r="G28" s="1233">
        <f t="shared" si="0"/>
        <v>0</v>
      </c>
    </row>
    <row r="29" spans="1:7" s="1119" customFormat="1" ht="15.9" customHeight="1" x14ac:dyDescent="0.25">
      <c r="A29" s="1173" t="s">
        <v>971</v>
      </c>
      <c r="B29" s="741" t="s">
        <v>1201</v>
      </c>
      <c r="C29" s="1117">
        <v>2018</v>
      </c>
      <c r="D29" s="1118">
        <v>0</v>
      </c>
      <c r="E29" s="1118">
        <v>5000000</v>
      </c>
      <c r="F29" s="1118">
        <f>5223050+1410223</f>
        <v>6633273</v>
      </c>
      <c r="G29" s="1233">
        <f t="shared" si="0"/>
        <v>1.3266545999999999</v>
      </c>
    </row>
    <row r="30" spans="1:7" s="1119" customFormat="1" ht="15.9" customHeight="1" x14ac:dyDescent="0.25">
      <c r="A30" s="953" t="s">
        <v>1202</v>
      </c>
      <c r="B30" s="740" t="s">
        <v>1203</v>
      </c>
      <c r="C30" s="1117">
        <v>2018</v>
      </c>
      <c r="D30" s="1118">
        <v>0</v>
      </c>
      <c r="E30" s="1118">
        <v>300000</v>
      </c>
      <c r="F30" s="1118">
        <v>0</v>
      </c>
      <c r="G30" s="1233">
        <f t="shared" si="0"/>
        <v>0</v>
      </c>
    </row>
    <row r="31" spans="1:7" s="1119" customFormat="1" ht="15.9" customHeight="1" x14ac:dyDescent="0.25">
      <c r="A31" s="953" t="s">
        <v>1228</v>
      </c>
      <c r="B31" s="740" t="s">
        <v>1229</v>
      </c>
      <c r="C31" s="1117">
        <v>2018</v>
      </c>
      <c r="D31" s="1118">
        <v>0</v>
      </c>
      <c r="E31" s="1118">
        <v>0</v>
      </c>
      <c r="F31" s="1118">
        <v>164785</v>
      </c>
      <c r="G31" s="1233">
        <v>0</v>
      </c>
    </row>
    <row r="32" spans="1:7" x14ac:dyDescent="0.25">
      <c r="A32" s="1174" t="s">
        <v>975</v>
      </c>
      <c r="B32" s="946"/>
      <c r="C32" s="946"/>
      <c r="D32" s="947">
        <f>SUM(D5:D18)</f>
        <v>11650000</v>
      </c>
      <c r="E32" s="947">
        <f>SUM(E5:E30)</f>
        <v>17453000</v>
      </c>
      <c r="F32" s="947">
        <f>SUM(F5:F31)</f>
        <v>6798058</v>
      </c>
      <c r="G32" s="1234">
        <f t="shared" si="0"/>
        <v>0.3895065604767089</v>
      </c>
    </row>
    <row r="33" spans="1:7" x14ac:dyDescent="0.25">
      <c r="A33" s="1175" t="s">
        <v>1122</v>
      </c>
      <c r="B33" s="955"/>
      <c r="C33" s="955"/>
      <c r="D33" s="956">
        <f>D32/1.27</f>
        <v>9173228.3464566935</v>
      </c>
      <c r="E33" s="956">
        <f>E32/1.27</f>
        <v>13742519.685039369</v>
      </c>
      <c r="F33" s="956">
        <v>5387835</v>
      </c>
      <c r="G33" s="1235">
        <f t="shared" si="0"/>
        <v>0.39205583280811324</v>
      </c>
    </row>
    <row r="34" spans="1:7" ht="13.8" thickBot="1" x14ac:dyDescent="0.3">
      <c r="A34" s="1176" t="s">
        <v>1123</v>
      </c>
      <c r="B34" s="1177"/>
      <c r="C34" s="1177"/>
      <c r="D34" s="1167">
        <f>D33*0.27</f>
        <v>2476771.6535433074</v>
      </c>
      <c r="E34" s="1167">
        <f>E33*0.27</f>
        <v>3710480.3149606301</v>
      </c>
      <c r="F34" s="1167">
        <v>1410223</v>
      </c>
      <c r="G34" s="1236">
        <f t="shared" si="0"/>
        <v>0.38006481110113721</v>
      </c>
    </row>
    <row r="36" spans="1:7" ht="25.5" customHeight="1" x14ac:dyDescent="0.25">
      <c r="A36" s="1379" t="s">
        <v>1192</v>
      </c>
      <c r="B36" s="1379"/>
    </row>
  </sheetData>
  <mergeCells count="4">
    <mergeCell ref="A3:B3"/>
    <mergeCell ref="A4:B4"/>
    <mergeCell ref="A36:B36"/>
    <mergeCell ref="A1:G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66" orientation="landscape" horizontalDpi="300" verticalDpi="300" r:id="rId1"/>
  <headerFooter alignWithMargins="0">
    <oddHeader>&amp;R&amp;"Times New Roman CE,Félkövér dőlt"&amp;12 &amp;11 &amp;"Times New Roman CE,Félkövér"6. melléklet az 5/2019. (IV. 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1"/>
  <sheetViews>
    <sheetView view="pageLayout" zoomScaleNormal="100" zoomScaleSheetLayoutView="85" workbookViewId="0">
      <selection activeCell="E21" sqref="E21:F21"/>
    </sheetView>
  </sheetViews>
  <sheetFormatPr defaultColWidth="9.33203125" defaultRowHeight="13.2" x14ac:dyDescent="0.25"/>
  <cols>
    <col min="1" max="1" width="90.44140625" style="927" customWidth="1"/>
    <col min="2" max="2" width="19.109375" style="927" customWidth="1"/>
    <col min="3" max="3" width="17.77734375" style="926" customWidth="1"/>
    <col min="4" max="4" width="16" style="927" customWidth="1"/>
    <col min="5" max="7" width="14.77734375" style="927" customWidth="1"/>
    <col min="8" max="16384" width="9.33203125" style="927"/>
  </cols>
  <sheetData>
    <row r="1" spans="1:7" x14ac:dyDescent="0.25">
      <c r="A1" s="1380"/>
      <c r="B1" s="1380"/>
    </row>
    <row r="2" spans="1:7" x14ac:dyDescent="0.25">
      <c r="A2" s="1386" t="s">
        <v>929</v>
      </c>
      <c r="B2" s="1386"/>
      <c r="C2" s="1386"/>
      <c r="D2" s="1386"/>
      <c r="E2" s="1386"/>
      <c r="F2" s="1386"/>
      <c r="G2" s="1386"/>
    </row>
    <row r="3" spans="1:7" x14ac:dyDescent="0.25">
      <c r="A3" s="1386" t="s">
        <v>972</v>
      </c>
      <c r="B3" s="1386"/>
      <c r="C3" s="1386"/>
      <c r="D3" s="1386"/>
      <c r="E3" s="1386"/>
      <c r="F3" s="1386"/>
      <c r="G3" s="1386"/>
    </row>
    <row r="4" spans="1:7" x14ac:dyDescent="0.25">
      <c r="A4" s="1386" t="s">
        <v>1076</v>
      </c>
      <c r="B4" s="1386"/>
      <c r="C4" s="1386"/>
      <c r="D4" s="1386"/>
      <c r="E4" s="1386"/>
      <c r="F4" s="1386"/>
      <c r="G4" s="1386"/>
    </row>
    <row r="5" spans="1:7" ht="13.8" thickBot="1" x14ac:dyDescent="0.3"/>
    <row r="6" spans="1:7" ht="26.25" customHeight="1" x14ac:dyDescent="0.25">
      <c r="A6" s="1381" t="s">
        <v>388</v>
      </c>
      <c r="B6" s="1383" t="s">
        <v>1020</v>
      </c>
      <c r="C6" s="1383"/>
      <c r="D6" s="1383"/>
      <c r="E6" s="1384" t="s">
        <v>1172</v>
      </c>
      <c r="F6" s="1384" t="s">
        <v>1218</v>
      </c>
      <c r="G6" s="1384" t="s">
        <v>1219</v>
      </c>
    </row>
    <row r="7" spans="1:7" ht="30.75" customHeight="1" x14ac:dyDescent="0.25">
      <c r="A7" s="1382"/>
      <c r="B7" s="1057" t="s">
        <v>1079</v>
      </c>
      <c r="C7" s="1058" t="s">
        <v>974</v>
      </c>
      <c r="D7" s="1058" t="s">
        <v>1080</v>
      </c>
      <c r="E7" s="1385"/>
      <c r="F7" s="1385"/>
      <c r="G7" s="1385"/>
    </row>
    <row r="8" spans="1:7" ht="30" customHeight="1" x14ac:dyDescent="0.25">
      <c r="A8" s="1055" t="s">
        <v>1081</v>
      </c>
      <c r="B8" s="928">
        <v>500000</v>
      </c>
      <c r="C8" s="929">
        <f>B8*0.27</f>
        <v>135000</v>
      </c>
      <c r="D8" s="1056">
        <f>SUM(B8:C8)</f>
        <v>635000</v>
      </c>
      <c r="E8" s="1180">
        <v>635000</v>
      </c>
      <c r="F8" s="1183">
        <v>0</v>
      </c>
      <c r="G8" s="1252">
        <f>F8/E8</f>
        <v>0</v>
      </c>
    </row>
    <row r="9" spans="1:7" ht="30" customHeight="1" x14ac:dyDescent="0.25">
      <c r="A9" s="930" t="s">
        <v>389</v>
      </c>
      <c r="B9" s="931">
        <v>200000</v>
      </c>
      <c r="C9" s="932">
        <f>B9*0.27</f>
        <v>54000</v>
      </c>
      <c r="D9" s="1053">
        <f>SUM(B9:C9)</f>
        <v>254000</v>
      </c>
      <c r="E9" s="1181">
        <v>254000</v>
      </c>
      <c r="F9" s="1183">
        <v>88900</v>
      </c>
      <c r="G9" s="1252">
        <f t="shared" ref="G9:G21" si="0">F9/E9</f>
        <v>0.35</v>
      </c>
    </row>
    <row r="10" spans="1:7" ht="30" customHeight="1" x14ac:dyDescent="0.25">
      <c r="A10" s="930" t="s">
        <v>1163</v>
      </c>
      <c r="B10" s="931">
        <f>5*40000</f>
        <v>200000</v>
      </c>
      <c r="C10" s="931">
        <f>B10*0.27</f>
        <v>54000</v>
      </c>
      <c r="D10" s="1053">
        <f t="shared" ref="D10:D20" si="1">SUM(B10:C10)</f>
        <v>254000</v>
      </c>
      <c r="E10" s="1181">
        <v>254000</v>
      </c>
      <c r="F10" s="1183">
        <v>254000</v>
      </c>
      <c r="G10" s="1252">
        <f t="shared" si="0"/>
        <v>1</v>
      </c>
    </row>
    <row r="11" spans="1:7" ht="30" customHeight="1" x14ac:dyDescent="0.25">
      <c r="A11" s="930" t="s">
        <v>1082</v>
      </c>
      <c r="B11" s="931">
        <v>250000</v>
      </c>
      <c r="C11" s="932">
        <f>B11*0.27</f>
        <v>67500</v>
      </c>
      <c r="D11" s="1053">
        <f t="shared" si="1"/>
        <v>317500</v>
      </c>
      <c r="E11" s="1181">
        <v>317500</v>
      </c>
      <c r="F11" s="1183">
        <f>327660+304800</f>
        <v>632460</v>
      </c>
      <c r="G11" s="1252">
        <f t="shared" si="0"/>
        <v>1.992</v>
      </c>
    </row>
    <row r="12" spans="1:7" ht="30" customHeight="1" x14ac:dyDescent="0.25">
      <c r="A12" s="930" t="s">
        <v>1083</v>
      </c>
      <c r="B12" s="931">
        <v>100000</v>
      </c>
      <c r="C12" s="932">
        <f>B12*0.27</f>
        <v>27000</v>
      </c>
      <c r="D12" s="1053">
        <f t="shared" si="1"/>
        <v>127000</v>
      </c>
      <c r="E12" s="1181">
        <f>127000+180000</f>
        <v>307000</v>
      </c>
      <c r="F12" s="1183">
        <v>114300</v>
      </c>
      <c r="G12" s="1252">
        <f t="shared" si="0"/>
        <v>0.3723127035830619</v>
      </c>
    </row>
    <row r="13" spans="1:7" ht="30" customHeight="1" x14ac:dyDescent="0.25">
      <c r="A13" s="930" t="s">
        <v>1084</v>
      </c>
      <c r="B13" s="931">
        <v>100000</v>
      </c>
      <c r="C13" s="932">
        <v>27000</v>
      </c>
      <c r="D13" s="1053">
        <f t="shared" si="1"/>
        <v>127000</v>
      </c>
      <c r="E13" s="1181">
        <v>127000</v>
      </c>
      <c r="F13" s="1183">
        <v>54989</v>
      </c>
      <c r="G13" s="1252">
        <f t="shared" si="0"/>
        <v>0.43298425196850393</v>
      </c>
    </row>
    <row r="14" spans="1:7" ht="30" customHeight="1" x14ac:dyDescent="0.25">
      <c r="A14" s="930" t="s">
        <v>1085</v>
      </c>
      <c r="B14" s="931">
        <v>20000</v>
      </c>
      <c r="C14" s="932">
        <v>0</v>
      </c>
      <c r="D14" s="1053">
        <f t="shared" si="1"/>
        <v>20000</v>
      </c>
      <c r="E14" s="1181">
        <v>20000</v>
      </c>
      <c r="F14" s="1183">
        <v>0</v>
      </c>
      <c r="G14" s="1252">
        <f t="shared" si="0"/>
        <v>0</v>
      </c>
    </row>
    <row r="15" spans="1:7" ht="30" customHeight="1" x14ac:dyDescent="0.25">
      <c r="A15" s="930" t="s">
        <v>1086</v>
      </c>
      <c r="B15" s="931">
        <v>100000</v>
      </c>
      <c r="C15" s="932">
        <v>27000</v>
      </c>
      <c r="D15" s="1053">
        <f t="shared" si="1"/>
        <v>127000</v>
      </c>
      <c r="E15" s="1181">
        <v>127000</v>
      </c>
      <c r="F15" s="1183">
        <v>0</v>
      </c>
      <c r="G15" s="1252">
        <f t="shared" si="0"/>
        <v>0</v>
      </c>
    </row>
    <row r="16" spans="1:7" ht="30" customHeight="1" x14ac:dyDescent="0.25">
      <c r="A16" s="930" t="s">
        <v>1087</v>
      </c>
      <c r="B16" s="931">
        <v>300000</v>
      </c>
      <c r="C16" s="932">
        <f>B16*0.27</f>
        <v>81000</v>
      </c>
      <c r="D16" s="1053">
        <f t="shared" si="1"/>
        <v>381000</v>
      </c>
      <c r="E16" s="1181">
        <v>381000</v>
      </c>
      <c r="F16" s="1183">
        <v>240642</v>
      </c>
      <c r="G16" s="1252">
        <f t="shared" si="0"/>
        <v>0.63160629921259848</v>
      </c>
    </row>
    <row r="17" spans="1:7" ht="30" customHeight="1" x14ac:dyDescent="0.25">
      <c r="A17" s="930" t="s">
        <v>1023</v>
      </c>
      <c r="B17" s="931">
        <v>100000</v>
      </c>
      <c r="C17" s="932">
        <v>27000</v>
      </c>
      <c r="D17" s="1053">
        <f t="shared" si="1"/>
        <v>127000</v>
      </c>
      <c r="E17" s="1181">
        <v>127000</v>
      </c>
      <c r="F17" s="1183">
        <v>127000</v>
      </c>
      <c r="G17" s="1252">
        <f t="shared" si="0"/>
        <v>1</v>
      </c>
    </row>
    <row r="18" spans="1:7" ht="33" customHeight="1" x14ac:dyDescent="0.25">
      <c r="A18" s="930" t="s">
        <v>1024</v>
      </c>
      <c r="B18" s="931">
        <v>653500</v>
      </c>
      <c r="C18" s="932">
        <f>B18*0.27</f>
        <v>176445</v>
      </c>
      <c r="D18" s="1053">
        <f t="shared" si="1"/>
        <v>829945</v>
      </c>
      <c r="E18" s="1181">
        <v>829945</v>
      </c>
      <c r="F18" s="1183">
        <f>104775+840647</f>
        <v>945422</v>
      </c>
      <c r="G18" s="1252">
        <f t="shared" si="0"/>
        <v>1.139138135659592</v>
      </c>
    </row>
    <row r="19" spans="1:7" ht="30" customHeight="1" x14ac:dyDescent="0.25">
      <c r="A19" s="933" t="s">
        <v>1088</v>
      </c>
      <c r="B19" s="931">
        <v>50000</v>
      </c>
      <c r="C19" s="932">
        <f>B19*0.27</f>
        <v>13500</v>
      </c>
      <c r="D19" s="1053">
        <f t="shared" si="1"/>
        <v>63500</v>
      </c>
      <c r="E19" s="1181">
        <v>63500</v>
      </c>
      <c r="F19" s="1183">
        <v>0</v>
      </c>
      <c r="G19" s="1252">
        <f t="shared" si="0"/>
        <v>0</v>
      </c>
    </row>
    <row r="20" spans="1:7" ht="30" customHeight="1" thickBot="1" x14ac:dyDescent="0.3">
      <c r="A20" s="933" t="s">
        <v>1025</v>
      </c>
      <c r="B20" s="934">
        <v>10000</v>
      </c>
      <c r="C20" s="935">
        <v>2700</v>
      </c>
      <c r="D20" s="1053">
        <f t="shared" si="1"/>
        <v>12700</v>
      </c>
      <c r="E20" s="1182">
        <v>12700</v>
      </c>
      <c r="F20" s="1184">
        <v>0</v>
      </c>
      <c r="G20" s="1252">
        <f t="shared" si="0"/>
        <v>0</v>
      </c>
    </row>
    <row r="21" spans="1:7" ht="30" customHeight="1" thickBot="1" x14ac:dyDescent="0.3">
      <c r="A21" s="937" t="s">
        <v>1089</v>
      </c>
      <c r="B21" s="936">
        <f>SUM(B8:B20)</f>
        <v>2583500</v>
      </c>
      <c r="C21" s="936">
        <f>SUM(C8:C20)</f>
        <v>692145</v>
      </c>
      <c r="D21" s="1054">
        <f>SUM(D8:D20)</f>
        <v>3275645</v>
      </c>
      <c r="E21" s="1054">
        <f>SUM(E8:E20)</f>
        <v>3455645</v>
      </c>
      <c r="F21" s="1054">
        <f>SUM(F8:F20)</f>
        <v>2457713</v>
      </c>
      <c r="G21" s="1252">
        <f t="shared" si="0"/>
        <v>0.7112168640007871</v>
      </c>
    </row>
  </sheetData>
  <mergeCells count="9">
    <mergeCell ref="A1:B1"/>
    <mergeCell ref="A6:A7"/>
    <mergeCell ref="B6:D6"/>
    <mergeCell ref="F6:F7"/>
    <mergeCell ref="G6:G7"/>
    <mergeCell ref="A2:G2"/>
    <mergeCell ref="A3:G3"/>
    <mergeCell ref="A4:G4"/>
    <mergeCell ref="E6:E7"/>
  </mergeCells>
  <pageMargins left="0.7" right="0.7" top="0.75" bottom="0.75" header="0.3" footer="0.3"/>
  <pageSetup paperSize="9" scale="52" orientation="portrait" r:id="rId1"/>
  <headerFooter>
    <oddHeader>&amp;R&amp;"Times New Roman CE,Félkövér"&amp;11 7. melléklet az 5/2019. (IV. 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/>
  </sheetPr>
  <dimension ref="A1:I115"/>
  <sheetViews>
    <sheetView view="pageLayout" topLeftCell="B1" zoomScaleNormal="115" zoomScaleSheetLayoutView="130" workbookViewId="0">
      <selection activeCell="I60" sqref="I60"/>
    </sheetView>
  </sheetViews>
  <sheetFormatPr defaultColWidth="9.33203125" defaultRowHeight="13.2" x14ac:dyDescent="0.25"/>
  <cols>
    <col min="1" max="1" width="4.6640625" style="546" customWidth="1"/>
    <col min="2" max="2" width="9.6640625" style="547" customWidth="1"/>
    <col min="3" max="3" width="71.77734375" style="547" customWidth="1"/>
    <col min="4" max="4" width="14.77734375" style="545" customWidth="1"/>
    <col min="5" max="6" width="14.77734375" style="1104" customWidth="1"/>
    <col min="7" max="7" width="14.77734375" style="545" customWidth="1"/>
    <col min="8" max="16384" width="9.33203125" style="545"/>
  </cols>
  <sheetData>
    <row r="1" spans="1:8" s="2" customFormat="1" ht="16.5" customHeight="1" thickBot="1" x14ac:dyDescent="0.3">
      <c r="A1" s="211"/>
      <c r="B1" s="212"/>
      <c r="C1" s="213"/>
    </row>
    <row r="2" spans="1:8" s="94" customFormat="1" ht="33.75" customHeight="1" thickBot="1" x14ac:dyDescent="0.3">
      <c r="A2" s="1387" t="s">
        <v>1041</v>
      </c>
      <c r="B2" s="1388"/>
      <c r="C2" s="1046" t="s">
        <v>657</v>
      </c>
      <c r="D2" s="1391"/>
      <c r="E2" s="1392"/>
      <c r="F2" s="1392"/>
      <c r="G2" s="1393"/>
    </row>
    <row r="3" spans="1:8" s="94" customFormat="1" ht="16.2" hidden="1" thickBot="1" x14ac:dyDescent="0.3">
      <c r="A3" s="811" t="s">
        <v>203</v>
      </c>
      <c r="B3" s="812"/>
      <c r="C3" s="813" t="s">
        <v>922</v>
      </c>
    </row>
    <row r="4" spans="1:8" s="95" customFormat="1" ht="15.9" customHeight="1" thickBot="1" x14ac:dyDescent="0.3">
      <c r="A4" s="216"/>
      <c r="B4" s="216"/>
      <c r="C4" s="216"/>
      <c r="D4" s="1040"/>
    </row>
    <row r="5" spans="1:8" ht="40.200000000000003" thickBot="1" x14ac:dyDescent="0.3">
      <c r="A5" s="1389" t="s">
        <v>205</v>
      </c>
      <c r="B5" s="1390"/>
      <c r="C5" s="539" t="s">
        <v>924</v>
      </c>
      <c r="D5" s="804" t="s">
        <v>1170</v>
      </c>
      <c r="E5" s="1185" t="s">
        <v>1171</v>
      </c>
      <c r="F5" s="1185" t="s">
        <v>1218</v>
      </c>
      <c r="G5" s="1185" t="s">
        <v>1219</v>
      </c>
    </row>
    <row r="6" spans="1:8" s="52" customFormat="1" ht="12.9" customHeight="1" thickBot="1" x14ac:dyDescent="0.3">
      <c r="A6" s="198">
        <v>1</v>
      </c>
      <c r="B6" s="199">
        <v>2</v>
      </c>
      <c r="C6" s="540">
        <v>3</v>
      </c>
      <c r="D6" s="540">
        <v>4</v>
      </c>
      <c r="E6" s="540">
        <v>5</v>
      </c>
      <c r="F6" s="199">
        <v>6</v>
      </c>
      <c r="G6" s="200">
        <v>7</v>
      </c>
      <c r="H6" s="1124"/>
    </row>
    <row r="7" spans="1:8" s="52" customFormat="1" ht="15.9" customHeight="1" thickBot="1" x14ac:dyDescent="0.3">
      <c r="A7" s="220"/>
      <c r="B7" s="221"/>
      <c r="C7" s="221" t="s">
        <v>926</v>
      </c>
      <c r="D7" s="1047"/>
      <c r="E7" s="1047"/>
      <c r="F7" s="1191"/>
      <c r="G7" s="836"/>
    </row>
    <row r="8" spans="1:8" s="52" customFormat="1" ht="12" customHeight="1" thickBot="1" x14ac:dyDescent="0.3">
      <c r="A8" s="198" t="s">
        <v>885</v>
      </c>
      <c r="B8" s="223"/>
      <c r="C8" s="685" t="s">
        <v>206</v>
      </c>
      <c r="D8" s="660">
        <f>+D9+D14</f>
        <v>129149</v>
      </c>
      <c r="E8" s="807">
        <f>+E9+E14</f>
        <v>148406</v>
      </c>
      <c r="F8" s="807">
        <f>+F9+F14</f>
        <v>147580</v>
      </c>
      <c r="G8" s="1208">
        <f>F8/E8</f>
        <v>0.99443418729700961</v>
      </c>
    </row>
    <row r="9" spans="1:8" s="96" customFormat="1" ht="12" customHeight="1" thickBot="1" x14ac:dyDescent="0.3">
      <c r="A9" s="198" t="s">
        <v>886</v>
      </c>
      <c r="B9" s="223"/>
      <c r="C9" s="684" t="s">
        <v>816</v>
      </c>
      <c r="D9" s="660">
        <f>SUM(D10:D13)</f>
        <v>112300</v>
      </c>
      <c r="E9" s="807">
        <f>SUM(E10:E13)</f>
        <v>120825</v>
      </c>
      <c r="F9" s="807">
        <f>SUM(F10:F13)</f>
        <v>120007</v>
      </c>
      <c r="G9" s="1208">
        <f t="shared" ref="G9:G59" si="0">F9/E9</f>
        <v>0.9932298779226153</v>
      </c>
    </row>
    <row r="10" spans="1:8" s="97" customFormat="1" ht="12" customHeight="1" x14ac:dyDescent="0.25">
      <c r="A10" s="225"/>
      <c r="B10" s="226" t="s">
        <v>63</v>
      </c>
      <c r="C10" s="830" t="s">
        <v>928</v>
      </c>
      <c r="D10" s="664">
        <v>107000</v>
      </c>
      <c r="E10" s="664">
        <f>107000+8225</f>
        <v>115225</v>
      </c>
      <c r="F10" s="1120">
        <v>115225</v>
      </c>
      <c r="G10" s="1210">
        <f t="shared" si="0"/>
        <v>1</v>
      </c>
    </row>
    <row r="11" spans="1:8" s="97" customFormat="1" ht="12" customHeight="1" x14ac:dyDescent="0.25">
      <c r="A11" s="225"/>
      <c r="B11" s="226" t="s">
        <v>64</v>
      </c>
      <c r="C11" s="683" t="s">
        <v>33</v>
      </c>
      <c r="D11" s="664"/>
      <c r="E11" s="664"/>
      <c r="F11" s="1120"/>
      <c r="G11" s="1210"/>
    </row>
    <row r="12" spans="1:8" s="97" customFormat="1" ht="12" customHeight="1" x14ac:dyDescent="0.25">
      <c r="A12" s="225"/>
      <c r="B12" s="226" t="s">
        <v>65</v>
      </c>
      <c r="C12" s="683" t="s">
        <v>126</v>
      </c>
      <c r="D12" s="664">
        <v>3100</v>
      </c>
      <c r="E12" s="664">
        <v>3100</v>
      </c>
      <c r="F12" s="1120">
        <v>2206</v>
      </c>
      <c r="G12" s="1210">
        <f t="shared" si="0"/>
        <v>0.7116129032258065</v>
      </c>
    </row>
    <row r="13" spans="1:8" s="97" customFormat="1" ht="12" customHeight="1" thickBot="1" x14ac:dyDescent="0.3">
      <c r="A13" s="225"/>
      <c r="B13" s="226" t="s">
        <v>66</v>
      </c>
      <c r="C13" s="831" t="s">
        <v>127</v>
      </c>
      <c r="D13" s="664">
        <v>2200</v>
      </c>
      <c r="E13" s="664">
        <f>2200+300</f>
        <v>2500</v>
      </c>
      <c r="F13" s="1120">
        <v>2576</v>
      </c>
      <c r="G13" s="1210">
        <f t="shared" si="0"/>
        <v>1.0304</v>
      </c>
    </row>
    <row r="14" spans="1:8" s="96" customFormat="1" ht="12" customHeight="1" thickBot="1" x14ac:dyDescent="0.3">
      <c r="A14" s="198" t="s">
        <v>887</v>
      </c>
      <c r="B14" s="223"/>
      <c r="C14" s="684" t="s">
        <v>128</v>
      </c>
      <c r="D14" s="660">
        <f>SUM(D15:D22)</f>
        <v>16849</v>
      </c>
      <c r="E14" s="807">
        <f>SUM(E15:E22)</f>
        <v>27581</v>
      </c>
      <c r="F14" s="807">
        <f>SUM(F15:F22)</f>
        <v>27573</v>
      </c>
      <c r="G14" s="1208">
        <f t="shared" si="0"/>
        <v>0.99970994525216639</v>
      </c>
    </row>
    <row r="15" spans="1:8" s="96" customFormat="1" ht="12" customHeight="1" x14ac:dyDescent="0.25">
      <c r="A15" s="227"/>
      <c r="B15" s="226" t="s">
        <v>37</v>
      </c>
      <c r="C15" s="830" t="s">
        <v>970</v>
      </c>
      <c r="D15" s="665">
        <v>610</v>
      </c>
      <c r="E15" s="665">
        <f>610+2994+2438</f>
        <v>6042</v>
      </c>
      <c r="F15" s="1199">
        <v>6042</v>
      </c>
      <c r="G15" s="1209">
        <f t="shared" si="0"/>
        <v>1</v>
      </c>
    </row>
    <row r="16" spans="1:8" s="96" customFormat="1" ht="12" customHeight="1" x14ac:dyDescent="0.25">
      <c r="A16" s="225"/>
      <c r="B16" s="226" t="s">
        <v>38</v>
      </c>
      <c r="C16" s="683" t="s">
        <v>134</v>
      </c>
      <c r="D16" s="664"/>
      <c r="E16" s="664"/>
      <c r="F16" s="1120">
        <v>537</v>
      </c>
      <c r="G16" s="1210">
        <v>0</v>
      </c>
    </row>
    <row r="17" spans="1:7" s="96" customFormat="1" ht="12" customHeight="1" x14ac:dyDescent="0.25">
      <c r="A17" s="225"/>
      <c r="B17" s="226" t="s">
        <v>39</v>
      </c>
      <c r="C17" s="683" t="s">
        <v>135</v>
      </c>
      <c r="D17" s="664">
        <v>15033</v>
      </c>
      <c r="E17" s="664">
        <f>15033+1270</f>
        <v>16303</v>
      </c>
      <c r="F17" s="1120">
        <v>16772</v>
      </c>
      <c r="G17" s="1210">
        <f t="shared" si="0"/>
        <v>1.0287677114641478</v>
      </c>
    </row>
    <row r="18" spans="1:7" s="96" customFormat="1" ht="12" customHeight="1" x14ac:dyDescent="0.25">
      <c r="A18" s="225"/>
      <c r="B18" s="226" t="s">
        <v>40</v>
      </c>
      <c r="C18" s="683" t="s">
        <v>136</v>
      </c>
      <c r="D18" s="664"/>
      <c r="E18" s="664"/>
      <c r="F18" s="1120"/>
      <c r="G18" s="1210"/>
    </row>
    <row r="19" spans="1:7" s="96" customFormat="1" ht="12" customHeight="1" x14ac:dyDescent="0.25">
      <c r="A19" s="225"/>
      <c r="B19" s="226" t="s">
        <v>129</v>
      </c>
      <c r="C19" s="683" t="s">
        <v>137</v>
      </c>
      <c r="D19" s="664">
        <v>950</v>
      </c>
      <c r="E19" s="664">
        <f>950+728</f>
        <v>1678</v>
      </c>
      <c r="F19" s="1120">
        <v>1678</v>
      </c>
      <c r="G19" s="1210">
        <f t="shared" si="0"/>
        <v>1</v>
      </c>
    </row>
    <row r="20" spans="1:7" s="96" customFormat="1" ht="12" customHeight="1" x14ac:dyDescent="0.25">
      <c r="A20" s="228"/>
      <c r="B20" s="226" t="s">
        <v>130</v>
      </c>
      <c r="C20" s="683" t="s">
        <v>239</v>
      </c>
      <c r="D20" s="666">
        <v>256</v>
      </c>
      <c r="E20" s="666">
        <v>256</v>
      </c>
      <c r="F20" s="1193"/>
      <c r="G20" s="1211">
        <f t="shared" si="0"/>
        <v>0</v>
      </c>
    </row>
    <row r="21" spans="1:7" s="97" customFormat="1" ht="12" customHeight="1" x14ac:dyDescent="0.25">
      <c r="A21" s="225"/>
      <c r="B21" s="226" t="s">
        <v>131</v>
      </c>
      <c r="C21" s="683" t="s">
        <v>139</v>
      </c>
      <c r="D21" s="664"/>
      <c r="E21" s="664">
        <v>1</v>
      </c>
      <c r="F21" s="1120">
        <v>1</v>
      </c>
      <c r="G21" s="1210">
        <f t="shared" si="0"/>
        <v>1</v>
      </c>
    </row>
    <row r="22" spans="1:7" s="97" customFormat="1" ht="12" customHeight="1" thickBot="1" x14ac:dyDescent="0.3">
      <c r="A22" s="229"/>
      <c r="B22" s="230" t="s">
        <v>132</v>
      </c>
      <c r="C22" s="831" t="s">
        <v>140</v>
      </c>
      <c r="D22" s="667"/>
      <c r="E22" s="667">
        <f>1568+1733</f>
        <v>3301</v>
      </c>
      <c r="F22" s="1195">
        <v>2543</v>
      </c>
      <c r="G22" s="1219">
        <f t="shared" si="0"/>
        <v>0.77037261435928506</v>
      </c>
    </row>
    <row r="23" spans="1:7" s="97" customFormat="1" ht="12" customHeight="1" thickBot="1" x14ac:dyDescent="0.3">
      <c r="A23" s="198" t="s">
        <v>888</v>
      </c>
      <c r="B23" s="231"/>
      <c r="C23" s="684" t="s">
        <v>240</v>
      </c>
      <c r="D23" s="662">
        <v>8500</v>
      </c>
      <c r="E23" s="1186">
        <v>8500</v>
      </c>
      <c r="F23" s="1194">
        <v>9445</v>
      </c>
      <c r="G23" s="1215">
        <f t="shared" si="0"/>
        <v>1.1111764705882352</v>
      </c>
    </row>
    <row r="24" spans="1:7" s="96" customFormat="1" ht="12" customHeight="1" thickBot="1" x14ac:dyDescent="0.3">
      <c r="A24" s="198" t="s">
        <v>889</v>
      </c>
      <c r="B24" s="223"/>
      <c r="C24" s="684" t="s">
        <v>817</v>
      </c>
      <c r="D24" s="660">
        <f>SUM(D25:D32)</f>
        <v>211078</v>
      </c>
      <c r="E24" s="807">
        <f>SUM(E25:E32)</f>
        <v>240429</v>
      </c>
      <c r="F24" s="807">
        <f>SUM(F25:F32)</f>
        <v>240429</v>
      </c>
      <c r="G24" s="1208">
        <f t="shared" si="0"/>
        <v>1</v>
      </c>
    </row>
    <row r="25" spans="1:7" s="97" customFormat="1" ht="12" customHeight="1" x14ac:dyDescent="0.25">
      <c r="A25" s="225"/>
      <c r="B25" s="226" t="s">
        <v>41</v>
      </c>
      <c r="C25" s="830" t="s">
        <v>818</v>
      </c>
      <c r="D25" s="655">
        <v>211078</v>
      </c>
      <c r="E25" s="664">
        <f>211078+433+4951</f>
        <v>216462</v>
      </c>
      <c r="F25" s="1120">
        <v>216462</v>
      </c>
      <c r="G25" s="1210">
        <f t="shared" si="0"/>
        <v>1</v>
      </c>
    </row>
    <row r="26" spans="1:7" s="97" customFormat="1" ht="12" customHeight="1" x14ac:dyDescent="0.25">
      <c r="A26" s="225"/>
      <c r="B26" s="226" t="s">
        <v>42</v>
      </c>
      <c r="C26" s="683" t="s">
        <v>149</v>
      </c>
      <c r="D26" s="655"/>
      <c r="E26" s="664"/>
      <c r="F26" s="1120"/>
      <c r="G26" s="1210"/>
    </row>
    <row r="27" spans="1:7" s="97" customFormat="1" ht="12" customHeight="1" x14ac:dyDescent="0.25">
      <c r="A27" s="225"/>
      <c r="B27" s="226" t="s">
        <v>43</v>
      </c>
      <c r="C27" s="683" t="s">
        <v>46</v>
      </c>
      <c r="D27" s="655"/>
      <c r="E27" s="664">
        <f>4056+54+822+13100</f>
        <v>18032</v>
      </c>
      <c r="F27" s="1120">
        <v>18032</v>
      </c>
      <c r="G27" s="1210">
        <f t="shared" si="0"/>
        <v>1</v>
      </c>
    </row>
    <row r="28" spans="1:7" s="97" customFormat="1" ht="12" customHeight="1" x14ac:dyDescent="0.25">
      <c r="A28" s="225"/>
      <c r="B28" s="226" t="s">
        <v>144</v>
      </c>
      <c r="C28" s="683" t="s">
        <v>931</v>
      </c>
      <c r="D28" s="655"/>
      <c r="E28" s="664"/>
      <c r="F28" s="1120"/>
      <c r="G28" s="1210"/>
    </row>
    <row r="29" spans="1:7" s="97" customFormat="1" ht="12" customHeight="1" x14ac:dyDescent="0.25">
      <c r="A29" s="225"/>
      <c r="B29" s="226" t="s">
        <v>145</v>
      </c>
      <c r="C29" s="683" t="s">
        <v>151</v>
      </c>
      <c r="D29" s="655"/>
      <c r="E29" s="664"/>
      <c r="F29" s="1120"/>
      <c r="G29" s="1210"/>
    </row>
    <row r="30" spans="1:7" s="97" customFormat="1" ht="12" customHeight="1" x14ac:dyDescent="0.25">
      <c r="A30" s="225"/>
      <c r="B30" s="226" t="s">
        <v>146</v>
      </c>
      <c r="C30" s="683" t="s">
        <v>152</v>
      </c>
      <c r="D30" s="655"/>
      <c r="E30" s="664"/>
      <c r="F30" s="1120"/>
      <c r="G30" s="1210"/>
    </row>
    <row r="31" spans="1:7" s="97" customFormat="1" ht="12" customHeight="1" x14ac:dyDescent="0.25">
      <c r="A31" s="225"/>
      <c r="B31" s="226" t="s">
        <v>147</v>
      </c>
      <c r="C31" s="683" t="s">
        <v>241</v>
      </c>
      <c r="D31" s="655"/>
      <c r="E31" s="664">
        <v>5801</v>
      </c>
      <c r="F31" s="1120">
        <v>5801</v>
      </c>
      <c r="G31" s="1210">
        <f t="shared" si="0"/>
        <v>1</v>
      </c>
    </row>
    <row r="32" spans="1:7" s="97" customFormat="1" ht="12" customHeight="1" thickBot="1" x14ac:dyDescent="0.3">
      <c r="A32" s="229"/>
      <c r="B32" s="230" t="s">
        <v>148</v>
      </c>
      <c r="C32" s="832" t="s">
        <v>207</v>
      </c>
      <c r="D32" s="659"/>
      <c r="E32" s="667">
        <v>134</v>
      </c>
      <c r="F32" s="1195">
        <v>134</v>
      </c>
      <c r="G32" s="1219">
        <f t="shared" si="0"/>
        <v>1</v>
      </c>
    </row>
    <row r="33" spans="1:7" s="97" customFormat="1" ht="12" customHeight="1" thickBot="1" x14ac:dyDescent="0.3">
      <c r="A33" s="206" t="s">
        <v>890</v>
      </c>
      <c r="B33" s="125"/>
      <c r="C33" s="685" t="s">
        <v>390</v>
      </c>
      <c r="D33" s="660">
        <f>D40+D34</f>
        <v>22228</v>
      </c>
      <c r="E33" s="807">
        <f>E40+E34</f>
        <v>36297</v>
      </c>
      <c r="F33" s="807">
        <f>F40+F34</f>
        <v>34807</v>
      </c>
      <c r="G33" s="1208">
        <f t="shared" si="0"/>
        <v>0.95894977546353688</v>
      </c>
    </row>
    <row r="34" spans="1:7" s="97" customFormat="1" ht="12" customHeight="1" x14ac:dyDescent="0.25">
      <c r="A34" s="227"/>
      <c r="B34" s="166" t="s">
        <v>44</v>
      </c>
      <c r="C34" s="833" t="s">
        <v>376</v>
      </c>
      <c r="D34" s="668">
        <f>SUM(D35:D39)</f>
        <v>8228</v>
      </c>
      <c r="E34" s="1187">
        <f>SUM(E35:E39)</f>
        <v>22297</v>
      </c>
      <c r="F34" s="1187">
        <f>SUM(F35:F39)</f>
        <v>21116</v>
      </c>
      <c r="G34" s="1248">
        <f t="shared" si="0"/>
        <v>0.94703323317038168</v>
      </c>
    </row>
    <row r="35" spans="1:7" s="97" customFormat="1" ht="12" customHeight="1" x14ac:dyDescent="0.25">
      <c r="A35" s="225"/>
      <c r="B35" s="149" t="s">
        <v>47</v>
      </c>
      <c r="C35" s="683" t="s">
        <v>242</v>
      </c>
      <c r="D35" s="664">
        <f>467*12</f>
        <v>5604</v>
      </c>
      <c r="E35" s="664">
        <f>467*12</f>
        <v>5604</v>
      </c>
      <c r="F35" s="1120">
        <v>5603</v>
      </c>
      <c r="G35" s="1210">
        <f t="shared" si="0"/>
        <v>0.9998215560314061</v>
      </c>
    </row>
    <row r="36" spans="1:7" s="97" customFormat="1" ht="12" customHeight="1" x14ac:dyDescent="0.25">
      <c r="A36" s="225"/>
      <c r="B36" s="149" t="s">
        <v>48</v>
      </c>
      <c r="C36" s="683" t="s">
        <v>930</v>
      </c>
      <c r="D36" s="664"/>
      <c r="E36" s="664"/>
      <c r="F36" s="1120"/>
      <c r="G36" s="1210"/>
    </row>
    <row r="37" spans="1:7" s="97" customFormat="1" ht="12" customHeight="1" x14ac:dyDescent="0.25">
      <c r="A37" s="225"/>
      <c r="B37" s="149" t="s">
        <v>49</v>
      </c>
      <c r="C37" s="683" t="s">
        <v>244</v>
      </c>
      <c r="D37" s="664"/>
      <c r="E37" s="664"/>
      <c r="F37" s="1120"/>
      <c r="G37" s="1210"/>
    </row>
    <row r="38" spans="1:7" s="97" customFormat="1" ht="12" customHeight="1" x14ac:dyDescent="0.25">
      <c r="A38" s="225"/>
      <c r="B38" s="149" t="s">
        <v>50</v>
      </c>
      <c r="C38" s="683" t="s">
        <v>245</v>
      </c>
      <c r="D38" s="664"/>
      <c r="E38" s="664"/>
      <c r="F38" s="1120"/>
      <c r="G38" s="1210"/>
    </row>
    <row r="39" spans="1:7" s="97" customFormat="1" ht="12" customHeight="1" x14ac:dyDescent="0.25">
      <c r="A39" s="225"/>
      <c r="B39" s="149" t="s">
        <v>154</v>
      </c>
      <c r="C39" s="683" t="s">
        <v>377</v>
      </c>
      <c r="D39" s="664">
        <v>2624</v>
      </c>
      <c r="E39" s="664">
        <f>2624+231+7963+5875</f>
        <v>16693</v>
      </c>
      <c r="F39" s="1120">
        <v>15513</v>
      </c>
      <c r="G39" s="1210">
        <f t="shared" si="0"/>
        <v>0.92931168753369675</v>
      </c>
    </row>
    <row r="40" spans="1:7" s="97" customFormat="1" ht="12" customHeight="1" x14ac:dyDescent="0.25">
      <c r="A40" s="225"/>
      <c r="B40" s="149" t="s">
        <v>45</v>
      </c>
      <c r="C40" s="834" t="s">
        <v>378</v>
      </c>
      <c r="D40" s="663">
        <f t="shared" ref="D40:F40" si="1">SUM(D41:D45)</f>
        <v>14000</v>
      </c>
      <c r="E40" s="1188">
        <f t="shared" si="1"/>
        <v>14000</v>
      </c>
      <c r="F40" s="1188">
        <f t="shared" si="1"/>
        <v>13691</v>
      </c>
      <c r="G40" s="1249">
        <f t="shared" si="0"/>
        <v>0.97792857142857148</v>
      </c>
    </row>
    <row r="41" spans="1:7" s="97" customFormat="1" ht="12" customHeight="1" x14ac:dyDescent="0.25">
      <c r="A41" s="225"/>
      <c r="B41" s="149" t="s">
        <v>53</v>
      </c>
      <c r="C41" s="683" t="s">
        <v>242</v>
      </c>
      <c r="D41" s="664"/>
      <c r="E41" s="664"/>
      <c r="F41" s="1120"/>
      <c r="G41" s="1210"/>
    </row>
    <row r="42" spans="1:7" s="97" customFormat="1" ht="12" customHeight="1" x14ac:dyDescent="0.25">
      <c r="A42" s="225"/>
      <c r="B42" s="149" t="s">
        <v>54</v>
      </c>
      <c r="C42" s="683" t="s">
        <v>243</v>
      </c>
      <c r="D42" s="664"/>
      <c r="E42" s="664"/>
      <c r="F42" s="1120"/>
      <c r="G42" s="1210"/>
    </row>
    <row r="43" spans="1:7" s="97" customFormat="1" ht="12" customHeight="1" x14ac:dyDescent="0.25">
      <c r="A43" s="225"/>
      <c r="B43" s="149" t="s">
        <v>55</v>
      </c>
      <c r="C43" s="683" t="s">
        <v>244</v>
      </c>
      <c r="D43" s="664">
        <v>14000</v>
      </c>
      <c r="E43" s="664">
        <v>14000</v>
      </c>
      <c r="F43" s="1120">
        <v>13691</v>
      </c>
      <c r="G43" s="1210">
        <f t="shared" si="0"/>
        <v>0.97792857142857148</v>
      </c>
    </row>
    <row r="44" spans="1:7" s="97" customFormat="1" ht="12" customHeight="1" x14ac:dyDescent="0.25">
      <c r="A44" s="225"/>
      <c r="B44" s="149" t="s">
        <v>56</v>
      </c>
      <c r="C44" s="683" t="s">
        <v>245</v>
      </c>
      <c r="D44" s="664"/>
      <c r="E44" s="664"/>
      <c r="F44" s="1120"/>
      <c r="G44" s="1210"/>
    </row>
    <row r="45" spans="1:7" s="97" customFormat="1" ht="12" customHeight="1" thickBot="1" x14ac:dyDescent="0.3">
      <c r="A45" s="232"/>
      <c r="B45" s="167" t="s">
        <v>155</v>
      </c>
      <c r="C45" s="831" t="s">
        <v>1013</v>
      </c>
      <c r="D45" s="1048"/>
      <c r="E45" s="1048"/>
      <c r="F45" s="1123"/>
      <c r="G45" s="1212"/>
    </row>
    <row r="46" spans="1:7" s="96" customFormat="1" ht="12" customHeight="1" thickBot="1" x14ac:dyDescent="0.3">
      <c r="A46" s="206" t="s">
        <v>891</v>
      </c>
      <c r="B46" s="223"/>
      <c r="C46" s="684" t="s">
        <v>246</v>
      </c>
      <c r="D46" s="660">
        <f>D47+D48</f>
        <v>1500</v>
      </c>
      <c r="E46" s="807">
        <f>E47+E48</f>
        <v>1500</v>
      </c>
      <c r="F46" s="807">
        <f>F47+F48</f>
        <v>2289</v>
      </c>
      <c r="G46" s="1208">
        <f t="shared" si="0"/>
        <v>1.526</v>
      </c>
    </row>
    <row r="47" spans="1:7" s="97" customFormat="1" ht="12" customHeight="1" x14ac:dyDescent="0.25">
      <c r="A47" s="225"/>
      <c r="B47" s="149" t="s">
        <v>51</v>
      </c>
      <c r="C47" s="830" t="s">
        <v>89</v>
      </c>
      <c r="D47" s="664"/>
      <c r="E47" s="664"/>
      <c r="F47" s="1120"/>
      <c r="G47" s="1210"/>
    </row>
    <row r="48" spans="1:7" s="97" customFormat="1" ht="12" customHeight="1" thickBot="1" x14ac:dyDescent="0.3">
      <c r="A48" s="225"/>
      <c r="B48" s="149" t="s">
        <v>52</v>
      </c>
      <c r="C48" s="831" t="s">
        <v>820</v>
      </c>
      <c r="D48" s="664">
        <v>1500</v>
      </c>
      <c r="E48" s="664">
        <v>1500</v>
      </c>
      <c r="F48" s="1120">
        <v>2289</v>
      </c>
      <c r="G48" s="1210">
        <f t="shared" si="0"/>
        <v>1.526</v>
      </c>
    </row>
    <row r="49" spans="1:9" s="97" customFormat="1" ht="12" customHeight="1" thickBot="1" x14ac:dyDescent="0.3">
      <c r="A49" s="198" t="s">
        <v>892</v>
      </c>
      <c r="B49" s="223"/>
      <c r="C49" s="684" t="s">
        <v>819</v>
      </c>
      <c r="D49" s="660">
        <f t="shared" ref="D49:F49" si="2">SUM(D50:D52)</f>
        <v>414</v>
      </c>
      <c r="E49" s="807">
        <f t="shared" si="2"/>
        <v>414</v>
      </c>
      <c r="F49" s="807">
        <f t="shared" si="2"/>
        <v>484</v>
      </c>
      <c r="G49" s="1208">
        <f t="shared" si="0"/>
        <v>1.1690821256038648</v>
      </c>
    </row>
    <row r="50" spans="1:9" s="97" customFormat="1" ht="12" customHeight="1" x14ac:dyDescent="0.25">
      <c r="A50" s="233"/>
      <c r="B50" s="149" t="s">
        <v>159</v>
      </c>
      <c r="C50" s="830" t="s">
        <v>157</v>
      </c>
      <c r="D50" s="1049">
        <v>414</v>
      </c>
      <c r="E50" s="1049">
        <v>414</v>
      </c>
      <c r="F50" s="1196">
        <v>484</v>
      </c>
      <c r="G50" s="1217">
        <f t="shared" si="0"/>
        <v>1.1690821256038648</v>
      </c>
    </row>
    <row r="51" spans="1:9" s="97" customFormat="1" ht="12" customHeight="1" x14ac:dyDescent="0.25">
      <c r="A51" s="233"/>
      <c r="B51" s="149" t="s">
        <v>160</v>
      </c>
      <c r="C51" s="683" t="s">
        <v>158</v>
      </c>
      <c r="D51" s="1049"/>
      <c r="E51" s="1049"/>
      <c r="F51" s="1196"/>
      <c r="G51" s="1217"/>
    </row>
    <row r="52" spans="1:9" s="97" customFormat="1" ht="12" customHeight="1" thickBot="1" x14ac:dyDescent="0.3">
      <c r="A52" s="225"/>
      <c r="B52" s="149" t="s">
        <v>308</v>
      </c>
      <c r="C52" s="832" t="s">
        <v>248</v>
      </c>
      <c r="D52" s="664"/>
      <c r="E52" s="664"/>
      <c r="F52" s="1120"/>
      <c r="G52" s="1210"/>
    </row>
    <row r="53" spans="1:9" s="97" customFormat="1" ht="12" customHeight="1" thickBot="1" x14ac:dyDescent="0.3">
      <c r="A53" s="206" t="s">
        <v>893</v>
      </c>
      <c r="B53" s="234"/>
      <c r="C53" s="685" t="s">
        <v>249</v>
      </c>
      <c r="D53" s="662"/>
      <c r="E53" s="1186"/>
      <c r="F53" s="1194"/>
      <c r="G53" s="1215"/>
    </row>
    <row r="54" spans="1:9" s="96" customFormat="1" ht="12" customHeight="1" thickBot="1" x14ac:dyDescent="0.3">
      <c r="A54" s="235" t="s">
        <v>894</v>
      </c>
      <c r="B54" s="236"/>
      <c r="C54" s="685" t="s">
        <v>391</v>
      </c>
      <c r="D54" s="669">
        <f>D9+D14+D23+D24+D33+D46+D49+D53</f>
        <v>372869</v>
      </c>
      <c r="E54" s="1189">
        <f>E9+E14+E23+E24+E33+E46+E49+E53</f>
        <v>435546</v>
      </c>
      <c r="F54" s="1189">
        <f>F9+F14+F23+F24+F33+F46+F49+F53</f>
        <v>435034</v>
      </c>
      <c r="G54" s="1250">
        <f t="shared" si="0"/>
        <v>0.99882446400609814</v>
      </c>
    </row>
    <row r="55" spans="1:9" s="96" customFormat="1" ht="12" customHeight="1" thickBot="1" x14ac:dyDescent="0.3">
      <c r="A55" s="198" t="s">
        <v>895</v>
      </c>
      <c r="B55" s="168"/>
      <c r="C55" s="685" t="s">
        <v>252</v>
      </c>
      <c r="D55" s="660">
        <f t="shared" ref="D55:F55" si="3">D56</f>
        <v>39200</v>
      </c>
      <c r="E55" s="807">
        <f t="shared" si="3"/>
        <v>187269</v>
      </c>
      <c r="F55" s="807">
        <f t="shared" si="3"/>
        <v>187269</v>
      </c>
      <c r="G55" s="1208">
        <f t="shared" si="0"/>
        <v>1</v>
      </c>
    </row>
    <row r="56" spans="1:9" s="96" customFormat="1" ht="12" customHeight="1" x14ac:dyDescent="0.25">
      <c r="A56" s="227"/>
      <c r="B56" s="166" t="s">
        <v>92</v>
      </c>
      <c r="C56" s="682" t="s">
        <v>933</v>
      </c>
      <c r="D56" s="1050">
        <f>13300+25900</f>
        <v>39200</v>
      </c>
      <c r="E56" s="1190">
        <f>13300+25900+148069</f>
        <v>187269</v>
      </c>
      <c r="F56" s="1197">
        <v>187269</v>
      </c>
      <c r="G56" s="1251">
        <f t="shared" si="0"/>
        <v>1</v>
      </c>
    </row>
    <row r="57" spans="1:9" s="96" customFormat="1" ht="12" customHeight="1" thickBot="1" x14ac:dyDescent="0.3">
      <c r="A57" s="232"/>
      <c r="B57" s="167" t="s">
        <v>93</v>
      </c>
      <c r="C57" s="686" t="s">
        <v>821</v>
      </c>
      <c r="D57" s="670"/>
      <c r="E57" s="1048"/>
      <c r="F57" s="1123"/>
      <c r="G57" s="1212"/>
    </row>
    <row r="58" spans="1:9" s="97" customFormat="1" ht="15" customHeight="1" thickBot="1" x14ac:dyDescent="0.3">
      <c r="A58" s="237" t="s">
        <v>896</v>
      </c>
      <c r="B58" s="679"/>
      <c r="C58" s="835" t="s">
        <v>266</v>
      </c>
      <c r="D58" s="660"/>
      <c r="E58" s="807"/>
      <c r="F58" s="1192">
        <v>8003</v>
      </c>
      <c r="G58" s="1213">
        <v>0</v>
      </c>
    </row>
    <row r="59" spans="1:9" s="97" customFormat="1" ht="12" customHeight="1" thickBot="1" x14ac:dyDescent="0.3">
      <c r="A59" s="237" t="s">
        <v>897</v>
      </c>
      <c r="B59" s="679"/>
      <c r="C59" s="835" t="s">
        <v>935</v>
      </c>
      <c r="D59" s="660">
        <f>D54+D55+D58</f>
        <v>412069</v>
      </c>
      <c r="E59" s="807">
        <f>E54+E55+E58</f>
        <v>622815</v>
      </c>
      <c r="F59" s="807">
        <f>F54+F55+F58</f>
        <v>630306</v>
      </c>
      <c r="G59" s="1208">
        <f t="shared" si="0"/>
        <v>1.0120276486597144</v>
      </c>
    </row>
    <row r="60" spans="1:9" s="97" customFormat="1" ht="15" customHeight="1" thickBot="1" x14ac:dyDescent="0.3">
      <c r="A60" s="240"/>
      <c r="B60" s="680"/>
      <c r="C60" s="681"/>
      <c r="D60" s="671"/>
      <c r="E60" s="1105"/>
      <c r="I60" s="677"/>
    </row>
    <row r="61" spans="1:9" s="94" customFormat="1" ht="36.75" customHeight="1" thickBot="1" x14ac:dyDescent="0.3">
      <c r="A61" s="1387" t="s">
        <v>1041</v>
      </c>
      <c r="B61" s="1388"/>
      <c r="C61" s="1046" t="s">
        <v>657</v>
      </c>
      <c r="D61" s="1391"/>
      <c r="E61" s="1392"/>
      <c r="F61" s="1392"/>
      <c r="G61" s="1393"/>
    </row>
    <row r="62" spans="1:9" ht="13.8" thickBot="1" x14ac:dyDescent="0.3">
      <c r="A62" s="242"/>
      <c r="B62" s="243"/>
      <c r="C62" s="243"/>
      <c r="D62" s="672"/>
      <c r="E62" s="672"/>
    </row>
    <row r="63" spans="1:9" s="52" customFormat="1" ht="40.200000000000003" thickBot="1" x14ac:dyDescent="0.3">
      <c r="A63" s="244"/>
      <c r="B63" s="245"/>
      <c r="C63" s="925" t="s">
        <v>1</v>
      </c>
      <c r="D63" s="804" t="s">
        <v>1170</v>
      </c>
      <c r="E63" s="1185" t="s">
        <v>1171</v>
      </c>
      <c r="F63" s="1185" t="s">
        <v>1218</v>
      </c>
      <c r="G63" s="1185" t="s">
        <v>1219</v>
      </c>
    </row>
    <row r="64" spans="1:9" s="98" customFormat="1" ht="12" customHeight="1" thickBot="1" x14ac:dyDescent="0.3">
      <c r="A64" s="206" t="s">
        <v>885</v>
      </c>
      <c r="B64" s="563"/>
      <c r="C64" s="1020" t="s">
        <v>840</v>
      </c>
      <c r="D64" s="660">
        <f>SUM(D65:D69)</f>
        <v>171663</v>
      </c>
      <c r="E64" s="807">
        <f>SUM(E65:E69)</f>
        <v>152856</v>
      </c>
      <c r="F64" s="807">
        <f>SUM(F65:F69)</f>
        <v>137250</v>
      </c>
      <c r="G64" s="1207">
        <f>F64/E64</f>
        <v>0.89790390956194066</v>
      </c>
    </row>
    <row r="65" spans="1:7" ht="12" customHeight="1" x14ac:dyDescent="0.25">
      <c r="A65" s="247"/>
      <c r="B65" s="1011" t="s">
        <v>57</v>
      </c>
      <c r="C65" s="1021" t="s">
        <v>916</v>
      </c>
      <c r="D65" s="1049">
        <v>34984</v>
      </c>
      <c r="E65" s="1049">
        <f>34984+390+2067+1698</f>
        <v>39139</v>
      </c>
      <c r="F65" s="1196">
        <v>37722</v>
      </c>
      <c r="G65" s="1217">
        <f>F65/E65</f>
        <v>0.96379570249623137</v>
      </c>
    </row>
    <row r="66" spans="1:7" ht="12" customHeight="1" x14ac:dyDescent="0.25">
      <c r="A66" s="248"/>
      <c r="B66" s="1012" t="s">
        <v>58</v>
      </c>
      <c r="C66" s="1022" t="s">
        <v>164</v>
      </c>
      <c r="D66" s="655">
        <v>7079</v>
      </c>
      <c r="E66" s="664">
        <f>7079+76+403+331</f>
        <v>7889</v>
      </c>
      <c r="F66" s="1120">
        <v>7068</v>
      </c>
      <c r="G66" s="1210">
        <f t="shared" ref="G66:G99" si="4">F66/E66</f>
        <v>0.89593104322474326</v>
      </c>
    </row>
    <row r="67" spans="1:7" ht="12" customHeight="1" x14ac:dyDescent="0.25">
      <c r="A67" s="248"/>
      <c r="B67" s="1012" t="s">
        <v>59</v>
      </c>
      <c r="C67" s="1022" t="s">
        <v>88</v>
      </c>
      <c r="D67" s="664">
        <v>108293</v>
      </c>
      <c r="E67" s="664">
        <f>108293-50800+4909+3133-967</f>
        <v>64568</v>
      </c>
      <c r="F67" s="1120">
        <v>56614</v>
      </c>
      <c r="G67" s="1210">
        <f t="shared" si="4"/>
        <v>0.87681204311733363</v>
      </c>
    </row>
    <row r="68" spans="1:7" ht="12" customHeight="1" x14ac:dyDescent="0.25">
      <c r="A68" s="248"/>
      <c r="B68" s="1012" t="s">
        <v>60</v>
      </c>
      <c r="C68" s="1022" t="s">
        <v>165</v>
      </c>
      <c r="D68" s="664">
        <v>17587</v>
      </c>
      <c r="E68" s="664">
        <f>17587+1106</f>
        <v>18693</v>
      </c>
      <c r="F68" s="1120">
        <v>16450</v>
      </c>
      <c r="G68" s="1210">
        <f t="shared" si="4"/>
        <v>0.88000855935376876</v>
      </c>
    </row>
    <row r="69" spans="1:7" ht="12" customHeight="1" x14ac:dyDescent="0.25">
      <c r="A69" s="248"/>
      <c r="B69" s="1012" t="s">
        <v>71</v>
      </c>
      <c r="C69" s="1022" t="s">
        <v>166</v>
      </c>
      <c r="D69" s="664">
        <f>SUM(D71:D77)</f>
        <v>3720</v>
      </c>
      <c r="E69" s="664">
        <f>SUM(E71:E77)</f>
        <v>22567</v>
      </c>
      <c r="F69" s="664">
        <f>SUM(F71:F77)</f>
        <v>19396</v>
      </c>
      <c r="G69" s="1244">
        <f t="shared" si="4"/>
        <v>0.85948508884654584</v>
      </c>
    </row>
    <row r="70" spans="1:7" ht="12" customHeight="1" x14ac:dyDescent="0.25">
      <c r="A70" s="248"/>
      <c r="B70" s="1012" t="s">
        <v>61</v>
      </c>
      <c r="C70" s="1022" t="s">
        <v>188</v>
      </c>
      <c r="D70" s="655"/>
      <c r="E70" s="664"/>
      <c r="F70" s="1120"/>
      <c r="G70" s="1210"/>
    </row>
    <row r="71" spans="1:7" ht="12" customHeight="1" x14ac:dyDescent="0.2">
      <c r="A71" s="248"/>
      <c r="B71" s="1012" t="s">
        <v>62</v>
      </c>
      <c r="C71" s="1023" t="s">
        <v>822</v>
      </c>
      <c r="D71" s="664"/>
      <c r="E71" s="664"/>
      <c r="F71" s="1120"/>
      <c r="G71" s="1210"/>
    </row>
    <row r="72" spans="1:7" ht="12" customHeight="1" x14ac:dyDescent="0.25">
      <c r="A72" s="248"/>
      <c r="B72" s="1012" t="s">
        <v>72</v>
      </c>
      <c r="C72" s="1024" t="s">
        <v>392</v>
      </c>
      <c r="D72" s="664">
        <v>500</v>
      </c>
      <c r="E72" s="664">
        <v>500</v>
      </c>
      <c r="F72" s="1120">
        <v>250</v>
      </c>
      <c r="G72" s="1210">
        <f t="shared" si="4"/>
        <v>0.5</v>
      </c>
    </row>
    <row r="73" spans="1:7" ht="12" customHeight="1" x14ac:dyDescent="0.25">
      <c r="A73" s="248"/>
      <c r="B73" s="1012" t="s">
        <v>73</v>
      </c>
      <c r="C73" s="1024" t="s">
        <v>823</v>
      </c>
      <c r="D73" s="664">
        <v>2220</v>
      </c>
      <c r="E73" s="664">
        <f>2220+12146</f>
        <v>14366</v>
      </c>
      <c r="F73" s="1120">
        <v>11545</v>
      </c>
      <c r="G73" s="1210">
        <f t="shared" si="4"/>
        <v>0.80363357928442158</v>
      </c>
    </row>
    <row r="74" spans="1:7" ht="12" customHeight="1" x14ac:dyDescent="0.25">
      <c r="A74" s="248"/>
      <c r="B74" s="1012" t="s">
        <v>74</v>
      </c>
      <c r="C74" s="1024" t="s">
        <v>1021</v>
      </c>
      <c r="D74" s="664">
        <v>1000</v>
      </c>
      <c r="E74" s="664">
        <v>1000</v>
      </c>
      <c r="F74" s="1120">
        <v>900</v>
      </c>
      <c r="G74" s="1210">
        <f t="shared" si="4"/>
        <v>0.9</v>
      </c>
    </row>
    <row r="75" spans="1:7" ht="12" customHeight="1" x14ac:dyDescent="0.25">
      <c r="A75" s="248"/>
      <c r="B75" s="1012" t="s">
        <v>75</v>
      </c>
      <c r="C75" s="1025" t="s">
        <v>824</v>
      </c>
      <c r="D75" s="664"/>
      <c r="E75" s="664">
        <v>1737</v>
      </c>
      <c r="F75" s="1120">
        <v>1737</v>
      </c>
      <c r="G75" s="1210">
        <f t="shared" si="4"/>
        <v>1</v>
      </c>
    </row>
    <row r="76" spans="1:7" ht="12" customHeight="1" x14ac:dyDescent="0.25">
      <c r="A76" s="248"/>
      <c r="B76" s="1012" t="s">
        <v>77</v>
      </c>
      <c r="C76" s="1026" t="s">
        <v>825</v>
      </c>
      <c r="D76" s="664"/>
      <c r="E76" s="664"/>
      <c r="F76" s="1120"/>
      <c r="G76" s="1210"/>
    </row>
    <row r="77" spans="1:7" ht="12" customHeight="1" thickBot="1" x14ac:dyDescent="0.3">
      <c r="A77" s="249"/>
      <c r="B77" s="1013" t="s">
        <v>167</v>
      </c>
      <c r="C77" s="1027" t="s">
        <v>966</v>
      </c>
      <c r="D77" s="667"/>
      <c r="E77" s="667">
        <v>4964</v>
      </c>
      <c r="F77" s="1195">
        <v>4964</v>
      </c>
      <c r="G77" s="1219">
        <f t="shared" si="4"/>
        <v>1</v>
      </c>
    </row>
    <row r="78" spans="1:7" ht="12" customHeight="1" thickBot="1" x14ac:dyDescent="0.3">
      <c r="A78" s="206" t="s">
        <v>886</v>
      </c>
      <c r="B78" s="563"/>
      <c r="C78" s="1020" t="s">
        <v>839</v>
      </c>
      <c r="D78" s="660">
        <f>SUM(D79:D80)</f>
        <v>41236</v>
      </c>
      <c r="E78" s="807">
        <f>SUM(E79:E80)</f>
        <v>187547.17800000001</v>
      </c>
      <c r="F78" s="807">
        <f>SUM(F79:F80)</f>
        <v>54550.964</v>
      </c>
      <c r="G78" s="1208">
        <f t="shared" si="4"/>
        <v>0.29086528830628416</v>
      </c>
    </row>
    <row r="79" spans="1:7" s="98" customFormat="1" ht="12" customHeight="1" x14ac:dyDescent="0.25">
      <c r="A79" s="247"/>
      <c r="B79" s="1011" t="s">
        <v>63</v>
      </c>
      <c r="C79" s="1028" t="s">
        <v>826</v>
      </c>
      <c r="D79" s="658">
        <f>'5.sz.mell.'!D45/1000</f>
        <v>29586</v>
      </c>
      <c r="E79" s="1049">
        <f>'5.sz.mell.'!E45/1000</f>
        <v>170094.17800000001</v>
      </c>
      <c r="F79" s="1049">
        <f>'5.sz.mell.'!F45/1000</f>
        <v>47752.906000000003</v>
      </c>
      <c r="G79" s="1245">
        <f t="shared" si="4"/>
        <v>0.28074391823099315</v>
      </c>
    </row>
    <row r="80" spans="1:7" ht="12" customHeight="1" x14ac:dyDescent="0.25">
      <c r="A80" s="248"/>
      <c r="B80" s="1012" t="s">
        <v>64</v>
      </c>
      <c r="C80" s="1029" t="s">
        <v>168</v>
      </c>
      <c r="D80" s="655">
        <f>'6.sz.mell.'!D32/1000</f>
        <v>11650</v>
      </c>
      <c r="E80" s="664">
        <f>'6.sz.mell.'!E32/1000</f>
        <v>17453</v>
      </c>
      <c r="F80" s="664">
        <f>'6.sz.mell.'!F32/1000</f>
        <v>6798.058</v>
      </c>
      <c r="G80" s="1244">
        <f t="shared" si="4"/>
        <v>0.3895065604767089</v>
      </c>
    </row>
    <row r="81" spans="1:7" ht="12" customHeight="1" x14ac:dyDescent="0.25">
      <c r="A81" s="248"/>
      <c r="B81" s="1012" t="s">
        <v>65</v>
      </c>
      <c r="C81" s="1029" t="s">
        <v>280</v>
      </c>
      <c r="D81" s="655"/>
      <c r="E81" s="664"/>
      <c r="F81" s="1120"/>
      <c r="G81" s="1210"/>
    </row>
    <row r="82" spans="1:7" ht="12" customHeight="1" x14ac:dyDescent="0.25">
      <c r="A82" s="248"/>
      <c r="B82" s="1012" t="s">
        <v>66</v>
      </c>
      <c r="C82" s="1029" t="s">
        <v>827</v>
      </c>
      <c r="D82" s="655"/>
      <c r="E82" s="664"/>
      <c r="F82" s="1120"/>
      <c r="G82" s="1210"/>
    </row>
    <row r="83" spans="1:7" ht="12" customHeight="1" x14ac:dyDescent="0.25">
      <c r="A83" s="248"/>
      <c r="B83" s="1012" t="s">
        <v>67</v>
      </c>
      <c r="C83" s="1024" t="s">
        <v>832</v>
      </c>
      <c r="D83" s="655"/>
      <c r="E83" s="664"/>
      <c r="F83" s="1120"/>
      <c r="G83" s="1210"/>
    </row>
    <row r="84" spans="1:7" ht="12" customHeight="1" x14ac:dyDescent="0.25">
      <c r="A84" s="248"/>
      <c r="B84" s="1012" t="s">
        <v>76</v>
      </c>
      <c r="C84" s="1024" t="s">
        <v>831</v>
      </c>
      <c r="D84" s="655"/>
      <c r="E84" s="664"/>
      <c r="F84" s="1120"/>
      <c r="G84" s="1210"/>
    </row>
    <row r="85" spans="1:7" ht="12" customHeight="1" x14ac:dyDescent="0.25">
      <c r="A85" s="248"/>
      <c r="B85" s="1012" t="s">
        <v>78</v>
      </c>
      <c r="C85" s="1024" t="s">
        <v>830</v>
      </c>
      <c r="D85" s="655"/>
      <c r="E85" s="664"/>
      <c r="F85" s="1120"/>
      <c r="G85" s="1210"/>
    </row>
    <row r="86" spans="1:7" s="98" customFormat="1" ht="12" customHeight="1" x14ac:dyDescent="0.25">
      <c r="A86" s="248"/>
      <c r="B86" s="1012" t="s">
        <v>169</v>
      </c>
      <c r="C86" s="1024" t="s">
        <v>829</v>
      </c>
      <c r="D86" s="655"/>
      <c r="E86" s="664"/>
      <c r="F86" s="1120"/>
      <c r="G86" s="1210"/>
    </row>
    <row r="87" spans="1:7" ht="23.25" customHeight="1" x14ac:dyDescent="0.25">
      <c r="A87" s="248"/>
      <c r="B87" s="1012" t="s">
        <v>170</v>
      </c>
      <c r="C87" s="1024" t="s">
        <v>828</v>
      </c>
      <c r="D87" s="655"/>
      <c r="E87" s="664"/>
      <c r="F87" s="1120"/>
      <c r="G87" s="1210"/>
    </row>
    <row r="88" spans="1:7" ht="21" thickBot="1" x14ac:dyDescent="0.3">
      <c r="A88" s="248"/>
      <c r="B88" s="1012" t="s">
        <v>171</v>
      </c>
      <c r="C88" s="1030" t="s">
        <v>833</v>
      </c>
      <c r="D88" s="655"/>
      <c r="E88" s="664"/>
      <c r="F88" s="1120"/>
      <c r="G88" s="1210"/>
    </row>
    <row r="89" spans="1:7" ht="12" customHeight="1" thickBot="1" x14ac:dyDescent="0.3">
      <c r="A89" s="367" t="s">
        <v>887</v>
      </c>
      <c r="B89" s="1014"/>
      <c r="C89" s="1031" t="s">
        <v>834</v>
      </c>
      <c r="D89" s="1043">
        <f>SUM(D90:D91)</f>
        <v>19366</v>
      </c>
      <c r="E89" s="1047">
        <f>SUM(E90:E91)</f>
        <v>90711</v>
      </c>
      <c r="F89" s="1223">
        <v>0</v>
      </c>
      <c r="G89" s="1218">
        <f t="shared" si="4"/>
        <v>0</v>
      </c>
    </row>
    <row r="90" spans="1:7" s="98" customFormat="1" ht="12" customHeight="1" x14ac:dyDescent="0.25">
      <c r="A90" s="368"/>
      <c r="B90" s="1015" t="s">
        <v>37</v>
      </c>
      <c r="C90" s="1028" t="s">
        <v>3</v>
      </c>
      <c r="D90" s="805">
        <v>19366</v>
      </c>
      <c r="E90" s="665">
        <f>19366+10815-2500+11826-10470</f>
        <v>29037</v>
      </c>
      <c r="F90" s="1221">
        <v>0</v>
      </c>
      <c r="G90" s="1209">
        <f t="shared" si="4"/>
        <v>0</v>
      </c>
    </row>
    <row r="91" spans="1:7" s="98" customFormat="1" ht="12" customHeight="1" thickBot="1" x14ac:dyDescent="0.3">
      <c r="A91" s="369"/>
      <c r="B91" s="1016" t="s">
        <v>38</v>
      </c>
      <c r="C91" s="1032" t="s">
        <v>969</v>
      </c>
      <c r="D91" s="1048"/>
      <c r="E91" s="1048">
        <f>58614+1148+1912</f>
        <v>61674</v>
      </c>
      <c r="F91" s="1222">
        <v>0</v>
      </c>
      <c r="G91" s="1212">
        <f t="shared" si="4"/>
        <v>0</v>
      </c>
    </row>
    <row r="92" spans="1:7" s="98" customFormat="1" ht="12" customHeight="1" thickBot="1" x14ac:dyDescent="0.3">
      <c r="A92" s="371" t="s">
        <v>888</v>
      </c>
      <c r="B92" s="1017"/>
      <c r="C92" s="1033" t="s">
        <v>285</v>
      </c>
      <c r="D92" s="1051"/>
      <c r="E92" s="1198"/>
      <c r="F92" s="1200"/>
      <c r="G92" s="1246"/>
    </row>
    <row r="93" spans="1:7" s="98" customFormat="1" ht="12" customHeight="1" thickBot="1" x14ac:dyDescent="0.3">
      <c r="A93" s="206" t="s">
        <v>889</v>
      </c>
      <c r="B93" s="1018"/>
      <c r="C93" s="1031" t="s">
        <v>235</v>
      </c>
      <c r="D93" s="662">
        <f>'9. sz. mell.'!D25+'10. sz. mell.'!D25</f>
        <v>179804</v>
      </c>
      <c r="E93" s="1186">
        <f>'9. sz. mell.'!E25+'10. sz. mell.'!E25</f>
        <v>184393</v>
      </c>
      <c r="F93" s="1194">
        <v>171925</v>
      </c>
      <c r="G93" s="1215">
        <f t="shared" si="4"/>
        <v>0.93238355035169451</v>
      </c>
    </row>
    <row r="94" spans="1:7" s="98" customFormat="1" ht="12" customHeight="1" thickBot="1" x14ac:dyDescent="0.3">
      <c r="A94" s="206" t="s">
        <v>890</v>
      </c>
      <c r="B94" s="563"/>
      <c r="C94" s="1034" t="s">
        <v>835</v>
      </c>
      <c r="D94" s="1052">
        <f>D64+D78+D89+D92+D93</f>
        <v>412069</v>
      </c>
      <c r="E94" s="1106">
        <f>E64+E78+E89+E92+E93</f>
        <v>615507.17800000007</v>
      </c>
      <c r="F94" s="1106">
        <f>F64+F78+F89+F92+F93</f>
        <v>363725.96400000004</v>
      </c>
      <c r="G94" s="1247">
        <f t="shared" si="4"/>
        <v>0.59093699797600086</v>
      </c>
    </row>
    <row r="95" spans="1:7" s="98" customFormat="1" ht="12" customHeight="1" thickBot="1" x14ac:dyDescent="0.3">
      <c r="A95" s="206" t="s">
        <v>891</v>
      </c>
      <c r="B95" s="563"/>
      <c r="C95" s="1034" t="s">
        <v>838</v>
      </c>
      <c r="D95" s="660"/>
      <c r="E95" s="807">
        <f>E96</f>
        <v>7308</v>
      </c>
      <c r="F95" s="807">
        <f>F96</f>
        <v>7308</v>
      </c>
      <c r="G95" s="1208">
        <f t="shared" si="4"/>
        <v>1</v>
      </c>
    </row>
    <row r="96" spans="1:7" ht="12.75" customHeight="1" x14ac:dyDescent="0.25">
      <c r="A96" s="247"/>
      <c r="B96" s="1012" t="s">
        <v>234</v>
      </c>
      <c r="C96" s="1028" t="s">
        <v>837</v>
      </c>
      <c r="D96" s="1049"/>
      <c r="E96" s="1049">
        <v>7308</v>
      </c>
      <c r="F96" s="1196">
        <v>7308</v>
      </c>
      <c r="G96" s="1217">
        <f t="shared" si="4"/>
        <v>1</v>
      </c>
    </row>
    <row r="97" spans="1:9" ht="12" customHeight="1" thickBot="1" x14ac:dyDescent="0.3">
      <c r="A97" s="249"/>
      <c r="B97" s="1013" t="s">
        <v>52</v>
      </c>
      <c r="C97" s="1035" t="s">
        <v>836</v>
      </c>
      <c r="D97" s="667"/>
      <c r="E97" s="667"/>
      <c r="F97" s="1195"/>
      <c r="G97" s="1219"/>
    </row>
    <row r="98" spans="1:9" ht="13.8" thickBot="1" x14ac:dyDescent="0.3">
      <c r="A98" s="206" t="s">
        <v>892</v>
      </c>
      <c r="B98" s="1019"/>
      <c r="C98" s="1034" t="s">
        <v>296</v>
      </c>
      <c r="D98" s="807"/>
      <c r="E98" s="807"/>
      <c r="F98" s="1192"/>
      <c r="G98" s="1213"/>
    </row>
    <row r="99" spans="1:9" ht="15" customHeight="1" thickBot="1" x14ac:dyDescent="0.3">
      <c r="A99" s="206" t="s">
        <v>893</v>
      </c>
      <c r="B99" s="1019"/>
      <c r="C99" s="1034" t="s">
        <v>936</v>
      </c>
      <c r="D99" s="807">
        <f>D94+D95+D98</f>
        <v>412069</v>
      </c>
      <c r="E99" s="807">
        <f>E94+E95+E98</f>
        <v>622815.17800000007</v>
      </c>
      <c r="F99" s="807">
        <f>F94+F95+F98</f>
        <v>371033.96400000004</v>
      </c>
      <c r="G99" s="1208">
        <f t="shared" si="4"/>
        <v>0.59573686882756094</v>
      </c>
      <c r="I99" s="678"/>
    </row>
    <row r="100" spans="1:9" ht="15" hidden="1" customHeight="1" thickBot="1" x14ac:dyDescent="0.3">
      <c r="A100" s="253" t="s">
        <v>208</v>
      </c>
      <c r="B100" s="254"/>
      <c r="C100" s="255"/>
    </row>
    <row r="101" spans="1:9" ht="14.25" hidden="1" customHeight="1" thickBot="1" x14ac:dyDescent="0.3">
      <c r="A101" s="253" t="s">
        <v>209</v>
      </c>
      <c r="B101" s="254"/>
      <c r="C101" s="255"/>
    </row>
    <row r="102" spans="1:9" hidden="1" x14ac:dyDescent="0.25"/>
    <row r="106" spans="1:9" x14ac:dyDescent="0.25">
      <c r="E106" s="98"/>
    </row>
    <row r="110" spans="1:9" x14ac:dyDescent="0.25">
      <c r="E110" s="98"/>
    </row>
    <row r="111" spans="1:9" x14ac:dyDescent="0.25">
      <c r="E111" s="98"/>
    </row>
    <row r="112" spans="1:9" x14ac:dyDescent="0.25">
      <c r="E112" s="98"/>
    </row>
    <row r="113" spans="5:5" x14ac:dyDescent="0.25">
      <c r="E113" s="98"/>
    </row>
    <row r="114" spans="5:5" x14ac:dyDescent="0.25">
      <c r="E114" s="98"/>
    </row>
    <row r="115" spans="5:5" x14ac:dyDescent="0.25">
      <c r="E115" s="98"/>
    </row>
  </sheetData>
  <sheetProtection formatCells="0"/>
  <mergeCells count="5">
    <mergeCell ref="A2:B2"/>
    <mergeCell ref="A5:B5"/>
    <mergeCell ref="A61:B61"/>
    <mergeCell ref="D2:G2"/>
    <mergeCell ref="D61:G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>
    <oddHeader>&amp;R&amp;"Times New Roman CE,Félkövér"&amp;11 8. melléklet az 5/2019. (IV. 26.) önkormányzati rendelethez</oddHeader>
  </headerFooter>
  <rowBreaks count="1" manualBreakCount="1">
    <brk id="60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3.2" x14ac:dyDescent="0.25"/>
  <cols>
    <col min="1" max="1" width="9.6640625" style="251" customWidth="1"/>
    <col min="2" max="2" width="9.6640625" style="252" customWidth="1"/>
    <col min="3" max="3" width="72" style="252" customWidth="1"/>
    <col min="4" max="4" width="25" style="252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13"/>
      <c r="D1" s="258" t="s">
        <v>841</v>
      </c>
    </row>
    <row r="2" spans="1:4" s="94" customFormat="1" ht="25.5" customHeight="1" x14ac:dyDescent="0.25">
      <c r="A2" s="1394" t="s">
        <v>204</v>
      </c>
      <c r="B2" s="1395"/>
      <c r="C2" s="370" t="s">
        <v>211</v>
      </c>
      <c r="D2" s="389" t="s">
        <v>7</v>
      </c>
    </row>
    <row r="3" spans="1:4" s="94" customFormat="1" ht="16.2" hidden="1" thickBot="1" x14ac:dyDescent="0.3">
      <c r="A3" s="214" t="s">
        <v>203</v>
      </c>
      <c r="B3" s="215"/>
      <c r="C3" s="390" t="s">
        <v>213</v>
      </c>
      <c r="D3" s="391" t="s">
        <v>236</v>
      </c>
    </row>
    <row r="4" spans="1:4" s="95" customFormat="1" ht="15.9" customHeight="1" thickBot="1" x14ac:dyDescent="0.35">
      <c r="A4" s="216"/>
      <c r="B4" s="216"/>
      <c r="C4" s="216"/>
      <c r="D4" s="217" t="s">
        <v>923</v>
      </c>
    </row>
    <row r="5" spans="1:4" ht="13.8" thickBot="1" x14ac:dyDescent="0.3">
      <c r="A5" s="1389" t="s">
        <v>205</v>
      </c>
      <c r="B5" s="1390"/>
      <c r="C5" s="218" t="s">
        <v>924</v>
      </c>
      <c r="D5" s="219" t="s">
        <v>925</v>
      </c>
    </row>
    <row r="6" spans="1:4" s="52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2" customFormat="1" ht="15.9" customHeight="1" thickBot="1" x14ac:dyDescent="0.3">
      <c r="A7" s="220"/>
      <c r="B7" s="221"/>
      <c r="C7" s="221" t="s">
        <v>926</v>
      </c>
      <c r="D7" s="222"/>
    </row>
    <row r="8" spans="1:4" s="96" customFormat="1" ht="12" customHeight="1" thickBot="1" x14ac:dyDescent="0.3">
      <c r="A8" s="198" t="s">
        <v>885</v>
      </c>
      <c r="B8" s="223"/>
      <c r="C8" s="224" t="s">
        <v>210</v>
      </c>
      <c r="D8" s="334">
        <f>SUM(D9:D16)</f>
        <v>0</v>
      </c>
    </row>
    <row r="9" spans="1:4" s="96" customFormat="1" ht="12" customHeight="1" x14ac:dyDescent="0.25">
      <c r="A9" s="227"/>
      <c r="B9" s="226" t="s">
        <v>57</v>
      </c>
      <c r="C9" s="12" t="s">
        <v>133</v>
      </c>
      <c r="D9" s="372"/>
    </row>
    <row r="10" spans="1:4" s="96" customFormat="1" ht="12" customHeight="1" x14ac:dyDescent="0.25">
      <c r="A10" s="225"/>
      <c r="B10" s="226" t="s">
        <v>58</v>
      </c>
      <c r="C10" s="9" t="s">
        <v>134</v>
      </c>
      <c r="D10" s="332"/>
    </row>
    <row r="11" spans="1:4" s="96" customFormat="1" ht="12" customHeight="1" x14ac:dyDescent="0.25">
      <c r="A11" s="225"/>
      <c r="B11" s="226" t="s">
        <v>59</v>
      </c>
      <c r="C11" s="9" t="s">
        <v>135</v>
      </c>
      <c r="D11" s="332"/>
    </row>
    <row r="12" spans="1:4" s="96" customFormat="1" ht="12" customHeight="1" x14ac:dyDescent="0.25">
      <c r="A12" s="225"/>
      <c r="B12" s="226" t="s">
        <v>60</v>
      </c>
      <c r="C12" s="9" t="s">
        <v>136</v>
      </c>
      <c r="D12" s="332"/>
    </row>
    <row r="13" spans="1:4" s="96" customFormat="1" ht="12" customHeight="1" x14ac:dyDescent="0.25">
      <c r="A13" s="225"/>
      <c r="B13" s="226" t="s">
        <v>91</v>
      </c>
      <c r="C13" s="8" t="s">
        <v>137</v>
      </c>
      <c r="D13" s="332"/>
    </row>
    <row r="14" spans="1:4" s="96" customFormat="1" ht="12" customHeight="1" x14ac:dyDescent="0.25">
      <c r="A14" s="228"/>
      <c r="B14" s="226" t="s">
        <v>61</v>
      </c>
      <c r="C14" s="9" t="s">
        <v>138</v>
      </c>
      <c r="D14" s="373"/>
    </row>
    <row r="15" spans="1:4" s="97" customFormat="1" ht="12" customHeight="1" x14ac:dyDescent="0.25">
      <c r="A15" s="225"/>
      <c r="B15" s="226" t="s">
        <v>62</v>
      </c>
      <c r="C15" s="9" t="s">
        <v>845</v>
      </c>
      <c r="D15" s="332"/>
    </row>
    <row r="16" spans="1:4" s="97" customFormat="1" ht="12" customHeight="1" thickBot="1" x14ac:dyDescent="0.3">
      <c r="A16" s="229"/>
      <c r="B16" s="230" t="s">
        <v>72</v>
      </c>
      <c r="C16" s="8" t="s">
        <v>197</v>
      </c>
      <c r="D16" s="333"/>
    </row>
    <row r="17" spans="1:4" s="96" customFormat="1" ht="12" customHeight="1" thickBot="1" x14ac:dyDescent="0.3">
      <c r="A17" s="198" t="s">
        <v>886</v>
      </c>
      <c r="B17" s="223"/>
      <c r="C17" s="224" t="s">
        <v>846</v>
      </c>
      <c r="D17" s="334">
        <f>SUM(D18:D21)</f>
        <v>0</v>
      </c>
    </row>
    <row r="18" spans="1:4" s="97" customFormat="1" ht="12" customHeight="1" x14ac:dyDescent="0.25">
      <c r="A18" s="225"/>
      <c r="B18" s="226" t="s">
        <v>63</v>
      </c>
      <c r="C18" s="11" t="s">
        <v>842</v>
      </c>
      <c r="D18" s="332"/>
    </row>
    <row r="19" spans="1:4" s="97" customFormat="1" ht="12" customHeight="1" x14ac:dyDescent="0.25">
      <c r="A19" s="225"/>
      <c r="B19" s="226" t="s">
        <v>64</v>
      </c>
      <c r="C19" s="9" t="s">
        <v>843</v>
      </c>
      <c r="D19" s="332"/>
    </row>
    <row r="20" spans="1:4" s="97" customFormat="1" ht="12" customHeight="1" x14ac:dyDescent="0.25">
      <c r="A20" s="225"/>
      <c r="B20" s="226" t="s">
        <v>65</v>
      </c>
      <c r="C20" s="9" t="s">
        <v>844</v>
      </c>
      <c r="D20" s="332"/>
    </row>
    <row r="21" spans="1:4" s="97" customFormat="1" ht="12" customHeight="1" thickBot="1" x14ac:dyDescent="0.3">
      <c r="A21" s="225"/>
      <c r="B21" s="226" t="s">
        <v>66</v>
      </c>
      <c r="C21" s="9" t="s">
        <v>843</v>
      </c>
      <c r="D21" s="332"/>
    </row>
    <row r="22" spans="1:4" s="97" customFormat="1" ht="12" customHeight="1" thickBot="1" x14ac:dyDescent="0.3">
      <c r="A22" s="206" t="s">
        <v>887</v>
      </c>
      <c r="B22" s="125"/>
      <c r="C22" s="125" t="s">
        <v>847</v>
      </c>
      <c r="D22" s="334">
        <f>+D23+D24</f>
        <v>0</v>
      </c>
    </row>
    <row r="23" spans="1:4" s="97" customFormat="1" ht="12" customHeight="1" x14ac:dyDescent="0.25">
      <c r="A23" s="368"/>
      <c r="B23" s="388" t="s">
        <v>37</v>
      </c>
      <c r="C23" s="141" t="s">
        <v>247</v>
      </c>
      <c r="D23" s="394"/>
    </row>
    <row r="24" spans="1:4" s="97" customFormat="1" ht="12" customHeight="1" thickBot="1" x14ac:dyDescent="0.3">
      <c r="A24" s="386"/>
      <c r="B24" s="387" t="s">
        <v>38</v>
      </c>
      <c r="C24" s="142" t="s">
        <v>251</v>
      </c>
      <c r="D24" s="395"/>
    </row>
    <row r="25" spans="1:4" s="97" customFormat="1" ht="12" customHeight="1" thickBot="1" x14ac:dyDescent="0.3">
      <c r="A25" s="206" t="s">
        <v>888</v>
      </c>
      <c r="B25" s="125"/>
      <c r="C25" s="125" t="s">
        <v>237</v>
      </c>
      <c r="D25" s="354"/>
    </row>
    <row r="26" spans="1:4" s="96" customFormat="1" ht="12" customHeight="1" thickBot="1" x14ac:dyDescent="0.3">
      <c r="A26" s="206" t="s">
        <v>889</v>
      </c>
      <c r="B26" s="223"/>
      <c r="C26" s="125" t="s">
        <v>848</v>
      </c>
      <c r="D26" s="354"/>
    </row>
    <row r="27" spans="1:4" s="96" customFormat="1" ht="12" customHeight="1" thickBot="1" x14ac:dyDescent="0.3">
      <c r="A27" s="198" t="s">
        <v>890</v>
      </c>
      <c r="B27" s="168"/>
      <c r="C27" s="125" t="s">
        <v>853</v>
      </c>
      <c r="D27" s="375">
        <f>+D8+D17+D22+D25+D26</f>
        <v>0</v>
      </c>
    </row>
    <row r="28" spans="1:4" s="96" customFormat="1" ht="12" customHeight="1" thickBot="1" x14ac:dyDescent="0.3">
      <c r="A28" s="383" t="s">
        <v>891</v>
      </c>
      <c r="B28" s="392"/>
      <c r="C28" s="385" t="s">
        <v>849</v>
      </c>
      <c r="D28" s="396">
        <f>+D29+D30</f>
        <v>0</v>
      </c>
    </row>
    <row r="29" spans="1:4" s="96" customFormat="1" ht="12" customHeight="1" x14ac:dyDescent="0.25">
      <c r="A29" s="227"/>
      <c r="B29" s="166" t="s">
        <v>51</v>
      </c>
      <c r="C29" s="141" t="s">
        <v>354</v>
      </c>
      <c r="D29" s="394"/>
    </row>
    <row r="30" spans="1:4" s="97" customFormat="1" ht="12" customHeight="1" thickBot="1" x14ac:dyDescent="0.3">
      <c r="A30" s="393"/>
      <c r="B30" s="167" t="s">
        <v>52</v>
      </c>
      <c r="C30" s="384" t="s">
        <v>850</v>
      </c>
      <c r="D30" s="90"/>
    </row>
    <row r="31" spans="1:4" s="97" customFormat="1" ht="12" customHeight="1" thickBot="1" x14ac:dyDescent="0.3">
      <c r="A31" s="237" t="s">
        <v>892</v>
      </c>
      <c r="B31" s="381"/>
      <c r="C31" s="382" t="s">
        <v>851</v>
      </c>
      <c r="D31" s="374"/>
    </row>
    <row r="32" spans="1:4" s="97" customFormat="1" ht="15" customHeight="1" thickBot="1" x14ac:dyDescent="0.3">
      <c r="A32" s="237" t="s">
        <v>893</v>
      </c>
      <c r="B32" s="238"/>
      <c r="C32" s="239" t="s">
        <v>852</v>
      </c>
      <c r="D32" s="378">
        <f>+D27+D28+D31</f>
        <v>0</v>
      </c>
    </row>
    <row r="33" spans="1:4" s="97" customFormat="1" ht="15" customHeight="1" x14ac:dyDescent="0.25">
      <c r="A33" s="240"/>
      <c r="B33" s="240"/>
      <c r="C33" s="241"/>
      <c r="D33" s="376"/>
    </row>
    <row r="34" spans="1:4" ht="13.8" thickBot="1" x14ac:dyDescent="0.3">
      <c r="A34" s="242"/>
      <c r="B34" s="243"/>
      <c r="C34" s="243"/>
      <c r="D34" s="377"/>
    </row>
    <row r="35" spans="1:4" s="52" customFormat="1" ht="16.5" customHeight="1" thickBot="1" x14ac:dyDescent="0.3">
      <c r="A35" s="244"/>
      <c r="B35" s="245"/>
      <c r="C35" s="246" t="s">
        <v>1</v>
      </c>
      <c r="D35" s="378"/>
    </row>
    <row r="36" spans="1:4" s="98" customFormat="1" ht="12" customHeight="1" thickBot="1" x14ac:dyDescent="0.3">
      <c r="A36" s="206" t="s">
        <v>885</v>
      </c>
      <c r="B36" s="24"/>
      <c r="C36" s="125" t="s">
        <v>840</v>
      </c>
      <c r="D36" s="334">
        <f>SUM(D37:D41)</f>
        <v>0</v>
      </c>
    </row>
    <row r="37" spans="1:4" ht="12" customHeight="1" x14ac:dyDescent="0.25">
      <c r="A37" s="247"/>
      <c r="B37" s="165" t="s">
        <v>57</v>
      </c>
      <c r="C37" s="11" t="s">
        <v>916</v>
      </c>
      <c r="D37" s="83"/>
    </row>
    <row r="38" spans="1:4" ht="12" customHeight="1" x14ac:dyDescent="0.25">
      <c r="A38" s="248"/>
      <c r="B38" s="149" t="s">
        <v>58</v>
      </c>
      <c r="C38" s="9" t="s">
        <v>164</v>
      </c>
      <c r="D38" s="86"/>
    </row>
    <row r="39" spans="1:4" ht="12" customHeight="1" x14ac:dyDescent="0.25">
      <c r="A39" s="248"/>
      <c r="B39" s="149" t="s">
        <v>59</v>
      </c>
      <c r="C39" s="9" t="s">
        <v>88</v>
      </c>
      <c r="D39" s="86"/>
    </row>
    <row r="40" spans="1:4" ht="12" customHeight="1" x14ac:dyDescent="0.25">
      <c r="A40" s="248"/>
      <c r="B40" s="149" t="s">
        <v>60</v>
      </c>
      <c r="C40" s="9" t="s">
        <v>165</v>
      </c>
      <c r="D40" s="86"/>
    </row>
    <row r="41" spans="1:4" ht="12" customHeight="1" thickBot="1" x14ac:dyDescent="0.3">
      <c r="A41" s="248"/>
      <c r="B41" s="149" t="s">
        <v>71</v>
      </c>
      <c r="C41" s="9" t="s">
        <v>166</v>
      </c>
      <c r="D41" s="86"/>
    </row>
    <row r="42" spans="1:4" ht="12" customHeight="1" thickBot="1" x14ac:dyDescent="0.3">
      <c r="A42" s="206" t="s">
        <v>886</v>
      </c>
      <c r="B42" s="24"/>
      <c r="C42" s="125" t="s">
        <v>857</v>
      </c>
      <c r="D42" s="334">
        <f>SUM(D43:D46)</f>
        <v>0</v>
      </c>
    </row>
    <row r="43" spans="1:4" s="98" customFormat="1" ht="12" customHeight="1" x14ac:dyDescent="0.25">
      <c r="A43" s="247"/>
      <c r="B43" s="165" t="s">
        <v>63</v>
      </c>
      <c r="C43" s="11" t="s">
        <v>279</v>
      </c>
      <c r="D43" s="83"/>
    </row>
    <row r="44" spans="1:4" ht="12" customHeight="1" x14ac:dyDescent="0.25">
      <c r="A44" s="248"/>
      <c r="B44" s="149" t="s">
        <v>64</v>
      </c>
      <c r="C44" s="9" t="s">
        <v>168</v>
      </c>
      <c r="D44" s="86"/>
    </row>
    <row r="45" spans="1:4" ht="12" customHeight="1" x14ac:dyDescent="0.25">
      <c r="A45" s="248"/>
      <c r="B45" s="149" t="s">
        <v>67</v>
      </c>
      <c r="C45" s="9" t="s">
        <v>2</v>
      </c>
      <c r="D45" s="86"/>
    </row>
    <row r="46" spans="1:4" ht="12" customHeight="1" thickBot="1" x14ac:dyDescent="0.3">
      <c r="A46" s="248"/>
      <c r="B46" s="149" t="s">
        <v>78</v>
      </c>
      <c r="C46" s="9" t="s">
        <v>854</v>
      </c>
      <c r="D46" s="86"/>
    </row>
    <row r="47" spans="1:4" ht="12" customHeight="1" thickBot="1" x14ac:dyDescent="0.3">
      <c r="A47" s="206" t="s">
        <v>887</v>
      </c>
      <c r="B47" s="24"/>
      <c r="C47" s="24" t="s">
        <v>855</v>
      </c>
      <c r="D47" s="354"/>
    </row>
    <row r="48" spans="1:4" s="97" customFormat="1" ht="12" customHeight="1" thickBot="1" x14ac:dyDescent="0.3">
      <c r="A48" s="237" t="s">
        <v>888</v>
      </c>
      <c r="B48" s="381"/>
      <c r="C48" s="382" t="s">
        <v>858</v>
      </c>
      <c r="D48" s="374"/>
    </row>
    <row r="49" spans="1:4" ht="15" customHeight="1" thickBot="1" x14ac:dyDescent="0.3">
      <c r="A49" s="206" t="s">
        <v>889</v>
      </c>
      <c r="B49" s="234"/>
      <c r="C49" s="250" t="s">
        <v>856</v>
      </c>
      <c r="D49" s="379">
        <f>+D36+D42+D47+D48</f>
        <v>0</v>
      </c>
    </row>
    <row r="50" spans="1:4" ht="13.8" thickBot="1" x14ac:dyDescent="0.3">
      <c r="D50" s="380"/>
    </row>
    <row r="51" spans="1:4" ht="15" customHeight="1" thickBot="1" x14ac:dyDescent="0.3">
      <c r="A51" s="253" t="s">
        <v>208</v>
      </c>
      <c r="B51" s="254"/>
      <c r="C51" s="255"/>
      <c r="D51" s="123"/>
    </row>
    <row r="52" spans="1:4" ht="14.25" customHeight="1" thickBot="1" x14ac:dyDescent="0.3">
      <c r="A52" s="253" t="s">
        <v>209</v>
      </c>
      <c r="B52" s="254"/>
      <c r="C52" s="255"/>
      <c r="D52" s="123"/>
    </row>
  </sheetData>
  <sheetProtection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400</v>
      </c>
    </row>
    <row r="2" spans="1:4" s="94" customFormat="1" ht="25.5" customHeight="1" x14ac:dyDescent="0.25">
      <c r="A2" s="1394" t="s">
        <v>204</v>
      </c>
      <c r="B2" s="1395"/>
      <c r="C2" s="256" t="s">
        <v>211</v>
      </c>
      <c r="D2" s="260" t="s">
        <v>7</v>
      </c>
    </row>
    <row r="3" spans="1:4" s="94" customFormat="1" ht="16.2" thickBot="1" x14ac:dyDescent="0.3">
      <c r="A3" s="214" t="s">
        <v>203</v>
      </c>
      <c r="B3" s="215"/>
      <c r="C3" s="257" t="s">
        <v>5</v>
      </c>
      <c r="D3" s="261" t="s">
        <v>921</v>
      </c>
    </row>
    <row r="4" spans="1:4" s="95" customFormat="1" ht="15.9" customHeight="1" thickBot="1" x14ac:dyDescent="0.35">
      <c r="A4" s="216"/>
      <c r="B4" s="216"/>
      <c r="C4" s="216"/>
      <c r="D4" s="217" t="s">
        <v>923</v>
      </c>
    </row>
    <row r="5" spans="1:4" ht="13.8" thickBot="1" x14ac:dyDescent="0.3">
      <c r="A5" s="1389" t="s">
        <v>205</v>
      </c>
      <c r="B5" s="1390"/>
      <c r="C5" s="218" t="s">
        <v>924</v>
      </c>
      <c r="D5" s="219" t="s">
        <v>925</v>
      </c>
    </row>
    <row r="6" spans="1:4" s="52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2" customFormat="1" ht="15.9" customHeight="1" thickBot="1" x14ac:dyDescent="0.3">
      <c r="A7" s="220"/>
      <c r="B7" s="221"/>
      <c r="C7" s="221" t="s">
        <v>926</v>
      </c>
      <c r="D7" s="222"/>
    </row>
    <row r="8" spans="1:4" s="96" customFormat="1" ht="12" customHeight="1" thickBot="1" x14ac:dyDescent="0.3">
      <c r="A8" s="198" t="s">
        <v>885</v>
      </c>
      <c r="B8" s="223"/>
      <c r="C8" s="224" t="s">
        <v>210</v>
      </c>
      <c r="D8" s="334">
        <f>SUM(D9:D16)</f>
        <v>0</v>
      </c>
    </row>
    <row r="9" spans="1:4" s="96" customFormat="1" ht="12" customHeight="1" x14ac:dyDescent="0.25">
      <c r="A9" s="227"/>
      <c r="B9" s="226" t="s">
        <v>57</v>
      </c>
      <c r="C9" s="12" t="s">
        <v>133</v>
      </c>
      <c r="D9" s="372"/>
    </row>
    <row r="10" spans="1:4" s="96" customFormat="1" ht="12" customHeight="1" x14ac:dyDescent="0.25">
      <c r="A10" s="225"/>
      <c r="B10" s="226" t="s">
        <v>58</v>
      </c>
      <c r="C10" s="9" t="s">
        <v>134</v>
      </c>
      <c r="D10" s="332"/>
    </row>
    <row r="11" spans="1:4" s="96" customFormat="1" ht="12" customHeight="1" x14ac:dyDescent="0.25">
      <c r="A11" s="225"/>
      <c r="B11" s="226" t="s">
        <v>59</v>
      </c>
      <c r="C11" s="9" t="s">
        <v>135</v>
      </c>
      <c r="D11" s="332"/>
    </row>
    <row r="12" spans="1:4" s="96" customFormat="1" ht="12" customHeight="1" x14ac:dyDescent="0.25">
      <c r="A12" s="225"/>
      <c r="B12" s="226" t="s">
        <v>60</v>
      </c>
      <c r="C12" s="9" t="s">
        <v>136</v>
      </c>
      <c r="D12" s="332"/>
    </row>
    <row r="13" spans="1:4" s="96" customFormat="1" ht="12" customHeight="1" x14ac:dyDescent="0.25">
      <c r="A13" s="225"/>
      <c r="B13" s="226" t="s">
        <v>91</v>
      </c>
      <c r="C13" s="8" t="s">
        <v>137</v>
      </c>
      <c r="D13" s="332"/>
    </row>
    <row r="14" spans="1:4" s="96" customFormat="1" ht="12" customHeight="1" x14ac:dyDescent="0.25">
      <c r="A14" s="228"/>
      <c r="B14" s="226" t="s">
        <v>61</v>
      </c>
      <c r="C14" s="9" t="s">
        <v>138</v>
      </c>
      <c r="D14" s="373"/>
    </row>
    <row r="15" spans="1:4" s="97" customFormat="1" ht="12" customHeight="1" x14ac:dyDescent="0.25">
      <c r="A15" s="225"/>
      <c r="B15" s="226" t="s">
        <v>62</v>
      </c>
      <c r="C15" s="9" t="s">
        <v>845</v>
      </c>
      <c r="D15" s="332"/>
    </row>
    <row r="16" spans="1:4" s="97" customFormat="1" ht="12" customHeight="1" thickBot="1" x14ac:dyDescent="0.3">
      <c r="A16" s="229"/>
      <c r="B16" s="230" t="s">
        <v>72</v>
      </c>
      <c r="C16" s="8" t="s">
        <v>197</v>
      </c>
      <c r="D16" s="333"/>
    </row>
    <row r="17" spans="1:4" s="96" customFormat="1" ht="12" customHeight="1" thickBot="1" x14ac:dyDescent="0.3">
      <c r="A17" s="198" t="s">
        <v>886</v>
      </c>
      <c r="B17" s="223"/>
      <c r="C17" s="224" t="s">
        <v>846</v>
      </c>
      <c r="D17" s="334">
        <f>SUM(D18:D21)</f>
        <v>0</v>
      </c>
    </row>
    <row r="18" spans="1:4" s="97" customFormat="1" ht="12" customHeight="1" x14ac:dyDescent="0.25">
      <c r="A18" s="225"/>
      <c r="B18" s="226" t="s">
        <v>63</v>
      </c>
      <c r="C18" s="11" t="s">
        <v>842</v>
      </c>
      <c r="D18" s="332"/>
    </row>
    <row r="19" spans="1:4" s="97" customFormat="1" ht="12" customHeight="1" x14ac:dyDescent="0.25">
      <c r="A19" s="225"/>
      <c r="B19" s="226" t="s">
        <v>64</v>
      </c>
      <c r="C19" s="9" t="s">
        <v>843</v>
      </c>
      <c r="D19" s="332"/>
    </row>
    <row r="20" spans="1:4" s="97" customFormat="1" ht="12" customHeight="1" x14ac:dyDescent="0.25">
      <c r="A20" s="225"/>
      <c r="B20" s="226" t="s">
        <v>65</v>
      </c>
      <c r="C20" s="9" t="s">
        <v>844</v>
      </c>
      <c r="D20" s="332"/>
    </row>
    <row r="21" spans="1:4" s="97" customFormat="1" ht="12" customHeight="1" thickBot="1" x14ac:dyDescent="0.3">
      <c r="A21" s="225"/>
      <c r="B21" s="226" t="s">
        <v>66</v>
      </c>
      <c r="C21" s="9" t="s">
        <v>843</v>
      </c>
      <c r="D21" s="332"/>
    </row>
    <row r="22" spans="1:4" s="97" customFormat="1" ht="12" customHeight="1" thickBot="1" x14ac:dyDescent="0.3">
      <c r="A22" s="206" t="s">
        <v>887</v>
      </c>
      <c r="B22" s="125"/>
      <c r="C22" s="125" t="s">
        <v>847</v>
      </c>
      <c r="D22" s="334">
        <f>+D23+D24</f>
        <v>0</v>
      </c>
    </row>
    <row r="23" spans="1:4" s="96" customFormat="1" ht="12" customHeight="1" x14ac:dyDescent="0.25">
      <c r="A23" s="368"/>
      <c r="B23" s="388" t="s">
        <v>37</v>
      </c>
      <c r="C23" s="141" t="s">
        <v>247</v>
      </c>
      <c r="D23" s="394"/>
    </row>
    <row r="24" spans="1:4" s="96" customFormat="1" ht="12" customHeight="1" thickBot="1" x14ac:dyDescent="0.3">
      <c r="A24" s="386"/>
      <c r="B24" s="387" t="s">
        <v>38</v>
      </c>
      <c r="C24" s="142" t="s">
        <v>251</v>
      </c>
      <c r="D24" s="395"/>
    </row>
    <row r="25" spans="1:4" s="96" customFormat="1" ht="12" customHeight="1" thickBot="1" x14ac:dyDescent="0.3">
      <c r="A25" s="206" t="s">
        <v>888</v>
      </c>
      <c r="B25" s="223"/>
      <c r="C25" s="125" t="s">
        <v>864</v>
      </c>
      <c r="D25" s="354"/>
    </row>
    <row r="26" spans="1:4" s="97" customFormat="1" ht="12" customHeight="1" thickBot="1" x14ac:dyDescent="0.3">
      <c r="A26" s="198" t="s">
        <v>889</v>
      </c>
      <c r="B26" s="168"/>
      <c r="C26" s="125" t="s">
        <v>860</v>
      </c>
      <c r="D26" s="375"/>
    </row>
    <row r="27" spans="1:4" s="97" customFormat="1" ht="15" customHeight="1" thickBot="1" x14ac:dyDescent="0.3">
      <c r="A27" s="383" t="s">
        <v>890</v>
      </c>
      <c r="B27" s="392"/>
      <c r="C27" s="385" t="s">
        <v>862</v>
      </c>
      <c r="D27" s="396">
        <f>+D28+D29</f>
        <v>0</v>
      </c>
    </row>
    <row r="28" spans="1:4" s="97" customFormat="1" ht="15" customHeight="1" x14ac:dyDescent="0.25">
      <c r="A28" s="227"/>
      <c r="B28" s="166" t="s">
        <v>44</v>
      </c>
      <c r="C28" s="141" t="s">
        <v>354</v>
      </c>
      <c r="D28" s="394"/>
    </row>
    <row r="29" spans="1:4" ht="14.4" thickBot="1" x14ac:dyDescent="0.3">
      <c r="A29" s="393"/>
      <c r="B29" s="167" t="s">
        <v>45</v>
      </c>
      <c r="C29" s="384" t="s">
        <v>850</v>
      </c>
      <c r="D29" s="90"/>
    </row>
    <row r="30" spans="1:4" s="52" customFormat="1" ht="16.5" customHeight="1" thickBot="1" x14ac:dyDescent="0.3">
      <c r="A30" s="237" t="s">
        <v>891</v>
      </c>
      <c r="B30" s="381"/>
      <c r="C30" s="382" t="s">
        <v>863</v>
      </c>
      <c r="D30" s="374"/>
    </row>
    <row r="31" spans="1:4" s="98" customFormat="1" ht="12" customHeight="1" thickBot="1" x14ac:dyDescent="0.3">
      <c r="A31" s="237" t="s">
        <v>892</v>
      </c>
      <c r="B31" s="238"/>
      <c r="C31" s="239" t="s">
        <v>861</v>
      </c>
      <c r="D31" s="378">
        <f>+D26+D27+D30</f>
        <v>0</v>
      </c>
    </row>
    <row r="32" spans="1:4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885</v>
      </c>
      <c r="B35" s="24"/>
      <c r="C35" s="125" t="s">
        <v>840</v>
      </c>
      <c r="D35" s="334">
        <f>SUM(D36:D40)</f>
        <v>0</v>
      </c>
    </row>
    <row r="36" spans="1:4" ht="12" customHeight="1" x14ac:dyDescent="0.25">
      <c r="A36" s="247"/>
      <c r="B36" s="165" t="s">
        <v>57</v>
      </c>
      <c r="C36" s="11" t="s">
        <v>916</v>
      </c>
      <c r="D36" s="83"/>
    </row>
    <row r="37" spans="1:4" ht="12" customHeight="1" x14ac:dyDescent="0.25">
      <c r="A37" s="248"/>
      <c r="B37" s="149" t="s">
        <v>58</v>
      </c>
      <c r="C37" s="9" t="s">
        <v>164</v>
      </c>
      <c r="D37" s="86"/>
    </row>
    <row r="38" spans="1:4" s="98" customFormat="1" ht="12" customHeight="1" x14ac:dyDescent="0.25">
      <c r="A38" s="248"/>
      <c r="B38" s="149" t="s">
        <v>59</v>
      </c>
      <c r="C38" s="9" t="s">
        <v>88</v>
      </c>
      <c r="D38" s="86"/>
    </row>
    <row r="39" spans="1:4" ht="12" customHeight="1" x14ac:dyDescent="0.25">
      <c r="A39" s="248"/>
      <c r="B39" s="149" t="s">
        <v>60</v>
      </c>
      <c r="C39" s="9" t="s">
        <v>165</v>
      </c>
      <c r="D39" s="86"/>
    </row>
    <row r="40" spans="1:4" ht="12" customHeight="1" thickBot="1" x14ac:dyDescent="0.3">
      <c r="A40" s="248"/>
      <c r="B40" s="149" t="s">
        <v>71</v>
      </c>
      <c r="C40" s="9" t="s">
        <v>166</v>
      </c>
      <c r="D40" s="86"/>
    </row>
    <row r="41" spans="1:4" ht="12" customHeight="1" thickBot="1" x14ac:dyDescent="0.3">
      <c r="A41" s="206" t="s">
        <v>886</v>
      </c>
      <c r="B41" s="24"/>
      <c r="C41" s="125" t="s">
        <v>857</v>
      </c>
      <c r="D41" s="334">
        <f>SUM(D42:D45)</f>
        <v>0</v>
      </c>
    </row>
    <row r="42" spans="1:4" ht="12" customHeight="1" x14ac:dyDescent="0.25">
      <c r="A42" s="247"/>
      <c r="B42" s="165" t="s">
        <v>63</v>
      </c>
      <c r="C42" s="11" t="s">
        <v>279</v>
      </c>
      <c r="D42" s="83"/>
    </row>
    <row r="43" spans="1:4" ht="15" customHeight="1" x14ac:dyDescent="0.25">
      <c r="A43" s="248"/>
      <c r="B43" s="149" t="s">
        <v>64</v>
      </c>
      <c r="C43" s="9" t="s">
        <v>168</v>
      </c>
      <c r="D43" s="86"/>
    </row>
    <row r="44" spans="1:4" x14ac:dyDescent="0.25">
      <c r="A44" s="248"/>
      <c r="B44" s="149" t="s">
        <v>67</v>
      </c>
      <c r="C44" s="9" t="s">
        <v>2</v>
      </c>
      <c r="D44" s="86"/>
    </row>
    <row r="45" spans="1:4" ht="15" customHeight="1" thickBot="1" x14ac:dyDescent="0.3">
      <c r="A45" s="248"/>
      <c r="B45" s="149" t="s">
        <v>78</v>
      </c>
      <c r="C45" s="9" t="s">
        <v>854</v>
      </c>
      <c r="D45" s="86"/>
    </row>
    <row r="46" spans="1:4" ht="14.25" customHeight="1" thickBot="1" x14ac:dyDescent="0.3">
      <c r="A46" s="206" t="s">
        <v>887</v>
      </c>
      <c r="B46" s="24"/>
      <c r="C46" s="24" t="s">
        <v>855</v>
      </c>
      <c r="D46" s="354"/>
    </row>
    <row r="47" spans="1:4" ht="13.8" thickBot="1" x14ac:dyDescent="0.3">
      <c r="A47" s="237" t="s">
        <v>888</v>
      </c>
      <c r="B47" s="381"/>
      <c r="C47" s="382" t="s">
        <v>858</v>
      </c>
      <c r="D47" s="374"/>
    </row>
    <row r="48" spans="1:4" ht="13.8" thickBot="1" x14ac:dyDescent="0.3">
      <c r="A48" s="206" t="s">
        <v>889</v>
      </c>
      <c r="B48" s="234"/>
      <c r="C48" s="250" t="s">
        <v>856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208</v>
      </c>
      <c r="B50" s="254"/>
      <c r="C50" s="255"/>
      <c r="D50" s="123"/>
    </row>
    <row r="51" spans="1:4" ht="13.8" thickBot="1" x14ac:dyDescent="0.3">
      <c r="A51" s="253" t="s">
        <v>209</v>
      </c>
      <c r="B51" s="254"/>
      <c r="C51" s="255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399</v>
      </c>
    </row>
    <row r="2" spans="1:4" s="94" customFormat="1" ht="25.5" customHeight="1" x14ac:dyDescent="0.25">
      <c r="A2" s="1394" t="s">
        <v>204</v>
      </c>
      <c r="B2" s="1395"/>
      <c r="C2" s="256" t="s">
        <v>211</v>
      </c>
      <c r="D2" s="260" t="s">
        <v>7</v>
      </c>
    </row>
    <row r="3" spans="1:4" s="94" customFormat="1" ht="16.2" thickBot="1" x14ac:dyDescent="0.3">
      <c r="A3" s="214" t="s">
        <v>203</v>
      </c>
      <c r="B3" s="215"/>
      <c r="C3" s="257" t="s">
        <v>6</v>
      </c>
      <c r="D3" s="261" t="s">
        <v>7</v>
      </c>
    </row>
    <row r="4" spans="1:4" s="95" customFormat="1" ht="15.9" customHeight="1" thickBot="1" x14ac:dyDescent="0.35">
      <c r="A4" s="216"/>
      <c r="B4" s="216"/>
      <c r="C4" s="216"/>
      <c r="D4" s="217" t="s">
        <v>923</v>
      </c>
    </row>
    <row r="5" spans="1:4" ht="13.8" thickBot="1" x14ac:dyDescent="0.3">
      <c r="A5" s="1389" t="s">
        <v>205</v>
      </c>
      <c r="B5" s="1390"/>
      <c r="C5" s="218" t="s">
        <v>924</v>
      </c>
      <c r="D5" s="219" t="s">
        <v>925</v>
      </c>
    </row>
    <row r="6" spans="1:4" s="52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2" customFormat="1" ht="15.9" customHeight="1" thickBot="1" x14ac:dyDescent="0.3">
      <c r="A7" s="220"/>
      <c r="B7" s="221"/>
      <c r="C7" s="221" t="s">
        <v>926</v>
      </c>
      <c r="D7" s="222"/>
    </row>
    <row r="8" spans="1:4" s="96" customFormat="1" ht="12" customHeight="1" thickBot="1" x14ac:dyDescent="0.3">
      <c r="A8" s="198" t="s">
        <v>885</v>
      </c>
      <c r="B8" s="223"/>
      <c r="C8" s="224" t="s">
        <v>210</v>
      </c>
      <c r="D8" s="334">
        <f>SUM(D9:D16)</f>
        <v>0</v>
      </c>
    </row>
    <row r="9" spans="1:4" s="96" customFormat="1" ht="12" customHeight="1" x14ac:dyDescent="0.25">
      <c r="A9" s="227"/>
      <c r="B9" s="226" t="s">
        <v>57</v>
      </c>
      <c r="C9" s="12" t="s">
        <v>133</v>
      </c>
      <c r="D9" s="372"/>
    </row>
    <row r="10" spans="1:4" s="96" customFormat="1" ht="12" customHeight="1" x14ac:dyDescent="0.25">
      <c r="A10" s="225"/>
      <c r="B10" s="226" t="s">
        <v>58</v>
      </c>
      <c r="C10" s="9" t="s">
        <v>134</v>
      </c>
      <c r="D10" s="332"/>
    </row>
    <row r="11" spans="1:4" s="96" customFormat="1" ht="12" customHeight="1" x14ac:dyDescent="0.25">
      <c r="A11" s="225"/>
      <c r="B11" s="226" t="s">
        <v>59</v>
      </c>
      <c r="C11" s="9" t="s">
        <v>135</v>
      </c>
      <c r="D11" s="332"/>
    </row>
    <row r="12" spans="1:4" s="96" customFormat="1" ht="12" customHeight="1" x14ac:dyDescent="0.25">
      <c r="A12" s="225"/>
      <c r="B12" s="226" t="s">
        <v>60</v>
      </c>
      <c r="C12" s="9" t="s">
        <v>136</v>
      </c>
      <c r="D12" s="332"/>
    </row>
    <row r="13" spans="1:4" s="96" customFormat="1" ht="12" customHeight="1" x14ac:dyDescent="0.25">
      <c r="A13" s="225"/>
      <c r="B13" s="226" t="s">
        <v>91</v>
      </c>
      <c r="C13" s="8" t="s">
        <v>137</v>
      </c>
      <c r="D13" s="332"/>
    </row>
    <row r="14" spans="1:4" s="96" customFormat="1" ht="12" customHeight="1" x14ac:dyDescent="0.25">
      <c r="A14" s="228"/>
      <c r="B14" s="226" t="s">
        <v>61</v>
      </c>
      <c r="C14" s="9" t="s">
        <v>138</v>
      </c>
      <c r="D14" s="373"/>
    </row>
    <row r="15" spans="1:4" s="97" customFormat="1" ht="12" customHeight="1" x14ac:dyDescent="0.25">
      <c r="A15" s="225"/>
      <c r="B15" s="226" t="s">
        <v>62</v>
      </c>
      <c r="C15" s="9" t="s">
        <v>845</v>
      </c>
      <c r="D15" s="332"/>
    </row>
    <row r="16" spans="1:4" s="97" customFormat="1" ht="12" customHeight="1" thickBot="1" x14ac:dyDescent="0.3">
      <c r="A16" s="229"/>
      <c r="B16" s="230" t="s">
        <v>72</v>
      </c>
      <c r="C16" s="8" t="s">
        <v>197</v>
      </c>
      <c r="D16" s="333"/>
    </row>
    <row r="17" spans="1:4" s="96" customFormat="1" ht="12" customHeight="1" thickBot="1" x14ac:dyDescent="0.3">
      <c r="A17" s="198" t="s">
        <v>886</v>
      </c>
      <c r="B17" s="223"/>
      <c r="C17" s="224" t="s">
        <v>846</v>
      </c>
      <c r="D17" s="334">
        <f>SUM(D18:D21)</f>
        <v>0</v>
      </c>
    </row>
    <row r="18" spans="1:4" s="97" customFormat="1" ht="12" customHeight="1" x14ac:dyDescent="0.25">
      <c r="A18" s="225"/>
      <c r="B18" s="226" t="s">
        <v>63</v>
      </c>
      <c r="C18" s="11" t="s">
        <v>842</v>
      </c>
      <c r="D18" s="332"/>
    </row>
    <row r="19" spans="1:4" s="97" customFormat="1" ht="12" customHeight="1" x14ac:dyDescent="0.25">
      <c r="A19" s="225"/>
      <c r="B19" s="226" t="s">
        <v>64</v>
      </c>
      <c r="C19" s="9" t="s">
        <v>843</v>
      </c>
      <c r="D19" s="332"/>
    </row>
    <row r="20" spans="1:4" s="97" customFormat="1" ht="12" customHeight="1" x14ac:dyDescent="0.25">
      <c r="A20" s="225"/>
      <c r="B20" s="226" t="s">
        <v>65</v>
      </c>
      <c r="C20" s="9" t="s">
        <v>844</v>
      </c>
      <c r="D20" s="332"/>
    </row>
    <row r="21" spans="1:4" s="97" customFormat="1" ht="12" customHeight="1" thickBot="1" x14ac:dyDescent="0.3">
      <c r="A21" s="225"/>
      <c r="B21" s="226" t="s">
        <v>66</v>
      </c>
      <c r="C21" s="9" t="s">
        <v>843</v>
      </c>
      <c r="D21" s="332"/>
    </row>
    <row r="22" spans="1:4" s="97" customFormat="1" ht="12" customHeight="1" thickBot="1" x14ac:dyDescent="0.3">
      <c r="A22" s="206" t="s">
        <v>887</v>
      </c>
      <c r="B22" s="125"/>
      <c r="C22" s="125" t="s">
        <v>847</v>
      </c>
      <c r="D22" s="334">
        <f>+D23+D24</f>
        <v>0</v>
      </c>
    </row>
    <row r="23" spans="1:4" s="96" customFormat="1" ht="12" customHeight="1" x14ac:dyDescent="0.25">
      <c r="A23" s="368"/>
      <c r="B23" s="388" t="s">
        <v>37</v>
      </c>
      <c r="C23" s="141" t="s">
        <v>247</v>
      </c>
      <c r="D23" s="394"/>
    </row>
    <row r="24" spans="1:4" s="96" customFormat="1" ht="12" customHeight="1" thickBot="1" x14ac:dyDescent="0.3">
      <c r="A24" s="386"/>
      <c r="B24" s="387" t="s">
        <v>38</v>
      </c>
      <c r="C24" s="142" t="s">
        <v>251</v>
      </c>
      <c r="D24" s="395"/>
    </row>
    <row r="25" spans="1:4" s="96" customFormat="1" ht="12" customHeight="1" thickBot="1" x14ac:dyDescent="0.3">
      <c r="A25" s="206" t="s">
        <v>888</v>
      </c>
      <c r="B25" s="223"/>
      <c r="C25" s="125" t="s">
        <v>864</v>
      </c>
      <c r="D25" s="354"/>
    </row>
    <row r="26" spans="1:4" s="96" customFormat="1" ht="12" customHeight="1" thickBot="1" x14ac:dyDescent="0.3">
      <c r="A26" s="198" t="s">
        <v>889</v>
      </c>
      <c r="B26" s="168"/>
      <c r="C26" s="125" t="s">
        <v>860</v>
      </c>
      <c r="D26" s="375"/>
    </row>
    <row r="27" spans="1:4" s="97" customFormat="1" ht="12" customHeight="1" thickBot="1" x14ac:dyDescent="0.3">
      <c r="A27" s="383" t="s">
        <v>890</v>
      </c>
      <c r="B27" s="392"/>
      <c r="C27" s="385" t="s">
        <v>862</v>
      </c>
      <c r="D27" s="396">
        <f>+D28+D29</f>
        <v>0</v>
      </c>
    </row>
    <row r="28" spans="1:4" s="97" customFormat="1" ht="15" customHeight="1" x14ac:dyDescent="0.25">
      <c r="A28" s="227"/>
      <c r="B28" s="166" t="s">
        <v>44</v>
      </c>
      <c r="C28" s="141" t="s">
        <v>354</v>
      </c>
      <c r="D28" s="394"/>
    </row>
    <row r="29" spans="1:4" s="97" customFormat="1" ht="15" customHeight="1" thickBot="1" x14ac:dyDescent="0.3">
      <c r="A29" s="393"/>
      <c r="B29" s="167" t="s">
        <v>45</v>
      </c>
      <c r="C29" s="384" t="s">
        <v>850</v>
      </c>
      <c r="D29" s="90"/>
    </row>
    <row r="30" spans="1:4" ht="13.8" thickBot="1" x14ac:dyDescent="0.3">
      <c r="A30" s="237" t="s">
        <v>891</v>
      </c>
      <c r="B30" s="381"/>
      <c r="C30" s="382" t="s">
        <v>863</v>
      </c>
      <c r="D30" s="374"/>
    </row>
    <row r="31" spans="1:4" s="52" customFormat="1" ht="16.5" customHeight="1" thickBot="1" x14ac:dyDescent="0.3">
      <c r="A31" s="237" t="s">
        <v>892</v>
      </c>
      <c r="B31" s="238"/>
      <c r="C31" s="239" t="s">
        <v>861</v>
      </c>
      <c r="D31" s="378">
        <f>+D26+D27+D30</f>
        <v>0</v>
      </c>
    </row>
    <row r="32" spans="1:4" s="98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885</v>
      </c>
      <c r="B35" s="24"/>
      <c r="C35" s="125" t="s">
        <v>840</v>
      </c>
      <c r="D35" s="334">
        <f>SUM(D36:D40)</f>
        <v>0</v>
      </c>
    </row>
    <row r="36" spans="1:4" ht="12" customHeight="1" x14ac:dyDescent="0.25">
      <c r="A36" s="247"/>
      <c r="B36" s="165" t="s">
        <v>57</v>
      </c>
      <c r="C36" s="11" t="s">
        <v>916</v>
      </c>
      <c r="D36" s="83"/>
    </row>
    <row r="37" spans="1:4" ht="12" customHeight="1" x14ac:dyDescent="0.25">
      <c r="A37" s="248"/>
      <c r="B37" s="149" t="s">
        <v>58</v>
      </c>
      <c r="C37" s="9" t="s">
        <v>164</v>
      </c>
      <c r="D37" s="86"/>
    </row>
    <row r="38" spans="1:4" ht="12" customHeight="1" x14ac:dyDescent="0.25">
      <c r="A38" s="248"/>
      <c r="B38" s="149" t="s">
        <v>59</v>
      </c>
      <c r="C38" s="9" t="s">
        <v>88</v>
      </c>
      <c r="D38" s="86"/>
    </row>
    <row r="39" spans="1:4" s="98" customFormat="1" ht="12" customHeight="1" x14ac:dyDescent="0.25">
      <c r="A39" s="248"/>
      <c r="B39" s="149" t="s">
        <v>60</v>
      </c>
      <c r="C39" s="9" t="s">
        <v>165</v>
      </c>
      <c r="D39" s="86"/>
    </row>
    <row r="40" spans="1:4" ht="12" customHeight="1" thickBot="1" x14ac:dyDescent="0.3">
      <c r="A40" s="248"/>
      <c r="B40" s="149" t="s">
        <v>71</v>
      </c>
      <c r="C40" s="9" t="s">
        <v>166</v>
      </c>
      <c r="D40" s="86"/>
    </row>
    <row r="41" spans="1:4" ht="12" customHeight="1" thickBot="1" x14ac:dyDescent="0.3">
      <c r="A41" s="206" t="s">
        <v>886</v>
      </c>
      <c r="B41" s="24"/>
      <c r="C41" s="125" t="s">
        <v>857</v>
      </c>
      <c r="D41" s="334">
        <f>SUM(D42:D45)</f>
        <v>0</v>
      </c>
    </row>
    <row r="42" spans="1:4" ht="12" customHeight="1" x14ac:dyDescent="0.25">
      <c r="A42" s="247"/>
      <c r="B42" s="165" t="s">
        <v>63</v>
      </c>
      <c r="C42" s="11" t="s">
        <v>279</v>
      </c>
      <c r="D42" s="83"/>
    </row>
    <row r="43" spans="1:4" ht="12" customHeight="1" x14ac:dyDescent="0.25">
      <c r="A43" s="248"/>
      <c r="B43" s="149" t="s">
        <v>64</v>
      </c>
      <c r="C43" s="9" t="s">
        <v>168</v>
      </c>
      <c r="D43" s="86"/>
    </row>
    <row r="44" spans="1:4" ht="15" customHeight="1" x14ac:dyDescent="0.25">
      <c r="A44" s="248"/>
      <c r="B44" s="149" t="s">
        <v>67</v>
      </c>
      <c r="C44" s="9" t="s">
        <v>2</v>
      </c>
      <c r="D44" s="86"/>
    </row>
    <row r="45" spans="1:4" ht="13.8" thickBot="1" x14ac:dyDescent="0.3">
      <c r="A45" s="248"/>
      <c r="B45" s="149" t="s">
        <v>78</v>
      </c>
      <c r="C45" s="9" t="s">
        <v>854</v>
      </c>
      <c r="D45" s="86"/>
    </row>
    <row r="46" spans="1:4" ht="15" customHeight="1" thickBot="1" x14ac:dyDescent="0.3">
      <c r="A46" s="206" t="s">
        <v>887</v>
      </c>
      <c r="B46" s="24"/>
      <c r="C46" s="24" t="s">
        <v>855</v>
      </c>
      <c r="D46" s="354"/>
    </row>
    <row r="47" spans="1:4" ht="14.25" customHeight="1" thickBot="1" x14ac:dyDescent="0.3">
      <c r="A47" s="237" t="s">
        <v>888</v>
      </c>
      <c r="B47" s="381"/>
      <c r="C47" s="382" t="s">
        <v>858</v>
      </c>
      <c r="D47" s="374"/>
    </row>
    <row r="48" spans="1:4" ht="13.8" thickBot="1" x14ac:dyDescent="0.3">
      <c r="A48" s="206" t="s">
        <v>889</v>
      </c>
      <c r="B48" s="234"/>
      <c r="C48" s="250" t="s">
        <v>856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208</v>
      </c>
      <c r="B50" s="254"/>
      <c r="C50" s="255"/>
      <c r="D50" s="123"/>
    </row>
    <row r="51" spans="1:4" ht="13.8" thickBot="1" x14ac:dyDescent="0.3">
      <c r="A51" s="253" t="s">
        <v>209</v>
      </c>
      <c r="B51" s="254"/>
      <c r="C51" s="255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96</v>
      </c>
    </row>
    <row r="4" spans="1:2" x14ac:dyDescent="0.25">
      <c r="A4" s="136"/>
      <c r="B4" s="136"/>
    </row>
    <row r="5" spans="1:2" s="148" customFormat="1" ht="15.6" x14ac:dyDescent="0.3">
      <c r="A5" s="93" t="s">
        <v>395</v>
      </c>
      <c r="B5" s="147"/>
    </row>
    <row r="6" spans="1:2" x14ac:dyDescent="0.25">
      <c r="A6" s="136"/>
      <c r="B6" s="136"/>
    </row>
    <row r="7" spans="1:2" x14ac:dyDescent="0.25">
      <c r="A7" s="136" t="s">
        <v>194</v>
      </c>
      <c r="B7" s="136" t="s">
        <v>402</v>
      </c>
    </row>
    <row r="8" spans="1:2" x14ac:dyDescent="0.25">
      <c r="A8" s="136" t="s">
        <v>97</v>
      </c>
      <c r="B8" s="136" t="s">
        <v>403</v>
      </c>
    </row>
    <row r="9" spans="1:2" x14ac:dyDescent="0.25">
      <c r="A9" s="136" t="s">
        <v>393</v>
      </c>
      <c r="B9" s="136" t="s">
        <v>404</v>
      </c>
    </row>
    <row r="10" spans="1:2" x14ac:dyDescent="0.25">
      <c r="A10" s="136"/>
      <c r="B10" s="136"/>
    </row>
    <row r="11" spans="1:2" x14ac:dyDescent="0.25">
      <c r="A11" s="136"/>
      <c r="B11" s="136"/>
    </row>
    <row r="12" spans="1:2" s="148" customFormat="1" ht="15.6" x14ac:dyDescent="0.3">
      <c r="A12" s="93" t="s">
        <v>396</v>
      </c>
      <c r="B12" s="147"/>
    </row>
    <row r="13" spans="1:2" x14ac:dyDescent="0.25">
      <c r="A13" s="136"/>
      <c r="B13" s="136"/>
    </row>
    <row r="14" spans="1:2" x14ac:dyDescent="0.25">
      <c r="A14" s="136" t="s">
        <v>121</v>
      </c>
      <c r="B14" s="136" t="s">
        <v>405</v>
      </c>
    </row>
    <row r="15" spans="1:2" x14ac:dyDescent="0.25">
      <c r="A15" s="136" t="s">
        <v>98</v>
      </c>
      <c r="B15" s="136" t="s">
        <v>406</v>
      </c>
    </row>
    <row r="16" spans="1:2" x14ac:dyDescent="0.25">
      <c r="A16" s="136" t="s">
        <v>394</v>
      </c>
      <c r="B16" s="136" t="s">
        <v>407</v>
      </c>
    </row>
  </sheetData>
  <sheetProtection sheet="1"/>
  <phoneticPr fontId="33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398</v>
      </c>
    </row>
    <row r="2" spans="1:4" s="94" customFormat="1" ht="25.5" customHeight="1" x14ac:dyDescent="0.25">
      <c r="A2" s="1394" t="s">
        <v>204</v>
      </c>
      <c r="B2" s="1395"/>
      <c r="C2" s="256" t="s">
        <v>211</v>
      </c>
      <c r="D2" s="260" t="s">
        <v>7</v>
      </c>
    </row>
    <row r="3" spans="1:4" s="94" customFormat="1" ht="16.2" thickBot="1" x14ac:dyDescent="0.3">
      <c r="A3" s="214" t="s">
        <v>203</v>
      </c>
      <c r="B3" s="215"/>
      <c r="C3" s="257" t="s">
        <v>9</v>
      </c>
      <c r="D3" s="261" t="s">
        <v>8</v>
      </c>
    </row>
    <row r="4" spans="1:4" s="95" customFormat="1" ht="15.9" customHeight="1" thickBot="1" x14ac:dyDescent="0.35">
      <c r="A4" s="216"/>
      <c r="B4" s="216"/>
      <c r="C4" s="216"/>
      <c r="D4" s="217" t="s">
        <v>923</v>
      </c>
    </row>
    <row r="5" spans="1:4" ht="13.8" thickBot="1" x14ac:dyDescent="0.3">
      <c r="A5" s="1389" t="s">
        <v>205</v>
      </c>
      <c r="B5" s="1390"/>
      <c r="C5" s="218" t="s">
        <v>924</v>
      </c>
      <c r="D5" s="219" t="s">
        <v>925</v>
      </c>
    </row>
    <row r="6" spans="1:4" s="52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2" customFormat="1" ht="15.9" customHeight="1" thickBot="1" x14ac:dyDescent="0.3">
      <c r="A7" s="220"/>
      <c r="B7" s="221"/>
      <c r="C7" s="221" t="s">
        <v>926</v>
      </c>
      <c r="D7" s="222"/>
    </row>
    <row r="8" spans="1:4" s="96" customFormat="1" ht="12" customHeight="1" thickBot="1" x14ac:dyDescent="0.3">
      <c r="A8" s="198" t="s">
        <v>885</v>
      </c>
      <c r="B8" s="223"/>
      <c r="C8" s="224" t="s">
        <v>210</v>
      </c>
      <c r="D8" s="334">
        <f>SUM(D9:D16)</f>
        <v>0</v>
      </c>
    </row>
    <row r="9" spans="1:4" s="96" customFormat="1" ht="12" customHeight="1" x14ac:dyDescent="0.25">
      <c r="A9" s="227"/>
      <c r="B9" s="226" t="s">
        <v>57</v>
      </c>
      <c r="C9" s="12" t="s">
        <v>133</v>
      </c>
      <c r="D9" s="372"/>
    </row>
    <row r="10" spans="1:4" s="96" customFormat="1" ht="12" customHeight="1" x14ac:dyDescent="0.25">
      <c r="A10" s="225"/>
      <c r="B10" s="226" t="s">
        <v>58</v>
      </c>
      <c r="C10" s="9" t="s">
        <v>134</v>
      </c>
      <c r="D10" s="332"/>
    </row>
    <row r="11" spans="1:4" s="96" customFormat="1" ht="12" customHeight="1" x14ac:dyDescent="0.25">
      <c r="A11" s="225"/>
      <c r="B11" s="226" t="s">
        <v>59</v>
      </c>
      <c r="C11" s="9" t="s">
        <v>135</v>
      </c>
      <c r="D11" s="332"/>
    </row>
    <row r="12" spans="1:4" s="96" customFormat="1" ht="12" customHeight="1" x14ac:dyDescent="0.25">
      <c r="A12" s="225"/>
      <c r="B12" s="226" t="s">
        <v>60</v>
      </c>
      <c r="C12" s="9" t="s">
        <v>136</v>
      </c>
      <c r="D12" s="332"/>
    </row>
    <row r="13" spans="1:4" s="96" customFormat="1" ht="12" customHeight="1" x14ac:dyDescent="0.25">
      <c r="A13" s="225"/>
      <c r="B13" s="226" t="s">
        <v>91</v>
      </c>
      <c r="C13" s="8" t="s">
        <v>137</v>
      </c>
      <c r="D13" s="332"/>
    </row>
    <row r="14" spans="1:4" s="96" customFormat="1" ht="12" customHeight="1" x14ac:dyDescent="0.25">
      <c r="A14" s="228"/>
      <c r="B14" s="226" t="s">
        <v>61</v>
      </c>
      <c r="C14" s="9" t="s">
        <v>138</v>
      </c>
      <c r="D14" s="373"/>
    </row>
    <row r="15" spans="1:4" s="97" customFormat="1" ht="12" customHeight="1" x14ac:dyDescent="0.25">
      <c r="A15" s="225"/>
      <c r="B15" s="226" t="s">
        <v>62</v>
      </c>
      <c r="C15" s="9" t="s">
        <v>845</v>
      </c>
      <c r="D15" s="332"/>
    </row>
    <row r="16" spans="1:4" s="97" customFormat="1" ht="12" customHeight="1" thickBot="1" x14ac:dyDescent="0.3">
      <c r="A16" s="229"/>
      <c r="B16" s="230" t="s">
        <v>72</v>
      </c>
      <c r="C16" s="8" t="s">
        <v>197</v>
      </c>
      <c r="D16" s="333"/>
    </row>
    <row r="17" spans="1:4" s="96" customFormat="1" ht="12" customHeight="1" thickBot="1" x14ac:dyDescent="0.3">
      <c r="A17" s="198" t="s">
        <v>886</v>
      </c>
      <c r="B17" s="223"/>
      <c r="C17" s="224" t="s">
        <v>846</v>
      </c>
      <c r="D17" s="334">
        <f>SUM(D18:D21)</f>
        <v>0</v>
      </c>
    </row>
    <row r="18" spans="1:4" s="97" customFormat="1" ht="12" customHeight="1" x14ac:dyDescent="0.25">
      <c r="A18" s="225"/>
      <c r="B18" s="226" t="s">
        <v>63</v>
      </c>
      <c r="C18" s="11" t="s">
        <v>842</v>
      </c>
      <c r="D18" s="332"/>
    </row>
    <row r="19" spans="1:4" s="97" customFormat="1" ht="12" customHeight="1" x14ac:dyDescent="0.25">
      <c r="A19" s="225"/>
      <c r="B19" s="226" t="s">
        <v>64</v>
      </c>
      <c r="C19" s="9" t="s">
        <v>843</v>
      </c>
      <c r="D19" s="332"/>
    </row>
    <row r="20" spans="1:4" s="97" customFormat="1" ht="12" customHeight="1" x14ac:dyDescent="0.25">
      <c r="A20" s="225"/>
      <c r="B20" s="226" t="s">
        <v>65</v>
      </c>
      <c r="C20" s="9" t="s">
        <v>844</v>
      </c>
      <c r="D20" s="332"/>
    </row>
    <row r="21" spans="1:4" s="97" customFormat="1" ht="12" customHeight="1" thickBot="1" x14ac:dyDescent="0.3">
      <c r="A21" s="225"/>
      <c r="B21" s="226" t="s">
        <v>66</v>
      </c>
      <c r="C21" s="9" t="s">
        <v>843</v>
      </c>
      <c r="D21" s="332"/>
    </row>
    <row r="22" spans="1:4" s="97" customFormat="1" ht="12" customHeight="1" thickBot="1" x14ac:dyDescent="0.3">
      <c r="A22" s="206" t="s">
        <v>887</v>
      </c>
      <c r="B22" s="125"/>
      <c r="C22" s="125" t="s">
        <v>847</v>
      </c>
      <c r="D22" s="334">
        <f>+D23+D24</f>
        <v>0</v>
      </c>
    </row>
    <row r="23" spans="1:4" s="96" customFormat="1" ht="12" customHeight="1" x14ac:dyDescent="0.25">
      <c r="A23" s="368"/>
      <c r="B23" s="388" t="s">
        <v>37</v>
      </c>
      <c r="C23" s="141" t="s">
        <v>247</v>
      </c>
      <c r="D23" s="394"/>
    </row>
    <row r="24" spans="1:4" s="96" customFormat="1" ht="12" customHeight="1" thickBot="1" x14ac:dyDescent="0.3">
      <c r="A24" s="386"/>
      <c r="B24" s="387" t="s">
        <v>38</v>
      </c>
      <c r="C24" s="142" t="s">
        <v>251</v>
      </c>
      <c r="D24" s="395"/>
    </row>
    <row r="25" spans="1:4" s="96" customFormat="1" ht="12" customHeight="1" thickBot="1" x14ac:dyDescent="0.3">
      <c r="A25" s="206" t="s">
        <v>888</v>
      </c>
      <c r="B25" s="223"/>
      <c r="C25" s="125" t="s">
        <v>864</v>
      </c>
      <c r="D25" s="354"/>
    </row>
    <row r="26" spans="1:4" s="96" customFormat="1" ht="12" customHeight="1" thickBot="1" x14ac:dyDescent="0.3">
      <c r="A26" s="198" t="s">
        <v>889</v>
      </c>
      <c r="B26" s="168"/>
      <c r="C26" s="125" t="s">
        <v>860</v>
      </c>
      <c r="D26" s="375"/>
    </row>
    <row r="27" spans="1:4" s="97" customFormat="1" ht="12" customHeight="1" thickBot="1" x14ac:dyDescent="0.3">
      <c r="A27" s="383" t="s">
        <v>890</v>
      </c>
      <c r="B27" s="392"/>
      <c r="C27" s="385" t="s">
        <v>862</v>
      </c>
      <c r="D27" s="396">
        <f>+D28+D29</f>
        <v>0</v>
      </c>
    </row>
    <row r="28" spans="1:4" s="97" customFormat="1" ht="15" customHeight="1" x14ac:dyDescent="0.25">
      <c r="A28" s="227"/>
      <c r="B28" s="166" t="s">
        <v>44</v>
      </c>
      <c r="C28" s="141" t="s">
        <v>354</v>
      </c>
      <c r="D28" s="394"/>
    </row>
    <row r="29" spans="1:4" s="97" customFormat="1" ht="15" customHeight="1" thickBot="1" x14ac:dyDescent="0.3">
      <c r="A29" s="393"/>
      <c r="B29" s="167" t="s">
        <v>45</v>
      </c>
      <c r="C29" s="384" t="s">
        <v>850</v>
      </c>
      <c r="D29" s="90"/>
    </row>
    <row r="30" spans="1:4" ht="13.8" thickBot="1" x14ac:dyDescent="0.3">
      <c r="A30" s="237" t="s">
        <v>891</v>
      </c>
      <c r="B30" s="381"/>
      <c r="C30" s="382" t="s">
        <v>863</v>
      </c>
      <c r="D30" s="374"/>
    </row>
    <row r="31" spans="1:4" s="52" customFormat="1" ht="16.5" customHeight="1" thickBot="1" x14ac:dyDescent="0.3">
      <c r="A31" s="237" t="s">
        <v>892</v>
      </c>
      <c r="B31" s="238"/>
      <c r="C31" s="239" t="s">
        <v>861</v>
      </c>
      <c r="D31" s="378">
        <f>+D26+D27+D30</f>
        <v>0</v>
      </c>
    </row>
    <row r="32" spans="1:4" s="98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885</v>
      </c>
      <c r="B35" s="24"/>
      <c r="C35" s="125" t="s">
        <v>840</v>
      </c>
      <c r="D35" s="334">
        <f>SUM(D36:D40)</f>
        <v>0</v>
      </c>
    </row>
    <row r="36" spans="1:4" ht="12" customHeight="1" x14ac:dyDescent="0.25">
      <c r="A36" s="247"/>
      <c r="B36" s="165" t="s">
        <v>57</v>
      </c>
      <c r="C36" s="11" t="s">
        <v>916</v>
      </c>
      <c r="D36" s="83"/>
    </row>
    <row r="37" spans="1:4" ht="12" customHeight="1" x14ac:dyDescent="0.25">
      <c r="A37" s="248"/>
      <c r="B37" s="149" t="s">
        <v>58</v>
      </c>
      <c r="C37" s="9" t="s">
        <v>164</v>
      </c>
      <c r="D37" s="86"/>
    </row>
    <row r="38" spans="1:4" ht="12" customHeight="1" x14ac:dyDescent="0.25">
      <c r="A38" s="248"/>
      <c r="B38" s="149" t="s">
        <v>59</v>
      </c>
      <c r="C38" s="9" t="s">
        <v>88</v>
      </c>
      <c r="D38" s="86"/>
    </row>
    <row r="39" spans="1:4" s="98" customFormat="1" ht="12" customHeight="1" x14ac:dyDescent="0.25">
      <c r="A39" s="248"/>
      <c r="B39" s="149" t="s">
        <v>60</v>
      </c>
      <c r="C39" s="9" t="s">
        <v>165</v>
      </c>
      <c r="D39" s="86"/>
    </row>
    <row r="40" spans="1:4" ht="12" customHeight="1" thickBot="1" x14ac:dyDescent="0.3">
      <c r="A40" s="248"/>
      <c r="B40" s="149" t="s">
        <v>71</v>
      </c>
      <c r="C40" s="9" t="s">
        <v>166</v>
      </c>
      <c r="D40" s="86"/>
    </row>
    <row r="41" spans="1:4" ht="12" customHeight="1" thickBot="1" x14ac:dyDescent="0.3">
      <c r="A41" s="206" t="s">
        <v>886</v>
      </c>
      <c r="B41" s="24"/>
      <c r="C41" s="125" t="s">
        <v>857</v>
      </c>
      <c r="D41" s="334">
        <f>SUM(D42:D45)</f>
        <v>0</v>
      </c>
    </row>
    <row r="42" spans="1:4" ht="12" customHeight="1" x14ac:dyDescent="0.25">
      <c r="A42" s="247"/>
      <c r="B42" s="165" t="s">
        <v>63</v>
      </c>
      <c r="C42" s="11" t="s">
        <v>279</v>
      </c>
      <c r="D42" s="83"/>
    </row>
    <row r="43" spans="1:4" ht="12" customHeight="1" x14ac:dyDescent="0.25">
      <c r="A43" s="248"/>
      <c r="B43" s="149" t="s">
        <v>64</v>
      </c>
      <c r="C43" s="9" t="s">
        <v>168</v>
      </c>
      <c r="D43" s="86"/>
    </row>
    <row r="44" spans="1:4" ht="15" customHeight="1" x14ac:dyDescent="0.25">
      <c r="A44" s="248"/>
      <c r="B44" s="149" t="s">
        <v>67</v>
      </c>
      <c r="C44" s="9" t="s">
        <v>2</v>
      </c>
      <c r="D44" s="86"/>
    </row>
    <row r="45" spans="1:4" ht="13.8" thickBot="1" x14ac:dyDescent="0.3">
      <c r="A45" s="248"/>
      <c r="B45" s="149" t="s">
        <v>78</v>
      </c>
      <c r="C45" s="9" t="s">
        <v>854</v>
      </c>
      <c r="D45" s="86"/>
    </row>
    <row r="46" spans="1:4" ht="15" customHeight="1" thickBot="1" x14ac:dyDescent="0.3">
      <c r="A46" s="206" t="s">
        <v>887</v>
      </c>
      <c r="B46" s="24"/>
      <c r="C46" s="24" t="s">
        <v>855</v>
      </c>
      <c r="D46" s="354"/>
    </row>
    <row r="47" spans="1:4" ht="14.25" customHeight="1" thickBot="1" x14ac:dyDescent="0.3">
      <c r="A47" s="237" t="s">
        <v>888</v>
      </c>
      <c r="B47" s="381"/>
      <c r="C47" s="382" t="s">
        <v>858</v>
      </c>
      <c r="D47" s="374"/>
    </row>
    <row r="48" spans="1:4" ht="13.8" thickBot="1" x14ac:dyDescent="0.3">
      <c r="A48" s="206" t="s">
        <v>889</v>
      </c>
      <c r="B48" s="234"/>
      <c r="C48" s="250" t="s">
        <v>856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208</v>
      </c>
      <c r="B50" s="254"/>
      <c r="C50" s="255"/>
      <c r="D50" s="123"/>
    </row>
    <row r="51" spans="1:4" ht="13.8" thickBot="1" x14ac:dyDescent="0.3">
      <c r="A51" s="253" t="s">
        <v>209</v>
      </c>
      <c r="B51" s="254"/>
      <c r="C51" s="255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3.2" x14ac:dyDescent="0.25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3">
      <c r="A1" s="211"/>
      <c r="B1" s="212"/>
      <c r="C1" s="259"/>
      <c r="D1" s="258" t="s">
        <v>859</v>
      </c>
    </row>
    <row r="2" spans="1:4" s="94" customFormat="1" ht="25.5" customHeight="1" x14ac:dyDescent="0.25">
      <c r="A2" s="1394" t="s">
        <v>204</v>
      </c>
      <c r="B2" s="1395"/>
      <c r="C2" s="256" t="s">
        <v>211</v>
      </c>
      <c r="D2" s="260" t="s">
        <v>7</v>
      </c>
    </row>
    <row r="3" spans="1:4" s="94" customFormat="1" ht="16.2" thickBot="1" x14ac:dyDescent="0.3">
      <c r="A3" s="214" t="s">
        <v>203</v>
      </c>
      <c r="B3" s="215"/>
      <c r="C3" s="257" t="s">
        <v>212</v>
      </c>
      <c r="D3" s="261" t="s">
        <v>10</v>
      </c>
    </row>
    <row r="4" spans="1:4" s="95" customFormat="1" ht="15.9" customHeight="1" thickBot="1" x14ac:dyDescent="0.35">
      <c r="A4" s="216"/>
      <c r="B4" s="216"/>
      <c r="C4" s="216"/>
      <c r="D4" s="217" t="s">
        <v>923</v>
      </c>
    </row>
    <row r="5" spans="1:4" ht="13.8" thickBot="1" x14ac:dyDescent="0.3">
      <c r="A5" s="1389" t="s">
        <v>205</v>
      </c>
      <c r="B5" s="1390"/>
      <c r="C5" s="218" t="s">
        <v>924</v>
      </c>
      <c r="D5" s="219" t="s">
        <v>925</v>
      </c>
    </row>
    <row r="6" spans="1:4" s="52" customFormat="1" ht="12.9" customHeight="1" thickBot="1" x14ac:dyDescent="0.3">
      <c r="A6" s="198">
        <v>1</v>
      </c>
      <c r="B6" s="199">
        <v>2</v>
      </c>
      <c r="C6" s="199">
        <v>3</v>
      </c>
      <c r="D6" s="200">
        <v>4</v>
      </c>
    </row>
    <row r="7" spans="1:4" s="52" customFormat="1" ht="15.9" customHeight="1" thickBot="1" x14ac:dyDescent="0.3">
      <c r="A7" s="220"/>
      <c r="B7" s="221"/>
      <c r="C7" s="221" t="s">
        <v>926</v>
      </c>
      <c r="D7" s="222"/>
    </row>
    <row r="8" spans="1:4" s="96" customFormat="1" ht="12" customHeight="1" thickBot="1" x14ac:dyDescent="0.3">
      <c r="A8" s="198" t="s">
        <v>885</v>
      </c>
      <c r="B8" s="223"/>
      <c r="C8" s="224" t="s">
        <v>210</v>
      </c>
      <c r="D8" s="334">
        <f>SUM(D9:D16)</f>
        <v>0</v>
      </c>
    </row>
    <row r="9" spans="1:4" s="96" customFormat="1" ht="12" customHeight="1" x14ac:dyDescent="0.25">
      <c r="A9" s="227"/>
      <c r="B9" s="226" t="s">
        <v>57</v>
      </c>
      <c r="C9" s="12" t="s">
        <v>133</v>
      </c>
      <c r="D9" s="372"/>
    </row>
    <row r="10" spans="1:4" s="96" customFormat="1" ht="12" customHeight="1" x14ac:dyDescent="0.25">
      <c r="A10" s="225"/>
      <c r="B10" s="226" t="s">
        <v>58</v>
      </c>
      <c r="C10" s="9" t="s">
        <v>134</v>
      </c>
      <c r="D10" s="332"/>
    </row>
    <row r="11" spans="1:4" s="96" customFormat="1" ht="12" customHeight="1" x14ac:dyDescent="0.25">
      <c r="A11" s="225"/>
      <c r="B11" s="226" t="s">
        <v>59</v>
      </c>
      <c r="C11" s="9" t="s">
        <v>135</v>
      </c>
      <c r="D11" s="332"/>
    </row>
    <row r="12" spans="1:4" s="96" customFormat="1" ht="12" customHeight="1" x14ac:dyDescent="0.25">
      <c r="A12" s="225"/>
      <c r="B12" s="226" t="s">
        <v>60</v>
      </c>
      <c r="C12" s="9" t="s">
        <v>136</v>
      </c>
      <c r="D12" s="332"/>
    </row>
    <row r="13" spans="1:4" s="96" customFormat="1" ht="12" customHeight="1" x14ac:dyDescent="0.25">
      <c r="A13" s="225"/>
      <c r="B13" s="226" t="s">
        <v>91</v>
      </c>
      <c r="C13" s="8" t="s">
        <v>137</v>
      </c>
      <c r="D13" s="332"/>
    </row>
    <row r="14" spans="1:4" s="96" customFormat="1" ht="12" customHeight="1" x14ac:dyDescent="0.25">
      <c r="A14" s="228"/>
      <c r="B14" s="226" t="s">
        <v>61</v>
      </c>
      <c r="C14" s="9" t="s">
        <v>138</v>
      </c>
      <c r="D14" s="373"/>
    </row>
    <row r="15" spans="1:4" s="97" customFormat="1" ht="12" customHeight="1" x14ac:dyDescent="0.25">
      <c r="A15" s="225"/>
      <c r="B15" s="226" t="s">
        <v>62</v>
      </c>
      <c r="C15" s="9" t="s">
        <v>845</v>
      </c>
      <c r="D15" s="332"/>
    </row>
    <row r="16" spans="1:4" s="97" customFormat="1" ht="12" customHeight="1" thickBot="1" x14ac:dyDescent="0.3">
      <c r="A16" s="229"/>
      <c r="B16" s="230" t="s">
        <v>72</v>
      </c>
      <c r="C16" s="8" t="s">
        <v>197</v>
      </c>
      <c r="D16" s="333"/>
    </row>
    <row r="17" spans="1:4" s="96" customFormat="1" ht="12" customHeight="1" thickBot="1" x14ac:dyDescent="0.3">
      <c r="A17" s="198" t="s">
        <v>886</v>
      </c>
      <c r="B17" s="223"/>
      <c r="C17" s="224" t="s">
        <v>846</v>
      </c>
      <c r="D17" s="334">
        <f>SUM(D18:D21)</f>
        <v>0</v>
      </c>
    </row>
    <row r="18" spans="1:4" s="97" customFormat="1" ht="12" customHeight="1" x14ac:dyDescent="0.25">
      <c r="A18" s="225"/>
      <c r="B18" s="226" t="s">
        <v>63</v>
      </c>
      <c r="C18" s="11" t="s">
        <v>842</v>
      </c>
      <c r="D18" s="332"/>
    </row>
    <row r="19" spans="1:4" s="97" customFormat="1" ht="12" customHeight="1" x14ac:dyDescent="0.25">
      <c r="A19" s="225"/>
      <c r="B19" s="226" t="s">
        <v>64</v>
      </c>
      <c r="C19" s="9" t="s">
        <v>843</v>
      </c>
      <c r="D19" s="332"/>
    </row>
    <row r="20" spans="1:4" s="97" customFormat="1" ht="12" customHeight="1" x14ac:dyDescent="0.25">
      <c r="A20" s="225"/>
      <c r="B20" s="226" t="s">
        <v>65</v>
      </c>
      <c r="C20" s="9" t="s">
        <v>844</v>
      </c>
      <c r="D20" s="332"/>
    </row>
    <row r="21" spans="1:4" s="97" customFormat="1" ht="12" customHeight="1" thickBot="1" x14ac:dyDescent="0.3">
      <c r="A21" s="225"/>
      <c r="B21" s="226" t="s">
        <v>66</v>
      </c>
      <c r="C21" s="9" t="s">
        <v>843</v>
      </c>
      <c r="D21" s="332"/>
    </row>
    <row r="22" spans="1:4" s="97" customFormat="1" ht="12" customHeight="1" thickBot="1" x14ac:dyDescent="0.3">
      <c r="A22" s="206" t="s">
        <v>887</v>
      </c>
      <c r="B22" s="125"/>
      <c r="C22" s="125" t="s">
        <v>847</v>
      </c>
      <c r="D22" s="334">
        <f>+D23+D24</f>
        <v>0</v>
      </c>
    </row>
    <row r="23" spans="1:4" s="96" customFormat="1" ht="12" customHeight="1" x14ac:dyDescent="0.25">
      <c r="A23" s="368"/>
      <c r="B23" s="388" t="s">
        <v>37</v>
      </c>
      <c r="C23" s="141" t="s">
        <v>247</v>
      </c>
      <c r="D23" s="394"/>
    </row>
    <row r="24" spans="1:4" s="96" customFormat="1" ht="12" customHeight="1" thickBot="1" x14ac:dyDescent="0.3">
      <c r="A24" s="386"/>
      <c r="B24" s="387" t="s">
        <v>38</v>
      </c>
      <c r="C24" s="142" t="s">
        <v>251</v>
      </c>
      <c r="D24" s="395"/>
    </row>
    <row r="25" spans="1:4" s="96" customFormat="1" ht="12" customHeight="1" thickBot="1" x14ac:dyDescent="0.3">
      <c r="A25" s="206" t="s">
        <v>888</v>
      </c>
      <c r="B25" s="223"/>
      <c r="C25" s="125" t="s">
        <v>864</v>
      </c>
      <c r="D25" s="354"/>
    </row>
    <row r="26" spans="1:4" s="96" customFormat="1" ht="12" customHeight="1" thickBot="1" x14ac:dyDescent="0.3">
      <c r="A26" s="198" t="s">
        <v>889</v>
      </c>
      <c r="B26" s="168"/>
      <c r="C26" s="125" t="s">
        <v>860</v>
      </c>
      <c r="D26" s="375"/>
    </row>
    <row r="27" spans="1:4" s="97" customFormat="1" ht="12" customHeight="1" thickBot="1" x14ac:dyDescent="0.3">
      <c r="A27" s="383" t="s">
        <v>890</v>
      </c>
      <c r="B27" s="392"/>
      <c r="C27" s="385" t="s">
        <v>862</v>
      </c>
      <c r="D27" s="396">
        <f>+D28+D29</f>
        <v>0</v>
      </c>
    </row>
    <row r="28" spans="1:4" s="97" customFormat="1" ht="15" customHeight="1" x14ac:dyDescent="0.25">
      <c r="A28" s="227"/>
      <c r="B28" s="166" t="s">
        <v>44</v>
      </c>
      <c r="C28" s="141" t="s">
        <v>354</v>
      </c>
      <c r="D28" s="394"/>
    </row>
    <row r="29" spans="1:4" s="97" customFormat="1" ht="15" customHeight="1" thickBot="1" x14ac:dyDescent="0.3">
      <c r="A29" s="393"/>
      <c r="B29" s="167" t="s">
        <v>45</v>
      </c>
      <c r="C29" s="384" t="s">
        <v>850</v>
      </c>
      <c r="D29" s="90"/>
    </row>
    <row r="30" spans="1:4" ht="13.8" thickBot="1" x14ac:dyDescent="0.3">
      <c r="A30" s="237" t="s">
        <v>891</v>
      </c>
      <c r="B30" s="381"/>
      <c r="C30" s="382" t="s">
        <v>863</v>
      </c>
      <c r="D30" s="374"/>
    </row>
    <row r="31" spans="1:4" s="52" customFormat="1" ht="16.5" customHeight="1" thickBot="1" x14ac:dyDescent="0.3">
      <c r="A31" s="237" t="s">
        <v>892</v>
      </c>
      <c r="B31" s="238"/>
      <c r="C31" s="239" t="s">
        <v>861</v>
      </c>
      <c r="D31" s="378">
        <f>+D26+D27+D30</f>
        <v>0</v>
      </c>
    </row>
    <row r="32" spans="1:4" s="98" customFormat="1" ht="12" customHeight="1" x14ac:dyDescent="0.25">
      <c r="A32" s="240"/>
      <c r="B32" s="240"/>
      <c r="C32" s="241"/>
      <c r="D32" s="376"/>
    </row>
    <row r="33" spans="1:4" ht="12" customHeight="1" thickBot="1" x14ac:dyDescent="0.3">
      <c r="A33" s="242"/>
      <c r="B33" s="243"/>
      <c r="C33" s="243"/>
      <c r="D33" s="377"/>
    </row>
    <row r="34" spans="1:4" ht="12" customHeight="1" thickBot="1" x14ac:dyDescent="0.3">
      <c r="A34" s="244"/>
      <c r="B34" s="245"/>
      <c r="C34" s="246" t="s">
        <v>1</v>
      </c>
      <c r="D34" s="378"/>
    </row>
    <row r="35" spans="1:4" ht="12" customHeight="1" thickBot="1" x14ac:dyDescent="0.3">
      <c r="A35" s="206" t="s">
        <v>885</v>
      </c>
      <c r="B35" s="24"/>
      <c r="C35" s="125" t="s">
        <v>840</v>
      </c>
      <c r="D35" s="334">
        <f>SUM(D36:D40)</f>
        <v>0</v>
      </c>
    </row>
    <row r="36" spans="1:4" ht="12" customHeight="1" x14ac:dyDescent="0.25">
      <c r="A36" s="247"/>
      <c r="B36" s="165" t="s">
        <v>57</v>
      </c>
      <c r="C36" s="11" t="s">
        <v>916</v>
      </c>
      <c r="D36" s="83"/>
    </row>
    <row r="37" spans="1:4" ht="12" customHeight="1" x14ac:dyDescent="0.25">
      <c r="A37" s="248"/>
      <c r="B37" s="149" t="s">
        <v>58</v>
      </c>
      <c r="C37" s="9" t="s">
        <v>164</v>
      </c>
      <c r="D37" s="86"/>
    </row>
    <row r="38" spans="1:4" ht="12" customHeight="1" x14ac:dyDescent="0.25">
      <c r="A38" s="248"/>
      <c r="B38" s="149" t="s">
        <v>59</v>
      </c>
      <c r="C38" s="9" t="s">
        <v>88</v>
      </c>
      <c r="D38" s="86"/>
    </row>
    <row r="39" spans="1:4" s="98" customFormat="1" ht="12" customHeight="1" x14ac:dyDescent="0.25">
      <c r="A39" s="248"/>
      <c r="B39" s="149" t="s">
        <v>60</v>
      </c>
      <c r="C39" s="9" t="s">
        <v>165</v>
      </c>
      <c r="D39" s="86"/>
    </row>
    <row r="40" spans="1:4" ht="12" customHeight="1" thickBot="1" x14ac:dyDescent="0.3">
      <c r="A40" s="248"/>
      <c r="B40" s="149" t="s">
        <v>71</v>
      </c>
      <c r="C40" s="9" t="s">
        <v>166</v>
      </c>
      <c r="D40" s="86"/>
    </row>
    <row r="41" spans="1:4" ht="12" customHeight="1" thickBot="1" x14ac:dyDescent="0.3">
      <c r="A41" s="206" t="s">
        <v>886</v>
      </c>
      <c r="B41" s="24"/>
      <c r="C41" s="125" t="s">
        <v>857</v>
      </c>
      <c r="D41" s="334">
        <f>SUM(D42:D45)</f>
        <v>0</v>
      </c>
    </row>
    <row r="42" spans="1:4" ht="12" customHeight="1" x14ac:dyDescent="0.25">
      <c r="A42" s="247"/>
      <c r="B42" s="165" t="s">
        <v>63</v>
      </c>
      <c r="C42" s="11" t="s">
        <v>279</v>
      </c>
      <c r="D42" s="83"/>
    </row>
    <row r="43" spans="1:4" ht="12" customHeight="1" x14ac:dyDescent="0.25">
      <c r="A43" s="248"/>
      <c r="B43" s="149" t="s">
        <v>64</v>
      </c>
      <c r="C43" s="9" t="s">
        <v>168</v>
      </c>
      <c r="D43" s="86"/>
    </row>
    <row r="44" spans="1:4" ht="15" customHeight="1" x14ac:dyDescent="0.25">
      <c r="A44" s="248"/>
      <c r="B44" s="149" t="s">
        <v>67</v>
      </c>
      <c r="C44" s="9" t="s">
        <v>2</v>
      </c>
      <c r="D44" s="86"/>
    </row>
    <row r="45" spans="1:4" ht="13.8" thickBot="1" x14ac:dyDescent="0.3">
      <c r="A45" s="248"/>
      <c r="B45" s="149" t="s">
        <v>78</v>
      </c>
      <c r="C45" s="9" t="s">
        <v>854</v>
      </c>
      <c r="D45" s="86"/>
    </row>
    <row r="46" spans="1:4" ht="15" customHeight="1" thickBot="1" x14ac:dyDescent="0.3">
      <c r="A46" s="206" t="s">
        <v>887</v>
      </c>
      <c r="B46" s="24"/>
      <c r="C46" s="24" t="s">
        <v>855</v>
      </c>
      <c r="D46" s="354"/>
    </row>
    <row r="47" spans="1:4" ht="14.25" customHeight="1" thickBot="1" x14ac:dyDescent="0.3">
      <c r="A47" s="237" t="s">
        <v>888</v>
      </c>
      <c r="B47" s="381"/>
      <c r="C47" s="382" t="s">
        <v>858</v>
      </c>
      <c r="D47" s="374"/>
    </row>
    <row r="48" spans="1:4" ht="13.8" thickBot="1" x14ac:dyDescent="0.3">
      <c r="A48" s="206" t="s">
        <v>889</v>
      </c>
      <c r="B48" s="234"/>
      <c r="C48" s="250" t="s">
        <v>856</v>
      </c>
      <c r="D48" s="379">
        <f>+D35+D41+D46+D47</f>
        <v>0</v>
      </c>
    </row>
    <row r="49" spans="1:4" ht="13.8" thickBot="1" x14ac:dyDescent="0.3">
      <c r="A49" s="251"/>
      <c r="B49" s="252"/>
      <c r="C49" s="252"/>
      <c r="D49" s="380"/>
    </row>
    <row r="50" spans="1:4" ht="13.8" thickBot="1" x14ac:dyDescent="0.3">
      <c r="A50" s="253" t="s">
        <v>208</v>
      </c>
      <c r="B50" s="254"/>
      <c r="C50" s="255"/>
      <c r="D50" s="123"/>
    </row>
    <row r="51" spans="1:4" ht="13.8" thickBot="1" x14ac:dyDescent="0.3">
      <c r="A51" s="253" t="s">
        <v>209</v>
      </c>
      <c r="B51" s="254"/>
      <c r="C51" s="255"/>
      <c r="D51" s="123"/>
    </row>
  </sheetData>
  <sheetProtection sheet="1" formatCells="0"/>
  <mergeCells count="2">
    <mergeCell ref="A2:B2"/>
    <mergeCell ref="A5:B5"/>
  </mergeCells>
  <phoneticPr fontId="33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3"/>
  <sheetViews>
    <sheetView view="pageLayout" zoomScaleNormal="100" zoomScaleSheetLayoutView="100" workbookViewId="0">
      <selection activeCell="F45" sqref="F45"/>
    </sheetView>
  </sheetViews>
  <sheetFormatPr defaultColWidth="9.33203125" defaultRowHeight="13.2" x14ac:dyDescent="0.25"/>
  <cols>
    <col min="1" max="1" width="4.77734375" style="3" customWidth="1"/>
    <col min="2" max="2" width="9.6640625" style="4" customWidth="1"/>
    <col min="3" max="3" width="71.77734375" style="4" customWidth="1"/>
    <col min="4" max="4" width="14.77734375" style="4" customWidth="1"/>
    <col min="5" max="5" width="14.77734375" style="1104" customWidth="1"/>
    <col min="6" max="7" width="14.77734375" style="4" customWidth="1"/>
    <col min="8" max="16384" width="9.33203125" style="4"/>
  </cols>
  <sheetData>
    <row r="1" spans="1:7" s="2" customFormat="1" ht="21" customHeight="1" thickBot="1" x14ac:dyDescent="0.3">
      <c r="A1" s="211"/>
      <c r="B1" s="212"/>
      <c r="C1" s="259"/>
    </row>
    <row r="2" spans="1:7" s="94" customFormat="1" ht="35.25" customHeight="1" thickBot="1" x14ac:dyDescent="0.3">
      <c r="A2" s="1396" t="s">
        <v>204</v>
      </c>
      <c r="B2" s="1396"/>
      <c r="C2" s="809" t="s">
        <v>672</v>
      </c>
      <c r="D2" s="1391"/>
      <c r="E2" s="1392"/>
      <c r="F2" s="1392"/>
      <c r="G2" s="1393"/>
    </row>
    <row r="3" spans="1:7" s="95" customFormat="1" ht="15.9" customHeight="1" thickBot="1" x14ac:dyDescent="0.35">
      <c r="A3" s="216"/>
      <c r="B3" s="216"/>
      <c r="C3" s="216"/>
      <c r="G3" s="217" t="s">
        <v>923</v>
      </c>
    </row>
    <row r="4" spans="1:7" ht="40.200000000000003" thickBot="1" x14ac:dyDescent="0.3">
      <c r="A4" s="1389" t="s">
        <v>205</v>
      </c>
      <c r="B4" s="1390"/>
      <c r="C4" s="539" t="s">
        <v>924</v>
      </c>
      <c r="D4" s="804" t="s">
        <v>1170</v>
      </c>
      <c r="E4" s="1185" t="s">
        <v>1171</v>
      </c>
      <c r="F4" s="1185" t="s">
        <v>1218</v>
      </c>
      <c r="G4" s="1185" t="s">
        <v>1219</v>
      </c>
    </row>
    <row r="5" spans="1:7" s="52" customFormat="1" ht="12.9" customHeight="1" thickBot="1" x14ac:dyDescent="0.3">
      <c r="A5" s="198">
        <v>1</v>
      </c>
      <c r="B5" s="199">
        <v>2</v>
      </c>
      <c r="C5" s="540">
        <v>3</v>
      </c>
      <c r="D5" s="540">
        <v>4</v>
      </c>
      <c r="E5" s="540">
        <v>5</v>
      </c>
      <c r="F5" s="199">
        <v>6</v>
      </c>
      <c r="G5" s="200">
        <v>7</v>
      </c>
    </row>
    <row r="6" spans="1:7" s="52" customFormat="1" ht="15.9" customHeight="1" thickBot="1" x14ac:dyDescent="0.3">
      <c r="A6" s="220"/>
      <c r="B6" s="221"/>
      <c r="C6" s="221" t="s">
        <v>926</v>
      </c>
      <c r="D6" s="810"/>
      <c r="E6" s="1201"/>
      <c r="F6" s="1203"/>
      <c r="G6" s="1044"/>
    </row>
    <row r="7" spans="1:7" s="96" customFormat="1" ht="12" customHeight="1" thickBot="1" x14ac:dyDescent="0.3">
      <c r="A7" s="198" t="s">
        <v>885</v>
      </c>
      <c r="B7" s="223"/>
      <c r="C7" s="550" t="s">
        <v>210</v>
      </c>
      <c r="D7" s="660">
        <f>SUM(D8:D15)</f>
        <v>100</v>
      </c>
      <c r="E7" s="807">
        <f>SUM(E8:E16)</f>
        <v>112</v>
      </c>
      <c r="F7" s="807">
        <f>SUM(F8:F16)</f>
        <v>112</v>
      </c>
      <c r="G7" s="1208">
        <f>F7/E7</f>
        <v>1</v>
      </c>
    </row>
    <row r="8" spans="1:7" s="96" customFormat="1" ht="12" customHeight="1" x14ac:dyDescent="0.25">
      <c r="A8" s="227"/>
      <c r="B8" s="226" t="s">
        <v>57</v>
      </c>
      <c r="C8" s="551" t="s">
        <v>1040</v>
      </c>
      <c r="D8" s="665"/>
      <c r="E8" s="665">
        <v>3</v>
      </c>
      <c r="F8" s="1199">
        <v>3</v>
      </c>
      <c r="G8" s="1209">
        <f t="shared" ref="G8:G32" si="0">F8/E8</f>
        <v>1</v>
      </c>
    </row>
    <row r="9" spans="1:7" s="96" customFormat="1" ht="12" customHeight="1" x14ac:dyDescent="0.25">
      <c r="A9" s="225"/>
      <c r="B9" s="226" t="s">
        <v>58</v>
      </c>
      <c r="C9" s="552" t="s">
        <v>134</v>
      </c>
      <c r="D9" s="664">
        <v>100</v>
      </c>
      <c r="E9" s="664">
        <v>100</v>
      </c>
      <c r="F9" s="1120">
        <v>100</v>
      </c>
      <c r="G9" s="1210">
        <f t="shared" si="0"/>
        <v>1</v>
      </c>
    </row>
    <row r="10" spans="1:7" s="96" customFormat="1" ht="12" customHeight="1" x14ac:dyDescent="0.25">
      <c r="A10" s="225"/>
      <c r="B10" s="226" t="s">
        <v>59</v>
      </c>
      <c r="C10" s="552" t="s">
        <v>135</v>
      </c>
      <c r="D10" s="664"/>
      <c r="E10" s="664"/>
      <c r="F10" s="1120"/>
      <c r="G10" s="1210"/>
    </row>
    <row r="11" spans="1:7" s="96" customFormat="1" ht="12" customHeight="1" x14ac:dyDescent="0.25">
      <c r="A11" s="225"/>
      <c r="B11" s="226" t="s">
        <v>60</v>
      </c>
      <c r="C11" s="552" t="s">
        <v>136</v>
      </c>
      <c r="D11" s="664"/>
      <c r="E11" s="664"/>
      <c r="F11" s="1120"/>
      <c r="G11" s="1210"/>
    </row>
    <row r="12" spans="1:7" s="96" customFormat="1" ht="12" customHeight="1" x14ac:dyDescent="0.25">
      <c r="A12" s="225"/>
      <c r="B12" s="226" t="s">
        <v>91</v>
      </c>
      <c r="C12" s="553" t="s">
        <v>137</v>
      </c>
      <c r="D12" s="664"/>
      <c r="E12" s="664"/>
      <c r="F12" s="1120"/>
      <c r="G12" s="1210"/>
    </row>
    <row r="13" spans="1:7" s="96" customFormat="1" ht="12" customHeight="1" x14ac:dyDescent="0.25">
      <c r="A13" s="228"/>
      <c r="B13" s="226" t="s">
        <v>61</v>
      </c>
      <c r="C13" s="552" t="s">
        <v>138</v>
      </c>
      <c r="D13" s="666"/>
      <c r="E13" s="666"/>
      <c r="F13" s="1193"/>
      <c r="G13" s="1211"/>
    </row>
    <row r="14" spans="1:7" s="97" customFormat="1" ht="12" customHeight="1" x14ac:dyDescent="0.25">
      <c r="A14" s="225"/>
      <c r="B14" s="226" t="s">
        <v>62</v>
      </c>
      <c r="C14" s="552" t="s">
        <v>845</v>
      </c>
      <c r="D14" s="664"/>
      <c r="E14" s="664"/>
      <c r="F14" s="1120"/>
      <c r="G14" s="1210"/>
    </row>
    <row r="15" spans="1:7" s="97" customFormat="1" ht="12" customHeight="1" x14ac:dyDescent="0.25">
      <c r="A15" s="225"/>
      <c r="B15" s="226" t="s">
        <v>72</v>
      </c>
      <c r="C15" s="9" t="s">
        <v>197</v>
      </c>
      <c r="D15" s="1120"/>
      <c r="E15" s="664"/>
      <c r="F15" s="1120"/>
      <c r="G15" s="1210"/>
    </row>
    <row r="16" spans="1:7" s="97" customFormat="1" ht="12" customHeight="1" thickBot="1" x14ac:dyDescent="0.3">
      <c r="A16" s="232"/>
      <c r="B16" s="1121" t="s">
        <v>73</v>
      </c>
      <c r="C16" s="1122" t="s">
        <v>1207</v>
      </c>
      <c r="D16" s="1123"/>
      <c r="E16" s="1048">
        <f>6+3</f>
        <v>9</v>
      </c>
      <c r="F16" s="1123">
        <v>9</v>
      </c>
      <c r="G16" s="1212">
        <f t="shared" si="0"/>
        <v>1</v>
      </c>
    </row>
    <row r="17" spans="1:7" s="96" customFormat="1" ht="12" customHeight="1" thickBot="1" x14ac:dyDescent="0.3">
      <c r="A17" s="198" t="s">
        <v>886</v>
      </c>
      <c r="B17" s="223"/>
      <c r="C17" s="550" t="s">
        <v>846</v>
      </c>
      <c r="D17" s="660"/>
      <c r="E17" s="807">
        <f>E18</f>
        <v>963</v>
      </c>
      <c r="F17" s="807">
        <f>F18</f>
        <v>963</v>
      </c>
      <c r="G17" s="1208">
        <f t="shared" si="0"/>
        <v>1</v>
      </c>
    </row>
    <row r="18" spans="1:7" s="97" customFormat="1" ht="12" customHeight="1" x14ac:dyDescent="0.25">
      <c r="A18" s="225"/>
      <c r="B18" s="226" t="s">
        <v>63</v>
      </c>
      <c r="C18" s="554" t="s">
        <v>842</v>
      </c>
      <c r="D18" s="664"/>
      <c r="E18" s="664">
        <f>950+13</f>
        <v>963</v>
      </c>
      <c r="F18" s="1120">
        <v>963</v>
      </c>
      <c r="G18" s="1210">
        <f t="shared" si="0"/>
        <v>1</v>
      </c>
    </row>
    <row r="19" spans="1:7" s="97" customFormat="1" ht="12" customHeight="1" x14ac:dyDescent="0.25">
      <c r="A19" s="225"/>
      <c r="B19" s="226" t="s">
        <v>64</v>
      </c>
      <c r="C19" s="552" t="s">
        <v>843</v>
      </c>
      <c r="D19" s="664"/>
      <c r="E19" s="664"/>
      <c r="F19" s="1120"/>
      <c r="G19" s="1210"/>
    </row>
    <row r="20" spans="1:7" s="97" customFormat="1" ht="12" customHeight="1" x14ac:dyDescent="0.25">
      <c r="A20" s="225"/>
      <c r="B20" s="226" t="s">
        <v>65</v>
      </c>
      <c r="C20" s="552" t="s">
        <v>844</v>
      </c>
      <c r="D20" s="664"/>
      <c r="E20" s="664"/>
      <c r="F20" s="1120"/>
      <c r="G20" s="1210"/>
    </row>
    <row r="21" spans="1:7" s="97" customFormat="1" ht="12" customHeight="1" thickBot="1" x14ac:dyDescent="0.3">
      <c r="A21" s="225"/>
      <c r="B21" s="226" t="s">
        <v>66</v>
      </c>
      <c r="C21" s="552" t="s">
        <v>843</v>
      </c>
      <c r="D21" s="664"/>
      <c r="E21" s="664"/>
      <c r="F21" s="1120"/>
      <c r="G21" s="1210"/>
    </row>
    <row r="22" spans="1:7" s="97" customFormat="1" ht="12" customHeight="1" thickBot="1" x14ac:dyDescent="0.3">
      <c r="A22" s="206" t="s">
        <v>887</v>
      </c>
      <c r="B22" s="125"/>
      <c r="C22" s="555" t="s">
        <v>847</v>
      </c>
      <c r="D22" s="660"/>
      <c r="E22" s="807"/>
      <c r="F22" s="1192"/>
      <c r="G22" s="1213"/>
    </row>
    <row r="23" spans="1:7" s="96" customFormat="1" ht="12" customHeight="1" x14ac:dyDescent="0.25">
      <c r="A23" s="368"/>
      <c r="B23" s="388" t="s">
        <v>37</v>
      </c>
      <c r="C23" s="556" t="s">
        <v>247</v>
      </c>
      <c r="D23" s="805"/>
      <c r="E23" s="665"/>
      <c r="F23" s="1199"/>
      <c r="G23" s="1209"/>
    </row>
    <row r="24" spans="1:7" s="96" customFormat="1" ht="12" customHeight="1" thickBot="1" x14ac:dyDescent="0.3">
      <c r="A24" s="386"/>
      <c r="B24" s="387" t="s">
        <v>38</v>
      </c>
      <c r="C24" s="557" t="s">
        <v>251</v>
      </c>
      <c r="D24" s="806"/>
      <c r="E24" s="1202"/>
      <c r="F24" s="1204"/>
      <c r="G24" s="1214"/>
    </row>
    <row r="25" spans="1:7" s="96" customFormat="1" ht="12" customHeight="1" thickBot="1" x14ac:dyDescent="0.3">
      <c r="A25" s="206" t="s">
        <v>888</v>
      </c>
      <c r="B25" s="223"/>
      <c r="C25" s="555" t="s">
        <v>864</v>
      </c>
      <c r="D25" s="662">
        <f>D50-D7</f>
        <v>73913</v>
      </c>
      <c r="E25" s="1186">
        <f>D25+362</f>
        <v>74275</v>
      </c>
      <c r="F25" s="1194">
        <v>67205</v>
      </c>
      <c r="G25" s="1215">
        <f t="shared" si="0"/>
        <v>0.9048131942107035</v>
      </c>
    </row>
    <row r="26" spans="1:7" s="96" customFormat="1" ht="12" customHeight="1" thickBot="1" x14ac:dyDescent="0.3">
      <c r="A26" s="198" t="s">
        <v>889</v>
      </c>
      <c r="B26" s="168"/>
      <c r="C26" s="555" t="s">
        <v>860</v>
      </c>
      <c r="D26" s="660">
        <f>D7+D17+D22+D25</f>
        <v>74013</v>
      </c>
      <c r="E26" s="807">
        <f>E7+E17+E22+E25</f>
        <v>75350</v>
      </c>
      <c r="F26" s="807">
        <f>F7+F17+F22+F25</f>
        <v>68280</v>
      </c>
      <c r="G26" s="1208">
        <f t="shared" si="0"/>
        <v>0.90617120106171201</v>
      </c>
    </row>
    <row r="27" spans="1:7" s="97" customFormat="1" ht="12" customHeight="1" thickBot="1" x14ac:dyDescent="0.3">
      <c r="A27" s="383" t="s">
        <v>890</v>
      </c>
      <c r="B27" s="808"/>
      <c r="C27" s="558" t="s">
        <v>862</v>
      </c>
      <c r="D27" s="1043"/>
      <c r="E27" s="1047">
        <f>E28</f>
        <v>8765</v>
      </c>
      <c r="F27" s="1191">
        <v>8765</v>
      </c>
      <c r="G27" s="1218">
        <f t="shared" si="0"/>
        <v>1</v>
      </c>
    </row>
    <row r="28" spans="1:7" s="97" customFormat="1" ht="15" customHeight="1" x14ac:dyDescent="0.25">
      <c r="A28" s="227"/>
      <c r="B28" s="166" t="s">
        <v>44</v>
      </c>
      <c r="C28" s="556" t="s">
        <v>354</v>
      </c>
      <c r="D28" s="805"/>
      <c r="E28" s="665">
        <v>8765</v>
      </c>
      <c r="F28" s="1199">
        <v>8765</v>
      </c>
      <c r="G28" s="1209">
        <f t="shared" si="0"/>
        <v>1</v>
      </c>
    </row>
    <row r="29" spans="1:7" s="97" customFormat="1" ht="15" customHeight="1" x14ac:dyDescent="0.25">
      <c r="A29" s="548"/>
      <c r="B29" s="169" t="s">
        <v>45</v>
      </c>
      <c r="C29" s="559" t="s">
        <v>850</v>
      </c>
      <c r="D29" s="659"/>
      <c r="E29" s="667"/>
      <c r="F29" s="1195"/>
      <c r="G29" s="1219"/>
    </row>
    <row r="30" spans="1:7" s="97" customFormat="1" ht="15" customHeight="1" thickBot="1" x14ac:dyDescent="0.3">
      <c r="A30" s="393"/>
      <c r="B30" s="549" t="s">
        <v>932</v>
      </c>
      <c r="C30" s="560" t="s">
        <v>934</v>
      </c>
      <c r="D30" s="670"/>
      <c r="E30" s="1048"/>
      <c r="F30" s="1123"/>
      <c r="G30" s="1212"/>
    </row>
    <row r="31" spans="1:7" ht="13.8" thickBot="1" x14ac:dyDescent="0.3">
      <c r="A31" s="237" t="s">
        <v>891</v>
      </c>
      <c r="B31" s="381"/>
      <c r="C31" s="561" t="s">
        <v>863</v>
      </c>
      <c r="D31" s="662"/>
      <c r="E31" s="1186"/>
      <c r="F31" s="1194"/>
      <c r="G31" s="1215"/>
    </row>
    <row r="32" spans="1:7" s="52" customFormat="1" ht="16.5" customHeight="1" thickBot="1" x14ac:dyDescent="0.3">
      <c r="A32" s="237" t="s">
        <v>892</v>
      </c>
      <c r="B32" s="238"/>
      <c r="C32" s="562" t="s">
        <v>861</v>
      </c>
      <c r="D32" s="807">
        <f t="shared" ref="D32:F32" si="1">D26+D27+D31</f>
        <v>74013</v>
      </c>
      <c r="E32" s="807">
        <f t="shared" si="1"/>
        <v>84115</v>
      </c>
      <c r="F32" s="807">
        <f t="shared" si="1"/>
        <v>77045</v>
      </c>
      <c r="G32" s="1208">
        <f t="shared" si="0"/>
        <v>0.91594840397075428</v>
      </c>
    </row>
    <row r="33" spans="1:7" s="98" customFormat="1" ht="12" customHeight="1" x14ac:dyDescent="0.25">
      <c r="A33" s="240"/>
      <c r="B33" s="240"/>
      <c r="C33" s="241"/>
      <c r="D33" s="673"/>
      <c r="E33" s="673"/>
    </row>
    <row r="34" spans="1:7" ht="12" customHeight="1" thickBot="1" x14ac:dyDescent="0.3">
      <c r="A34" s="242"/>
      <c r="B34" s="243"/>
      <c r="C34" s="243"/>
      <c r="D34" s="672"/>
      <c r="E34" s="672"/>
    </row>
    <row r="35" spans="1:7" ht="40.200000000000003" thickBot="1" x14ac:dyDescent="0.3">
      <c r="A35" s="244"/>
      <c r="B35" s="245"/>
      <c r="C35" s="925" t="s">
        <v>1</v>
      </c>
      <c r="D35" s="804" t="s">
        <v>1170</v>
      </c>
      <c r="E35" s="1185" t="s">
        <v>1171</v>
      </c>
      <c r="F35" s="1185" t="s">
        <v>1218</v>
      </c>
      <c r="G35" s="1185" t="s">
        <v>1219</v>
      </c>
    </row>
    <row r="36" spans="1:7" ht="12" customHeight="1" thickBot="1" x14ac:dyDescent="0.3">
      <c r="A36" s="206" t="s">
        <v>885</v>
      </c>
      <c r="B36" s="563"/>
      <c r="C36" s="1020" t="s">
        <v>840</v>
      </c>
      <c r="D36" s="544">
        <f>SUM(D37:D41)</f>
        <v>74013</v>
      </c>
      <c r="E36" s="807">
        <f>SUM(E37:E42)</f>
        <v>84004</v>
      </c>
      <c r="F36" s="807">
        <f>SUM(F37:F42)</f>
        <v>68318</v>
      </c>
      <c r="G36" s="1208">
        <f>F36/E36</f>
        <v>0.81327079662873192</v>
      </c>
    </row>
    <row r="37" spans="1:7" ht="12" customHeight="1" x14ac:dyDescent="0.25">
      <c r="A37" s="247"/>
      <c r="B37" s="1011" t="s">
        <v>57</v>
      </c>
      <c r="C37" s="1037" t="s">
        <v>916</v>
      </c>
      <c r="D37" s="658">
        <v>49524</v>
      </c>
      <c r="E37" s="1049">
        <f>49524+1246+13</f>
        <v>50783</v>
      </c>
      <c r="F37" s="1196">
        <v>48947</v>
      </c>
      <c r="G37" s="1217">
        <f t="shared" ref="G37:G50" si="2">F37/E37</f>
        <v>0.96384616899356079</v>
      </c>
    </row>
    <row r="38" spans="1:7" ht="12" customHeight="1" x14ac:dyDescent="0.25">
      <c r="A38" s="248"/>
      <c r="B38" s="1012" t="s">
        <v>58</v>
      </c>
      <c r="C38" s="1022" t="s">
        <v>164</v>
      </c>
      <c r="D38" s="655">
        <v>11945</v>
      </c>
      <c r="E38" s="664">
        <f>11945+210</f>
        <v>12155</v>
      </c>
      <c r="F38" s="1120">
        <v>10258</v>
      </c>
      <c r="G38" s="1210">
        <f t="shared" si="2"/>
        <v>0.84393253805018509</v>
      </c>
    </row>
    <row r="39" spans="1:7" ht="12" customHeight="1" x14ac:dyDescent="0.25">
      <c r="A39" s="248"/>
      <c r="B39" s="1012" t="s">
        <v>59</v>
      </c>
      <c r="C39" s="1022" t="s">
        <v>88</v>
      </c>
      <c r="D39" s="655">
        <v>12544</v>
      </c>
      <c r="E39" s="664">
        <f>12544+56+9+3-111</f>
        <v>12501</v>
      </c>
      <c r="F39" s="1120">
        <v>9113</v>
      </c>
      <c r="G39" s="1210">
        <f t="shared" si="2"/>
        <v>0.72898168146548281</v>
      </c>
    </row>
    <row r="40" spans="1:7" s="98" customFormat="1" ht="12" customHeight="1" x14ac:dyDescent="0.25">
      <c r="A40" s="248"/>
      <c r="B40" s="1012" t="s">
        <v>60</v>
      </c>
      <c r="C40" s="1022" t="s">
        <v>165</v>
      </c>
      <c r="D40" s="655"/>
      <c r="E40" s="664"/>
      <c r="F40" s="1120"/>
      <c r="G40" s="1210"/>
    </row>
    <row r="41" spans="1:7" ht="12" customHeight="1" x14ac:dyDescent="0.25">
      <c r="A41" s="248"/>
      <c r="B41" s="1012" t="s">
        <v>71</v>
      </c>
      <c r="C41" s="1022" t="s">
        <v>166</v>
      </c>
      <c r="D41" s="655"/>
      <c r="E41" s="664"/>
      <c r="F41" s="1120"/>
      <c r="G41" s="1210"/>
    </row>
    <row r="42" spans="1:7" ht="12" customHeight="1" thickBot="1" x14ac:dyDescent="0.3">
      <c r="A42" s="1100"/>
      <c r="B42" s="1102" t="s">
        <v>61</v>
      </c>
      <c r="C42" s="1103" t="s">
        <v>1175</v>
      </c>
      <c r="D42" s="661"/>
      <c r="E42" s="666">
        <v>8565</v>
      </c>
      <c r="F42" s="1193"/>
      <c r="G42" s="1211">
        <f t="shared" si="2"/>
        <v>0</v>
      </c>
    </row>
    <row r="43" spans="1:7" ht="12" customHeight="1" thickBot="1" x14ac:dyDescent="0.3">
      <c r="A43" s="206" t="s">
        <v>886</v>
      </c>
      <c r="B43" s="563"/>
      <c r="C43" s="1020" t="s">
        <v>857</v>
      </c>
      <c r="D43" s="660"/>
      <c r="E43" s="807">
        <v>111</v>
      </c>
      <c r="F43" s="807">
        <v>111</v>
      </c>
      <c r="G43" s="1208">
        <f t="shared" si="2"/>
        <v>1</v>
      </c>
    </row>
    <row r="44" spans="1:7" ht="12" customHeight="1" x14ac:dyDescent="0.25">
      <c r="A44" s="247"/>
      <c r="B44" s="1011" t="s">
        <v>63</v>
      </c>
      <c r="C44" s="1037" t="s">
        <v>279</v>
      </c>
      <c r="D44" s="658"/>
      <c r="E44" s="1049">
        <v>111</v>
      </c>
      <c r="F44" s="1196">
        <v>110</v>
      </c>
      <c r="G44" s="1217">
        <f t="shared" si="2"/>
        <v>0.99099099099099097</v>
      </c>
    </row>
    <row r="45" spans="1:7" ht="12" customHeight="1" x14ac:dyDescent="0.25">
      <c r="A45" s="248"/>
      <c r="B45" s="1012" t="s">
        <v>64</v>
      </c>
      <c r="C45" s="1022" t="s">
        <v>168</v>
      </c>
      <c r="D45" s="655"/>
      <c r="E45" s="664"/>
      <c r="F45" s="1120"/>
      <c r="G45" s="1210"/>
    </row>
    <row r="46" spans="1:7" ht="15" customHeight="1" x14ac:dyDescent="0.25">
      <c r="A46" s="248"/>
      <c r="B46" s="1012" t="s">
        <v>67</v>
      </c>
      <c r="C46" s="1022" t="s">
        <v>2</v>
      </c>
      <c r="D46" s="655"/>
      <c r="E46" s="664"/>
      <c r="F46" s="1120"/>
      <c r="G46" s="1210"/>
    </row>
    <row r="47" spans="1:7" ht="13.8" thickBot="1" x14ac:dyDescent="0.3">
      <c r="A47" s="248"/>
      <c r="B47" s="1012" t="s">
        <v>78</v>
      </c>
      <c r="C47" s="1022" t="s">
        <v>854</v>
      </c>
      <c r="D47" s="655"/>
      <c r="E47" s="664"/>
      <c r="F47" s="1120"/>
      <c r="G47" s="1210"/>
    </row>
    <row r="48" spans="1:7" ht="15" customHeight="1" thickBot="1" x14ac:dyDescent="0.3">
      <c r="A48" s="206" t="s">
        <v>887</v>
      </c>
      <c r="B48" s="563"/>
      <c r="C48" s="301" t="s">
        <v>855</v>
      </c>
      <c r="D48" s="662"/>
      <c r="E48" s="1186"/>
      <c r="F48" s="1194"/>
      <c r="G48" s="1215"/>
    </row>
    <row r="49" spans="1:7" ht="14.25" customHeight="1" thickBot="1" x14ac:dyDescent="0.3">
      <c r="A49" s="383" t="s">
        <v>888</v>
      </c>
      <c r="B49" s="1036"/>
      <c r="C49" s="1038" t="s">
        <v>858</v>
      </c>
      <c r="D49" s="1045"/>
      <c r="E49" s="1205"/>
      <c r="F49" s="1206"/>
      <c r="G49" s="1220"/>
    </row>
    <row r="50" spans="1:7" ht="13.8" thickBot="1" x14ac:dyDescent="0.3">
      <c r="A50" s="206" t="s">
        <v>889</v>
      </c>
      <c r="B50" s="1019"/>
      <c r="C50" s="1039" t="s">
        <v>856</v>
      </c>
      <c r="D50" s="807">
        <f>+D36+D43+D48+D49</f>
        <v>74013</v>
      </c>
      <c r="E50" s="807">
        <f>+E36+E43+E48+E49</f>
        <v>84115</v>
      </c>
      <c r="F50" s="807">
        <f>+F36+F43+F48+F49</f>
        <v>68429</v>
      </c>
      <c r="G50" s="1208">
        <f t="shared" si="2"/>
        <v>0.81351720858348686</v>
      </c>
    </row>
    <row r="51" spans="1:7" x14ac:dyDescent="0.25">
      <c r="A51" s="251"/>
      <c r="B51" s="252"/>
      <c r="C51" s="252"/>
    </row>
    <row r="52" spans="1:7" ht="13.8" hidden="1" thickBot="1" x14ac:dyDescent="0.3">
      <c r="A52" s="253" t="s">
        <v>208</v>
      </c>
      <c r="B52" s="254"/>
      <c r="C52" s="255"/>
    </row>
    <row r="53" spans="1:7" ht="13.8" hidden="1" thickBot="1" x14ac:dyDescent="0.3">
      <c r="A53" s="253" t="s">
        <v>209</v>
      </c>
      <c r="B53" s="254"/>
      <c r="C53" s="255"/>
    </row>
  </sheetData>
  <mergeCells count="3">
    <mergeCell ref="A2:B2"/>
    <mergeCell ref="A4:B4"/>
    <mergeCell ref="D2:G2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&amp;R&amp;"Times New Roman CE,Félkövér"&amp;11 9. melléklet az 5/2019. (IV. 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52"/>
  <sheetViews>
    <sheetView view="pageLayout" zoomScaleNormal="100" zoomScaleSheetLayoutView="100" workbookViewId="0">
      <selection activeCell="C4" sqref="C4"/>
    </sheetView>
  </sheetViews>
  <sheetFormatPr defaultColWidth="9.33203125" defaultRowHeight="13.2" x14ac:dyDescent="0.25"/>
  <cols>
    <col min="1" max="1" width="4.77734375" style="538" customWidth="1"/>
    <col min="2" max="2" width="8.77734375" style="528" customWidth="1"/>
    <col min="3" max="3" width="71.77734375" style="528" customWidth="1"/>
    <col min="4" max="4" width="14.77734375" style="528" customWidth="1"/>
    <col min="5" max="5" width="14.77734375" style="1104" customWidth="1"/>
    <col min="6" max="7" width="14.77734375" style="528" customWidth="1"/>
    <col min="8" max="16384" width="9.33203125" style="528"/>
  </cols>
  <sheetData>
    <row r="1" spans="1:7" s="525" customFormat="1" ht="21" customHeight="1" x14ac:dyDescent="0.25">
      <c r="A1" s="211"/>
      <c r="B1" s="212"/>
      <c r="C1" s="1041"/>
      <c r="E1" s="2"/>
    </row>
    <row r="2" spans="1:7" s="526" customFormat="1" ht="40.5" customHeight="1" x14ac:dyDescent="0.25">
      <c r="A2" s="1397" t="s">
        <v>204</v>
      </c>
      <c r="B2" s="1397"/>
      <c r="C2" s="803" t="s">
        <v>476</v>
      </c>
      <c r="D2" s="1398"/>
      <c r="E2" s="1399"/>
      <c r="F2" s="1399"/>
      <c r="G2" s="1400"/>
    </row>
    <row r="3" spans="1:7" s="527" customFormat="1" ht="15.9" customHeight="1" thickBot="1" x14ac:dyDescent="0.35">
      <c r="A3" s="216"/>
      <c r="B3" s="216"/>
      <c r="C3" s="216"/>
      <c r="G3" s="217" t="s">
        <v>923</v>
      </c>
    </row>
    <row r="4" spans="1:7" ht="40.200000000000003" thickBot="1" x14ac:dyDescent="0.3">
      <c r="A4" s="1389" t="s">
        <v>205</v>
      </c>
      <c r="B4" s="1390"/>
      <c r="C4" s="539" t="s">
        <v>924</v>
      </c>
      <c r="D4" s="804" t="s">
        <v>1170</v>
      </c>
      <c r="E4" s="1185" t="s">
        <v>1171</v>
      </c>
      <c r="F4" s="1185" t="s">
        <v>1218</v>
      </c>
      <c r="G4" s="1185" t="s">
        <v>1219</v>
      </c>
    </row>
    <row r="5" spans="1:7" s="529" customFormat="1" ht="12.9" customHeight="1" thickBot="1" x14ac:dyDescent="0.3">
      <c r="A5" s="198">
        <v>1</v>
      </c>
      <c r="B5" s="199">
        <v>2</v>
      </c>
      <c r="C5" s="540">
        <v>3</v>
      </c>
      <c r="D5" s="540">
        <v>4</v>
      </c>
      <c r="E5" s="540">
        <v>5</v>
      </c>
      <c r="F5" s="199"/>
      <c r="G5" s="200"/>
    </row>
    <row r="6" spans="1:7" s="529" customFormat="1" ht="15.9" customHeight="1" thickBot="1" x14ac:dyDescent="0.3">
      <c r="A6" s="220"/>
      <c r="B6" s="221"/>
      <c r="C6" s="221" t="s">
        <v>926</v>
      </c>
      <c r="D6" s="810"/>
      <c r="E6" s="1201"/>
      <c r="F6" s="1203"/>
      <c r="G6" s="1044"/>
    </row>
    <row r="7" spans="1:7" s="530" customFormat="1" ht="12" customHeight="1" thickBot="1" x14ac:dyDescent="0.3">
      <c r="A7" s="198" t="s">
        <v>885</v>
      </c>
      <c r="B7" s="223"/>
      <c r="C7" s="550" t="s">
        <v>210</v>
      </c>
      <c r="D7" s="660">
        <f>SUM(D8:D15)</f>
        <v>2335</v>
      </c>
      <c r="E7" s="807">
        <f>SUM(E8:E16)</f>
        <v>2994</v>
      </c>
      <c r="F7" s="807">
        <f>SUM(F8:F16)</f>
        <v>2978</v>
      </c>
      <c r="G7" s="1208">
        <f>F7/E7</f>
        <v>0.99465597862391453</v>
      </c>
    </row>
    <row r="8" spans="1:7" s="530" customFormat="1" ht="12" customHeight="1" x14ac:dyDescent="0.25">
      <c r="A8" s="227"/>
      <c r="B8" s="226" t="s">
        <v>57</v>
      </c>
      <c r="C8" s="551" t="s">
        <v>1040</v>
      </c>
      <c r="D8" s="665">
        <v>920</v>
      </c>
      <c r="E8" s="665">
        <f>920+474</f>
        <v>1394</v>
      </c>
      <c r="F8" s="1199">
        <v>1382</v>
      </c>
      <c r="G8" s="1209">
        <f t="shared" ref="G8:G31" si="0">F8/E8</f>
        <v>0.99139167862266853</v>
      </c>
    </row>
    <row r="9" spans="1:7" s="530" customFormat="1" ht="12" customHeight="1" x14ac:dyDescent="0.25">
      <c r="A9" s="225"/>
      <c r="B9" s="226" t="s">
        <v>58</v>
      </c>
      <c r="C9" s="552" t="s">
        <v>134</v>
      </c>
      <c r="D9" s="664"/>
      <c r="E9" s="664"/>
      <c r="F9" s="1120"/>
      <c r="G9" s="1210"/>
    </row>
    <row r="10" spans="1:7" s="530" customFormat="1" ht="12" customHeight="1" x14ac:dyDescent="0.25">
      <c r="A10" s="225"/>
      <c r="B10" s="226" t="s">
        <v>59</v>
      </c>
      <c r="C10" s="552" t="s">
        <v>135</v>
      </c>
      <c r="D10" s="664"/>
      <c r="E10" s="664"/>
      <c r="F10" s="1120"/>
      <c r="G10" s="1210"/>
    </row>
    <row r="11" spans="1:7" s="530" customFormat="1" ht="12" customHeight="1" x14ac:dyDescent="0.25">
      <c r="A11" s="225"/>
      <c r="B11" s="226" t="s">
        <v>60</v>
      </c>
      <c r="C11" s="552" t="s">
        <v>136</v>
      </c>
      <c r="D11" s="664"/>
      <c r="E11" s="664">
        <f>919+45</f>
        <v>964</v>
      </c>
      <c r="F11" s="1120">
        <v>964</v>
      </c>
      <c r="G11" s="1210">
        <f t="shared" si="0"/>
        <v>1</v>
      </c>
    </row>
    <row r="12" spans="1:7" s="530" customFormat="1" ht="12" customHeight="1" x14ac:dyDescent="0.25">
      <c r="A12" s="225"/>
      <c r="B12" s="226" t="s">
        <v>91</v>
      </c>
      <c r="C12" s="553" t="s">
        <v>137</v>
      </c>
      <c r="D12" s="664">
        <v>919</v>
      </c>
      <c r="E12" s="664">
        <f>919-919</f>
        <v>0</v>
      </c>
      <c r="F12" s="1120"/>
      <c r="G12" s="1210"/>
    </row>
    <row r="13" spans="1:7" s="530" customFormat="1" ht="12" customHeight="1" x14ac:dyDescent="0.25">
      <c r="A13" s="228"/>
      <c r="B13" s="226" t="s">
        <v>61</v>
      </c>
      <c r="C13" s="552" t="s">
        <v>138</v>
      </c>
      <c r="D13" s="666">
        <f>248+248</f>
        <v>496</v>
      </c>
      <c r="E13" s="666">
        <f>248+248+135</f>
        <v>631</v>
      </c>
      <c r="F13" s="1193">
        <v>628</v>
      </c>
      <c r="G13" s="1211">
        <f t="shared" si="0"/>
        <v>0.99524564183835185</v>
      </c>
    </row>
    <row r="14" spans="1:7" s="531" customFormat="1" ht="12" customHeight="1" x14ac:dyDescent="0.25">
      <c r="A14" s="225"/>
      <c r="B14" s="226" t="s">
        <v>62</v>
      </c>
      <c r="C14" s="552" t="s">
        <v>845</v>
      </c>
      <c r="D14" s="664"/>
      <c r="E14" s="664"/>
      <c r="F14" s="1120"/>
      <c r="G14" s="1210"/>
    </row>
    <row r="15" spans="1:7" s="531" customFormat="1" ht="12" customHeight="1" x14ac:dyDescent="0.25">
      <c r="A15" s="225"/>
      <c r="B15" s="226" t="s">
        <v>72</v>
      </c>
      <c r="C15" s="9" t="s">
        <v>197</v>
      </c>
      <c r="D15" s="1120"/>
      <c r="E15" s="664"/>
      <c r="F15" s="1120"/>
      <c r="G15" s="1210"/>
    </row>
    <row r="16" spans="1:7" s="531" customFormat="1" ht="12" customHeight="1" thickBot="1" x14ac:dyDescent="0.3">
      <c r="A16" s="232"/>
      <c r="B16" s="1121" t="s">
        <v>73</v>
      </c>
      <c r="C16" s="1122" t="s">
        <v>1207</v>
      </c>
      <c r="D16" s="1123"/>
      <c r="E16" s="1048">
        <f>2+3</f>
        <v>5</v>
      </c>
      <c r="F16" s="1123">
        <v>4</v>
      </c>
      <c r="G16" s="1212">
        <f t="shared" si="0"/>
        <v>0.8</v>
      </c>
    </row>
    <row r="17" spans="1:7" s="530" customFormat="1" ht="12" customHeight="1" thickBot="1" x14ac:dyDescent="0.3">
      <c r="A17" s="198" t="s">
        <v>886</v>
      </c>
      <c r="B17" s="223"/>
      <c r="C17" s="550" t="s">
        <v>846</v>
      </c>
      <c r="D17" s="660"/>
      <c r="E17" s="807"/>
      <c r="F17" s="1192"/>
      <c r="G17" s="1213"/>
    </row>
    <row r="18" spans="1:7" s="531" customFormat="1" ht="12" customHeight="1" x14ac:dyDescent="0.25">
      <c r="A18" s="225"/>
      <c r="B18" s="226" t="s">
        <v>63</v>
      </c>
      <c r="C18" s="554" t="s">
        <v>842</v>
      </c>
      <c r="D18" s="664"/>
      <c r="E18" s="664"/>
      <c r="F18" s="1120"/>
      <c r="G18" s="1210"/>
    </row>
    <row r="19" spans="1:7" s="531" customFormat="1" ht="12" customHeight="1" x14ac:dyDescent="0.25">
      <c r="A19" s="225"/>
      <c r="B19" s="226" t="s">
        <v>64</v>
      </c>
      <c r="C19" s="552" t="s">
        <v>843</v>
      </c>
      <c r="D19" s="664"/>
      <c r="E19" s="664"/>
      <c r="F19" s="1120"/>
      <c r="G19" s="1210"/>
    </row>
    <row r="20" spans="1:7" s="531" customFormat="1" ht="12" customHeight="1" x14ac:dyDescent="0.25">
      <c r="A20" s="225"/>
      <c r="B20" s="226" t="s">
        <v>65</v>
      </c>
      <c r="C20" s="552" t="s">
        <v>844</v>
      </c>
      <c r="D20" s="664"/>
      <c r="E20" s="664"/>
      <c r="F20" s="1120"/>
      <c r="G20" s="1210"/>
    </row>
    <row r="21" spans="1:7" s="531" customFormat="1" ht="12" customHeight="1" thickBot="1" x14ac:dyDescent="0.3">
      <c r="A21" s="225"/>
      <c r="B21" s="226" t="s">
        <v>66</v>
      </c>
      <c r="C21" s="552" t="s">
        <v>843</v>
      </c>
      <c r="D21" s="664"/>
      <c r="E21" s="664"/>
      <c r="F21" s="1120"/>
      <c r="G21" s="1210"/>
    </row>
    <row r="22" spans="1:7" s="531" customFormat="1" ht="12" customHeight="1" thickBot="1" x14ac:dyDescent="0.3">
      <c r="A22" s="206" t="s">
        <v>887</v>
      </c>
      <c r="B22" s="125"/>
      <c r="C22" s="555" t="s">
        <v>847</v>
      </c>
      <c r="D22" s="660"/>
      <c r="E22" s="807"/>
      <c r="F22" s="1192"/>
      <c r="G22" s="1213"/>
    </row>
    <row r="23" spans="1:7" s="530" customFormat="1" ht="12" customHeight="1" x14ac:dyDescent="0.25">
      <c r="A23" s="368"/>
      <c r="B23" s="388" t="s">
        <v>37</v>
      </c>
      <c r="C23" s="556" t="s">
        <v>247</v>
      </c>
      <c r="D23" s="805"/>
      <c r="E23" s="665"/>
      <c r="F23" s="1199"/>
      <c r="G23" s="1209"/>
    </row>
    <row r="24" spans="1:7" s="530" customFormat="1" ht="12" customHeight="1" thickBot="1" x14ac:dyDescent="0.3">
      <c r="A24" s="386"/>
      <c r="B24" s="387" t="s">
        <v>38</v>
      </c>
      <c r="C24" s="557" t="s">
        <v>251</v>
      </c>
      <c r="D24" s="806"/>
      <c r="E24" s="1202"/>
      <c r="F24" s="1204"/>
      <c r="G24" s="1214"/>
    </row>
    <row r="25" spans="1:7" s="530" customFormat="1" ht="12" customHeight="1" thickBot="1" x14ac:dyDescent="0.3">
      <c r="A25" s="206" t="s">
        <v>888</v>
      </c>
      <c r="B25" s="223"/>
      <c r="C25" s="555" t="s">
        <v>864</v>
      </c>
      <c r="D25" s="662">
        <f>D49-D7</f>
        <v>105891</v>
      </c>
      <c r="E25" s="1186">
        <f>D25+21+13+4193</f>
        <v>110118</v>
      </c>
      <c r="F25" s="1194">
        <v>104720</v>
      </c>
      <c r="G25" s="1215">
        <f t="shared" si="0"/>
        <v>0.95097985797054074</v>
      </c>
    </row>
    <row r="26" spans="1:7" s="530" customFormat="1" ht="12" customHeight="1" thickBot="1" x14ac:dyDescent="0.3">
      <c r="A26" s="198" t="s">
        <v>889</v>
      </c>
      <c r="B26" s="168"/>
      <c r="C26" s="555" t="s">
        <v>860</v>
      </c>
      <c r="D26" s="660">
        <f>D7+D17+D22+D25</f>
        <v>108226</v>
      </c>
      <c r="E26" s="807">
        <f>E7+E25</f>
        <v>113112</v>
      </c>
      <c r="F26" s="807">
        <f>F7+F25</f>
        <v>107698</v>
      </c>
      <c r="G26" s="1208">
        <f t="shared" si="0"/>
        <v>0.95213593606337077</v>
      </c>
    </row>
    <row r="27" spans="1:7" s="531" customFormat="1" ht="12" customHeight="1" thickBot="1" x14ac:dyDescent="0.3">
      <c r="A27" s="383" t="s">
        <v>890</v>
      </c>
      <c r="B27" s="808"/>
      <c r="C27" s="558" t="s">
        <v>862</v>
      </c>
      <c r="D27" s="1043"/>
      <c r="E27" s="1047">
        <f>SUM(E28:E29)</f>
        <v>10103</v>
      </c>
      <c r="F27" s="1047">
        <f>SUM(F28:F29)</f>
        <v>10103</v>
      </c>
      <c r="G27" s="1216">
        <f t="shared" si="0"/>
        <v>1</v>
      </c>
    </row>
    <row r="28" spans="1:7" s="531" customFormat="1" ht="15" customHeight="1" x14ac:dyDescent="0.25">
      <c r="A28" s="227"/>
      <c r="B28" s="166" t="s">
        <v>44</v>
      </c>
      <c r="C28" s="556" t="s">
        <v>354</v>
      </c>
      <c r="D28" s="805"/>
      <c r="E28" s="665">
        <v>10103</v>
      </c>
      <c r="F28" s="1199">
        <v>10103</v>
      </c>
      <c r="G28" s="1209">
        <f t="shared" si="0"/>
        <v>1</v>
      </c>
    </row>
    <row r="29" spans="1:7" s="531" customFormat="1" ht="15" customHeight="1" thickBot="1" x14ac:dyDescent="0.3">
      <c r="A29" s="393"/>
      <c r="B29" s="167" t="s">
        <v>45</v>
      </c>
      <c r="C29" s="565" t="s">
        <v>850</v>
      </c>
      <c r="D29" s="670"/>
      <c r="E29" s="1048"/>
      <c r="F29" s="1123"/>
      <c r="G29" s="1212"/>
    </row>
    <row r="30" spans="1:7" ht="13.8" thickBot="1" x14ac:dyDescent="0.3">
      <c r="A30" s="237" t="s">
        <v>891</v>
      </c>
      <c r="B30" s="541"/>
      <c r="C30" s="561" t="s">
        <v>863</v>
      </c>
      <c r="D30" s="662"/>
      <c r="E30" s="1186"/>
      <c r="F30" s="1194"/>
      <c r="G30" s="1215"/>
    </row>
    <row r="31" spans="1:7" s="529" customFormat="1" ht="16.5" customHeight="1" thickBot="1" x14ac:dyDescent="0.3">
      <c r="A31" s="237" t="s">
        <v>892</v>
      </c>
      <c r="B31" s="542"/>
      <c r="C31" s="566" t="s">
        <v>861</v>
      </c>
      <c r="D31" s="807">
        <f>D26+D27+D30</f>
        <v>108226</v>
      </c>
      <c r="E31" s="807">
        <f>E26+E27+E30</f>
        <v>123215</v>
      </c>
      <c r="F31" s="807">
        <f>F26+F27+F30</f>
        <v>117801</v>
      </c>
      <c r="G31" s="1208">
        <f t="shared" si="0"/>
        <v>0.95606054457655321</v>
      </c>
    </row>
    <row r="32" spans="1:7" s="532" customFormat="1" ht="12" customHeight="1" x14ac:dyDescent="0.25">
      <c r="A32" s="240"/>
      <c r="B32" s="240"/>
      <c r="C32" s="241"/>
      <c r="D32" s="673"/>
      <c r="E32" s="673"/>
    </row>
    <row r="33" spans="1:7" ht="12" customHeight="1" thickBot="1" x14ac:dyDescent="0.3">
      <c r="A33" s="242"/>
      <c r="B33" s="243"/>
      <c r="C33" s="243"/>
      <c r="D33" s="672"/>
      <c r="E33" s="672"/>
    </row>
    <row r="34" spans="1:7" ht="40.200000000000003" thickBot="1" x14ac:dyDescent="0.3">
      <c r="A34" s="244"/>
      <c r="B34" s="245"/>
      <c r="C34" s="246" t="s">
        <v>1</v>
      </c>
      <c r="D34" s="804" t="s">
        <v>1170</v>
      </c>
      <c r="E34" s="1185" t="s">
        <v>1171</v>
      </c>
      <c r="F34" s="1160" t="s">
        <v>1218</v>
      </c>
      <c r="G34" s="1042" t="s">
        <v>1219</v>
      </c>
    </row>
    <row r="35" spans="1:7" ht="12" customHeight="1" thickBot="1" x14ac:dyDescent="0.3">
      <c r="A35" s="206" t="s">
        <v>885</v>
      </c>
      <c r="B35" s="24"/>
      <c r="C35" s="555" t="s">
        <v>840</v>
      </c>
      <c r="D35" s="660">
        <f>SUM(D36:D40)</f>
        <v>108226</v>
      </c>
      <c r="E35" s="807">
        <f>SUM(E36:E41)</f>
        <v>123101</v>
      </c>
      <c r="F35" s="807">
        <f>SUM(F36:F41)</f>
        <v>107538</v>
      </c>
      <c r="G35" s="1208">
        <f>F35/E35</f>
        <v>0.87357535682082188</v>
      </c>
    </row>
    <row r="36" spans="1:7" ht="12" customHeight="1" x14ac:dyDescent="0.25">
      <c r="A36" s="247"/>
      <c r="B36" s="165" t="s">
        <v>57</v>
      </c>
      <c r="C36" s="554" t="s">
        <v>916</v>
      </c>
      <c r="D36" s="658">
        <v>70813</v>
      </c>
      <c r="E36" s="1049">
        <f>70813+100+18+11+2731</f>
        <v>73673</v>
      </c>
      <c r="F36" s="1196">
        <v>70437</v>
      </c>
      <c r="G36" s="1217">
        <f>F36/E36</f>
        <v>0.95607617444654081</v>
      </c>
    </row>
    <row r="37" spans="1:7" ht="12" customHeight="1" x14ac:dyDescent="0.25">
      <c r="A37" s="248"/>
      <c r="B37" s="149" t="s">
        <v>58</v>
      </c>
      <c r="C37" s="552" t="s">
        <v>164</v>
      </c>
      <c r="D37" s="655">
        <v>15219</v>
      </c>
      <c r="E37" s="664">
        <f>15219+3+2+533</f>
        <v>15757</v>
      </c>
      <c r="F37" s="1120">
        <v>14646</v>
      </c>
      <c r="G37" s="1210">
        <f t="shared" ref="G37:G49" si="1">F37/E37</f>
        <v>0.92949165450276072</v>
      </c>
    </row>
    <row r="38" spans="1:7" ht="12" customHeight="1" x14ac:dyDescent="0.25">
      <c r="A38" s="248"/>
      <c r="B38" s="149" t="s">
        <v>59</v>
      </c>
      <c r="C38" s="552" t="s">
        <v>88</v>
      </c>
      <c r="D38" s="655">
        <v>22194</v>
      </c>
      <c r="E38" s="664">
        <f>22194+2-23+1584</f>
        <v>23757</v>
      </c>
      <c r="F38" s="1120">
        <v>22455</v>
      </c>
      <c r="G38" s="1210">
        <f t="shared" si="1"/>
        <v>0.94519510039146359</v>
      </c>
    </row>
    <row r="39" spans="1:7" s="532" customFormat="1" ht="12" customHeight="1" x14ac:dyDescent="0.25">
      <c r="A39" s="248"/>
      <c r="B39" s="149" t="s">
        <v>60</v>
      </c>
      <c r="C39" s="552" t="s">
        <v>165</v>
      </c>
      <c r="D39" s="655"/>
      <c r="E39" s="664"/>
      <c r="F39" s="1120"/>
      <c r="G39" s="1210"/>
    </row>
    <row r="40" spans="1:7" ht="12" customHeight="1" x14ac:dyDescent="0.25">
      <c r="A40" s="248"/>
      <c r="B40" s="149" t="s">
        <v>71</v>
      </c>
      <c r="C40" s="552" t="s">
        <v>166</v>
      </c>
      <c r="D40" s="655"/>
      <c r="E40" s="664"/>
      <c r="F40" s="1120"/>
      <c r="G40" s="1210"/>
    </row>
    <row r="41" spans="1:7" ht="12" customHeight="1" thickBot="1" x14ac:dyDescent="0.3">
      <c r="A41" s="1100"/>
      <c r="B41" s="1101" t="s">
        <v>61</v>
      </c>
      <c r="C41" s="553" t="s">
        <v>1175</v>
      </c>
      <c r="D41" s="661"/>
      <c r="E41" s="666">
        <v>9914</v>
      </c>
      <c r="F41" s="1193"/>
      <c r="G41" s="1211">
        <f t="shared" si="1"/>
        <v>0</v>
      </c>
    </row>
    <row r="42" spans="1:7" ht="12" customHeight="1" thickBot="1" x14ac:dyDescent="0.3">
      <c r="A42" s="206" t="s">
        <v>886</v>
      </c>
      <c r="B42" s="24"/>
      <c r="C42" s="555" t="s">
        <v>857</v>
      </c>
      <c r="D42" s="660"/>
      <c r="E42" s="807">
        <f>SUM(E43:E44)</f>
        <v>114</v>
      </c>
      <c r="F42" s="807">
        <f>SUM(F43:F44)</f>
        <v>114</v>
      </c>
      <c r="G42" s="1208">
        <f t="shared" si="1"/>
        <v>1</v>
      </c>
    </row>
    <row r="43" spans="1:7" ht="12" customHeight="1" x14ac:dyDescent="0.25">
      <c r="A43" s="247"/>
      <c r="B43" s="165" t="s">
        <v>63</v>
      </c>
      <c r="C43" s="554" t="s">
        <v>279</v>
      </c>
      <c r="D43" s="658"/>
      <c r="E43" s="1049">
        <f>89+23+2</f>
        <v>114</v>
      </c>
      <c r="F43" s="1196">
        <v>114</v>
      </c>
      <c r="G43" s="1217">
        <f t="shared" si="1"/>
        <v>1</v>
      </c>
    </row>
    <row r="44" spans="1:7" ht="12" customHeight="1" x14ac:dyDescent="0.25">
      <c r="A44" s="248"/>
      <c r="B44" s="149" t="s">
        <v>64</v>
      </c>
      <c r="C44" s="552" t="s">
        <v>168</v>
      </c>
      <c r="D44" s="655"/>
      <c r="E44" s="664"/>
      <c r="F44" s="1120"/>
      <c r="G44" s="1210"/>
    </row>
    <row r="45" spans="1:7" ht="15" customHeight="1" x14ac:dyDescent="0.25">
      <c r="A45" s="248"/>
      <c r="B45" s="149" t="s">
        <v>67</v>
      </c>
      <c r="C45" s="552" t="s">
        <v>2</v>
      </c>
      <c r="D45" s="655"/>
      <c r="E45" s="664"/>
      <c r="F45" s="1120"/>
      <c r="G45" s="1210"/>
    </row>
    <row r="46" spans="1:7" ht="13.8" thickBot="1" x14ac:dyDescent="0.3">
      <c r="A46" s="248"/>
      <c r="B46" s="149" t="s">
        <v>78</v>
      </c>
      <c r="C46" s="552" t="s">
        <v>854</v>
      </c>
      <c r="D46" s="655"/>
      <c r="E46" s="664"/>
      <c r="F46" s="1120"/>
      <c r="G46" s="1210"/>
    </row>
    <row r="47" spans="1:7" ht="15" customHeight="1" thickBot="1" x14ac:dyDescent="0.3">
      <c r="A47" s="206" t="s">
        <v>887</v>
      </c>
      <c r="B47" s="24"/>
      <c r="C47" s="563" t="s">
        <v>855</v>
      </c>
      <c r="D47" s="662"/>
      <c r="E47" s="1186"/>
      <c r="F47" s="1194"/>
      <c r="G47" s="1215"/>
    </row>
    <row r="48" spans="1:7" ht="14.25" customHeight="1" thickBot="1" x14ac:dyDescent="0.3">
      <c r="A48" s="237" t="s">
        <v>888</v>
      </c>
      <c r="B48" s="541"/>
      <c r="C48" s="561" t="s">
        <v>858</v>
      </c>
      <c r="D48" s="662"/>
      <c r="E48" s="1186"/>
      <c r="F48" s="1194"/>
      <c r="G48" s="1215"/>
    </row>
    <row r="49" spans="1:7" ht="13.8" thickBot="1" x14ac:dyDescent="0.3">
      <c r="A49" s="206" t="s">
        <v>889</v>
      </c>
      <c r="B49" s="234"/>
      <c r="C49" s="564" t="s">
        <v>856</v>
      </c>
      <c r="D49" s="807">
        <f>D35+D42+D47+D48</f>
        <v>108226</v>
      </c>
      <c r="E49" s="807">
        <f>E35+E42+E47+E48</f>
        <v>123215</v>
      </c>
      <c r="F49" s="807">
        <f>F35+F42+F47+F48</f>
        <v>107652</v>
      </c>
      <c r="G49" s="1208">
        <f t="shared" si="1"/>
        <v>0.87369232642129613</v>
      </c>
    </row>
    <row r="50" spans="1:7" x14ac:dyDescent="0.25">
      <c r="A50" s="533"/>
      <c r="B50" s="534"/>
      <c r="C50" s="534"/>
    </row>
    <row r="51" spans="1:7" ht="13.8" hidden="1" thickBot="1" x14ac:dyDescent="0.3">
      <c r="A51" s="535" t="s">
        <v>208</v>
      </c>
      <c r="B51" s="536"/>
      <c r="C51" s="537"/>
    </row>
    <row r="52" spans="1:7" ht="13.8" hidden="1" thickBot="1" x14ac:dyDescent="0.3">
      <c r="A52" s="535" t="s">
        <v>209</v>
      </c>
      <c r="B52" s="536"/>
      <c r="C52" s="537"/>
    </row>
  </sheetData>
  <sheetProtection formatCells="0"/>
  <mergeCells count="3">
    <mergeCell ref="A2:B2"/>
    <mergeCell ref="A4:B4"/>
    <mergeCell ref="D2:G2"/>
  </mergeCells>
  <phoneticPr fontId="33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65" orientation="portrait" verticalDpi="300" r:id="rId1"/>
  <headerFooter alignWithMargins="0">
    <oddHeader>&amp;R&amp;"Times New Roman CE,Félkövér"&amp;11 10. melléklet az 5/2019. (IV. 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25"/>
  <sheetViews>
    <sheetView view="pageLayout" zoomScaleNormal="100" zoomScaleSheetLayoutView="100" workbookViewId="0">
      <selection activeCell="D11" sqref="D11"/>
    </sheetView>
  </sheetViews>
  <sheetFormatPr defaultRowHeight="13.2" x14ac:dyDescent="0.25"/>
  <cols>
    <col min="1" max="1" width="62.109375" style="1290" customWidth="1"/>
    <col min="2" max="4" width="14.77734375" style="1290" customWidth="1"/>
    <col min="5" max="255" width="9.33203125" style="1290"/>
    <col min="256" max="256" width="9.44140625" style="1290" customWidth="1"/>
    <col min="257" max="257" width="47.77734375" style="1290" customWidth="1"/>
    <col min="258" max="260" width="38.33203125" style="1290" customWidth="1"/>
    <col min="261" max="511" width="9.33203125" style="1290"/>
    <col min="512" max="512" width="9.44140625" style="1290" customWidth="1"/>
    <col min="513" max="513" width="47.77734375" style="1290" customWidth="1"/>
    <col min="514" max="516" width="38.33203125" style="1290" customWidth="1"/>
    <col min="517" max="767" width="9.33203125" style="1290"/>
    <col min="768" max="768" width="9.44140625" style="1290" customWidth="1"/>
    <col min="769" max="769" width="47.77734375" style="1290" customWidth="1"/>
    <col min="770" max="772" width="38.33203125" style="1290" customWidth="1"/>
    <col min="773" max="1023" width="9.33203125" style="1290"/>
    <col min="1024" max="1024" width="9.44140625" style="1290" customWidth="1"/>
    <col min="1025" max="1025" width="47.77734375" style="1290" customWidth="1"/>
    <col min="1026" max="1028" width="38.33203125" style="1290" customWidth="1"/>
    <col min="1029" max="1279" width="9.33203125" style="1290"/>
    <col min="1280" max="1280" width="9.44140625" style="1290" customWidth="1"/>
    <col min="1281" max="1281" width="47.77734375" style="1290" customWidth="1"/>
    <col min="1282" max="1284" width="38.33203125" style="1290" customWidth="1"/>
    <col min="1285" max="1535" width="9.33203125" style="1290"/>
    <col min="1536" max="1536" width="9.44140625" style="1290" customWidth="1"/>
    <col min="1537" max="1537" width="47.77734375" style="1290" customWidth="1"/>
    <col min="1538" max="1540" width="38.33203125" style="1290" customWidth="1"/>
    <col min="1541" max="1791" width="9.33203125" style="1290"/>
    <col min="1792" max="1792" width="9.44140625" style="1290" customWidth="1"/>
    <col min="1793" max="1793" width="47.77734375" style="1290" customWidth="1"/>
    <col min="1794" max="1796" width="38.33203125" style="1290" customWidth="1"/>
    <col min="1797" max="2047" width="9.33203125" style="1290"/>
    <col min="2048" max="2048" width="9.44140625" style="1290" customWidth="1"/>
    <col min="2049" max="2049" width="47.77734375" style="1290" customWidth="1"/>
    <col min="2050" max="2052" width="38.33203125" style="1290" customWidth="1"/>
    <col min="2053" max="2303" width="9.33203125" style="1290"/>
    <col min="2304" max="2304" width="9.44140625" style="1290" customWidth="1"/>
    <col min="2305" max="2305" width="47.77734375" style="1290" customWidth="1"/>
    <col min="2306" max="2308" width="38.33203125" style="1290" customWidth="1"/>
    <col min="2309" max="2559" width="9.33203125" style="1290"/>
    <col min="2560" max="2560" width="9.44140625" style="1290" customWidth="1"/>
    <col min="2561" max="2561" width="47.77734375" style="1290" customWidth="1"/>
    <col min="2562" max="2564" width="38.33203125" style="1290" customWidth="1"/>
    <col min="2565" max="2815" width="9.33203125" style="1290"/>
    <col min="2816" max="2816" width="9.44140625" style="1290" customWidth="1"/>
    <col min="2817" max="2817" width="47.77734375" style="1290" customWidth="1"/>
    <col min="2818" max="2820" width="38.33203125" style="1290" customWidth="1"/>
    <col min="2821" max="3071" width="9.33203125" style="1290"/>
    <col min="3072" max="3072" width="9.44140625" style="1290" customWidth="1"/>
    <col min="3073" max="3073" width="47.77734375" style="1290" customWidth="1"/>
    <col min="3074" max="3076" width="38.33203125" style="1290" customWidth="1"/>
    <col min="3077" max="3327" width="9.33203125" style="1290"/>
    <col min="3328" max="3328" width="9.44140625" style="1290" customWidth="1"/>
    <col min="3329" max="3329" width="47.77734375" style="1290" customWidth="1"/>
    <col min="3330" max="3332" width="38.33203125" style="1290" customWidth="1"/>
    <col min="3333" max="3583" width="9.33203125" style="1290"/>
    <col min="3584" max="3584" width="9.44140625" style="1290" customWidth="1"/>
    <col min="3585" max="3585" width="47.77734375" style="1290" customWidth="1"/>
    <col min="3586" max="3588" width="38.33203125" style="1290" customWidth="1"/>
    <col min="3589" max="3839" width="9.33203125" style="1290"/>
    <col min="3840" max="3840" width="9.44140625" style="1290" customWidth="1"/>
    <col min="3841" max="3841" width="47.77734375" style="1290" customWidth="1"/>
    <col min="3842" max="3844" width="38.33203125" style="1290" customWidth="1"/>
    <col min="3845" max="4095" width="9.33203125" style="1290"/>
    <col min="4096" max="4096" width="9.44140625" style="1290" customWidth="1"/>
    <col min="4097" max="4097" width="47.77734375" style="1290" customWidth="1"/>
    <col min="4098" max="4100" width="38.33203125" style="1290" customWidth="1"/>
    <col min="4101" max="4351" width="9.33203125" style="1290"/>
    <col min="4352" max="4352" width="9.44140625" style="1290" customWidth="1"/>
    <col min="4353" max="4353" width="47.77734375" style="1290" customWidth="1"/>
    <col min="4354" max="4356" width="38.33203125" style="1290" customWidth="1"/>
    <col min="4357" max="4607" width="9.33203125" style="1290"/>
    <col min="4608" max="4608" width="9.44140625" style="1290" customWidth="1"/>
    <col min="4609" max="4609" width="47.77734375" style="1290" customWidth="1"/>
    <col min="4610" max="4612" width="38.33203125" style="1290" customWidth="1"/>
    <col min="4613" max="4863" width="9.33203125" style="1290"/>
    <col min="4864" max="4864" width="9.44140625" style="1290" customWidth="1"/>
    <col min="4865" max="4865" width="47.77734375" style="1290" customWidth="1"/>
    <col min="4866" max="4868" width="38.33203125" style="1290" customWidth="1"/>
    <col min="4869" max="5119" width="9.33203125" style="1290"/>
    <col min="5120" max="5120" width="9.44140625" style="1290" customWidth="1"/>
    <col min="5121" max="5121" width="47.77734375" style="1290" customWidth="1"/>
    <col min="5122" max="5124" width="38.33203125" style="1290" customWidth="1"/>
    <col min="5125" max="5375" width="9.33203125" style="1290"/>
    <col min="5376" max="5376" width="9.44140625" style="1290" customWidth="1"/>
    <col min="5377" max="5377" width="47.77734375" style="1290" customWidth="1"/>
    <col min="5378" max="5380" width="38.33203125" style="1290" customWidth="1"/>
    <col min="5381" max="5631" width="9.33203125" style="1290"/>
    <col min="5632" max="5632" width="9.44140625" style="1290" customWidth="1"/>
    <col min="5633" max="5633" width="47.77734375" style="1290" customWidth="1"/>
    <col min="5634" max="5636" width="38.33203125" style="1290" customWidth="1"/>
    <col min="5637" max="5887" width="9.33203125" style="1290"/>
    <col min="5888" max="5888" width="9.44140625" style="1290" customWidth="1"/>
    <col min="5889" max="5889" width="47.77734375" style="1290" customWidth="1"/>
    <col min="5890" max="5892" width="38.33203125" style="1290" customWidth="1"/>
    <col min="5893" max="6143" width="9.33203125" style="1290"/>
    <col min="6144" max="6144" width="9.44140625" style="1290" customWidth="1"/>
    <col min="6145" max="6145" width="47.77734375" style="1290" customWidth="1"/>
    <col min="6146" max="6148" width="38.33203125" style="1290" customWidth="1"/>
    <col min="6149" max="6399" width="9.33203125" style="1290"/>
    <col min="6400" max="6400" width="9.44140625" style="1290" customWidth="1"/>
    <col min="6401" max="6401" width="47.77734375" style="1290" customWidth="1"/>
    <col min="6402" max="6404" width="38.33203125" style="1290" customWidth="1"/>
    <col min="6405" max="6655" width="9.33203125" style="1290"/>
    <col min="6656" max="6656" width="9.44140625" style="1290" customWidth="1"/>
    <col min="6657" max="6657" width="47.77734375" style="1290" customWidth="1"/>
    <col min="6658" max="6660" width="38.33203125" style="1290" customWidth="1"/>
    <col min="6661" max="6911" width="9.33203125" style="1290"/>
    <col min="6912" max="6912" width="9.44140625" style="1290" customWidth="1"/>
    <col min="6913" max="6913" width="47.77734375" style="1290" customWidth="1"/>
    <col min="6914" max="6916" width="38.33203125" style="1290" customWidth="1"/>
    <col min="6917" max="7167" width="9.33203125" style="1290"/>
    <col min="7168" max="7168" width="9.44140625" style="1290" customWidth="1"/>
    <col min="7169" max="7169" width="47.77734375" style="1290" customWidth="1"/>
    <col min="7170" max="7172" width="38.33203125" style="1290" customWidth="1"/>
    <col min="7173" max="7423" width="9.33203125" style="1290"/>
    <col min="7424" max="7424" width="9.44140625" style="1290" customWidth="1"/>
    <col min="7425" max="7425" width="47.77734375" style="1290" customWidth="1"/>
    <col min="7426" max="7428" width="38.33203125" style="1290" customWidth="1"/>
    <col min="7429" max="7679" width="9.33203125" style="1290"/>
    <col min="7680" max="7680" width="9.44140625" style="1290" customWidth="1"/>
    <col min="7681" max="7681" width="47.77734375" style="1290" customWidth="1"/>
    <col min="7682" max="7684" width="38.33203125" style="1290" customWidth="1"/>
    <col min="7685" max="7935" width="9.33203125" style="1290"/>
    <col min="7936" max="7936" width="9.44140625" style="1290" customWidth="1"/>
    <col min="7937" max="7937" width="47.77734375" style="1290" customWidth="1"/>
    <col min="7938" max="7940" width="38.33203125" style="1290" customWidth="1"/>
    <col min="7941" max="8191" width="9.33203125" style="1290"/>
    <col min="8192" max="8192" width="9.44140625" style="1290" customWidth="1"/>
    <col min="8193" max="8193" width="47.77734375" style="1290" customWidth="1"/>
    <col min="8194" max="8196" width="38.33203125" style="1290" customWidth="1"/>
    <col min="8197" max="8447" width="9.33203125" style="1290"/>
    <col min="8448" max="8448" width="9.44140625" style="1290" customWidth="1"/>
    <col min="8449" max="8449" width="47.77734375" style="1290" customWidth="1"/>
    <col min="8450" max="8452" width="38.33203125" style="1290" customWidth="1"/>
    <col min="8453" max="8703" width="9.33203125" style="1290"/>
    <col min="8704" max="8704" width="9.44140625" style="1290" customWidth="1"/>
    <col min="8705" max="8705" width="47.77734375" style="1290" customWidth="1"/>
    <col min="8706" max="8708" width="38.33203125" style="1290" customWidth="1"/>
    <col min="8709" max="8959" width="9.33203125" style="1290"/>
    <col min="8960" max="8960" width="9.44140625" style="1290" customWidth="1"/>
    <col min="8961" max="8961" width="47.77734375" style="1290" customWidth="1"/>
    <col min="8962" max="8964" width="38.33203125" style="1290" customWidth="1"/>
    <col min="8965" max="9215" width="9.33203125" style="1290"/>
    <col min="9216" max="9216" width="9.44140625" style="1290" customWidth="1"/>
    <col min="9217" max="9217" width="47.77734375" style="1290" customWidth="1"/>
    <col min="9218" max="9220" width="38.33203125" style="1290" customWidth="1"/>
    <col min="9221" max="9471" width="9.33203125" style="1290"/>
    <col min="9472" max="9472" width="9.44140625" style="1290" customWidth="1"/>
    <col min="9473" max="9473" width="47.77734375" style="1290" customWidth="1"/>
    <col min="9474" max="9476" width="38.33203125" style="1290" customWidth="1"/>
    <col min="9477" max="9727" width="9.33203125" style="1290"/>
    <col min="9728" max="9728" width="9.44140625" style="1290" customWidth="1"/>
    <col min="9729" max="9729" width="47.77734375" style="1290" customWidth="1"/>
    <col min="9730" max="9732" width="38.33203125" style="1290" customWidth="1"/>
    <col min="9733" max="9983" width="9.33203125" style="1290"/>
    <col min="9984" max="9984" width="9.44140625" style="1290" customWidth="1"/>
    <col min="9985" max="9985" width="47.77734375" style="1290" customWidth="1"/>
    <col min="9986" max="9988" width="38.33203125" style="1290" customWidth="1"/>
    <col min="9989" max="10239" width="9.33203125" style="1290"/>
    <col min="10240" max="10240" width="9.44140625" style="1290" customWidth="1"/>
    <col min="10241" max="10241" width="47.77734375" style="1290" customWidth="1"/>
    <col min="10242" max="10244" width="38.33203125" style="1290" customWidth="1"/>
    <col min="10245" max="10495" width="9.33203125" style="1290"/>
    <col min="10496" max="10496" width="9.44140625" style="1290" customWidth="1"/>
    <col min="10497" max="10497" width="47.77734375" style="1290" customWidth="1"/>
    <col min="10498" max="10500" width="38.33203125" style="1290" customWidth="1"/>
    <col min="10501" max="10751" width="9.33203125" style="1290"/>
    <col min="10752" max="10752" width="9.44140625" style="1290" customWidth="1"/>
    <col min="10753" max="10753" width="47.77734375" style="1290" customWidth="1"/>
    <col min="10754" max="10756" width="38.33203125" style="1290" customWidth="1"/>
    <col min="10757" max="11007" width="9.33203125" style="1290"/>
    <col min="11008" max="11008" width="9.44140625" style="1290" customWidth="1"/>
    <col min="11009" max="11009" width="47.77734375" style="1290" customWidth="1"/>
    <col min="11010" max="11012" width="38.33203125" style="1290" customWidth="1"/>
    <col min="11013" max="11263" width="9.33203125" style="1290"/>
    <col min="11264" max="11264" width="9.44140625" style="1290" customWidth="1"/>
    <col min="11265" max="11265" width="47.77734375" style="1290" customWidth="1"/>
    <col min="11266" max="11268" width="38.33203125" style="1290" customWidth="1"/>
    <col min="11269" max="11519" width="9.33203125" style="1290"/>
    <col min="11520" max="11520" width="9.44140625" style="1290" customWidth="1"/>
    <col min="11521" max="11521" width="47.77734375" style="1290" customWidth="1"/>
    <col min="11522" max="11524" width="38.33203125" style="1290" customWidth="1"/>
    <col min="11525" max="11775" width="9.33203125" style="1290"/>
    <col min="11776" max="11776" width="9.44140625" style="1290" customWidth="1"/>
    <col min="11777" max="11777" width="47.77734375" style="1290" customWidth="1"/>
    <col min="11778" max="11780" width="38.33203125" style="1290" customWidth="1"/>
    <col min="11781" max="12031" width="9.33203125" style="1290"/>
    <col min="12032" max="12032" width="9.44140625" style="1290" customWidth="1"/>
    <col min="12033" max="12033" width="47.77734375" style="1290" customWidth="1"/>
    <col min="12034" max="12036" width="38.33203125" style="1290" customWidth="1"/>
    <col min="12037" max="12287" width="9.33203125" style="1290"/>
    <col min="12288" max="12288" width="9.44140625" style="1290" customWidth="1"/>
    <col min="12289" max="12289" width="47.77734375" style="1290" customWidth="1"/>
    <col min="12290" max="12292" width="38.33203125" style="1290" customWidth="1"/>
    <col min="12293" max="12543" width="9.33203125" style="1290"/>
    <col min="12544" max="12544" width="9.44140625" style="1290" customWidth="1"/>
    <col min="12545" max="12545" width="47.77734375" style="1290" customWidth="1"/>
    <col min="12546" max="12548" width="38.33203125" style="1290" customWidth="1"/>
    <col min="12549" max="12799" width="9.33203125" style="1290"/>
    <col min="12800" max="12800" width="9.44140625" style="1290" customWidth="1"/>
    <col min="12801" max="12801" width="47.77734375" style="1290" customWidth="1"/>
    <col min="12802" max="12804" width="38.33203125" style="1290" customWidth="1"/>
    <col min="12805" max="13055" width="9.33203125" style="1290"/>
    <col min="13056" max="13056" width="9.44140625" style="1290" customWidth="1"/>
    <col min="13057" max="13057" width="47.77734375" style="1290" customWidth="1"/>
    <col min="13058" max="13060" width="38.33203125" style="1290" customWidth="1"/>
    <col min="13061" max="13311" width="9.33203125" style="1290"/>
    <col min="13312" max="13312" width="9.44140625" style="1290" customWidth="1"/>
    <col min="13313" max="13313" width="47.77734375" style="1290" customWidth="1"/>
    <col min="13314" max="13316" width="38.33203125" style="1290" customWidth="1"/>
    <col min="13317" max="13567" width="9.33203125" style="1290"/>
    <col min="13568" max="13568" width="9.44140625" style="1290" customWidth="1"/>
    <col min="13569" max="13569" width="47.77734375" style="1290" customWidth="1"/>
    <col min="13570" max="13572" width="38.33203125" style="1290" customWidth="1"/>
    <col min="13573" max="13823" width="9.33203125" style="1290"/>
    <col min="13824" max="13824" width="9.44140625" style="1290" customWidth="1"/>
    <col min="13825" max="13825" width="47.77734375" style="1290" customWidth="1"/>
    <col min="13826" max="13828" width="38.33203125" style="1290" customWidth="1"/>
    <col min="13829" max="14079" width="9.33203125" style="1290"/>
    <col min="14080" max="14080" width="9.44140625" style="1290" customWidth="1"/>
    <col min="14081" max="14081" width="47.77734375" style="1290" customWidth="1"/>
    <col min="14082" max="14084" width="38.33203125" style="1290" customWidth="1"/>
    <col min="14085" max="14335" width="9.33203125" style="1290"/>
    <col min="14336" max="14336" width="9.44140625" style="1290" customWidth="1"/>
    <col min="14337" max="14337" width="47.77734375" style="1290" customWidth="1"/>
    <col min="14338" max="14340" width="38.33203125" style="1290" customWidth="1"/>
    <col min="14341" max="14591" width="9.33203125" style="1290"/>
    <col min="14592" max="14592" width="9.44140625" style="1290" customWidth="1"/>
    <col min="14593" max="14593" width="47.77734375" style="1290" customWidth="1"/>
    <col min="14594" max="14596" width="38.33203125" style="1290" customWidth="1"/>
    <col min="14597" max="14847" width="9.33203125" style="1290"/>
    <col min="14848" max="14848" width="9.44140625" style="1290" customWidth="1"/>
    <col min="14849" max="14849" width="47.77734375" style="1290" customWidth="1"/>
    <col min="14850" max="14852" width="38.33203125" style="1290" customWidth="1"/>
    <col min="14853" max="15103" width="9.33203125" style="1290"/>
    <col min="15104" max="15104" width="9.44140625" style="1290" customWidth="1"/>
    <col min="15105" max="15105" width="47.77734375" style="1290" customWidth="1"/>
    <col min="15106" max="15108" width="38.33203125" style="1290" customWidth="1"/>
    <col min="15109" max="15359" width="9.33203125" style="1290"/>
    <col min="15360" max="15360" width="9.44140625" style="1290" customWidth="1"/>
    <col min="15361" max="15361" width="47.77734375" style="1290" customWidth="1"/>
    <col min="15362" max="15364" width="38.33203125" style="1290" customWidth="1"/>
    <col min="15365" max="15615" width="9.33203125" style="1290"/>
    <col min="15616" max="15616" width="9.44140625" style="1290" customWidth="1"/>
    <col min="15617" max="15617" width="47.77734375" style="1290" customWidth="1"/>
    <col min="15618" max="15620" width="38.33203125" style="1290" customWidth="1"/>
    <col min="15621" max="15871" width="9.33203125" style="1290"/>
    <col min="15872" max="15872" width="9.44140625" style="1290" customWidth="1"/>
    <col min="15873" max="15873" width="47.77734375" style="1290" customWidth="1"/>
    <col min="15874" max="15876" width="38.33203125" style="1290" customWidth="1"/>
    <col min="15877" max="16127" width="9.33203125" style="1290"/>
    <col min="16128" max="16128" width="9.44140625" style="1290" customWidth="1"/>
    <col min="16129" max="16129" width="47.77734375" style="1290" customWidth="1"/>
    <col min="16130" max="16132" width="38.33203125" style="1290" customWidth="1"/>
    <col min="16133" max="16384" width="9.33203125" style="1290"/>
  </cols>
  <sheetData>
    <row r="1" spans="1:4" x14ac:dyDescent="0.25">
      <c r="A1" s="1291"/>
      <c r="B1" s="1403"/>
      <c r="C1" s="1403"/>
      <c r="D1" s="1403"/>
    </row>
    <row r="2" spans="1:4" ht="46.5" customHeight="1" x14ac:dyDescent="0.3">
      <c r="A2" s="1401" t="s">
        <v>1286</v>
      </c>
      <c r="B2" s="1402"/>
      <c r="C2" s="1402"/>
      <c r="D2" s="1402"/>
    </row>
    <row r="3" spans="1:4" ht="13.8" thickBot="1" x14ac:dyDescent="0.3"/>
    <row r="4" spans="1:4" ht="26.4" x14ac:dyDescent="0.25">
      <c r="A4" s="1303" t="s">
        <v>12</v>
      </c>
      <c r="B4" s="1303" t="s">
        <v>1230</v>
      </c>
      <c r="C4" s="1303" t="s">
        <v>1231</v>
      </c>
      <c r="D4" s="1304" t="s">
        <v>1232</v>
      </c>
    </row>
    <row r="5" spans="1:4" x14ac:dyDescent="0.25">
      <c r="A5" s="1305">
        <v>1</v>
      </c>
      <c r="B5" s="1305">
        <v>2</v>
      </c>
      <c r="C5" s="1305">
        <v>3</v>
      </c>
      <c r="D5" s="1306">
        <v>4</v>
      </c>
    </row>
    <row r="6" spans="1:4" ht="24.9" customHeight="1" x14ac:dyDescent="0.25">
      <c r="A6" s="1297" t="s">
        <v>1233</v>
      </c>
      <c r="B6" s="1301">
        <v>15060</v>
      </c>
      <c r="C6" s="1301">
        <f>D6-B6</f>
        <v>13395</v>
      </c>
      <c r="D6" s="1292">
        <v>28455</v>
      </c>
    </row>
    <row r="7" spans="1:4" ht="24.9" customHeight="1" x14ac:dyDescent="0.25">
      <c r="A7" s="1298" t="s">
        <v>1234</v>
      </c>
      <c r="B7" s="1299">
        <v>15060</v>
      </c>
      <c r="C7" s="1299">
        <f t="shared" ref="C7:C25" si="0">D7-B7</f>
        <v>13395</v>
      </c>
      <c r="D7" s="1293">
        <v>28455</v>
      </c>
    </row>
    <row r="8" spans="1:4" ht="24.9" customHeight="1" x14ac:dyDescent="0.25">
      <c r="A8" s="1297" t="s">
        <v>1235</v>
      </c>
      <c r="B8" s="1301">
        <v>184777</v>
      </c>
      <c r="C8" s="1301">
        <f t="shared" si="0"/>
        <v>-146048</v>
      </c>
      <c r="D8" s="1292">
        <v>38729</v>
      </c>
    </row>
    <row r="9" spans="1:4" ht="24.9" customHeight="1" x14ac:dyDescent="0.25">
      <c r="A9" s="1298" t="s">
        <v>1236</v>
      </c>
      <c r="B9" s="1299">
        <v>184777</v>
      </c>
      <c r="C9" s="1299">
        <f t="shared" si="0"/>
        <v>-146048</v>
      </c>
      <c r="D9" s="1293">
        <v>38729</v>
      </c>
    </row>
    <row r="10" spans="1:4" ht="24.9" customHeight="1" x14ac:dyDescent="0.25">
      <c r="A10" s="1298" t="s">
        <v>1237</v>
      </c>
      <c r="B10" s="1299">
        <v>199837</v>
      </c>
      <c r="C10" s="1299">
        <f t="shared" si="0"/>
        <v>-132653</v>
      </c>
      <c r="D10" s="1300">
        <v>67184</v>
      </c>
    </row>
    <row r="11" spans="1:4" ht="24.9" customHeight="1" x14ac:dyDescent="0.25">
      <c r="A11" s="1297" t="s">
        <v>1238</v>
      </c>
      <c r="B11" s="1301">
        <v>1000</v>
      </c>
      <c r="C11" s="1301">
        <f t="shared" si="0"/>
        <v>0</v>
      </c>
      <c r="D11" s="1302">
        <v>1000</v>
      </c>
    </row>
    <row r="12" spans="1:4" ht="24.9" customHeight="1" x14ac:dyDescent="0.25">
      <c r="A12" s="1297" t="s">
        <v>1239</v>
      </c>
      <c r="B12" s="1301">
        <v>1000</v>
      </c>
      <c r="C12" s="1301">
        <f t="shared" si="0"/>
        <v>0</v>
      </c>
      <c r="D12" s="1302">
        <v>1000</v>
      </c>
    </row>
    <row r="13" spans="1:4" ht="24.9" customHeight="1" x14ac:dyDescent="0.25">
      <c r="A13" s="1298" t="s">
        <v>1240</v>
      </c>
      <c r="B13" s="1299">
        <v>1000</v>
      </c>
      <c r="C13" s="1299">
        <f t="shared" si="0"/>
        <v>0</v>
      </c>
      <c r="D13" s="1300">
        <v>1000</v>
      </c>
    </row>
    <row r="14" spans="1:4" ht="24.9" customHeight="1" x14ac:dyDescent="0.25">
      <c r="A14" s="1298" t="s">
        <v>1241</v>
      </c>
      <c r="B14" s="1299">
        <v>1000</v>
      </c>
      <c r="C14" s="1299">
        <f t="shared" si="0"/>
        <v>0</v>
      </c>
      <c r="D14" s="1300">
        <v>1000</v>
      </c>
    </row>
    <row r="15" spans="1:4" ht="24.9" customHeight="1" x14ac:dyDescent="0.25">
      <c r="A15" s="1307" t="s">
        <v>1242</v>
      </c>
      <c r="B15" s="1308">
        <v>200837</v>
      </c>
      <c r="C15" s="1308">
        <f t="shared" si="0"/>
        <v>-132653</v>
      </c>
      <c r="D15" s="1309">
        <v>68184</v>
      </c>
    </row>
    <row r="16" spans="1:4" ht="24.9" customHeight="1" x14ac:dyDescent="0.25">
      <c r="A16" s="1297" t="s">
        <v>1243</v>
      </c>
      <c r="B16" s="1301">
        <v>71000</v>
      </c>
      <c r="C16" s="1301">
        <f t="shared" si="0"/>
        <v>0</v>
      </c>
      <c r="D16" s="1302">
        <v>71000</v>
      </c>
    </row>
    <row r="17" spans="1:4" ht="24.9" customHeight="1" x14ac:dyDescent="0.25">
      <c r="A17" s="1297" t="s">
        <v>1244</v>
      </c>
      <c r="B17" s="1301">
        <v>76080</v>
      </c>
      <c r="C17" s="1301">
        <f t="shared" si="0"/>
        <v>-3657117</v>
      </c>
      <c r="D17" s="1302">
        <v>-3581037</v>
      </c>
    </row>
    <row r="18" spans="1:4" ht="24.9" customHeight="1" x14ac:dyDescent="0.25">
      <c r="A18" s="1297" t="s">
        <v>1245</v>
      </c>
      <c r="B18" s="1301">
        <v>-3657117</v>
      </c>
      <c r="C18" s="1301">
        <f t="shared" si="0"/>
        <v>2827837</v>
      </c>
      <c r="D18" s="1302">
        <v>-829280</v>
      </c>
    </row>
    <row r="19" spans="1:4" ht="24.9" customHeight="1" x14ac:dyDescent="0.25">
      <c r="A19" s="1298" t="s">
        <v>1246</v>
      </c>
      <c r="B19" s="1299">
        <v>-3510037</v>
      </c>
      <c r="C19" s="1299">
        <f t="shared" si="0"/>
        <v>-829280</v>
      </c>
      <c r="D19" s="1300">
        <v>-4339317</v>
      </c>
    </row>
    <row r="20" spans="1:4" ht="24.9" customHeight="1" x14ac:dyDescent="0.25">
      <c r="A20" s="1297" t="s">
        <v>1247</v>
      </c>
      <c r="B20" s="1301">
        <v>0</v>
      </c>
      <c r="C20" s="1301">
        <f t="shared" si="0"/>
        <v>16712</v>
      </c>
      <c r="D20" s="1302">
        <v>16712</v>
      </c>
    </row>
    <row r="21" spans="1:4" ht="24.9" customHeight="1" x14ac:dyDescent="0.25">
      <c r="A21" s="1298" t="s">
        <v>1248</v>
      </c>
      <c r="B21" s="1299">
        <v>0</v>
      </c>
      <c r="C21" s="1301">
        <f t="shared" si="0"/>
        <v>16712</v>
      </c>
      <c r="D21" s="1300">
        <v>16712</v>
      </c>
    </row>
    <row r="22" spans="1:4" ht="24.9" customHeight="1" x14ac:dyDescent="0.25">
      <c r="A22" s="1298" t="s">
        <v>1249</v>
      </c>
      <c r="B22" s="1299">
        <v>0</v>
      </c>
      <c r="C22" s="1301">
        <f t="shared" si="0"/>
        <v>16712</v>
      </c>
      <c r="D22" s="1300">
        <v>16712</v>
      </c>
    </row>
    <row r="23" spans="1:4" ht="24.9" customHeight="1" x14ac:dyDescent="0.25">
      <c r="A23" s="1297" t="s">
        <v>1250</v>
      </c>
      <c r="B23" s="1301">
        <v>3710874</v>
      </c>
      <c r="C23" s="1301">
        <f t="shared" si="0"/>
        <v>679915</v>
      </c>
      <c r="D23" s="1302">
        <v>4390789</v>
      </c>
    </row>
    <row r="24" spans="1:4" ht="24.9" customHeight="1" x14ac:dyDescent="0.25">
      <c r="A24" s="1298" t="s">
        <v>1251</v>
      </c>
      <c r="B24" s="1299">
        <v>3710874</v>
      </c>
      <c r="C24" s="1299">
        <f t="shared" si="0"/>
        <v>679915</v>
      </c>
      <c r="D24" s="1300">
        <v>4390789</v>
      </c>
    </row>
    <row r="25" spans="1:4" ht="24.9" customHeight="1" thickBot="1" x14ac:dyDescent="0.3">
      <c r="A25" s="1310" t="s">
        <v>1252</v>
      </c>
      <c r="B25" s="1311">
        <v>200837</v>
      </c>
      <c r="C25" s="1311">
        <f t="shared" si="0"/>
        <v>-132653</v>
      </c>
      <c r="D25" s="1312">
        <v>68184</v>
      </c>
    </row>
  </sheetData>
  <mergeCells count="2">
    <mergeCell ref="A2:D2"/>
    <mergeCell ref="B1:D1"/>
  </mergeCells>
  <pageMargins left="0.75" right="0.75" top="1" bottom="1" header="0.5" footer="0.5"/>
  <pageSetup scale="93" orientation="portrait" horizontalDpi="300" verticalDpi="300" r:id="rId1"/>
  <headerFooter alignWithMargins="0">
    <oddHeader>&amp;R&amp;"Times New Roman CE,Félkövér"&amp;11 11. melléklet az 5/2019. (IV. 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31"/>
  <sheetViews>
    <sheetView view="pageLayout" zoomScaleNormal="100" zoomScaleSheetLayoutView="100" workbookViewId="0">
      <selection activeCell="C2" sqref="C2"/>
    </sheetView>
  </sheetViews>
  <sheetFormatPr defaultRowHeight="13.2" x14ac:dyDescent="0.25"/>
  <cols>
    <col min="1" max="1" width="62.109375" style="1290" customWidth="1"/>
    <col min="2" max="4" width="14.77734375" style="1290" customWidth="1"/>
    <col min="5" max="255" width="9.33203125" style="1290"/>
    <col min="256" max="256" width="9.44140625" style="1290" customWidth="1"/>
    <col min="257" max="257" width="47.77734375" style="1290" customWidth="1"/>
    <col min="258" max="260" width="38.33203125" style="1290" customWidth="1"/>
    <col min="261" max="511" width="9.33203125" style="1290"/>
    <col min="512" max="512" width="9.44140625" style="1290" customWidth="1"/>
    <col min="513" max="513" width="47.77734375" style="1290" customWidth="1"/>
    <col min="514" max="516" width="38.33203125" style="1290" customWidth="1"/>
    <col min="517" max="767" width="9.33203125" style="1290"/>
    <col min="768" max="768" width="9.44140625" style="1290" customWidth="1"/>
    <col min="769" max="769" width="47.77734375" style="1290" customWidth="1"/>
    <col min="770" max="772" width="38.33203125" style="1290" customWidth="1"/>
    <col min="773" max="1023" width="9.33203125" style="1290"/>
    <col min="1024" max="1024" width="9.44140625" style="1290" customWidth="1"/>
    <col min="1025" max="1025" width="47.77734375" style="1290" customWidth="1"/>
    <col min="1026" max="1028" width="38.33203125" style="1290" customWidth="1"/>
    <col min="1029" max="1279" width="9.33203125" style="1290"/>
    <col min="1280" max="1280" width="9.44140625" style="1290" customWidth="1"/>
    <col min="1281" max="1281" width="47.77734375" style="1290" customWidth="1"/>
    <col min="1282" max="1284" width="38.33203125" style="1290" customWidth="1"/>
    <col min="1285" max="1535" width="9.33203125" style="1290"/>
    <col min="1536" max="1536" width="9.44140625" style="1290" customWidth="1"/>
    <col min="1537" max="1537" width="47.77734375" style="1290" customWidth="1"/>
    <col min="1538" max="1540" width="38.33203125" style="1290" customWidth="1"/>
    <col min="1541" max="1791" width="9.33203125" style="1290"/>
    <col min="1792" max="1792" width="9.44140625" style="1290" customWidth="1"/>
    <col min="1793" max="1793" width="47.77734375" style="1290" customWidth="1"/>
    <col min="1794" max="1796" width="38.33203125" style="1290" customWidth="1"/>
    <col min="1797" max="2047" width="9.33203125" style="1290"/>
    <col min="2048" max="2048" width="9.44140625" style="1290" customWidth="1"/>
    <col min="2049" max="2049" width="47.77734375" style="1290" customWidth="1"/>
    <col min="2050" max="2052" width="38.33203125" style="1290" customWidth="1"/>
    <col min="2053" max="2303" width="9.33203125" style="1290"/>
    <col min="2304" max="2304" width="9.44140625" style="1290" customWidth="1"/>
    <col min="2305" max="2305" width="47.77734375" style="1290" customWidth="1"/>
    <col min="2306" max="2308" width="38.33203125" style="1290" customWidth="1"/>
    <col min="2309" max="2559" width="9.33203125" style="1290"/>
    <col min="2560" max="2560" width="9.44140625" style="1290" customWidth="1"/>
    <col min="2561" max="2561" width="47.77734375" style="1290" customWidth="1"/>
    <col min="2562" max="2564" width="38.33203125" style="1290" customWidth="1"/>
    <col min="2565" max="2815" width="9.33203125" style="1290"/>
    <col min="2816" max="2816" width="9.44140625" style="1290" customWidth="1"/>
    <col min="2817" max="2817" width="47.77734375" style="1290" customWidth="1"/>
    <col min="2818" max="2820" width="38.33203125" style="1290" customWidth="1"/>
    <col min="2821" max="3071" width="9.33203125" style="1290"/>
    <col min="3072" max="3072" width="9.44140625" style="1290" customWidth="1"/>
    <col min="3073" max="3073" width="47.77734375" style="1290" customWidth="1"/>
    <col min="3074" max="3076" width="38.33203125" style="1290" customWidth="1"/>
    <col min="3077" max="3327" width="9.33203125" style="1290"/>
    <col min="3328" max="3328" width="9.44140625" style="1290" customWidth="1"/>
    <col min="3329" max="3329" width="47.77734375" style="1290" customWidth="1"/>
    <col min="3330" max="3332" width="38.33203125" style="1290" customWidth="1"/>
    <col min="3333" max="3583" width="9.33203125" style="1290"/>
    <col min="3584" max="3584" width="9.44140625" style="1290" customWidth="1"/>
    <col min="3585" max="3585" width="47.77734375" style="1290" customWidth="1"/>
    <col min="3586" max="3588" width="38.33203125" style="1290" customWidth="1"/>
    <col min="3589" max="3839" width="9.33203125" style="1290"/>
    <col min="3840" max="3840" width="9.44140625" style="1290" customWidth="1"/>
    <col min="3841" max="3841" width="47.77734375" style="1290" customWidth="1"/>
    <col min="3842" max="3844" width="38.33203125" style="1290" customWidth="1"/>
    <col min="3845" max="4095" width="9.33203125" style="1290"/>
    <col min="4096" max="4096" width="9.44140625" style="1290" customWidth="1"/>
    <col min="4097" max="4097" width="47.77734375" style="1290" customWidth="1"/>
    <col min="4098" max="4100" width="38.33203125" style="1290" customWidth="1"/>
    <col min="4101" max="4351" width="9.33203125" style="1290"/>
    <col min="4352" max="4352" width="9.44140625" style="1290" customWidth="1"/>
    <col min="4353" max="4353" width="47.77734375" style="1290" customWidth="1"/>
    <col min="4354" max="4356" width="38.33203125" style="1290" customWidth="1"/>
    <col min="4357" max="4607" width="9.33203125" style="1290"/>
    <col min="4608" max="4608" width="9.44140625" style="1290" customWidth="1"/>
    <col min="4609" max="4609" width="47.77734375" style="1290" customWidth="1"/>
    <col min="4610" max="4612" width="38.33203125" style="1290" customWidth="1"/>
    <col min="4613" max="4863" width="9.33203125" style="1290"/>
    <col min="4864" max="4864" width="9.44140625" style="1290" customWidth="1"/>
    <col min="4865" max="4865" width="47.77734375" style="1290" customWidth="1"/>
    <col min="4866" max="4868" width="38.33203125" style="1290" customWidth="1"/>
    <col min="4869" max="5119" width="9.33203125" style="1290"/>
    <col min="5120" max="5120" width="9.44140625" style="1290" customWidth="1"/>
    <col min="5121" max="5121" width="47.77734375" style="1290" customWidth="1"/>
    <col min="5122" max="5124" width="38.33203125" style="1290" customWidth="1"/>
    <col min="5125" max="5375" width="9.33203125" style="1290"/>
    <col min="5376" max="5376" width="9.44140625" style="1290" customWidth="1"/>
    <col min="5377" max="5377" width="47.77734375" style="1290" customWidth="1"/>
    <col min="5378" max="5380" width="38.33203125" style="1290" customWidth="1"/>
    <col min="5381" max="5631" width="9.33203125" style="1290"/>
    <col min="5632" max="5632" width="9.44140625" style="1290" customWidth="1"/>
    <col min="5633" max="5633" width="47.77734375" style="1290" customWidth="1"/>
    <col min="5634" max="5636" width="38.33203125" style="1290" customWidth="1"/>
    <col min="5637" max="5887" width="9.33203125" style="1290"/>
    <col min="5888" max="5888" width="9.44140625" style="1290" customWidth="1"/>
    <col min="5889" max="5889" width="47.77734375" style="1290" customWidth="1"/>
    <col min="5890" max="5892" width="38.33203125" style="1290" customWidth="1"/>
    <col min="5893" max="6143" width="9.33203125" style="1290"/>
    <col min="6144" max="6144" width="9.44140625" style="1290" customWidth="1"/>
    <col min="6145" max="6145" width="47.77734375" style="1290" customWidth="1"/>
    <col min="6146" max="6148" width="38.33203125" style="1290" customWidth="1"/>
    <col min="6149" max="6399" width="9.33203125" style="1290"/>
    <col min="6400" max="6400" width="9.44140625" style="1290" customWidth="1"/>
    <col min="6401" max="6401" width="47.77734375" style="1290" customWidth="1"/>
    <col min="6402" max="6404" width="38.33203125" style="1290" customWidth="1"/>
    <col min="6405" max="6655" width="9.33203125" style="1290"/>
    <col min="6656" max="6656" width="9.44140625" style="1290" customWidth="1"/>
    <col min="6657" max="6657" width="47.77734375" style="1290" customWidth="1"/>
    <col min="6658" max="6660" width="38.33203125" style="1290" customWidth="1"/>
    <col min="6661" max="6911" width="9.33203125" style="1290"/>
    <col min="6912" max="6912" width="9.44140625" style="1290" customWidth="1"/>
    <col min="6913" max="6913" width="47.77734375" style="1290" customWidth="1"/>
    <col min="6914" max="6916" width="38.33203125" style="1290" customWidth="1"/>
    <col min="6917" max="7167" width="9.33203125" style="1290"/>
    <col min="7168" max="7168" width="9.44140625" style="1290" customWidth="1"/>
    <col min="7169" max="7169" width="47.77734375" style="1290" customWidth="1"/>
    <col min="7170" max="7172" width="38.33203125" style="1290" customWidth="1"/>
    <col min="7173" max="7423" width="9.33203125" style="1290"/>
    <col min="7424" max="7424" width="9.44140625" style="1290" customWidth="1"/>
    <col min="7425" max="7425" width="47.77734375" style="1290" customWidth="1"/>
    <col min="7426" max="7428" width="38.33203125" style="1290" customWidth="1"/>
    <col min="7429" max="7679" width="9.33203125" style="1290"/>
    <col min="7680" max="7680" width="9.44140625" style="1290" customWidth="1"/>
    <col min="7681" max="7681" width="47.77734375" style="1290" customWidth="1"/>
    <col min="7682" max="7684" width="38.33203125" style="1290" customWidth="1"/>
    <col min="7685" max="7935" width="9.33203125" style="1290"/>
    <col min="7936" max="7936" width="9.44140625" style="1290" customWidth="1"/>
    <col min="7937" max="7937" width="47.77734375" style="1290" customWidth="1"/>
    <col min="7938" max="7940" width="38.33203125" style="1290" customWidth="1"/>
    <col min="7941" max="8191" width="9.33203125" style="1290"/>
    <col min="8192" max="8192" width="9.44140625" style="1290" customWidth="1"/>
    <col min="8193" max="8193" width="47.77734375" style="1290" customWidth="1"/>
    <col min="8194" max="8196" width="38.33203125" style="1290" customWidth="1"/>
    <col min="8197" max="8447" width="9.33203125" style="1290"/>
    <col min="8448" max="8448" width="9.44140625" style="1290" customWidth="1"/>
    <col min="8449" max="8449" width="47.77734375" style="1290" customWidth="1"/>
    <col min="8450" max="8452" width="38.33203125" style="1290" customWidth="1"/>
    <col min="8453" max="8703" width="9.33203125" style="1290"/>
    <col min="8704" max="8704" width="9.44140625" style="1290" customWidth="1"/>
    <col min="8705" max="8705" width="47.77734375" style="1290" customWidth="1"/>
    <col min="8706" max="8708" width="38.33203125" style="1290" customWidth="1"/>
    <col min="8709" max="8959" width="9.33203125" style="1290"/>
    <col min="8960" max="8960" width="9.44140625" style="1290" customWidth="1"/>
    <col min="8961" max="8961" width="47.77734375" style="1290" customWidth="1"/>
    <col min="8962" max="8964" width="38.33203125" style="1290" customWidth="1"/>
    <col min="8965" max="9215" width="9.33203125" style="1290"/>
    <col min="9216" max="9216" width="9.44140625" style="1290" customWidth="1"/>
    <col min="9217" max="9217" width="47.77734375" style="1290" customWidth="1"/>
    <col min="9218" max="9220" width="38.33203125" style="1290" customWidth="1"/>
    <col min="9221" max="9471" width="9.33203125" style="1290"/>
    <col min="9472" max="9472" width="9.44140625" style="1290" customWidth="1"/>
    <col min="9473" max="9473" width="47.77734375" style="1290" customWidth="1"/>
    <col min="9474" max="9476" width="38.33203125" style="1290" customWidth="1"/>
    <col min="9477" max="9727" width="9.33203125" style="1290"/>
    <col min="9728" max="9728" width="9.44140625" style="1290" customWidth="1"/>
    <col min="9729" max="9729" width="47.77734375" style="1290" customWidth="1"/>
    <col min="9730" max="9732" width="38.33203125" style="1290" customWidth="1"/>
    <col min="9733" max="9983" width="9.33203125" style="1290"/>
    <col min="9984" max="9984" width="9.44140625" style="1290" customWidth="1"/>
    <col min="9985" max="9985" width="47.77734375" style="1290" customWidth="1"/>
    <col min="9986" max="9988" width="38.33203125" style="1290" customWidth="1"/>
    <col min="9989" max="10239" width="9.33203125" style="1290"/>
    <col min="10240" max="10240" width="9.44140625" style="1290" customWidth="1"/>
    <col min="10241" max="10241" width="47.77734375" style="1290" customWidth="1"/>
    <col min="10242" max="10244" width="38.33203125" style="1290" customWidth="1"/>
    <col min="10245" max="10495" width="9.33203125" style="1290"/>
    <col min="10496" max="10496" width="9.44140625" style="1290" customWidth="1"/>
    <col min="10497" max="10497" width="47.77734375" style="1290" customWidth="1"/>
    <col min="10498" max="10500" width="38.33203125" style="1290" customWidth="1"/>
    <col min="10501" max="10751" width="9.33203125" style="1290"/>
    <col min="10752" max="10752" width="9.44140625" style="1290" customWidth="1"/>
    <col min="10753" max="10753" width="47.77734375" style="1290" customWidth="1"/>
    <col min="10754" max="10756" width="38.33203125" style="1290" customWidth="1"/>
    <col min="10757" max="11007" width="9.33203125" style="1290"/>
    <col min="11008" max="11008" width="9.44140625" style="1290" customWidth="1"/>
    <col min="11009" max="11009" width="47.77734375" style="1290" customWidth="1"/>
    <col min="11010" max="11012" width="38.33203125" style="1290" customWidth="1"/>
    <col min="11013" max="11263" width="9.33203125" style="1290"/>
    <col min="11264" max="11264" width="9.44140625" style="1290" customWidth="1"/>
    <col min="11265" max="11265" width="47.77734375" style="1290" customWidth="1"/>
    <col min="11266" max="11268" width="38.33203125" style="1290" customWidth="1"/>
    <col min="11269" max="11519" width="9.33203125" style="1290"/>
    <col min="11520" max="11520" width="9.44140625" style="1290" customWidth="1"/>
    <col min="11521" max="11521" width="47.77734375" style="1290" customWidth="1"/>
    <col min="11522" max="11524" width="38.33203125" style="1290" customWidth="1"/>
    <col min="11525" max="11775" width="9.33203125" style="1290"/>
    <col min="11776" max="11776" width="9.44140625" style="1290" customWidth="1"/>
    <col min="11777" max="11777" width="47.77734375" style="1290" customWidth="1"/>
    <col min="11778" max="11780" width="38.33203125" style="1290" customWidth="1"/>
    <col min="11781" max="12031" width="9.33203125" style="1290"/>
    <col min="12032" max="12032" width="9.44140625" style="1290" customWidth="1"/>
    <col min="12033" max="12033" width="47.77734375" style="1290" customWidth="1"/>
    <col min="12034" max="12036" width="38.33203125" style="1290" customWidth="1"/>
    <col min="12037" max="12287" width="9.33203125" style="1290"/>
    <col min="12288" max="12288" width="9.44140625" style="1290" customWidth="1"/>
    <col min="12289" max="12289" width="47.77734375" style="1290" customWidth="1"/>
    <col min="12290" max="12292" width="38.33203125" style="1290" customWidth="1"/>
    <col min="12293" max="12543" width="9.33203125" style="1290"/>
    <col min="12544" max="12544" width="9.44140625" style="1290" customWidth="1"/>
    <col min="12545" max="12545" width="47.77734375" style="1290" customWidth="1"/>
    <col min="12546" max="12548" width="38.33203125" style="1290" customWidth="1"/>
    <col min="12549" max="12799" width="9.33203125" style="1290"/>
    <col min="12800" max="12800" width="9.44140625" style="1290" customWidth="1"/>
    <col min="12801" max="12801" width="47.77734375" style="1290" customWidth="1"/>
    <col min="12802" max="12804" width="38.33203125" style="1290" customWidth="1"/>
    <col min="12805" max="13055" width="9.33203125" style="1290"/>
    <col min="13056" max="13056" width="9.44140625" style="1290" customWidth="1"/>
    <col min="13057" max="13057" width="47.77734375" style="1290" customWidth="1"/>
    <col min="13058" max="13060" width="38.33203125" style="1290" customWidth="1"/>
    <col min="13061" max="13311" width="9.33203125" style="1290"/>
    <col min="13312" max="13312" width="9.44140625" style="1290" customWidth="1"/>
    <col min="13313" max="13313" width="47.77734375" style="1290" customWidth="1"/>
    <col min="13314" max="13316" width="38.33203125" style="1290" customWidth="1"/>
    <col min="13317" max="13567" width="9.33203125" style="1290"/>
    <col min="13568" max="13568" width="9.44140625" style="1290" customWidth="1"/>
    <col min="13569" max="13569" width="47.77734375" style="1290" customWidth="1"/>
    <col min="13570" max="13572" width="38.33203125" style="1290" customWidth="1"/>
    <col min="13573" max="13823" width="9.33203125" style="1290"/>
    <col min="13824" max="13824" width="9.44140625" style="1290" customWidth="1"/>
    <col min="13825" max="13825" width="47.77734375" style="1290" customWidth="1"/>
    <col min="13826" max="13828" width="38.33203125" style="1290" customWidth="1"/>
    <col min="13829" max="14079" width="9.33203125" style="1290"/>
    <col min="14080" max="14080" width="9.44140625" style="1290" customWidth="1"/>
    <col min="14081" max="14081" width="47.77734375" style="1290" customWidth="1"/>
    <col min="14082" max="14084" width="38.33203125" style="1290" customWidth="1"/>
    <col min="14085" max="14335" width="9.33203125" style="1290"/>
    <col min="14336" max="14336" width="9.44140625" style="1290" customWidth="1"/>
    <col min="14337" max="14337" width="47.77734375" style="1290" customWidth="1"/>
    <col min="14338" max="14340" width="38.33203125" style="1290" customWidth="1"/>
    <col min="14341" max="14591" width="9.33203125" style="1290"/>
    <col min="14592" max="14592" width="9.44140625" style="1290" customWidth="1"/>
    <col min="14593" max="14593" width="47.77734375" style="1290" customWidth="1"/>
    <col min="14594" max="14596" width="38.33203125" style="1290" customWidth="1"/>
    <col min="14597" max="14847" width="9.33203125" style="1290"/>
    <col min="14848" max="14848" width="9.44140625" style="1290" customWidth="1"/>
    <col min="14849" max="14849" width="47.77734375" style="1290" customWidth="1"/>
    <col min="14850" max="14852" width="38.33203125" style="1290" customWidth="1"/>
    <col min="14853" max="15103" width="9.33203125" style="1290"/>
    <col min="15104" max="15104" width="9.44140625" style="1290" customWidth="1"/>
    <col min="15105" max="15105" width="47.77734375" style="1290" customWidth="1"/>
    <col min="15106" max="15108" width="38.33203125" style="1290" customWidth="1"/>
    <col min="15109" max="15359" width="9.33203125" style="1290"/>
    <col min="15360" max="15360" width="9.44140625" style="1290" customWidth="1"/>
    <col min="15361" max="15361" width="47.77734375" style="1290" customWidth="1"/>
    <col min="15362" max="15364" width="38.33203125" style="1290" customWidth="1"/>
    <col min="15365" max="15615" width="9.33203125" style="1290"/>
    <col min="15616" max="15616" width="9.44140625" style="1290" customWidth="1"/>
    <col min="15617" max="15617" width="47.77734375" style="1290" customWidth="1"/>
    <col min="15618" max="15620" width="38.33203125" style="1290" customWidth="1"/>
    <col min="15621" max="15871" width="9.33203125" style="1290"/>
    <col min="15872" max="15872" width="9.44140625" style="1290" customWidth="1"/>
    <col min="15873" max="15873" width="47.77734375" style="1290" customWidth="1"/>
    <col min="15874" max="15876" width="38.33203125" style="1290" customWidth="1"/>
    <col min="15877" max="16127" width="9.33203125" style="1290"/>
    <col min="16128" max="16128" width="9.44140625" style="1290" customWidth="1"/>
    <col min="16129" max="16129" width="47.77734375" style="1290" customWidth="1"/>
    <col min="16130" max="16132" width="38.33203125" style="1290" customWidth="1"/>
    <col min="16133" max="16384" width="9.33203125" style="1290"/>
  </cols>
  <sheetData>
    <row r="1" spans="1:4" ht="52.5" customHeight="1" x14ac:dyDescent="0.3">
      <c r="A1" s="1401" t="s">
        <v>1287</v>
      </c>
      <c r="B1" s="1402"/>
      <c r="C1" s="1402"/>
      <c r="D1" s="1402"/>
    </row>
    <row r="3" spans="1:4" ht="13.8" thickBot="1" x14ac:dyDescent="0.3"/>
    <row r="4" spans="1:4" ht="26.4" x14ac:dyDescent="0.25">
      <c r="A4" s="1317" t="s">
        <v>12</v>
      </c>
      <c r="B4" s="1303" t="s">
        <v>1230</v>
      </c>
      <c r="C4" s="1303" t="s">
        <v>1231</v>
      </c>
      <c r="D4" s="1304" t="s">
        <v>1232</v>
      </c>
    </row>
    <row r="5" spans="1:4" x14ac:dyDescent="0.25">
      <c r="A5" s="1318"/>
      <c r="B5" s="1305">
        <v>2</v>
      </c>
      <c r="C5" s="1305">
        <v>3</v>
      </c>
      <c r="D5" s="1306">
        <v>4</v>
      </c>
    </row>
    <row r="6" spans="1:4" ht="24.9" customHeight="1" x14ac:dyDescent="0.25">
      <c r="A6" s="1314" t="s">
        <v>1233</v>
      </c>
      <c r="B6" s="1301">
        <v>2445</v>
      </c>
      <c r="C6" s="1301">
        <f>D6-B6</f>
        <v>9065</v>
      </c>
      <c r="D6" s="1302">
        <v>11510</v>
      </c>
    </row>
    <row r="7" spans="1:4" ht="24.9" customHeight="1" x14ac:dyDescent="0.25">
      <c r="A7" s="1313" t="s">
        <v>1234</v>
      </c>
      <c r="B7" s="1299">
        <v>2445</v>
      </c>
      <c r="C7" s="1299">
        <f t="shared" ref="C7:C31" si="0">D7-B7</f>
        <v>9065</v>
      </c>
      <c r="D7" s="1300">
        <v>11510</v>
      </c>
    </row>
    <row r="8" spans="1:4" ht="24.9" customHeight="1" x14ac:dyDescent="0.25">
      <c r="A8" s="1314" t="s">
        <v>1235</v>
      </c>
      <c r="B8" s="1301">
        <v>187196</v>
      </c>
      <c r="C8" s="1301">
        <f t="shared" si="0"/>
        <v>63920</v>
      </c>
      <c r="D8" s="1302">
        <v>251116</v>
      </c>
    </row>
    <row r="9" spans="1:4" ht="24.9" customHeight="1" x14ac:dyDescent="0.25">
      <c r="A9" s="1313" t="s">
        <v>1236</v>
      </c>
      <c r="B9" s="1299">
        <v>187196</v>
      </c>
      <c r="C9" s="1299">
        <f t="shared" si="0"/>
        <v>63920</v>
      </c>
      <c r="D9" s="1300">
        <v>251116</v>
      </c>
    </row>
    <row r="10" spans="1:4" ht="24.9" customHeight="1" x14ac:dyDescent="0.25">
      <c r="A10" s="1313" t="s">
        <v>1237</v>
      </c>
      <c r="B10" s="1299">
        <v>189641</v>
      </c>
      <c r="C10" s="1299">
        <f t="shared" si="0"/>
        <v>72985</v>
      </c>
      <c r="D10" s="1300">
        <v>262626</v>
      </c>
    </row>
    <row r="11" spans="1:4" ht="24.9" customHeight="1" x14ac:dyDescent="0.25">
      <c r="A11" s="1314" t="s">
        <v>1253</v>
      </c>
      <c r="B11" s="1301">
        <v>112550</v>
      </c>
      <c r="C11" s="1301">
        <f t="shared" si="0"/>
        <v>-25022</v>
      </c>
      <c r="D11" s="1302">
        <v>87528</v>
      </c>
    </row>
    <row r="12" spans="1:4" ht="24.9" customHeight="1" x14ac:dyDescent="0.25">
      <c r="A12" s="1314" t="s">
        <v>1254</v>
      </c>
      <c r="B12" s="1301">
        <v>28909</v>
      </c>
      <c r="C12" s="1301">
        <f t="shared" si="0"/>
        <v>-22498</v>
      </c>
      <c r="D12" s="1302">
        <v>6411</v>
      </c>
    </row>
    <row r="13" spans="1:4" ht="24.9" customHeight="1" x14ac:dyDescent="0.25">
      <c r="A13" s="1314" t="s">
        <v>1255</v>
      </c>
      <c r="B13" s="1301">
        <v>60863</v>
      </c>
      <c r="C13" s="1301">
        <f t="shared" si="0"/>
        <v>-43</v>
      </c>
      <c r="D13" s="1302">
        <v>60820</v>
      </c>
    </row>
    <row r="14" spans="1:4" ht="24.9" customHeight="1" x14ac:dyDescent="0.25">
      <c r="A14" s="1314" t="s">
        <v>1256</v>
      </c>
      <c r="B14" s="1301">
        <v>22778</v>
      </c>
      <c r="C14" s="1301">
        <f t="shared" si="0"/>
        <v>-2481</v>
      </c>
      <c r="D14" s="1302">
        <v>20297</v>
      </c>
    </row>
    <row r="15" spans="1:4" ht="24.9" customHeight="1" x14ac:dyDescent="0.25">
      <c r="A15" s="1313" t="s">
        <v>1257</v>
      </c>
      <c r="B15" s="1299">
        <v>112550</v>
      </c>
      <c r="C15" s="1299">
        <f t="shared" si="0"/>
        <v>-25022</v>
      </c>
      <c r="D15" s="1300">
        <v>87528</v>
      </c>
    </row>
    <row r="16" spans="1:4" ht="24.9" customHeight="1" x14ac:dyDescent="0.25">
      <c r="A16" s="1314" t="s">
        <v>1238</v>
      </c>
      <c r="B16" s="1301">
        <v>5000</v>
      </c>
      <c r="C16" s="1301">
        <f t="shared" si="0"/>
        <v>3</v>
      </c>
      <c r="D16" s="1302">
        <v>5003</v>
      </c>
    </row>
    <row r="17" spans="1:4" ht="24.9" customHeight="1" x14ac:dyDescent="0.25">
      <c r="A17" s="1314" t="s">
        <v>1258</v>
      </c>
      <c r="B17" s="1301">
        <v>5000</v>
      </c>
      <c r="C17" s="1301">
        <f t="shared" si="0"/>
        <v>0</v>
      </c>
      <c r="D17" s="1302">
        <v>5000</v>
      </c>
    </row>
    <row r="18" spans="1:4" ht="24.9" customHeight="1" x14ac:dyDescent="0.25">
      <c r="A18" s="1314" t="s">
        <v>1239</v>
      </c>
      <c r="B18" s="1301">
        <v>0</v>
      </c>
      <c r="C18" s="1301">
        <f t="shared" si="0"/>
        <v>3</v>
      </c>
      <c r="D18" s="1302">
        <v>3</v>
      </c>
    </row>
    <row r="19" spans="1:4" ht="24.9" customHeight="1" x14ac:dyDescent="0.25">
      <c r="A19" s="1313" t="s">
        <v>1240</v>
      </c>
      <c r="B19" s="1299">
        <v>5000</v>
      </c>
      <c r="C19" s="1299">
        <f t="shared" si="0"/>
        <v>3</v>
      </c>
      <c r="D19" s="1300">
        <v>5003</v>
      </c>
    </row>
    <row r="20" spans="1:4" ht="24.9" customHeight="1" x14ac:dyDescent="0.25">
      <c r="A20" s="1313" t="s">
        <v>1241</v>
      </c>
      <c r="B20" s="1299">
        <v>117550</v>
      </c>
      <c r="C20" s="1299">
        <f t="shared" si="0"/>
        <v>-25019</v>
      </c>
      <c r="D20" s="1300">
        <v>92531</v>
      </c>
    </row>
    <row r="21" spans="1:4" ht="24.9" customHeight="1" x14ac:dyDescent="0.25">
      <c r="A21" s="1315" t="s">
        <v>1242</v>
      </c>
      <c r="B21" s="1308">
        <v>307191</v>
      </c>
      <c r="C21" s="1308">
        <f t="shared" si="0"/>
        <v>47966</v>
      </c>
      <c r="D21" s="1309">
        <v>355157</v>
      </c>
    </row>
    <row r="22" spans="1:4" ht="24.9" customHeight="1" x14ac:dyDescent="0.25">
      <c r="A22" s="1314" t="s">
        <v>1243</v>
      </c>
      <c r="B22" s="1301">
        <v>336000</v>
      </c>
      <c r="C22" s="1301">
        <f t="shared" si="0"/>
        <v>0</v>
      </c>
      <c r="D22" s="1302">
        <v>336000</v>
      </c>
    </row>
    <row r="23" spans="1:4" ht="24.9" customHeight="1" x14ac:dyDescent="0.25">
      <c r="A23" s="1314" t="s">
        <v>1244</v>
      </c>
      <c r="B23" s="1301">
        <v>-186871</v>
      </c>
      <c r="C23" s="1301">
        <f t="shared" si="0"/>
        <v>-6667860</v>
      </c>
      <c r="D23" s="1302">
        <v>-6854731</v>
      </c>
    </row>
    <row r="24" spans="1:4" ht="24.9" customHeight="1" x14ac:dyDescent="0.25">
      <c r="A24" s="1314" t="s">
        <v>1245</v>
      </c>
      <c r="B24" s="1301">
        <v>-6667860</v>
      </c>
      <c r="C24" s="1301">
        <f t="shared" si="0"/>
        <v>6739271</v>
      </c>
      <c r="D24" s="1302">
        <v>71411</v>
      </c>
    </row>
    <row r="25" spans="1:4" ht="24.9" customHeight="1" x14ac:dyDescent="0.25">
      <c r="A25" s="1313" t="s">
        <v>1246</v>
      </c>
      <c r="B25" s="1299">
        <v>-6518731</v>
      </c>
      <c r="C25" s="1299">
        <f t="shared" si="0"/>
        <v>71411</v>
      </c>
      <c r="D25" s="1300">
        <v>-6447320</v>
      </c>
    </row>
    <row r="26" spans="1:4" ht="24.9" customHeight="1" x14ac:dyDescent="0.25">
      <c r="A26" s="1314" t="s">
        <v>1247</v>
      </c>
      <c r="B26" s="1301">
        <v>16536</v>
      </c>
      <c r="C26" s="1301">
        <f t="shared" si="0"/>
        <v>26931</v>
      </c>
      <c r="D26" s="1302">
        <v>43467</v>
      </c>
    </row>
    <row r="27" spans="1:4" ht="24.9" customHeight="1" x14ac:dyDescent="0.25">
      <c r="A27" s="1313" t="s">
        <v>1248</v>
      </c>
      <c r="B27" s="1299">
        <v>16536</v>
      </c>
      <c r="C27" s="1299">
        <f t="shared" si="0"/>
        <v>26931</v>
      </c>
      <c r="D27" s="1300">
        <v>43467</v>
      </c>
    </row>
    <row r="28" spans="1:4" ht="24.9" customHeight="1" x14ac:dyDescent="0.25">
      <c r="A28" s="1313" t="s">
        <v>1249</v>
      </c>
      <c r="B28" s="1299">
        <v>16536</v>
      </c>
      <c r="C28" s="1299">
        <f t="shared" si="0"/>
        <v>26931</v>
      </c>
      <c r="D28" s="1300">
        <v>43467</v>
      </c>
    </row>
    <row r="29" spans="1:4" ht="24.9" customHeight="1" x14ac:dyDescent="0.25">
      <c r="A29" s="1314" t="s">
        <v>1250</v>
      </c>
      <c r="B29" s="1301">
        <v>6809386</v>
      </c>
      <c r="C29" s="1301">
        <f t="shared" si="0"/>
        <v>-50376</v>
      </c>
      <c r="D29" s="1302">
        <v>6759010</v>
      </c>
    </row>
    <row r="30" spans="1:4" ht="24.9" customHeight="1" x14ac:dyDescent="0.25">
      <c r="A30" s="1313" t="s">
        <v>1251</v>
      </c>
      <c r="B30" s="1299">
        <v>6809386</v>
      </c>
      <c r="C30" s="1299">
        <f t="shared" si="0"/>
        <v>-50376</v>
      </c>
      <c r="D30" s="1300">
        <v>6759010</v>
      </c>
    </row>
    <row r="31" spans="1:4" ht="24.9" customHeight="1" thickBot="1" x14ac:dyDescent="0.3">
      <c r="A31" s="1316" t="s">
        <v>1252</v>
      </c>
      <c r="B31" s="1311">
        <v>307191</v>
      </c>
      <c r="C31" s="1311">
        <f t="shared" si="0"/>
        <v>47966</v>
      </c>
      <c r="D31" s="1312">
        <v>355157</v>
      </c>
    </row>
  </sheetData>
  <mergeCells count="1">
    <mergeCell ref="A1:D1"/>
  </mergeCells>
  <pageMargins left="0.75" right="0.75" top="1" bottom="1" header="0.5" footer="0.5"/>
  <pageSetup scale="84" orientation="portrait" horizontalDpi="300" verticalDpi="300" r:id="rId1"/>
  <headerFooter alignWithMargins="0">
    <oddHeader>&amp;R&amp;"Times New Roman CE,Félkövér"&amp;11 12. melléklet az 5/2019. (IV. 26.) 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D57"/>
  <sheetViews>
    <sheetView view="pageLayout" zoomScaleNormal="100" zoomScaleSheetLayoutView="100" workbookViewId="0">
      <selection activeCell="A4" sqref="A4:D5"/>
    </sheetView>
  </sheetViews>
  <sheetFormatPr defaultRowHeight="13.2" x14ac:dyDescent="0.25"/>
  <cols>
    <col min="1" max="1" width="75.109375" style="1290" customWidth="1"/>
    <col min="2" max="4" width="14.77734375" style="1290" customWidth="1"/>
    <col min="5" max="255" width="9.33203125" style="1290"/>
    <col min="256" max="256" width="9.44140625" style="1290" customWidth="1"/>
    <col min="257" max="257" width="47.77734375" style="1290" customWidth="1"/>
    <col min="258" max="260" width="38.33203125" style="1290" customWidth="1"/>
    <col min="261" max="511" width="9.33203125" style="1290"/>
    <col min="512" max="512" width="9.44140625" style="1290" customWidth="1"/>
    <col min="513" max="513" width="47.77734375" style="1290" customWidth="1"/>
    <col min="514" max="516" width="38.33203125" style="1290" customWidth="1"/>
    <col min="517" max="767" width="9.33203125" style="1290"/>
    <col min="768" max="768" width="9.44140625" style="1290" customWidth="1"/>
    <col min="769" max="769" width="47.77734375" style="1290" customWidth="1"/>
    <col min="770" max="772" width="38.33203125" style="1290" customWidth="1"/>
    <col min="773" max="1023" width="9.33203125" style="1290"/>
    <col min="1024" max="1024" width="9.44140625" style="1290" customWidth="1"/>
    <col min="1025" max="1025" width="47.77734375" style="1290" customWidth="1"/>
    <col min="1026" max="1028" width="38.33203125" style="1290" customWidth="1"/>
    <col min="1029" max="1279" width="9.33203125" style="1290"/>
    <col min="1280" max="1280" width="9.44140625" style="1290" customWidth="1"/>
    <col min="1281" max="1281" width="47.77734375" style="1290" customWidth="1"/>
    <col min="1282" max="1284" width="38.33203125" style="1290" customWidth="1"/>
    <col min="1285" max="1535" width="9.33203125" style="1290"/>
    <col min="1536" max="1536" width="9.44140625" style="1290" customWidth="1"/>
    <col min="1537" max="1537" width="47.77734375" style="1290" customWidth="1"/>
    <col min="1538" max="1540" width="38.33203125" style="1290" customWidth="1"/>
    <col min="1541" max="1791" width="9.33203125" style="1290"/>
    <col min="1792" max="1792" width="9.44140625" style="1290" customWidth="1"/>
    <col min="1793" max="1793" width="47.77734375" style="1290" customWidth="1"/>
    <col min="1794" max="1796" width="38.33203125" style="1290" customWidth="1"/>
    <col min="1797" max="2047" width="9.33203125" style="1290"/>
    <col min="2048" max="2048" width="9.44140625" style="1290" customWidth="1"/>
    <col min="2049" max="2049" width="47.77734375" style="1290" customWidth="1"/>
    <col min="2050" max="2052" width="38.33203125" style="1290" customWidth="1"/>
    <col min="2053" max="2303" width="9.33203125" style="1290"/>
    <col min="2304" max="2304" width="9.44140625" style="1290" customWidth="1"/>
    <col min="2305" max="2305" width="47.77734375" style="1290" customWidth="1"/>
    <col min="2306" max="2308" width="38.33203125" style="1290" customWidth="1"/>
    <col min="2309" max="2559" width="9.33203125" style="1290"/>
    <col min="2560" max="2560" width="9.44140625" style="1290" customWidth="1"/>
    <col min="2561" max="2561" width="47.77734375" style="1290" customWidth="1"/>
    <col min="2562" max="2564" width="38.33203125" style="1290" customWidth="1"/>
    <col min="2565" max="2815" width="9.33203125" style="1290"/>
    <col min="2816" max="2816" width="9.44140625" style="1290" customWidth="1"/>
    <col min="2817" max="2817" width="47.77734375" style="1290" customWidth="1"/>
    <col min="2818" max="2820" width="38.33203125" style="1290" customWidth="1"/>
    <col min="2821" max="3071" width="9.33203125" style="1290"/>
    <col min="3072" max="3072" width="9.44140625" style="1290" customWidth="1"/>
    <col min="3073" max="3073" width="47.77734375" style="1290" customWidth="1"/>
    <col min="3074" max="3076" width="38.33203125" style="1290" customWidth="1"/>
    <col min="3077" max="3327" width="9.33203125" style="1290"/>
    <col min="3328" max="3328" width="9.44140625" style="1290" customWidth="1"/>
    <col min="3329" max="3329" width="47.77734375" style="1290" customWidth="1"/>
    <col min="3330" max="3332" width="38.33203125" style="1290" customWidth="1"/>
    <col min="3333" max="3583" width="9.33203125" style="1290"/>
    <col min="3584" max="3584" width="9.44140625" style="1290" customWidth="1"/>
    <col min="3585" max="3585" width="47.77734375" style="1290" customWidth="1"/>
    <col min="3586" max="3588" width="38.33203125" style="1290" customWidth="1"/>
    <col min="3589" max="3839" width="9.33203125" style="1290"/>
    <col min="3840" max="3840" width="9.44140625" style="1290" customWidth="1"/>
    <col min="3841" max="3841" width="47.77734375" style="1290" customWidth="1"/>
    <col min="3842" max="3844" width="38.33203125" style="1290" customWidth="1"/>
    <col min="3845" max="4095" width="9.33203125" style="1290"/>
    <col min="4096" max="4096" width="9.44140625" style="1290" customWidth="1"/>
    <col min="4097" max="4097" width="47.77734375" style="1290" customWidth="1"/>
    <col min="4098" max="4100" width="38.33203125" style="1290" customWidth="1"/>
    <col min="4101" max="4351" width="9.33203125" style="1290"/>
    <col min="4352" max="4352" width="9.44140625" style="1290" customWidth="1"/>
    <col min="4353" max="4353" width="47.77734375" style="1290" customWidth="1"/>
    <col min="4354" max="4356" width="38.33203125" style="1290" customWidth="1"/>
    <col min="4357" max="4607" width="9.33203125" style="1290"/>
    <col min="4608" max="4608" width="9.44140625" style="1290" customWidth="1"/>
    <col min="4609" max="4609" width="47.77734375" style="1290" customWidth="1"/>
    <col min="4610" max="4612" width="38.33203125" style="1290" customWidth="1"/>
    <col min="4613" max="4863" width="9.33203125" style="1290"/>
    <col min="4864" max="4864" width="9.44140625" style="1290" customWidth="1"/>
    <col min="4865" max="4865" width="47.77734375" style="1290" customWidth="1"/>
    <col min="4866" max="4868" width="38.33203125" style="1290" customWidth="1"/>
    <col min="4869" max="5119" width="9.33203125" style="1290"/>
    <col min="5120" max="5120" width="9.44140625" style="1290" customWidth="1"/>
    <col min="5121" max="5121" width="47.77734375" style="1290" customWidth="1"/>
    <col min="5122" max="5124" width="38.33203125" style="1290" customWidth="1"/>
    <col min="5125" max="5375" width="9.33203125" style="1290"/>
    <col min="5376" max="5376" width="9.44140625" style="1290" customWidth="1"/>
    <col min="5377" max="5377" width="47.77734375" style="1290" customWidth="1"/>
    <col min="5378" max="5380" width="38.33203125" style="1290" customWidth="1"/>
    <col min="5381" max="5631" width="9.33203125" style="1290"/>
    <col min="5632" max="5632" width="9.44140625" style="1290" customWidth="1"/>
    <col min="5633" max="5633" width="47.77734375" style="1290" customWidth="1"/>
    <col min="5634" max="5636" width="38.33203125" style="1290" customWidth="1"/>
    <col min="5637" max="5887" width="9.33203125" style="1290"/>
    <col min="5888" max="5888" width="9.44140625" style="1290" customWidth="1"/>
    <col min="5889" max="5889" width="47.77734375" style="1290" customWidth="1"/>
    <col min="5890" max="5892" width="38.33203125" style="1290" customWidth="1"/>
    <col min="5893" max="6143" width="9.33203125" style="1290"/>
    <col min="6144" max="6144" width="9.44140625" style="1290" customWidth="1"/>
    <col min="6145" max="6145" width="47.77734375" style="1290" customWidth="1"/>
    <col min="6146" max="6148" width="38.33203125" style="1290" customWidth="1"/>
    <col min="6149" max="6399" width="9.33203125" style="1290"/>
    <col min="6400" max="6400" width="9.44140625" style="1290" customWidth="1"/>
    <col min="6401" max="6401" width="47.77734375" style="1290" customWidth="1"/>
    <col min="6402" max="6404" width="38.33203125" style="1290" customWidth="1"/>
    <col min="6405" max="6655" width="9.33203125" style="1290"/>
    <col min="6656" max="6656" width="9.44140625" style="1290" customWidth="1"/>
    <col min="6657" max="6657" width="47.77734375" style="1290" customWidth="1"/>
    <col min="6658" max="6660" width="38.33203125" style="1290" customWidth="1"/>
    <col min="6661" max="6911" width="9.33203125" style="1290"/>
    <col min="6912" max="6912" width="9.44140625" style="1290" customWidth="1"/>
    <col min="6913" max="6913" width="47.77734375" style="1290" customWidth="1"/>
    <col min="6914" max="6916" width="38.33203125" style="1290" customWidth="1"/>
    <col min="6917" max="7167" width="9.33203125" style="1290"/>
    <col min="7168" max="7168" width="9.44140625" style="1290" customWidth="1"/>
    <col min="7169" max="7169" width="47.77734375" style="1290" customWidth="1"/>
    <col min="7170" max="7172" width="38.33203125" style="1290" customWidth="1"/>
    <col min="7173" max="7423" width="9.33203125" style="1290"/>
    <col min="7424" max="7424" width="9.44140625" style="1290" customWidth="1"/>
    <col min="7425" max="7425" width="47.77734375" style="1290" customWidth="1"/>
    <col min="7426" max="7428" width="38.33203125" style="1290" customWidth="1"/>
    <col min="7429" max="7679" width="9.33203125" style="1290"/>
    <col min="7680" max="7680" width="9.44140625" style="1290" customWidth="1"/>
    <col min="7681" max="7681" width="47.77734375" style="1290" customWidth="1"/>
    <col min="7682" max="7684" width="38.33203125" style="1290" customWidth="1"/>
    <col min="7685" max="7935" width="9.33203125" style="1290"/>
    <col min="7936" max="7936" width="9.44140625" style="1290" customWidth="1"/>
    <col min="7937" max="7937" width="47.77734375" style="1290" customWidth="1"/>
    <col min="7938" max="7940" width="38.33203125" style="1290" customWidth="1"/>
    <col min="7941" max="8191" width="9.33203125" style="1290"/>
    <col min="8192" max="8192" width="9.44140625" style="1290" customWidth="1"/>
    <col min="8193" max="8193" width="47.77734375" style="1290" customWidth="1"/>
    <col min="8194" max="8196" width="38.33203125" style="1290" customWidth="1"/>
    <col min="8197" max="8447" width="9.33203125" style="1290"/>
    <col min="8448" max="8448" width="9.44140625" style="1290" customWidth="1"/>
    <col min="8449" max="8449" width="47.77734375" style="1290" customWidth="1"/>
    <col min="8450" max="8452" width="38.33203125" style="1290" customWidth="1"/>
    <col min="8453" max="8703" width="9.33203125" style="1290"/>
    <col min="8704" max="8704" width="9.44140625" style="1290" customWidth="1"/>
    <col min="8705" max="8705" width="47.77734375" style="1290" customWidth="1"/>
    <col min="8706" max="8708" width="38.33203125" style="1290" customWidth="1"/>
    <col min="8709" max="8959" width="9.33203125" style="1290"/>
    <col min="8960" max="8960" width="9.44140625" style="1290" customWidth="1"/>
    <col min="8961" max="8961" width="47.77734375" style="1290" customWidth="1"/>
    <col min="8962" max="8964" width="38.33203125" style="1290" customWidth="1"/>
    <col min="8965" max="9215" width="9.33203125" style="1290"/>
    <col min="9216" max="9216" width="9.44140625" style="1290" customWidth="1"/>
    <col min="9217" max="9217" width="47.77734375" style="1290" customWidth="1"/>
    <col min="9218" max="9220" width="38.33203125" style="1290" customWidth="1"/>
    <col min="9221" max="9471" width="9.33203125" style="1290"/>
    <col min="9472" max="9472" width="9.44140625" style="1290" customWidth="1"/>
    <col min="9473" max="9473" width="47.77734375" style="1290" customWidth="1"/>
    <col min="9474" max="9476" width="38.33203125" style="1290" customWidth="1"/>
    <col min="9477" max="9727" width="9.33203125" style="1290"/>
    <col min="9728" max="9728" width="9.44140625" style="1290" customWidth="1"/>
    <col min="9729" max="9729" width="47.77734375" style="1290" customWidth="1"/>
    <col min="9730" max="9732" width="38.33203125" style="1290" customWidth="1"/>
    <col min="9733" max="9983" width="9.33203125" style="1290"/>
    <col min="9984" max="9984" width="9.44140625" style="1290" customWidth="1"/>
    <col min="9985" max="9985" width="47.77734375" style="1290" customWidth="1"/>
    <col min="9986" max="9988" width="38.33203125" style="1290" customWidth="1"/>
    <col min="9989" max="10239" width="9.33203125" style="1290"/>
    <col min="10240" max="10240" width="9.44140625" style="1290" customWidth="1"/>
    <col min="10241" max="10241" width="47.77734375" style="1290" customWidth="1"/>
    <col min="10242" max="10244" width="38.33203125" style="1290" customWidth="1"/>
    <col min="10245" max="10495" width="9.33203125" style="1290"/>
    <col min="10496" max="10496" width="9.44140625" style="1290" customWidth="1"/>
    <col min="10497" max="10497" width="47.77734375" style="1290" customWidth="1"/>
    <col min="10498" max="10500" width="38.33203125" style="1290" customWidth="1"/>
    <col min="10501" max="10751" width="9.33203125" style="1290"/>
    <col min="10752" max="10752" width="9.44140625" style="1290" customWidth="1"/>
    <col min="10753" max="10753" width="47.77734375" style="1290" customWidth="1"/>
    <col min="10754" max="10756" width="38.33203125" style="1290" customWidth="1"/>
    <col min="10757" max="11007" width="9.33203125" style="1290"/>
    <col min="11008" max="11008" width="9.44140625" style="1290" customWidth="1"/>
    <col min="11009" max="11009" width="47.77734375" style="1290" customWidth="1"/>
    <col min="11010" max="11012" width="38.33203125" style="1290" customWidth="1"/>
    <col min="11013" max="11263" width="9.33203125" style="1290"/>
    <col min="11264" max="11264" width="9.44140625" style="1290" customWidth="1"/>
    <col min="11265" max="11265" width="47.77734375" style="1290" customWidth="1"/>
    <col min="11266" max="11268" width="38.33203125" style="1290" customWidth="1"/>
    <col min="11269" max="11519" width="9.33203125" style="1290"/>
    <col min="11520" max="11520" width="9.44140625" style="1290" customWidth="1"/>
    <col min="11521" max="11521" width="47.77734375" style="1290" customWidth="1"/>
    <col min="11522" max="11524" width="38.33203125" style="1290" customWidth="1"/>
    <col min="11525" max="11775" width="9.33203125" style="1290"/>
    <col min="11776" max="11776" width="9.44140625" style="1290" customWidth="1"/>
    <col min="11777" max="11777" width="47.77734375" style="1290" customWidth="1"/>
    <col min="11778" max="11780" width="38.33203125" style="1290" customWidth="1"/>
    <col min="11781" max="12031" width="9.33203125" style="1290"/>
    <col min="12032" max="12032" width="9.44140625" style="1290" customWidth="1"/>
    <col min="12033" max="12033" width="47.77734375" style="1290" customWidth="1"/>
    <col min="12034" max="12036" width="38.33203125" style="1290" customWidth="1"/>
    <col min="12037" max="12287" width="9.33203125" style="1290"/>
    <col min="12288" max="12288" width="9.44140625" style="1290" customWidth="1"/>
    <col min="12289" max="12289" width="47.77734375" style="1290" customWidth="1"/>
    <col min="12290" max="12292" width="38.33203125" style="1290" customWidth="1"/>
    <col min="12293" max="12543" width="9.33203125" style="1290"/>
    <col min="12544" max="12544" width="9.44140625" style="1290" customWidth="1"/>
    <col min="12545" max="12545" width="47.77734375" style="1290" customWidth="1"/>
    <col min="12546" max="12548" width="38.33203125" style="1290" customWidth="1"/>
    <col min="12549" max="12799" width="9.33203125" style="1290"/>
    <col min="12800" max="12800" width="9.44140625" style="1290" customWidth="1"/>
    <col min="12801" max="12801" width="47.77734375" style="1290" customWidth="1"/>
    <col min="12802" max="12804" width="38.33203125" style="1290" customWidth="1"/>
    <col min="12805" max="13055" width="9.33203125" style="1290"/>
    <col min="13056" max="13056" width="9.44140625" style="1290" customWidth="1"/>
    <col min="13057" max="13057" width="47.77734375" style="1290" customWidth="1"/>
    <col min="13058" max="13060" width="38.33203125" style="1290" customWidth="1"/>
    <col min="13061" max="13311" width="9.33203125" style="1290"/>
    <col min="13312" max="13312" width="9.44140625" style="1290" customWidth="1"/>
    <col min="13313" max="13313" width="47.77734375" style="1290" customWidth="1"/>
    <col min="13314" max="13316" width="38.33203125" style="1290" customWidth="1"/>
    <col min="13317" max="13567" width="9.33203125" style="1290"/>
    <col min="13568" max="13568" width="9.44140625" style="1290" customWidth="1"/>
    <col min="13569" max="13569" width="47.77734375" style="1290" customWidth="1"/>
    <col min="13570" max="13572" width="38.33203125" style="1290" customWidth="1"/>
    <col min="13573" max="13823" width="9.33203125" style="1290"/>
    <col min="13824" max="13824" width="9.44140625" style="1290" customWidth="1"/>
    <col min="13825" max="13825" width="47.77734375" style="1290" customWidth="1"/>
    <col min="13826" max="13828" width="38.33203125" style="1290" customWidth="1"/>
    <col min="13829" max="14079" width="9.33203125" style="1290"/>
    <col min="14080" max="14080" width="9.44140625" style="1290" customWidth="1"/>
    <col min="14081" max="14081" width="47.77734375" style="1290" customWidth="1"/>
    <col min="14082" max="14084" width="38.33203125" style="1290" customWidth="1"/>
    <col min="14085" max="14335" width="9.33203125" style="1290"/>
    <col min="14336" max="14336" width="9.44140625" style="1290" customWidth="1"/>
    <col min="14337" max="14337" width="47.77734375" style="1290" customWidth="1"/>
    <col min="14338" max="14340" width="38.33203125" style="1290" customWidth="1"/>
    <col min="14341" max="14591" width="9.33203125" style="1290"/>
    <col min="14592" max="14592" width="9.44140625" style="1290" customWidth="1"/>
    <col min="14593" max="14593" width="47.77734375" style="1290" customWidth="1"/>
    <col min="14594" max="14596" width="38.33203125" style="1290" customWidth="1"/>
    <col min="14597" max="14847" width="9.33203125" style="1290"/>
    <col min="14848" max="14848" width="9.44140625" style="1290" customWidth="1"/>
    <col min="14849" max="14849" width="47.77734375" style="1290" customWidth="1"/>
    <col min="14850" max="14852" width="38.33203125" style="1290" customWidth="1"/>
    <col min="14853" max="15103" width="9.33203125" style="1290"/>
    <col min="15104" max="15104" width="9.44140625" style="1290" customWidth="1"/>
    <col min="15105" max="15105" width="47.77734375" style="1290" customWidth="1"/>
    <col min="15106" max="15108" width="38.33203125" style="1290" customWidth="1"/>
    <col min="15109" max="15359" width="9.33203125" style="1290"/>
    <col min="15360" max="15360" width="9.44140625" style="1290" customWidth="1"/>
    <col min="15361" max="15361" width="47.77734375" style="1290" customWidth="1"/>
    <col min="15362" max="15364" width="38.33203125" style="1290" customWidth="1"/>
    <col min="15365" max="15615" width="9.33203125" style="1290"/>
    <col min="15616" max="15616" width="9.44140625" style="1290" customWidth="1"/>
    <col min="15617" max="15617" width="47.77734375" style="1290" customWidth="1"/>
    <col min="15618" max="15620" width="38.33203125" style="1290" customWidth="1"/>
    <col min="15621" max="15871" width="9.33203125" style="1290"/>
    <col min="15872" max="15872" width="9.44140625" style="1290" customWidth="1"/>
    <col min="15873" max="15873" width="47.77734375" style="1290" customWidth="1"/>
    <col min="15874" max="15876" width="38.33203125" style="1290" customWidth="1"/>
    <col min="15877" max="16127" width="9.33203125" style="1290"/>
    <col min="16128" max="16128" width="9.44140625" style="1290" customWidth="1"/>
    <col min="16129" max="16129" width="47.77734375" style="1290" customWidth="1"/>
    <col min="16130" max="16132" width="38.33203125" style="1290" customWidth="1"/>
    <col min="16133" max="16384" width="9.33203125" style="1290"/>
  </cols>
  <sheetData>
    <row r="1" spans="1:4" ht="64.5" customHeight="1" x14ac:dyDescent="0.3">
      <c r="A1" s="1401" t="s">
        <v>1288</v>
      </c>
      <c r="B1" s="1401"/>
      <c r="C1" s="1401"/>
      <c r="D1" s="1401"/>
    </row>
    <row r="2" spans="1:4" x14ac:dyDescent="0.25">
      <c r="A2" s="1403"/>
      <c r="B2" s="1403"/>
      <c r="C2" s="1403"/>
      <c r="D2" s="1403"/>
    </row>
    <row r="3" spans="1:4" ht="13.8" thickBot="1" x14ac:dyDescent="0.3">
      <c r="C3" s="1404" t="s">
        <v>1289</v>
      </c>
      <c r="D3" s="1404"/>
    </row>
    <row r="4" spans="1:4" ht="26.4" x14ac:dyDescent="0.25">
      <c r="A4" s="1317" t="s">
        <v>12</v>
      </c>
      <c r="B4" s="1303" t="s">
        <v>1230</v>
      </c>
      <c r="C4" s="1303" t="s">
        <v>1231</v>
      </c>
      <c r="D4" s="1304" t="s">
        <v>1232</v>
      </c>
    </row>
    <row r="5" spans="1:4" x14ac:dyDescent="0.25">
      <c r="A5" s="1294">
        <v>1</v>
      </c>
      <c r="B5" s="1295">
        <v>2</v>
      </c>
      <c r="C5" s="1295">
        <v>3</v>
      </c>
      <c r="D5" s="1296">
        <v>4</v>
      </c>
    </row>
    <row r="6" spans="1:4" ht="24.9" customHeight="1" x14ac:dyDescent="0.25">
      <c r="A6" s="1314" t="s">
        <v>1259</v>
      </c>
      <c r="B6" s="1301">
        <v>2947359041</v>
      </c>
      <c r="C6" s="1301">
        <f>D6-B6</f>
        <v>15882004</v>
      </c>
      <c r="D6" s="1302">
        <v>2963241045</v>
      </c>
    </row>
    <row r="7" spans="1:4" ht="24.9" customHeight="1" x14ac:dyDescent="0.25">
      <c r="A7" s="1314" t="s">
        <v>1260</v>
      </c>
      <c r="B7" s="1301">
        <v>13771659</v>
      </c>
      <c r="C7" s="1301">
        <f t="shared" ref="C7:C57" si="0">D7-B7</f>
        <v>-351803</v>
      </c>
      <c r="D7" s="1302">
        <v>13419856</v>
      </c>
    </row>
    <row r="8" spans="1:4" ht="24.9" customHeight="1" x14ac:dyDescent="0.25">
      <c r="A8" s="1314" t="s">
        <v>1261</v>
      </c>
      <c r="B8" s="1301">
        <v>0</v>
      </c>
      <c r="C8" s="1301">
        <f t="shared" si="0"/>
        <v>2942630</v>
      </c>
      <c r="D8" s="1302">
        <v>2942630</v>
      </c>
    </row>
    <row r="9" spans="1:4" ht="24.9" customHeight="1" x14ac:dyDescent="0.25">
      <c r="A9" s="1313" t="s">
        <v>1262</v>
      </c>
      <c r="B9" s="1299">
        <v>2961130700</v>
      </c>
      <c r="C9" s="1299">
        <f t="shared" si="0"/>
        <v>18472831</v>
      </c>
      <c r="D9" s="1300">
        <v>2979603531</v>
      </c>
    </row>
    <row r="10" spans="1:4" ht="24.9" customHeight="1" x14ac:dyDescent="0.25">
      <c r="A10" s="1314" t="s">
        <v>1263</v>
      </c>
      <c r="B10" s="1301">
        <v>11000</v>
      </c>
      <c r="C10" s="1301">
        <f t="shared" si="0"/>
        <v>0</v>
      </c>
      <c r="D10" s="1302">
        <v>11000</v>
      </c>
    </row>
    <row r="11" spans="1:4" ht="24.9" customHeight="1" x14ac:dyDescent="0.25">
      <c r="A11" s="1314" t="s">
        <v>1264</v>
      </c>
      <c r="B11" s="1301">
        <v>11000</v>
      </c>
      <c r="C11" s="1301">
        <f t="shared" si="0"/>
        <v>0</v>
      </c>
      <c r="D11" s="1302">
        <v>11000</v>
      </c>
    </row>
    <row r="12" spans="1:4" ht="24.9" customHeight="1" x14ac:dyDescent="0.25">
      <c r="A12" s="1313" t="s">
        <v>1265</v>
      </c>
      <c r="B12" s="1299">
        <v>11000</v>
      </c>
      <c r="C12" s="1299">
        <f t="shared" si="0"/>
        <v>0</v>
      </c>
      <c r="D12" s="1300">
        <v>11000</v>
      </c>
    </row>
    <row r="13" spans="1:4" ht="24.9" customHeight="1" x14ac:dyDescent="0.25">
      <c r="A13" s="1313" t="s">
        <v>1266</v>
      </c>
      <c r="B13" s="1299">
        <v>2961141700</v>
      </c>
      <c r="C13" s="1299">
        <f t="shared" si="0"/>
        <v>18472831</v>
      </c>
      <c r="D13" s="1300">
        <v>2979614531</v>
      </c>
    </row>
    <row r="14" spans="1:4" ht="24.9" customHeight="1" x14ac:dyDescent="0.25">
      <c r="A14" s="1314" t="s">
        <v>1233</v>
      </c>
      <c r="B14" s="1301">
        <v>18775</v>
      </c>
      <c r="C14" s="1301">
        <f t="shared" si="0"/>
        <v>9965</v>
      </c>
      <c r="D14" s="1302">
        <v>28740</v>
      </c>
    </row>
    <row r="15" spans="1:4" ht="24.9" customHeight="1" x14ac:dyDescent="0.25">
      <c r="A15" s="1313" t="s">
        <v>1234</v>
      </c>
      <c r="B15" s="1299">
        <v>18775</v>
      </c>
      <c r="C15" s="1299">
        <f t="shared" si="0"/>
        <v>9965</v>
      </c>
      <c r="D15" s="1300">
        <v>28740</v>
      </c>
    </row>
    <row r="16" spans="1:4" ht="24.9" customHeight="1" x14ac:dyDescent="0.25">
      <c r="A16" s="1314" t="s">
        <v>1235</v>
      </c>
      <c r="B16" s="1301">
        <v>226784342</v>
      </c>
      <c r="C16" s="1301">
        <f t="shared" si="0"/>
        <v>71260646</v>
      </c>
      <c r="D16" s="1302">
        <v>298044988</v>
      </c>
    </row>
    <row r="17" spans="1:4" ht="24.9" customHeight="1" x14ac:dyDescent="0.25">
      <c r="A17" s="1313" t="s">
        <v>1236</v>
      </c>
      <c r="B17" s="1299">
        <v>226784342</v>
      </c>
      <c r="C17" s="1299">
        <f t="shared" si="0"/>
        <v>71260646</v>
      </c>
      <c r="D17" s="1300">
        <v>298044988</v>
      </c>
    </row>
    <row r="18" spans="1:4" ht="24.9" customHeight="1" x14ac:dyDescent="0.25">
      <c r="A18" s="1313" t="s">
        <v>1237</v>
      </c>
      <c r="B18" s="1299">
        <v>226803117</v>
      </c>
      <c r="C18" s="1299">
        <f t="shared" si="0"/>
        <v>71270611</v>
      </c>
      <c r="D18" s="1300">
        <v>298073728</v>
      </c>
    </row>
    <row r="19" spans="1:4" ht="24.9" customHeight="1" x14ac:dyDescent="0.25">
      <c r="A19" s="1314" t="s">
        <v>1267</v>
      </c>
      <c r="B19" s="1301">
        <v>0</v>
      </c>
      <c r="C19" s="1301">
        <f t="shared" si="0"/>
        <v>97933094</v>
      </c>
      <c r="D19" s="1302">
        <v>97933094</v>
      </c>
    </row>
    <row r="20" spans="1:4" ht="24.9" customHeight="1" x14ac:dyDescent="0.25">
      <c r="A20" s="1314" t="s">
        <v>1268</v>
      </c>
      <c r="B20" s="1301">
        <v>0</v>
      </c>
      <c r="C20" s="1301">
        <f t="shared" si="0"/>
        <v>35466952</v>
      </c>
      <c r="D20" s="1302">
        <v>35466952</v>
      </c>
    </row>
    <row r="21" spans="1:4" ht="24.9" customHeight="1" x14ac:dyDescent="0.25">
      <c r="A21" s="1314" t="s">
        <v>1269</v>
      </c>
      <c r="B21" s="1301">
        <v>0</v>
      </c>
      <c r="C21" s="1301">
        <f t="shared" si="0"/>
        <v>34487133</v>
      </c>
      <c r="D21" s="1302">
        <v>34487133</v>
      </c>
    </row>
    <row r="22" spans="1:4" ht="24.9" customHeight="1" x14ac:dyDescent="0.25">
      <c r="A22" s="1314" t="s">
        <v>1270</v>
      </c>
      <c r="B22" s="1301">
        <v>0</v>
      </c>
      <c r="C22" s="1301">
        <f t="shared" si="0"/>
        <v>27979009</v>
      </c>
      <c r="D22" s="1302">
        <v>27979009</v>
      </c>
    </row>
    <row r="23" spans="1:4" ht="24.9" customHeight="1" x14ac:dyDescent="0.25">
      <c r="A23" s="1314" t="s">
        <v>1253</v>
      </c>
      <c r="B23" s="1301">
        <v>1948094</v>
      </c>
      <c r="C23" s="1301">
        <f t="shared" si="0"/>
        <v>540816</v>
      </c>
      <c r="D23" s="1302">
        <v>2488910</v>
      </c>
    </row>
    <row r="24" spans="1:4" ht="24.9" customHeight="1" x14ac:dyDescent="0.25">
      <c r="A24" s="1314" t="s">
        <v>1254</v>
      </c>
      <c r="B24" s="1301">
        <v>130466</v>
      </c>
      <c r="C24" s="1301">
        <f t="shared" si="0"/>
        <v>1214972</v>
      </c>
      <c r="D24" s="1302">
        <v>1345438</v>
      </c>
    </row>
    <row r="25" spans="1:4" ht="24.9" customHeight="1" x14ac:dyDescent="0.25">
      <c r="A25" s="1314" t="s">
        <v>1271</v>
      </c>
      <c r="B25" s="1301">
        <v>1739349</v>
      </c>
      <c r="C25" s="1301">
        <f t="shared" si="0"/>
        <v>-927049</v>
      </c>
      <c r="D25" s="1302">
        <v>812300</v>
      </c>
    </row>
    <row r="26" spans="1:4" ht="24.9" customHeight="1" x14ac:dyDescent="0.25">
      <c r="A26" s="1314" t="s">
        <v>1255</v>
      </c>
      <c r="B26" s="1301">
        <v>78279</v>
      </c>
      <c r="C26" s="1301">
        <f t="shared" si="0"/>
        <v>227891</v>
      </c>
      <c r="D26" s="1302">
        <v>306170</v>
      </c>
    </row>
    <row r="27" spans="1:4" ht="24.9" customHeight="1" x14ac:dyDescent="0.25">
      <c r="A27" s="1314" t="s">
        <v>1272</v>
      </c>
      <c r="B27" s="1301">
        <v>0</v>
      </c>
      <c r="C27" s="1301">
        <f t="shared" si="0"/>
        <v>25002</v>
      </c>
      <c r="D27" s="1302">
        <v>25002</v>
      </c>
    </row>
    <row r="28" spans="1:4" ht="24.9" customHeight="1" x14ac:dyDescent="0.25">
      <c r="A28" s="1313" t="s">
        <v>1257</v>
      </c>
      <c r="B28" s="1299">
        <v>1948094</v>
      </c>
      <c r="C28" s="1299">
        <f t="shared" si="0"/>
        <v>98473910</v>
      </c>
      <c r="D28" s="1300">
        <v>100422004</v>
      </c>
    </row>
    <row r="29" spans="1:4" ht="24.9" customHeight="1" x14ac:dyDescent="0.25">
      <c r="A29" s="1314" t="s">
        <v>1238</v>
      </c>
      <c r="B29" s="1301">
        <v>50000</v>
      </c>
      <c r="C29" s="1301">
        <f t="shared" si="0"/>
        <v>889603</v>
      </c>
      <c r="D29" s="1302">
        <v>939603</v>
      </c>
    </row>
    <row r="30" spans="1:4" ht="24.9" customHeight="1" x14ac:dyDescent="0.25">
      <c r="A30" s="1314" t="s">
        <v>1258</v>
      </c>
      <c r="B30" s="1301">
        <v>50000</v>
      </c>
      <c r="C30" s="1301">
        <f t="shared" si="0"/>
        <v>-50000</v>
      </c>
      <c r="D30" s="1302">
        <v>0</v>
      </c>
    </row>
    <row r="31" spans="1:4" ht="24.9" customHeight="1" x14ac:dyDescent="0.25">
      <c r="A31" s="1314" t="s">
        <v>1239</v>
      </c>
      <c r="B31" s="1301">
        <v>0</v>
      </c>
      <c r="C31" s="1301">
        <f t="shared" si="0"/>
        <v>939603</v>
      </c>
      <c r="D31" s="1302">
        <v>939603</v>
      </c>
    </row>
    <row r="32" spans="1:4" ht="24.9" customHeight="1" x14ac:dyDescent="0.25">
      <c r="A32" s="1314" t="s">
        <v>1273</v>
      </c>
      <c r="B32" s="1301">
        <v>0</v>
      </c>
      <c r="C32" s="1301">
        <f t="shared" si="0"/>
        <v>50000</v>
      </c>
      <c r="D32" s="1302">
        <v>50000</v>
      </c>
    </row>
    <row r="33" spans="1:4" ht="24.9" customHeight="1" x14ac:dyDescent="0.25">
      <c r="A33" s="1313" t="s">
        <v>1240</v>
      </c>
      <c r="B33" s="1299">
        <v>50000</v>
      </c>
      <c r="C33" s="1299">
        <f t="shared" si="0"/>
        <v>939603</v>
      </c>
      <c r="D33" s="1300">
        <v>989603</v>
      </c>
    </row>
    <row r="34" spans="1:4" ht="24.9" customHeight="1" x14ac:dyDescent="0.25">
      <c r="A34" s="1313" t="s">
        <v>1241</v>
      </c>
      <c r="B34" s="1299">
        <v>1998094</v>
      </c>
      <c r="C34" s="1299">
        <f t="shared" si="0"/>
        <v>99413513</v>
      </c>
      <c r="D34" s="1300">
        <v>101411607</v>
      </c>
    </row>
    <row r="35" spans="1:4" ht="24.9" customHeight="1" x14ac:dyDescent="0.25">
      <c r="A35" s="1314" t="s">
        <v>1274</v>
      </c>
      <c r="B35" s="1301">
        <v>0</v>
      </c>
      <c r="C35" s="1301">
        <f t="shared" si="0"/>
        <v>40000</v>
      </c>
      <c r="D35" s="1302">
        <v>40000</v>
      </c>
    </row>
    <row r="36" spans="1:4" ht="24.9" customHeight="1" x14ac:dyDescent="0.25">
      <c r="A36" s="1313" t="s">
        <v>1275</v>
      </c>
      <c r="B36" s="1299">
        <v>0</v>
      </c>
      <c r="C36" s="1301">
        <f t="shared" si="0"/>
        <v>40000</v>
      </c>
      <c r="D36" s="1300">
        <v>40000</v>
      </c>
    </row>
    <row r="37" spans="1:4" ht="24.9" customHeight="1" x14ac:dyDescent="0.25">
      <c r="A37" s="1313" t="s">
        <v>1276</v>
      </c>
      <c r="B37" s="1299">
        <v>0</v>
      </c>
      <c r="C37" s="1301">
        <f t="shared" si="0"/>
        <v>40000</v>
      </c>
      <c r="D37" s="1300">
        <v>40000</v>
      </c>
    </row>
    <row r="38" spans="1:4" ht="24.9" customHeight="1" x14ac:dyDescent="0.25">
      <c r="A38" s="1315" t="s">
        <v>1242</v>
      </c>
      <c r="B38" s="1308">
        <v>3189942911</v>
      </c>
      <c r="C38" s="1308">
        <f t="shared" si="0"/>
        <v>189196955</v>
      </c>
      <c r="D38" s="1309">
        <v>3379139866</v>
      </c>
    </row>
    <row r="39" spans="1:4" ht="24.9" customHeight="1" x14ac:dyDescent="0.25">
      <c r="A39" s="1314" t="s">
        <v>1277</v>
      </c>
      <c r="B39" s="1301">
        <v>3559077327</v>
      </c>
      <c r="C39" s="1301">
        <f t="shared" si="0"/>
        <v>0</v>
      </c>
      <c r="D39" s="1302">
        <v>3559077327</v>
      </c>
    </row>
    <row r="40" spans="1:4" ht="24.9" customHeight="1" x14ac:dyDescent="0.25">
      <c r="A40" s="1314" t="s">
        <v>1243</v>
      </c>
      <c r="B40" s="1301">
        <v>15234616</v>
      </c>
      <c r="C40" s="1301">
        <f t="shared" si="0"/>
        <v>0</v>
      </c>
      <c r="D40" s="1302">
        <v>15234616</v>
      </c>
    </row>
    <row r="41" spans="1:4" ht="24.9" customHeight="1" x14ac:dyDescent="0.25">
      <c r="A41" s="1314" t="s">
        <v>1244</v>
      </c>
      <c r="B41" s="1301">
        <v>83107001</v>
      </c>
      <c r="C41" s="1301">
        <f t="shared" si="0"/>
        <v>-496992457</v>
      </c>
      <c r="D41" s="1302">
        <v>-413885456</v>
      </c>
    </row>
    <row r="42" spans="1:4" ht="24.9" customHeight="1" x14ac:dyDescent="0.25">
      <c r="A42" s="1314" t="s">
        <v>1245</v>
      </c>
      <c r="B42" s="1301">
        <v>-496992457</v>
      </c>
      <c r="C42" s="1301">
        <f t="shared" si="0"/>
        <v>684331800</v>
      </c>
      <c r="D42" s="1302">
        <v>187339343</v>
      </c>
    </row>
    <row r="43" spans="1:4" ht="24.9" customHeight="1" x14ac:dyDescent="0.25">
      <c r="A43" s="1313" t="s">
        <v>1246</v>
      </c>
      <c r="B43" s="1299">
        <v>3160426487</v>
      </c>
      <c r="C43" s="1299">
        <f t="shared" si="0"/>
        <v>187339343</v>
      </c>
      <c r="D43" s="1300">
        <v>3347765830</v>
      </c>
    </row>
    <row r="44" spans="1:4" ht="24.9" customHeight="1" x14ac:dyDescent="0.25">
      <c r="A44" s="1314" t="s">
        <v>1278</v>
      </c>
      <c r="B44" s="1301">
        <v>0</v>
      </c>
      <c r="C44" s="1301">
        <f t="shared" si="0"/>
        <v>116872</v>
      </c>
      <c r="D44" s="1302">
        <v>116872</v>
      </c>
    </row>
    <row r="45" spans="1:4" ht="24.9" customHeight="1" x14ac:dyDescent="0.25">
      <c r="A45" s="1314" t="s">
        <v>1279</v>
      </c>
      <c r="B45" s="1301">
        <v>0</v>
      </c>
      <c r="C45" s="1301">
        <f t="shared" si="0"/>
        <v>2</v>
      </c>
      <c r="D45" s="1302">
        <v>2</v>
      </c>
    </row>
    <row r="46" spans="1:4" ht="24.9" customHeight="1" x14ac:dyDescent="0.25">
      <c r="A46" s="1313" t="s">
        <v>1280</v>
      </c>
      <c r="B46" s="1299">
        <v>0</v>
      </c>
      <c r="C46" s="1301">
        <f t="shared" si="0"/>
        <v>116874</v>
      </c>
      <c r="D46" s="1300">
        <v>116874</v>
      </c>
    </row>
    <row r="47" spans="1:4" ht="24.9" customHeight="1" x14ac:dyDescent="0.25">
      <c r="A47" s="1314" t="s">
        <v>1281</v>
      </c>
      <c r="B47" s="1301">
        <v>7307830</v>
      </c>
      <c r="C47" s="1301">
        <f t="shared" si="0"/>
        <v>695845</v>
      </c>
      <c r="D47" s="1302">
        <v>8003675</v>
      </c>
    </row>
    <row r="48" spans="1:4" ht="24.9" customHeight="1" x14ac:dyDescent="0.25">
      <c r="A48" s="1314" t="s">
        <v>1282</v>
      </c>
      <c r="B48" s="1301">
        <v>7307830</v>
      </c>
      <c r="C48" s="1301">
        <f t="shared" si="0"/>
        <v>695845</v>
      </c>
      <c r="D48" s="1302">
        <v>8003675</v>
      </c>
    </row>
    <row r="49" spans="1:4" ht="24.9" customHeight="1" x14ac:dyDescent="0.25">
      <c r="A49" s="1313" t="s">
        <v>1283</v>
      </c>
      <c r="B49" s="1299">
        <v>7307830</v>
      </c>
      <c r="C49" s="1299">
        <f t="shared" si="0"/>
        <v>695845</v>
      </c>
      <c r="D49" s="1300">
        <v>8003675</v>
      </c>
    </row>
    <row r="50" spans="1:4" ht="24.9" customHeight="1" x14ac:dyDescent="0.25">
      <c r="A50" s="1314" t="s">
        <v>1247</v>
      </c>
      <c r="B50" s="1301">
        <v>10260793</v>
      </c>
      <c r="C50" s="1301">
        <f t="shared" si="0"/>
        <v>3720086</v>
      </c>
      <c r="D50" s="1302">
        <v>13980879</v>
      </c>
    </row>
    <row r="51" spans="1:4" ht="24.9" customHeight="1" x14ac:dyDescent="0.25">
      <c r="A51" s="1314" t="s">
        <v>1284</v>
      </c>
      <c r="B51" s="1301">
        <v>985150</v>
      </c>
      <c r="C51" s="1301">
        <f t="shared" si="0"/>
        <v>-236203</v>
      </c>
      <c r="D51" s="1302">
        <v>748947</v>
      </c>
    </row>
    <row r="52" spans="1:4" ht="24.9" customHeight="1" x14ac:dyDescent="0.25">
      <c r="A52" s="1314" t="s">
        <v>1285</v>
      </c>
      <c r="B52" s="1301">
        <v>8285538</v>
      </c>
      <c r="C52" s="1301">
        <f t="shared" si="0"/>
        <v>-3237419</v>
      </c>
      <c r="D52" s="1302">
        <v>5048119</v>
      </c>
    </row>
    <row r="53" spans="1:4" ht="24.9" customHeight="1" x14ac:dyDescent="0.25">
      <c r="A53" s="1313" t="s">
        <v>1248</v>
      </c>
      <c r="B53" s="1299">
        <v>19531481</v>
      </c>
      <c r="C53" s="1299">
        <f t="shared" si="0"/>
        <v>246464</v>
      </c>
      <c r="D53" s="1300">
        <v>19777945</v>
      </c>
    </row>
    <row r="54" spans="1:4" ht="24.9" customHeight="1" x14ac:dyDescent="0.25">
      <c r="A54" s="1313" t="s">
        <v>1249</v>
      </c>
      <c r="B54" s="1299">
        <v>26839311</v>
      </c>
      <c r="C54" s="1299">
        <f t="shared" si="0"/>
        <v>1059183</v>
      </c>
      <c r="D54" s="1300">
        <v>27898494</v>
      </c>
    </row>
    <row r="55" spans="1:4" ht="24.9" customHeight="1" x14ac:dyDescent="0.25">
      <c r="A55" s="1314" t="s">
        <v>1250</v>
      </c>
      <c r="B55" s="1301">
        <v>2677113</v>
      </c>
      <c r="C55" s="1301">
        <f t="shared" si="0"/>
        <v>798429</v>
      </c>
      <c r="D55" s="1302">
        <v>3475542</v>
      </c>
    </row>
    <row r="56" spans="1:4" ht="24.9" customHeight="1" x14ac:dyDescent="0.25">
      <c r="A56" s="1313" t="s">
        <v>1251</v>
      </c>
      <c r="B56" s="1299">
        <v>2677113</v>
      </c>
      <c r="C56" s="1299">
        <f t="shared" si="0"/>
        <v>798429</v>
      </c>
      <c r="D56" s="1300">
        <v>3475542</v>
      </c>
    </row>
    <row r="57" spans="1:4" ht="24.9" customHeight="1" thickBot="1" x14ac:dyDescent="0.3">
      <c r="A57" s="1316" t="s">
        <v>1252</v>
      </c>
      <c r="B57" s="1311">
        <v>3189942911</v>
      </c>
      <c r="C57" s="1308">
        <f t="shared" si="0"/>
        <v>189196955</v>
      </c>
      <c r="D57" s="1312">
        <v>3379139866</v>
      </c>
    </row>
  </sheetData>
  <mergeCells count="3">
    <mergeCell ref="A2:D2"/>
    <mergeCell ref="A1:D1"/>
    <mergeCell ref="C3:D3"/>
  </mergeCells>
  <pageMargins left="0.74803149606299213" right="0.74803149606299213" top="0.98425196850393704" bottom="0.98425196850393704" header="0.51181102362204722" footer="0.51181102362204722"/>
  <pageSetup scale="73" orientation="portrait" horizontalDpi="300" verticalDpi="300" r:id="rId1"/>
  <headerFooter alignWithMargins="0">
    <oddHeader>&amp;R&amp;"Times New Roman CE,Félkövér"&amp;11 13. melléklet az 5/2019. (IV. 26.) önkormányzati rendelethez</oddHeader>
  </headerFooter>
  <rowBreaks count="1" manualBreakCount="1">
    <brk id="28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6"/>
  <sheetViews>
    <sheetView tabSelected="1" view="pageBreakPreview" zoomScaleNormal="100" zoomScaleSheetLayoutView="100" workbookViewId="0">
      <selection sqref="A1:E1"/>
    </sheetView>
  </sheetViews>
  <sheetFormatPr defaultColWidth="10.44140625" defaultRowHeight="13.2" x14ac:dyDescent="0.25"/>
  <cols>
    <col min="1" max="1" width="66.6640625" style="1319" customWidth="1"/>
    <col min="2" max="2" width="12.44140625" style="1319" customWidth="1"/>
    <col min="3" max="5" width="17.77734375" style="1319" customWidth="1"/>
    <col min="6" max="213" width="10.44140625" style="1319"/>
    <col min="214" max="214" width="8.33203125" style="1319" customWidth="1"/>
    <col min="215" max="219" width="3.77734375" style="1319" customWidth="1"/>
    <col min="220" max="220" width="4.44140625" style="1319" customWidth="1"/>
    <col min="221" max="224" width="3.77734375" style="1319" customWidth="1"/>
    <col min="225" max="225" width="4.44140625" style="1319" customWidth="1"/>
    <col min="226" max="260" width="3.77734375" style="1319" customWidth="1"/>
    <col min="261" max="469" width="10.44140625" style="1319"/>
    <col min="470" max="470" width="8.33203125" style="1319" customWidth="1"/>
    <col min="471" max="475" width="3.77734375" style="1319" customWidth="1"/>
    <col min="476" max="476" width="4.44140625" style="1319" customWidth="1"/>
    <col min="477" max="480" width="3.77734375" style="1319" customWidth="1"/>
    <col min="481" max="481" width="4.44140625" style="1319" customWidth="1"/>
    <col min="482" max="516" width="3.77734375" style="1319" customWidth="1"/>
    <col min="517" max="725" width="10.44140625" style="1319"/>
    <col min="726" max="726" width="8.33203125" style="1319" customWidth="1"/>
    <col min="727" max="731" width="3.77734375" style="1319" customWidth="1"/>
    <col min="732" max="732" width="4.44140625" style="1319" customWidth="1"/>
    <col min="733" max="736" width="3.77734375" style="1319" customWidth="1"/>
    <col min="737" max="737" width="4.44140625" style="1319" customWidth="1"/>
    <col min="738" max="772" width="3.77734375" style="1319" customWidth="1"/>
    <col min="773" max="981" width="10.44140625" style="1319"/>
    <col min="982" max="982" width="8.33203125" style="1319" customWidth="1"/>
    <col min="983" max="987" width="3.77734375" style="1319" customWidth="1"/>
    <col min="988" max="988" width="4.44140625" style="1319" customWidth="1"/>
    <col min="989" max="992" width="3.77734375" style="1319" customWidth="1"/>
    <col min="993" max="993" width="4.44140625" style="1319" customWidth="1"/>
    <col min="994" max="1028" width="3.77734375" style="1319" customWidth="1"/>
    <col min="1029" max="1237" width="10.44140625" style="1319"/>
    <col min="1238" max="1238" width="8.33203125" style="1319" customWidth="1"/>
    <col min="1239" max="1243" width="3.77734375" style="1319" customWidth="1"/>
    <col min="1244" max="1244" width="4.44140625" style="1319" customWidth="1"/>
    <col min="1245" max="1248" width="3.77734375" style="1319" customWidth="1"/>
    <col min="1249" max="1249" width="4.44140625" style="1319" customWidth="1"/>
    <col min="1250" max="1284" width="3.77734375" style="1319" customWidth="1"/>
    <col min="1285" max="1493" width="10.44140625" style="1319"/>
    <col min="1494" max="1494" width="8.33203125" style="1319" customWidth="1"/>
    <col min="1495" max="1499" width="3.77734375" style="1319" customWidth="1"/>
    <col min="1500" max="1500" width="4.44140625" style="1319" customWidth="1"/>
    <col min="1501" max="1504" width="3.77734375" style="1319" customWidth="1"/>
    <col min="1505" max="1505" width="4.44140625" style="1319" customWidth="1"/>
    <col min="1506" max="1540" width="3.77734375" style="1319" customWidth="1"/>
    <col min="1541" max="1749" width="10.44140625" style="1319"/>
    <col min="1750" max="1750" width="8.33203125" style="1319" customWidth="1"/>
    <col min="1751" max="1755" width="3.77734375" style="1319" customWidth="1"/>
    <col min="1756" max="1756" width="4.44140625" style="1319" customWidth="1"/>
    <col min="1757" max="1760" width="3.77734375" style="1319" customWidth="1"/>
    <col min="1761" max="1761" width="4.44140625" style="1319" customWidth="1"/>
    <col min="1762" max="1796" width="3.77734375" style="1319" customWidth="1"/>
    <col min="1797" max="2005" width="10.44140625" style="1319"/>
    <col min="2006" max="2006" width="8.33203125" style="1319" customWidth="1"/>
    <col min="2007" max="2011" width="3.77734375" style="1319" customWidth="1"/>
    <col min="2012" max="2012" width="4.44140625" style="1319" customWidth="1"/>
    <col min="2013" max="2016" width="3.77734375" style="1319" customWidth="1"/>
    <col min="2017" max="2017" width="4.44140625" style="1319" customWidth="1"/>
    <col min="2018" max="2052" width="3.77734375" style="1319" customWidth="1"/>
    <col min="2053" max="2261" width="10.44140625" style="1319"/>
    <col min="2262" max="2262" width="8.33203125" style="1319" customWidth="1"/>
    <col min="2263" max="2267" width="3.77734375" style="1319" customWidth="1"/>
    <col min="2268" max="2268" width="4.44140625" style="1319" customWidth="1"/>
    <col min="2269" max="2272" width="3.77734375" style="1319" customWidth="1"/>
    <col min="2273" max="2273" width="4.44140625" style="1319" customWidth="1"/>
    <col min="2274" max="2308" width="3.77734375" style="1319" customWidth="1"/>
    <col min="2309" max="2517" width="10.44140625" style="1319"/>
    <col min="2518" max="2518" width="8.33203125" style="1319" customWidth="1"/>
    <col min="2519" max="2523" width="3.77734375" style="1319" customWidth="1"/>
    <col min="2524" max="2524" width="4.44140625" style="1319" customWidth="1"/>
    <col min="2525" max="2528" width="3.77734375" style="1319" customWidth="1"/>
    <col min="2529" max="2529" width="4.44140625" style="1319" customWidth="1"/>
    <col min="2530" max="2564" width="3.77734375" style="1319" customWidth="1"/>
    <col min="2565" max="2773" width="10.44140625" style="1319"/>
    <col min="2774" max="2774" width="8.33203125" style="1319" customWidth="1"/>
    <col min="2775" max="2779" width="3.77734375" style="1319" customWidth="1"/>
    <col min="2780" max="2780" width="4.44140625" style="1319" customWidth="1"/>
    <col min="2781" max="2784" width="3.77734375" style="1319" customWidth="1"/>
    <col min="2785" max="2785" width="4.44140625" style="1319" customWidth="1"/>
    <col min="2786" max="2820" width="3.77734375" style="1319" customWidth="1"/>
    <col min="2821" max="3029" width="10.44140625" style="1319"/>
    <col min="3030" max="3030" width="8.33203125" style="1319" customWidth="1"/>
    <col min="3031" max="3035" width="3.77734375" style="1319" customWidth="1"/>
    <col min="3036" max="3036" width="4.44140625" style="1319" customWidth="1"/>
    <col min="3037" max="3040" width="3.77734375" style="1319" customWidth="1"/>
    <col min="3041" max="3041" width="4.44140625" style="1319" customWidth="1"/>
    <col min="3042" max="3076" width="3.77734375" style="1319" customWidth="1"/>
    <col min="3077" max="3285" width="10.44140625" style="1319"/>
    <col min="3286" max="3286" width="8.33203125" style="1319" customWidth="1"/>
    <col min="3287" max="3291" width="3.77734375" style="1319" customWidth="1"/>
    <col min="3292" max="3292" width="4.44140625" style="1319" customWidth="1"/>
    <col min="3293" max="3296" width="3.77734375" style="1319" customWidth="1"/>
    <col min="3297" max="3297" width="4.44140625" style="1319" customWidth="1"/>
    <col min="3298" max="3332" width="3.77734375" style="1319" customWidth="1"/>
    <col min="3333" max="3541" width="10.44140625" style="1319"/>
    <col min="3542" max="3542" width="8.33203125" style="1319" customWidth="1"/>
    <col min="3543" max="3547" width="3.77734375" style="1319" customWidth="1"/>
    <col min="3548" max="3548" width="4.44140625" style="1319" customWidth="1"/>
    <col min="3549" max="3552" width="3.77734375" style="1319" customWidth="1"/>
    <col min="3553" max="3553" width="4.44140625" style="1319" customWidth="1"/>
    <col min="3554" max="3588" width="3.77734375" style="1319" customWidth="1"/>
    <col min="3589" max="3797" width="10.44140625" style="1319"/>
    <col min="3798" max="3798" width="8.33203125" style="1319" customWidth="1"/>
    <col min="3799" max="3803" width="3.77734375" style="1319" customWidth="1"/>
    <col min="3804" max="3804" width="4.44140625" style="1319" customWidth="1"/>
    <col min="3805" max="3808" width="3.77734375" style="1319" customWidth="1"/>
    <col min="3809" max="3809" width="4.44140625" style="1319" customWidth="1"/>
    <col min="3810" max="3844" width="3.77734375" style="1319" customWidth="1"/>
    <col min="3845" max="4053" width="10.44140625" style="1319"/>
    <col min="4054" max="4054" width="8.33203125" style="1319" customWidth="1"/>
    <col min="4055" max="4059" width="3.77734375" style="1319" customWidth="1"/>
    <col min="4060" max="4060" width="4.44140625" style="1319" customWidth="1"/>
    <col min="4061" max="4064" width="3.77734375" style="1319" customWidth="1"/>
    <col min="4065" max="4065" width="4.44140625" style="1319" customWidth="1"/>
    <col min="4066" max="4100" width="3.77734375" style="1319" customWidth="1"/>
    <col min="4101" max="4309" width="10.44140625" style="1319"/>
    <col min="4310" max="4310" width="8.33203125" style="1319" customWidth="1"/>
    <col min="4311" max="4315" width="3.77734375" style="1319" customWidth="1"/>
    <col min="4316" max="4316" width="4.44140625" style="1319" customWidth="1"/>
    <col min="4317" max="4320" width="3.77734375" style="1319" customWidth="1"/>
    <col min="4321" max="4321" width="4.44140625" style="1319" customWidth="1"/>
    <col min="4322" max="4356" width="3.77734375" style="1319" customWidth="1"/>
    <col min="4357" max="4565" width="10.44140625" style="1319"/>
    <col min="4566" max="4566" width="8.33203125" style="1319" customWidth="1"/>
    <col min="4567" max="4571" width="3.77734375" style="1319" customWidth="1"/>
    <col min="4572" max="4572" width="4.44140625" style="1319" customWidth="1"/>
    <col min="4573" max="4576" width="3.77734375" style="1319" customWidth="1"/>
    <col min="4577" max="4577" width="4.44140625" style="1319" customWidth="1"/>
    <col min="4578" max="4612" width="3.77734375" style="1319" customWidth="1"/>
    <col min="4613" max="4821" width="10.44140625" style="1319"/>
    <col min="4822" max="4822" width="8.33203125" style="1319" customWidth="1"/>
    <col min="4823" max="4827" width="3.77734375" style="1319" customWidth="1"/>
    <col min="4828" max="4828" width="4.44140625" style="1319" customWidth="1"/>
    <col min="4829" max="4832" width="3.77734375" style="1319" customWidth="1"/>
    <col min="4833" max="4833" width="4.44140625" style="1319" customWidth="1"/>
    <col min="4834" max="4868" width="3.77734375" style="1319" customWidth="1"/>
    <col min="4869" max="5077" width="10.44140625" style="1319"/>
    <col min="5078" max="5078" width="8.33203125" style="1319" customWidth="1"/>
    <col min="5079" max="5083" width="3.77734375" style="1319" customWidth="1"/>
    <col min="5084" max="5084" width="4.44140625" style="1319" customWidth="1"/>
    <col min="5085" max="5088" width="3.77734375" style="1319" customWidth="1"/>
    <col min="5089" max="5089" width="4.44140625" style="1319" customWidth="1"/>
    <col min="5090" max="5124" width="3.77734375" style="1319" customWidth="1"/>
    <col min="5125" max="5333" width="10.44140625" style="1319"/>
    <col min="5334" max="5334" width="8.33203125" style="1319" customWidth="1"/>
    <col min="5335" max="5339" width="3.77734375" style="1319" customWidth="1"/>
    <col min="5340" max="5340" width="4.44140625" style="1319" customWidth="1"/>
    <col min="5341" max="5344" width="3.77734375" style="1319" customWidth="1"/>
    <col min="5345" max="5345" width="4.44140625" style="1319" customWidth="1"/>
    <col min="5346" max="5380" width="3.77734375" style="1319" customWidth="1"/>
    <col min="5381" max="5589" width="10.44140625" style="1319"/>
    <col min="5590" max="5590" width="8.33203125" style="1319" customWidth="1"/>
    <col min="5591" max="5595" width="3.77734375" style="1319" customWidth="1"/>
    <col min="5596" max="5596" width="4.44140625" style="1319" customWidth="1"/>
    <col min="5597" max="5600" width="3.77734375" style="1319" customWidth="1"/>
    <col min="5601" max="5601" width="4.44140625" style="1319" customWidth="1"/>
    <col min="5602" max="5636" width="3.77734375" style="1319" customWidth="1"/>
    <col min="5637" max="5845" width="10.44140625" style="1319"/>
    <col min="5846" max="5846" width="8.33203125" style="1319" customWidth="1"/>
    <col min="5847" max="5851" width="3.77734375" style="1319" customWidth="1"/>
    <col min="5852" max="5852" width="4.44140625" style="1319" customWidth="1"/>
    <col min="5853" max="5856" width="3.77734375" style="1319" customWidth="1"/>
    <col min="5857" max="5857" width="4.44140625" style="1319" customWidth="1"/>
    <col min="5858" max="5892" width="3.77734375" style="1319" customWidth="1"/>
    <col min="5893" max="6101" width="10.44140625" style="1319"/>
    <col min="6102" max="6102" width="8.33203125" style="1319" customWidth="1"/>
    <col min="6103" max="6107" width="3.77734375" style="1319" customWidth="1"/>
    <col min="6108" max="6108" width="4.44140625" style="1319" customWidth="1"/>
    <col min="6109" max="6112" width="3.77734375" style="1319" customWidth="1"/>
    <col min="6113" max="6113" width="4.44140625" style="1319" customWidth="1"/>
    <col min="6114" max="6148" width="3.77734375" style="1319" customWidth="1"/>
    <col min="6149" max="6357" width="10.44140625" style="1319"/>
    <col min="6358" max="6358" width="8.33203125" style="1319" customWidth="1"/>
    <col min="6359" max="6363" width="3.77734375" style="1319" customWidth="1"/>
    <col min="6364" max="6364" width="4.44140625" style="1319" customWidth="1"/>
    <col min="6365" max="6368" width="3.77734375" style="1319" customWidth="1"/>
    <col min="6369" max="6369" width="4.44140625" style="1319" customWidth="1"/>
    <col min="6370" max="6404" width="3.77734375" style="1319" customWidth="1"/>
    <col min="6405" max="6613" width="10.44140625" style="1319"/>
    <col min="6614" max="6614" width="8.33203125" style="1319" customWidth="1"/>
    <col min="6615" max="6619" width="3.77734375" style="1319" customWidth="1"/>
    <col min="6620" max="6620" width="4.44140625" style="1319" customWidth="1"/>
    <col min="6621" max="6624" width="3.77734375" style="1319" customWidth="1"/>
    <col min="6625" max="6625" width="4.44140625" style="1319" customWidth="1"/>
    <col min="6626" max="6660" width="3.77734375" style="1319" customWidth="1"/>
    <col min="6661" max="6869" width="10.44140625" style="1319"/>
    <col min="6870" max="6870" width="8.33203125" style="1319" customWidth="1"/>
    <col min="6871" max="6875" width="3.77734375" style="1319" customWidth="1"/>
    <col min="6876" max="6876" width="4.44140625" style="1319" customWidth="1"/>
    <col min="6877" max="6880" width="3.77734375" style="1319" customWidth="1"/>
    <col min="6881" max="6881" width="4.44140625" style="1319" customWidth="1"/>
    <col min="6882" max="6916" width="3.77734375" style="1319" customWidth="1"/>
    <col min="6917" max="7125" width="10.44140625" style="1319"/>
    <col min="7126" max="7126" width="8.33203125" style="1319" customWidth="1"/>
    <col min="7127" max="7131" width="3.77734375" style="1319" customWidth="1"/>
    <col min="7132" max="7132" width="4.44140625" style="1319" customWidth="1"/>
    <col min="7133" max="7136" width="3.77734375" style="1319" customWidth="1"/>
    <col min="7137" max="7137" width="4.44140625" style="1319" customWidth="1"/>
    <col min="7138" max="7172" width="3.77734375" style="1319" customWidth="1"/>
    <col min="7173" max="7381" width="10.44140625" style="1319"/>
    <col min="7382" max="7382" width="8.33203125" style="1319" customWidth="1"/>
    <col min="7383" max="7387" width="3.77734375" style="1319" customWidth="1"/>
    <col min="7388" max="7388" width="4.44140625" style="1319" customWidth="1"/>
    <col min="7389" max="7392" width="3.77734375" style="1319" customWidth="1"/>
    <col min="7393" max="7393" width="4.44140625" style="1319" customWidth="1"/>
    <col min="7394" max="7428" width="3.77734375" style="1319" customWidth="1"/>
    <col min="7429" max="7637" width="10.44140625" style="1319"/>
    <col min="7638" max="7638" width="8.33203125" style="1319" customWidth="1"/>
    <col min="7639" max="7643" width="3.77734375" style="1319" customWidth="1"/>
    <col min="7644" max="7644" width="4.44140625" style="1319" customWidth="1"/>
    <col min="7645" max="7648" width="3.77734375" style="1319" customWidth="1"/>
    <col min="7649" max="7649" width="4.44140625" style="1319" customWidth="1"/>
    <col min="7650" max="7684" width="3.77734375" style="1319" customWidth="1"/>
    <col min="7685" max="7893" width="10.44140625" style="1319"/>
    <col min="7894" max="7894" width="8.33203125" style="1319" customWidth="1"/>
    <col min="7895" max="7899" width="3.77734375" style="1319" customWidth="1"/>
    <col min="7900" max="7900" width="4.44140625" style="1319" customWidth="1"/>
    <col min="7901" max="7904" width="3.77734375" style="1319" customWidth="1"/>
    <col min="7905" max="7905" width="4.44140625" style="1319" customWidth="1"/>
    <col min="7906" max="7940" width="3.77734375" style="1319" customWidth="1"/>
    <col min="7941" max="8149" width="10.44140625" style="1319"/>
    <col min="8150" max="8150" width="8.33203125" style="1319" customWidth="1"/>
    <col min="8151" max="8155" width="3.77734375" style="1319" customWidth="1"/>
    <col min="8156" max="8156" width="4.44140625" style="1319" customWidth="1"/>
    <col min="8157" max="8160" width="3.77734375" style="1319" customWidth="1"/>
    <col min="8161" max="8161" width="4.44140625" style="1319" customWidth="1"/>
    <col min="8162" max="8196" width="3.77734375" style="1319" customWidth="1"/>
    <col min="8197" max="8405" width="10.44140625" style="1319"/>
    <col min="8406" max="8406" width="8.33203125" style="1319" customWidth="1"/>
    <col min="8407" max="8411" width="3.77734375" style="1319" customWidth="1"/>
    <col min="8412" max="8412" width="4.44140625" style="1319" customWidth="1"/>
    <col min="8413" max="8416" width="3.77734375" style="1319" customWidth="1"/>
    <col min="8417" max="8417" width="4.44140625" style="1319" customWidth="1"/>
    <col min="8418" max="8452" width="3.77734375" style="1319" customWidth="1"/>
    <col min="8453" max="8661" width="10.44140625" style="1319"/>
    <col min="8662" max="8662" width="8.33203125" style="1319" customWidth="1"/>
    <col min="8663" max="8667" width="3.77734375" style="1319" customWidth="1"/>
    <col min="8668" max="8668" width="4.44140625" style="1319" customWidth="1"/>
    <col min="8669" max="8672" width="3.77734375" style="1319" customWidth="1"/>
    <col min="8673" max="8673" width="4.44140625" style="1319" customWidth="1"/>
    <col min="8674" max="8708" width="3.77734375" style="1319" customWidth="1"/>
    <col min="8709" max="8917" width="10.44140625" style="1319"/>
    <col min="8918" max="8918" width="8.33203125" style="1319" customWidth="1"/>
    <col min="8919" max="8923" width="3.77734375" style="1319" customWidth="1"/>
    <col min="8924" max="8924" width="4.44140625" style="1319" customWidth="1"/>
    <col min="8925" max="8928" width="3.77734375" style="1319" customWidth="1"/>
    <col min="8929" max="8929" width="4.44140625" style="1319" customWidth="1"/>
    <col min="8930" max="8964" width="3.77734375" style="1319" customWidth="1"/>
    <col min="8965" max="9173" width="10.44140625" style="1319"/>
    <col min="9174" max="9174" width="8.33203125" style="1319" customWidth="1"/>
    <col min="9175" max="9179" width="3.77734375" style="1319" customWidth="1"/>
    <col min="9180" max="9180" width="4.44140625" style="1319" customWidth="1"/>
    <col min="9181" max="9184" width="3.77734375" style="1319" customWidth="1"/>
    <col min="9185" max="9185" width="4.44140625" style="1319" customWidth="1"/>
    <col min="9186" max="9220" width="3.77734375" style="1319" customWidth="1"/>
    <col min="9221" max="9429" width="10.44140625" style="1319"/>
    <col min="9430" max="9430" width="8.33203125" style="1319" customWidth="1"/>
    <col min="9431" max="9435" width="3.77734375" style="1319" customWidth="1"/>
    <col min="9436" max="9436" width="4.44140625" style="1319" customWidth="1"/>
    <col min="9437" max="9440" width="3.77734375" style="1319" customWidth="1"/>
    <col min="9441" max="9441" width="4.44140625" style="1319" customWidth="1"/>
    <col min="9442" max="9476" width="3.77734375" style="1319" customWidth="1"/>
    <col min="9477" max="9685" width="10.44140625" style="1319"/>
    <col min="9686" max="9686" width="8.33203125" style="1319" customWidth="1"/>
    <col min="9687" max="9691" width="3.77734375" style="1319" customWidth="1"/>
    <col min="9692" max="9692" width="4.44140625" style="1319" customWidth="1"/>
    <col min="9693" max="9696" width="3.77734375" style="1319" customWidth="1"/>
    <col min="9697" max="9697" width="4.44140625" style="1319" customWidth="1"/>
    <col min="9698" max="9732" width="3.77734375" style="1319" customWidth="1"/>
    <col min="9733" max="9941" width="10.44140625" style="1319"/>
    <col min="9942" max="9942" width="8.33203125" style="1319" customWidth="1"/>
    <col min="9943" max="9947" width="3.77734375" style="1319" customWidth="1"/>
    <col min="9948" max="9948" width="4.44140625" style="1319" customWidth="1"/>
    <col min="9949" max="9952" width="3.77734375" style="1319" customWidth="1"/>
    <col min="9953" max="9953" width="4.44140625" style="1319" customWidth="1"/>
    <col min="9954" max="9988" width="3.77734375" style="1319" customWidth="1"/>
    <col min="9989" max="10197" width="10.44140625" style="1319"/>
    <col min="10198" max="10198" width="8.33203125" style="1319" customWidth="1"/>
    <col min="10199" max="10203" width="3.77734375" style="1319" customWidth="1"/>
    <col min="10204" max="10204" width="4.44140625" style="1319" customWidth="1"/>
    <col min="10205" max="10208" width="3.77734375" style="1319" customWidth="1"/>
    <col min="10209" max="10209" width="4.44140625" style="1319" customWidth="1"/>
    <col min="10210" max="10244" width="3.77734375" style="1319" customWidth="1"/>
    <col min="10245" max="10453" width="10.44140625" style="1319"/>
    <col min="10454" max="10454" width="8.33203125" style="1319" customWidth="1"/>
    <col min="10455" max="10459" width="3.77734375" style="1319" customWidth="1"/>
    <col min="10460" max="10460" width="4.44140625" style="1319" customWidth="1"/>
    <col min="10461" max="10464" width="3.77734375" style="1319" customWidth="1"/>
    <col min="10465" max="10465" width="4.44140625" style="1319" customWidth="1"/>
    <col min="10466" max="10500" width="3.77734375" style="1319" customWidth="1"/>
    <col min="10501" max="10709" width="10.44140625" style="1319"/>
    <col min="10710" max="10710" width="8.33203125" style="1319" customWidth="1"/>
    <col min="10711" max="10715" width="3.77734375" style="1319" customWidth="1"/>
    <col min="10716" max="10716" width="4.44140625" style="1319" customWidth="1"/>
    <col min="10717" max="10720" width="3.77734375" style="1319" customWidth="1"/>
    <col min="10721" max="10721" width="4.44140625" style="1319" customWidth="1"/>
    <col min="10722" max="10756" width="3.77734375" style="1319" customWidth="1"/>
    <col min="10757" max="10965" width="10.44140625" style="1319"/>
    <col min="10966" max="10966" width="8.33203125" style="1319" customWidth="1"/>
    <col min="10967" max="10971" width="3.77734375" style="1319" customWidth="1"/>
    <col min="10972" max="10972" width="4.44140625" style="1319" customWidth="1"/>
    <col min="10973" max="10976" width="3.77734375" style="1319" customWidth="1"/>
    <col min="10977" max="10977" width="4.44140625" style="1319" customWidth="1"/>
    <col min="10978" max="11012" width="3.77734375" style="1319" customWidth="1"/>
    <col min="11013" max="11221" width="10.44140625" style="1319"/>
    <col min="11222" max="11222" width="8.33203125" style="1319" customWidth="1"/>
    <col min="11223" max="11227" width="3.77734375" style="1319" customWidth="1"/>
    <col min="11228" max="11228" width="4.44140625" style="1319" customWidth="1"/>
    <col min="11229" max="11232" width="3.77734375" style="1319" customWidth="1"/>
    <col min="11233" max="11233" width="4.44140625" style="1319" customWidth="1"/>
    <col min="11234" max="11268" width="3.77734375" style="1319" customWidth="1"/>
    <col min="11269" max="11477" width="10.44140625" style="1319"/>
    <col min="11478" max="11478" width="8.33203125" style="1319" customWidth="1"/>
    <col min="11479" max="11483" width="3.77734375" style="1319" customWidth="1"/>
    <col min="11484" max="11484" width="4.44140625" style="1319" customWidth="1"/>
    <col min="11485" max="11488" width="3.77734375" style="1319" customWidth="1"/>
    <col min="11489" max="11489" width="4.44140625" style="1319" customWidth="1"/>
    <col min="11490" max="11524" width="3.77734375" style="1319" customWidth="1"/>
    <col min="11525" max="11733" width="10.44140625" style="1319"/>
    <col min="11734" max="11734" width="8.33203125" style="1319" customWidth="1"/>
    <col min="11735" max="11739" width="3.77734375" style="1319" customWidth="1"/>
    <col min="11740" max="11740" width="4.44140625" style="1319" customWidth="1"/>
    <col min="11741" max="11744" width="3.77734375" style="1319" customWidth="1"/>
    <col min="11745" max="11745" width="4.44140625" style="1319" customWidth="1"/>
    <col min="11746" max="11780" width="3.77734375" style="1319" customWidth="1"/>
    <col min="11781" max="11989" width="10.44140625" style="1319"/>
    <col min="11990" max="11990" width="8.33203125" style="1319" customWidth="1"/>
    <col min="11991" max="11995" width="3.77734375" style="1319" customWidth="1"/>
    <col min="11996" max="11996" width="4.44140625" style="1319" customWidth="1"/>
    <col min="11997" max="12000" width="3.77734375" style="1319" customWidth="1"/>
    <col min="12001" max="12001" width="4.44140625" style="1319" customWidth="1"/>
    <col min="12002" max="12036" width="3.77734375" style="1319" customWidth="1"/>
    <col min="12037" max="12245" width="10.44140625" style="1319"/>
    <col min="12246" max="12246" width="8.33203125" style="1319" customWidth="1"/>
    <col min="12247" max="12251" width="3.77734375" style="1319" customWidth="1"/>
    <col min="12252" max="12252" width="4.44140625" style="1319" customWidth="1"/>
    <col min="12253" max="12256" width="3.77734375" style="1319" customWidth="1"/>
    <col min="12257" max="12257" width="4.44140625" style="1319" customWidth="1"/>
    <col min="12258" max="12292" width="3.77734375" style="1319" customWidth="1"/>
    <col min="12293" max="12501" width="10.44140625" style="1319"/>
    <col min="12502" max="12502" width="8.33203125" style="1319" customWidth="1"/>
    <col min="12503" max="12507" width="3.77734375" style="1319" customWidth="1"/>
    <col min="12508" max="12508" width="4.44140625" style="1319" customWidth="1"/>
    <col min="12509" max="12512" width="3.77734375" style="1319" customWidth="1"/>
    <col min="12513" max="12513" width="4.44140625" style="1319" customWidth="1"/>
    <col min="12514" max="12548" width="3.77734375" style="1319" customWidth="1"/>
    <col min="12549" max="12757" width="10.44140625" style="1319"/>
    <col min="12758" max="12758" width="8.33203125" style="1319" customWidth="1"/>
    <col min="12759" max="12763" width="3.77734375" style="1319" customWidth="1"/>
    <col min="12764" max="12764" width="4.44140625" style="1319" customWidth="1"/>
    <col min="12765" max="12768" width="3.77734375" style="1319" customWidth="1"/>
    <col min="12769" max="12769" width="4.44140625" style="1319" customWidth="1"/>
    <col min="12770" max="12804" width="3.77734375" style="1319" customWidth="1"/>
    <col min="12805" max="13013" width="10.44140625" style="1319"/>
    <col min="13014" max="13014" width="8.33203125" style="1319" customWidth="1"/>
    <col min="13015" max="13019" width="3.77734375" style="1319" customWidth="1"/>
    <col min="13020" max="13020" width="4.44140625" style="1319" customWidth="1"/>
    <col min="13021" max="13024" width="3.77734375" style="1319" customWidth="1"/>
    <col min="13025" max="13025" width="4.44140625" style="1319" customWidth="1"/>
    <col min="13026" max="13060" width="3.77734375" style="1319" customWidth="1"/>
    <col min="13061" max="13269" width="10.44140625" style="1319"/>
    <col min="13270" max="13270" width="8.33203125" style="1319" customWidth="1"/>
    <col min="13271" max="13275" width="3.77734375" style="1319" customWidth="1"/>
    <col min="13276" max="13276" width="4.44140625" style="1319" customWidth="1"/>
    <col min="13277" max="13280" width="3.77734375" style="1319" customWidth="1"/>
    <col min="13281" max="13281" width="4.44140625" style="1319" customWidth="1"/>
    <col min="13282" max="13316" width="3.77734375" style="1319" customWidth="1"/>
    <col min="13317" max="13525" width="10.44140625" style="1319"/>
    <col min="13526" max="13526" width="8.33203125" style="1319" customWidth="1"/>
    <col min="13527" max="13531" width="3.77734375" style="1319" customWidth="1"/>
    <col min="13532" max="13532" width="4.44140625" style="1319" customWidth="1"/>
    <col min="13533" max="13536" width="3.77734375" style="1319" customWidth="1"/>
    <col min="13537" max="13537" width="4.44140625" style="1319" customWidth="1"/>
    <col min="13538" max="13572" width="3.77734375" style="1319" customWidth="1"/>
    <col min="13573" max="13781" width="10.44140625" style="1319"/>
    <col min="13782" max="13782" width="8.33203125" style="1319" customWidth="1"/>
    <col min="13783" max="13787" width="3.77734375" style="1319" customWidth="1"/>
    <col min="13788" max="13788" width="4.44140625" style="1319" customWidth="1"/>
    <col min="13789" max="13792" width="3.77734375" style="1319" customWidth="1"/>
    <col min="13793" max="13793" width="4.44140625" style="1319" customWidth="1"/>
    <col min="13794" max="13828" width="3.77734375" style="1319" customWidth="1"/>
    <col min="13829" max="14037" width="10.44140625" style="1319"/>
    <col min="14038" max="14038" width="8.33203125" style="1319" customWidth="1"/>
    <col min="14039" max="14043" width="3.77734375" style="1319" customWidth="1"/>
    <col min="14044" max="14044" width="4.44140625" style="1319" customWidth="1"/>
    <col min="14045" max="14048" width="3.77734375" style="1319" customWidth="1"/>
    <col min="14049" max="14049" width="4.44140625" style="1319" customWidth="1"/>
    <col min="14050" max="14084" width="3.77734375" style="1319" customWidth="1"/>
    <col min="14085" max="14293" width="10.44140625" style="1319"/>
    <col min="14294" max="14294" width="8.33203125" style="1319" customWidth="1"/>
    <col min="14295" max="14299" width="3.77734375" style="1319" customWidth="1"/>
    <col min="14300" max="14300" width="4.44140625" style="1319" customWidth="1"/>
    <col min="14301" max="14304" width="3.77734375" style="1319" customWidth="1"/>
    <col min="14305" max="14305" width="4.44140625" style="1319" customWidth="1"/>
    <col min="14306" max="14340" width="3.77734375" style="1319" customWidth="1"/>
    <col min="14341" max="14549" width="10.44140625" style="1319"/>
    <col min="14550" max="14550" width="8.33203125" style="1319" customWidth="1"/>
    <col min="14551" max="14555" width="3.77734375" style="1319" customWidth="1"/>
    <col min="14556" max="14556" width="4.44140625" style="1319" customWidth="1"/>
    <col min="14557" max="14560" width="3.77734375" style="1319" customWidth="1"/>
    <col min="14561" max="14561" width="4.44140625" style="1319" customWidth="1"/>
    <col min="14562" max="14596" width="3.77734375" style="1319" customWidth="1"/>
    <col min="14597" max="14805" width="10.44140625" style="1319"/>
    <col min="14806" max="14806" width="8.33203125" style="1319" customWidth="1"/>
    <col min="14807" max="14811" width="3.77734375" style="1319" customWidth="1"/>
    <col min="14812" max="14812" width="4.44140625" style="1319" customWidth="1"/>
    <col min="14813" max="14816" width="3.77734375" style="1319" customWidth="1"/>
    <col min="14817" max="14817" width="4.44140625" style="1319" customWidth="1"/>
    <col min="14818" max="14852" width="3.77734375" style="1319" customWidth="1"/>
    <col min="14853" max="15061" width="10.44140625" style="1319"/>
    <col min="15062" max="15062" width="8.33203125" style="1319" customWidth="1"/>
    <col min="15063" max="15067" width="3.77734375" style="1319" customWidth="1"/>
    <col min="15068" max="15068" width="4.44140625" style="1319" customWidth="1"/>
    <col min="15069" max="15072" width="3.77734375" style="1319" customWidth="1"/>
    <col min="15073" max="15073" width="4.44140625" style="1319" customWidth="1"/>
    <col min="15074" max="15108" width="3.77734375" style="1319" customWidth="1"/>
    <col min="15109" max="15317" width="10.44140625" style="1319"/>
    <col min="15318" max="15318" width="8.33203125" style="1319" customWidth="1"/>
    <col min="15319" max="15323" width="3.77734375" style="1319" customWidth="1"/>
    <col min="15324" max="15324" width="4.44140625" style="1319" customWidth="1"/>
    <col min="15325" max="15328" width="3.77734375" style="1319" customWidth="1"/>
    <col min="15329" max="15329" width="4.44140625" style="1319" customWidth="1"/>
    <col min="15330" max="15364" width="3.77734375" style="1319" customWidth="1"/>
    <col min="15365" max="15573" width="10.44140625" style="1319"/>
    <col min="15574" max="15574" width="8.33203125" style="1319" customWidth="1"/>
    <col min="15575" max="15579" width="3.77734375" style="1319" customWidth="1"/>
    <col min="15580" max="15580" width="4.44140625" style="1319" customWidth="1"/>
    <col min="15581" max="15584" width="3.77734375" style="1319" customWidth="1"/>
    <col min="15585" max="15585" width="4.44140625" style="1319" customWidth="1"/>
    <col min="15586" max="15620" width="3.77734375" style="1319" customWidth="1"/>
    <col min="15621" max="15829" width="10.44140625" style="1319"/>
    <col min="15830" max="15830" width="8.33203125" style="1319" customWidth="1"/>
    <col min="15831" max="15835" width="3.77734375" style="1319" customWidth="1"/>
    <col min="15836" max="15836" width="4.44140625" style="1319" customWidth="1"/>
    <col min="15837" max="15840" width="3.77734375" style="1319" customWidth="1"/>
    <col min="15841" max="15841" width="4.44140625" style="1319" customWidth="1"/>
    <col min="15842" max="15876" width="3.77734375" style="1319" customWidth="1"/>
    <col min="15877" max="16085" width="10.44140625" style="1319"/>
    <col min="16086" max="16086" width="8.33203125" style="1319" customWidth="1"/>
    <col min="16087" max="16091" width="3.77734375" style="1319" customWidth="1"/>
    <col min="16092" max="16092" width="4.44140625" style="1319" customWidth="1"/>
    <col min="16093" max="16096" width="3.77734375" style="1319" customWidth="1"/>
    <col min="16097" max="16097" width="4.44140625" style="1319" customWidth="1"/>
    <col min="16098" max="16132" width="3.77734375" style="1319" customWidth="1"/>
    <col min="16133" max="16384" width="10.44140625" style="1319"/>
  </cols>
  <sheetData>
    <row r="1" spans="1:5" ht="29.25" customHeight="1" x14ac:dyDescent="0.25">
      <c r="A1" s="1405" t="s">
        <v>1320</v>
      </c>
      <c r="B1" s="1405"/>
      <c r="C1" s="1405"/>
      <c r="D1" s="1405"/>
      <c r="E1" s="1405"/>
    </row>
    <row r="2" spans="1:5" s="1322" customFormat="1" ht="9.9" customHeight="1" x14ac:dyDescent="0.25">
      <c r="A2" s="1320"/>
      <c r="B2" s="1321"/>
      <c r="C2" s="1321"/>
      <c r="D2" s="1321"/>
    </row>
    <row r="3" spans="1:5" s="1322" customFormat="1" ht="16.5" customHeight="1" x14ac:dyDescent="0.25">
      <c r="A3" s="1406" t="s">
        <v>1314</v>
      </c>
      <c r="B3" s="1407"/>
      <c r="C3" s="1407"/>
      <c r="D3" s="1407"/>
      <c r="E3" s="1407"/>
    </row>
    <row r="4" spans="1:5" s="1322" customFormat="1" ht="16.5" customHeight="1" x14ac:dyDescent="0.25">
      <c r="A4" s="1407"/>
      <c r="B4" s="1407"/>
      <c r="C4" s="1407"/>
      <c r="D4" s="1407"/>
      <c r="E4" s="1407"/>
    </row>
    <row r="5" spans="1:5" s="1322" customFormat="1" ht="23.25" customHeight="1" x14ac:dyDescent="0.25">
      <c r="A5" s="1407"/>
      <c r="B5" s="1407"/>
      <c r="C5" s="1407"/>
      <c r="D5" s="1407"/>
      <c r="E5" s="1407"/>
    </row>
    <row r="6" spans="1:5" ht="25.5" customHeight="1" x14ac:dyDescent="0.25">
      <c r="A6" s="1408"/>
      <c r="B6" s="1408"/>
      <c r="C6" s="1408"/>
      <c r="D6" s="1408"/>
    </row>
    <row r="7" spans="1:5" x14ac:dyDescent="0.25">
      <c r="A7" s="1409" t="s">
        <v>1290</v>
      </c>
      <c r="B7" s="1409"/>
      <c r="C7" s="1409"/>
      <c r="D7" s="1409"/>
      <c r="E7" s="1409"/>
    </row>
    <row r="8" spans="1:5" ht="21.75" customHeight="1" x14ac:dyDescent="0.25">
      <c r="A8" s="1410" t="s">
        <v>12</v>
      </c>
      <c r="B8" s="1411" t="s">
        <v>1291</v>
      </c>
      <c r="C8" s="1411" t="s">
        <v>1292</v>
      </c>
      <c r="D8" s="1411"/>
      <c r="E8" s="1411"/>
    </row>
    <row r="9" spans="1:5" ht="24.75" customHeight="1" x14ac:dyDescent="0.25">
      <c r="A9" s="1410"/>
      <c r="B9" s="1411"/>
      <c r="C9" s="1323" t="s">
        <v>1293</v>
      </c>
      <c r="D9" s="1324" t="s">
        <v>1294</v>
      </c>
      <c r="E9" s="1325" t="s">
        <v>1295</v>
      </c>
    </row>
    <row r="10" spans="1:5" x14ac:dyDescent="0.25">
      <c r="A10" s="1326" t="s">
        <v>1296</v>
      </c>
      <c r="B10" s="1327" t="s">
        <v>1297</v>
      </c>
      <c r="C10" s="1327" t="s">
        <v>1298</v>
      </c>
      <c r="D10" s="1328">
        <v>4</v>
      </c>
      <c r="E10" s="1329" t="s">
        <v>1299</v>
      </c>
    </row>
    <row r="11" spans="1:5" ht="12.75" customHeight="1" x14ac:dyDescent="0.25">
      <c r="A11" s="1330" t="s">
        <v>1300</v>
      </c>
      <c r="B11" s="1331" t="s">
        <v>1297</v>
      </c>
      <c r="C11" s="1334">
        <v>435034025</v>
      </c>
      <c r="D11" s="1334">
        <v>1075115</v>
      </c>
      <c r="E11" s="1334">
        <v>2977336</v>
      </c>
    </row>
    <row r="12" spans="1:5" ht="12.75" customHeight="1" x14ac:dyDescent="0.25">
      <c r="A12" s="1330" t="s">
        <v>1301</v>
      </c>
      <c r="B12" s="1331" t="s">
        <v>1296</v>
      </c>
      <c r="C12" s="1334">
        <v>191801529</v>
      </c>
      <c r="D12" s="1334">
        <v>68428784</v>
      </c>
      <c r="E12" s="1334">
        <v>107651566</v>
      </c>
    </row>
    <row r="13" spans="1:5" ht="12.75" customHeight="1" x14ac:dyDescent="0.25">
      <c r="A13" s="1330" t="s">
        <v>1302</v>
      </c>
      <c r="B13" s="1331" t="s">
        <v>1298</v>
      </c>
      <c r="C13" s="1335">
        <v>243232496</v>
      </c>
      <c r="D13" s="1335">
        <v>-67353669</v>
      </c>
      <c r="E13" s="1335">
        <v>-104674230</v>
      </c>
    </row>
    <row r="14" spans="1:5" ht="12.75" customHeight="1" x14ac:dyDescent="0.25">
      <c r="A14" s="1330" t="s">
        <v>1303</v>
      </c>
      <c r="B14" s="1331" t="s">
        <v>1304</v>
      </c>
      <c r="C14" s="1334">
        <v>195272311</v>
      </c>
      <c r="D14" s="1334">
        <v>75969416</v>
      </c>
      <c r="E14" s="1334">
        <v>114823721</v>
      </c>
    </row>
    <row r="15" spans="1:5" ht="12.75" customHeight="1" x14ac:dyDescent="0.25">
      <c r="A15" s="1330" t="s">
        <v>1305</v>
      </c>
      <c r="B15" s="1331" t="s">
        <v>1299</v>
      </c>
      <c r="C15" s="1334">
        <v>179232421</v>
      </c>
      <c r="D15" s="1336"/>
      <c r="E15" s="1336"/>
    </row>
    <row r="16" spans="1:5" ht="12.75" customHeight="1" x14ac:dyDescent="0.25">
      <c r="A16" s="1330" t="s">
        <v>1306</v>
      </c>
      <c r="B16" s="1331" t="s">
        <v>1307</v>
      </c>
      <c r="C16" s="1335">
        <v>16039890</v>
      </c>
      <c r="D16" s="1335">
        <v>75969416</v>
      </c>
      <c r="E16" s="1335">
        <v>114823721</v>
      </c>
    </row>
    <row r="17" spans="1:5" ht="12.75" customHeight="1" x14ac:dyDescent="0.25">
      <c r="A17" s="1330" t="s">
        <v>1308</v>
      </c>
      <c r="B17" s="1331" t="s">
        <v>1309</v>
      </c>
      <c r="C17" s="1335">
        <v>259272386</v>
      </c>
      <c r="D17" s="1335">
        <v>8615747</v>
      </c>
      <c r="E17" s="1335">
        <v>10149491</v>
      </c>
    </row>
    <row r="18" spans="1:5" ht="12.75" customHeight="1" x14ac:dyDescent="0.25">
      <c r="A18" s="1332" t="s">
        <v>1313</v>
      </c>
      <c r="B18" s="1331" t="s">
        <v>1310</v>
      </c>
      <c r="C18" s="1335">
        <v>259272386</v>
      </c>
      <c r="D18" s="1335">
        <v>8615747</v>
      </c>
      <c r="E18" s="1335">
        <v>10149491</v>
      </c>
    </row>
    <row r="19" spans="1:5" ht="12.75" customHeight="1" x14ac:dyDescent="0.25">
      <c r="A19" s="1337" t="s">
        <v>1315</v>
      </c>
      <c r="B19" s="1331" t="s">
        <v>1311</v>
      </c>
      <c r="C19" s="1335">
        <v>235858035</v>
      </c>
      <c r="D19" s="1335"/>
      <c r="E19" s="1335"/>
    </row>
    <row r="20" spans="1:5" ht="12.75" customHeight="1" x14ac:dyDescent="0.25">
      <c r="A20" s="1337" t="s">
        <v>1316</v>
      </c>
      <c r="B20" s="1331" t="s">
        <v>1312</v>
      </c>
      <c r="C20" s="1335">
        <v>23414351</v>
      </c>
      <c r="D20" s="1335">
        <v>8615747</v>
      </c>
      <c r="E20" s="1335">
        <v>10149491</v>
      </c>
    </row>
    <row r="21" spans="1:5" ht="12.75" customHeight="1" x14ac:dyDescent="0.25"/>
    <row r="22" spans="1:5" ht="12.75" customHeight="1" x14ac:dyDescent="0.25"/>
    <row r="23" spans="1:5" ht="12.75" customHeight="1" x14ac:dyDescent="0.25"/>
    <row r="24" spans="1:5" ht="12.75" customHeight="1" x14ac:dyDescent="0.25"/>
    <row r="25" spans="1:5" ht="12.75" customHeight="1" x14ac:dyDescent="0.25"/>
    <row r="26" spans="1:5" x14ac:dyDescent="0.25">
      <c r="A26" s="1333"/>
      <c r="B26" s="1333"/>
      <c r="C26" s="1333"/>
    </row>
  </sheetData>
  <sheetProtection selectLockedCells="1" selectUnlockedCells="1"/>
  <mergeCells count="7">
    <mergeCell ref="A1:E1"/>
    <mergeCell ref="A3:E5"/>
    <mergeCell ref="A6:D6"/>
    <mergeCell ref="A7:E7"/>
    <mergeCell ref="A8:A9"/>
    <mergeCell ref="B8:B9"/>
    <mergeCell ref="C8:E8"/>
  </mergeCells>
  <conditionalFormatting sqref="A11:A20">
    <cfRule type="cellIs" dxfId="7" priority="5" stopIfTrue="1" operator="equal">
      <formula>#REF!</formula>
    </cfRule>
  </conditionalFormatting>
  <conditionalFormatting sqref="A19:A20 B11:B20">
    <cfRule type="cellIs" dxfId="6" priority="6" stopIfTrue="1" operator="equal">
      <formula>#REF!</formula>
    </cfRule>
  </conditionalFormatting>
  <conditionalFormatting sqref="C11:C17 C20">
    <cfRule type="cellIs" dxfId="5" priority="7" stopIfTrue="1" operator="equal">
      <formula>#REF!</formula>
    </cfRule>
  </conditionalFormatting>
  <conditionalFormatting sqref="D11:E17 D19:E20">
    <cfRule type="cellIs" dxfId="4" priority="4" stopIfTrue="1" operator="equal">
      <formula>#REF!</formula>
    </cfRule>
  </conditionalFormatting>
  <conditionalFormatting sqref="C18">
    <cfRule type="cellIs" dxfId="3" priority="2" stopIfTrue="1" operator="equal">
      <formula>#REF!</formula>
    </cfRule>
  </conditionalFormatting>
  <conditionalFormatting sqref="D18:E18">
    <cfRule type="cellIs" dxfId="2" priority="1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3.2" x14ac:dyDescent="0.25"/>
  <cols>
    <col min="1" max="1" width="5.44140625" style="49" customWidth="1"/>
    <col min="2" max="2" width="33.109375" style="49" customWidth="1"/>
    <col min="3" max="3" width="12.33203125" style="49" customWidth="1"/>
    <col min="4" max="4" width="11.44140625" style="49" customWidth="1"/>
    <col min="5" max="5" width="11.33203125" style="49" customWidth="1"/>
    <col min="6" max="6" width="11" style="49" customWidth="1"/>
    <col min="7" max="7" width="14.33203125" style="49" customWidth="1"/>
    <col min="8" max="16384" width="9.33203125" style="49"/>
  </cols>
  <sheetData>
    <row r="1" spans="1:7" ht="43.5" customHeight="1" x14ac:dyDescent="0.3">
      <c r="A1" s="1413" t="s">
        <v>865</v>
      </c>
      <c r="B1" s="1413"/>
      <c r="C1" s="1413"/>
      <c r="D1" s="1413"/>
      <c r="E1" s="1413"/>
      <c r="F1" s="1413"/>
      <c r="G1" s="1413"/>
    </row>
    <row r="3" spans="1:7" s="172" customFormat="1" ht="27" customHeight="1" x14ac:dyDescent="0.35">
      <c r="A3" s="170" t="s">
        <v>217</v>
      </c>
      <c r="B3" s="171"/>
      <c r="C3" s="1412" t="s">
        <v>218</v>
      </c>
      <c r="D3" s="1412"/>
      <c r="E3" s="1412"/>
      <c r="F3" s="1412"/>
      <c r="G3" s="1412"/>
    </row>
    <row r="4" spans="1:7" s="172" customFormat="1" ht="15.6" x14ac:dyDescent="0.3">
      <c r="A4" s="171"/>
      <c r="B4" s="171"/>
      <c r="C4" s="171"/>
      <c r="D4" s="171"/>
      <c r="E4" s="171"/>
      <c r="F4" s="171"/>
      <c r="G4" s="171"/>
    </row>
    <row r="5" spans="1:7" s="172" customFormat="1" ht="24.75" customHeight="1" x14ac:dyDescent="0.35">
      <c r="A5" s="170" t="s">
        <v>219</v>
      </c>
      <c r="B5" s="171"/>
      <c r="C5" s="1412" t="s">
        <v>218</v>
      </c>
      <c r="D5" s="1412"/>
      <c r="E5" s="1412"/>
      <c r="F5" s="1412"/>
      <c r="G5" s="171"/>
    </row>
    <row r="6" spans="1:7" s="173" customFormat="1" x14ac:dyDescent="0.25">
      <c r="A6" s="210"/>
      <c r="B6" s="210"/>
      <c r="C6" s="210"/>
      <c r="D6" s="210"/>
      <c r="E6" s="210"/>
      <c r="F6" s="210"/>
      <c r="G6" s="210"/>
    </row>
    <row r="7" spans="1:7" s="174" customFormat="1" ht="15" customHeight="1" x14ac:dyDescent="0.25">
      <c r="A7" s="277" t="s">
        <v>220</v>
      </c>
      <c r="B7" s="276"/>
      <c r="C7" s="276"/>
      <c r="D7" s="262"/>
      <c r="E7" s="262"/>
      <c r="F7" s="262"/>
      <c r="G7" s="262"/>
    </row>
    <row r="8" spans="1:7" s="174" customFormat="1" ht="15" customHeight="1" thickBot="1" x14ac:dyDescent="0.3">
      <c r="A8" s="277" t="s">
        <v>221</v>
      </c>
      <c r="B8" s="262"/>
      <c r="C8" s="262"/>
      <c r="D8" s="262"/>
      <c r="E8" s="262"/>
      <c r="F8" s="262"/>
      <c r="G8" s="262"/>
    </row>
    <row r="9" spans="1:7" s="82" customFormat="1" ht="42" customHeight="1" thickBot="1" x14ac:dyDescent="0.3">
      <c r="A9" s="195" t="s">
        <v>883</v>
      </c>
      <c r="B9" s="196" t="s">
        <v>222</v>
      </c>
      <c r="C9" s="196" t="s">
        <v>223</v>
      </c>
      <c r="D9" s="196" t="s">
        <v>224</v>
      </c>
      <c r="E9" s="196" t="s">
        <v>225</v>
      </c>
      <c r="F9" s="196" t="s">
        <v>226</v>
      </c>
      <c r="G9" s="197" t="s">
        <v>920</v>
      </c>
    </row>
    <row r="10" spans="1:7" ht="24" customHeight="1" x14ac:dyDescent="0.25">
      <c r="A10" s="263" t="s">
        <v>885</v>
      </c>
      <c r="B10" s="204" t="s">
        <v>227</v>
      </c>
      <c r="C10" s="175"/>
      <c r="D10" s="175"/>
      <c r="E10" s="175"/>
      <c r="F10" s="175"/>
      <c r="G10" s="264">
        <f>SUM(C10:F10)</f>
        <v>0</v>
      </c>
    </row>
    <row r="11" spans="1:7" ht="24" customHeight="1" x14ac:dyDescent="0.25">
      <c r="A11" s="265" t="s">
        <v>886</v>
      </c>
      <c r="B11" s="205" t="s">
        <v>228</v>
      </c>
      <c r="C11" s="176"/>
      <c r="D11" s="176"/>
      <c r="E11" s="176"/>
      <c r="F11" s="176"/>
      <c r="G11" s="266">
        <f t="shared" ref="G11:G16" si="0">SUM(C11:F11)</f>
        <v>0</v>
      </c>
    </row>
    <row r="12" spans="1:7" ht="24" customHeight="1" x14ac:dyDescent="0.25">
      <c r="A12" s="265" t="s">
        <v>887</v>
      </c>
      <c r="B12" s="205" t="s">
        <v>229</v>
      </c>
      <c r="C12" s="176"/>
      <c r="D12" s="176"/>
      <c r="E12" s="176"/>
      <c r="F12" s="176"/>
      <c r="G12" s="266">
        <f t="shared" si="0"/>
        <v>0</v>
      </c>
    </row>
    <row r="13" spans="1:7" ht="24" customHeight="1" x14ac:dyDescent="0.25">
      <c r="A13" s="265" t="s">
        <v>888</v>
      </c>
      <c r="B13" s="205" t="s">
        <v>230</v>
      </c>
      <c r="C13" s="176"/>
      <c r="D13" s="176"/>
      <c r="E13" s="176"/>
      <c r="F13" s="176"/>
      <c r="G13" s="266">
        <f t="shared" si="0"/>
        <v>0</v>
      </c>
    </row>
    <row r="14" spans="1:7" ht="24" customHeight="1" x14ac:dyDescent="0.25">
      <c r="A14" s="265" t="s">
        <v>889</v>
      </c>
      <c r="B14" s="205" t="s">
        <v>231</v>
      </c>
      <c r="C14" s="176"/>
      <c r="D14" s="176"/>
      <c r="E14" s="176"/>
      <c r="F14" s="176"/>
      <c r="G14" s="266">
        <f t="shared" si="0"/>
        <v>0</v>
      </c>
    </row>
    <row r="15" spans="1:7" ht="24" customHeight="1" thickBot="1" x14ac:dyDescent="0.3">
      <c r="A15" s="267" t="s">
        <v>890</v>
      </c>
      <c r="B15" s="268" t="s">
        <v>232</v>
      </c>
      <c r="C15" s="177"/>
      <c r="D15" s="177"/>
      <c r="E15" s="177"/>
      <c r="F15" s="177"/>
      <c r="G15" s="269">
        <f t="shared" si="0"/>
        <v>0</v>
      </c>
    </row>
    <row r="16" spans="1:7" s="178" customFormat="1" ht="24" customHeight="1" thickBot="1" x14ac:dyDescent="0.3">
      <c r="A16" s="270" t="s">
        <v>891</v>
      </c>
      <c r="B16" s="271" t="s">
        <v>920</v>
      </c>
      <c r="C16" s="272">
        <f>SUM(C10:C15)</f>
        <v>0</v>
      </c>
      <c r="D16" s="272">
        <f>SUM(D10:D15)</f>
        <v>0</v>
      </c>
      <c r="E16" s="272">
        <f>SUM(E10:E15)</f>
        <v>0</v>
      </c>
      <c r="F16" s="272">
        <f>SUM(F10:F15)</f>
        <v>0</v>
      </c>
      <c r="G16" s="273">
        <f t="shared" si="0"/>
        <v>0</v>
      </c>
    </row>
    <row r="17" spans="1:7" s="173" customFormat="1" x14ac:dyDescent="0.25">
      <c r="A17" s="210"/>
      <c r="B17" s="210"/>
      <c r="C17" s="210"/>
      <c r="D17" s="210"/>
      <c r="E17" s="210"/>
      <c r="F17" s="210"/>
      <c r="G17" s="210"/>
    </row>
    <row r="18" spans="1:7" s="173" customFormat="1" x14ac:dyDescent="0.25">
      <c r="A18" s="210"/>
      <c r="B18" s="210"/>
      <c r="C18" s="210"/>
      <c r="D18" s="210"/>
      <c r="E18" s="210"/>
      <c r="F18" s="210"/>
      <c r="G18" s="210"/>
    </row>
    <row r="19" spans="1:7" s="173" customFormat="1" x14ac:dyDescent="0.25">
      <c r="A19" s="210"/>
      <c r="B19" s="210"/>
      <c r="C19" s="210"/>
      <c r="D19" s="210"/>
      <c r="E19" s="210"/>
      <c r="F19" s="210"/>
      <c r="G19" s="210"/>
    </row>
    <row r="20" spans="1:7" s="173" customFormat="1" ht="15.6" x14ac:dyDescent="0.3">
      <c r="A20" s="172" t="s">
        <v>401</v>
      </c>
      <c r="B20" s="210"/>
      <c r="C20" s="210"/>
      <c r="D20" s="210"/>
      <c r="E20" s="210"/>
      <c r="F20" s="210"/>
      <c r="G20" s="210"/>
    </row>
    <row r="21" spans="1:7" s="173" customFormat="1" x14ac:dyDescent="0.25">
      <c r="A21" s="210"/>
      <c r="B21" s="210"/>
      <c r="C21" s="210"/>
      <c r="D21" s="210"/>
      <c r="E21" s="210"/>
      <c r="F21" s="210"/>
      <c r="G21" s="210"/>
    </row>
    <row r="22" spans="1:7" x14ac:dyDescent="0.25">
      <c r="A22" s="210"/>
      <c r="B22" s="210"/>
      <c r="C22" s="210"/>
      <c r="D22" s="210"/>
      <c r="E22" s="210"/>
      <c r="F22" s="210"/>
      <c r="G22" s="210"/>
    </row>
    <row r="23" spans="1:7" x14ac:dyDescent="0.25">
      <c r="A23" s="210"/>
      <c r="B23" s="210"/>
      <c r="C23" s="173"/>
      <c r="D23" s="173"/>
      <c r="E23" s="173"/>
      <c r="F23" s="173"/>
      <c r="G23" s="210"/>
    </row>
    <row r="24" spans="1:7" ht="13.8" x14ac:dyDescent="0.3">
      <c r="A24" s="210"/>
      <c r="B24" s="210"/>
      <c r="C24" s="274"/>
      <c r="D24" s="275" t="s">
        <v>233</v>
      </c>
      <c r="E24" s="275"/>
      <c r="F24" s="274"/>
      <c r="G24" s="210"/>
    </row>
    <row r="25" spans="1:7" ht="13.8" x14ac:dyDescent="0.3">
      <c r="C25" s="179"/>
      <c r="D25" s="180"/>
      <c r="E25" s="180"/>
      <c r="F25" s="179"/>
    </row>
    <row r="26" spans="1:7" ht="13.8" x14ac:dyDescent="0.3">
      <c r="C26" s="179"/>
      <c r="D26" s="180"/>
      <c r="E26" s="180"/>
      <c r="F26" s="179"/>
    </row>
  </sheetData>
  <sheetProtection sheet="1"/>
  <mergeCells count="3">
    <mergeCell ref="C3:G3"/>
    <mergeCell ref="C5:F5"/>
    <mergeCell ref="A1:G1"/>
  </mergeCells>
  <phoneticPr fontId="33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3.2" x14ac:dyDescent="0.25"/>
  <cols>
    <col min="1" max="1" width="6.77734375" style="45" customWidth="1"/>
    <col min="2" max="2" width="49.6640625" style="44" customWidth="1"/>
    <col min="3" max="8" width="12.77734375" style="44" customWidth="1"/>
    <col min="9" max="9" width="13.77734375" style="44" customWidth="1"/>
    <col min="10" max="16384" width="9.33203125" style="44"/>
  </cols>
  <sheetData>
    <row r="1" spans="1:10" ht="27.75" customHeight="1" x14ac:dyDescent="0.25">
      <c r="A1" s="1374" t="s">
        <v>868</v>
      </c>
      <c r="B1" s="1374"/>
      <c r="C1" s="1374"/>
      <c r="D1" s="1374"/>
      <c r="E1" s="1374"/>
      <c r="F1" s="1374"/>
      <c r="G1" s="1374"/>
      <c r="H1" s="1374"/>
      <c r="I1" s="1374"/>
    </row>
    <row r="2" spans="1:10" ht="20.25" customHeight="1" thickBot="1" x14ac:dyDescent="0.35">
      <c r="I2" s="53" t="s">
        <v>11</v>
      </c>
    </row>
    <row r="3" spans="1:10" s="54" customFormat="1" ht="26.25" customHeight="1" x14ac:dyDescent="0.25">
      <c r="A3" s="1421" t="s">
        <v>17</v>
      </c>
      <c r="B3" s="1416" t="s">
        <v>34</v>
      </c>
      <c r="C3" s="1421" t="s">
        <v>35</v>
      </c>
      <c r="D3" s="1421" t="s">
        <v>866</v>
      </c>
      <c r="E3" s="1418" t="s">
        <v>16</v>
      </c>
      <c r="F3" s="1419"/>
      <c r="G3" s="1419"/>
      <c r="H3" s="1420"/>
      <c r="I3" s="1416" t="s">
        <v>918</v>
      </c>
    </row>
    <row r="4" spans="1:10" s="55" customFormat="1" ht="32.25" customHeight="1" thickBot="1" x14ac:dyDescent="0.3">
      <c r="A4" s="1422"/>
      <c r="B4" s="1417"/>
      <c r="C4" s="1417"/>
      <c r="D4" s="1422"/>
      <c r="E4" s="278" t="s">
        <v>124</v>
      </c>
      <c r="F4" s="278" t="s">
        <v>199</v>
      </c>
      <c r="G4" s="278" t="s">
        <v>369</v>
      </c>
      <c r="H4" s="279" t="s">
        <v>867</v>
      </c>
      <c r="I4" s="1417"/>
    </row>
    <row r="5" spans="1:10" s="56" customFormat="1" ht="12.9" customHeight="1" thickBot="1" x14ac:dyDescent="0.3">
      <c r="A5" s="280">
        <v>1</v>
      </c>
      <c r="B5" s="281">
        <v>2</v>
      </c>
      <c r="C5" s="282">
        <v>3</v>
      </c>
      <c r="D5" s="281">
        <v>4</v>
      </c>
      <c r="E5" s="280">
        <v>5</v>
      </c>
      <c r="F5" s="282">
        <v>6</v>
      </c>
      <c r="G5" s="282">
        <v>7</v>
      </c>
      <c r="H5" s="283">
        <v>8</v>
      </c>
      <c r="I5" s="284" t="s">
        <v>36</v>
      </c>
    </row>
    <row r="6" spans="1:10" ht="24.75" customHeight="1" thickBot="1" x14ac:dyDescent="0.3">
      <c r="A6" s="285" t="s">
        <v>885</v>
      </c>
      <c r="B6" s="286" t="s">
        <v>869</v>
      </c>
      <c r="C6" s="294"/>
      <c r="D6" s="70"/>
      <c r="E6" s="71"/>
      <c r="F6" s="72"/>
      <c r="G6" s="72"/>
      <c r="H6" s="73"/>
      <c r="I6" s="57">
        <f t="shared" ref="I6:I17" si="0">SUM(D6:H6)</f>
        <v>0</v>
      </c>
    </row>
    <row r="7" spans="1:10" ht="20.100000000000001" customHeight="1" x14ac:dyDescent="0.25">
      <c r="A7" s="287" t="s">
        <v>886</v>
      </c>
      <c r="B7" s="61" t="s">
        <v>18</v>
      </c>
      <c r="C7" s="62"/>
      <c r="D7" s="63"/>
      <c r="E7" s="64"/>
      <c r="F7" s="32"/>
      <c r="G7" s="32"/>
      <c r="H7" s="29"/>
      <c r="I7" s="288">
        <f t="shared" si="0"/>
        <v>0</v>
      </c>
    </row>
    <row r="8" spans="1:10" ht="20.100000000000001" customHeight="1" thickBot="1" x14ac:dyDescent="0.3">
      <c r="A8" s="287" t="s">
        <v>887</v>
      </c>
      <c r="B8" s="61" t="s">
        <v>18</v>
      </c>
      <c r="C8" s="62"/>
      <c r="D8" s="63"/>
      <c r="E8" s="64"/>
      <c r="F8" s="32"/>
      <c r="G8" s="32"/>
      <c r="H8" s="29"/>
      <c r="I8" s="288">
        <f t="shared" si="0"/>
        <v>0</v>
      </c>
    </row>
    <row r="9" spans="1:10" ht="26.1" customHeight="1" thickBot="1" x14ac:dyDescent="0.3">
      <c r="A9" s="285" t="s">
        <v>888</v>
      </c>
      <c r="B9" s="286" t="s">
        <v>870</v>
      </c>
      <c r="C9" s="295"/>
      <c r="D9" s="70"/>
      <c r="E9" s="71"/>
      <c r="F9" s="72"/>
      <c r="G9" s="72"/>
      <c r="H9" s="73"/>
      <c r="I9" s="57">
        <f t="shared" si="0"/>
        <v>0</v>
      </c>
    </row>
    <row r="10" spans="1:10" ht="20.100000000000001" customHeight="1" x14ac:dyDescent="0.25">
      <c r="A10" s="287" t="s">
        <v>889</v>
      </c>
      <c r="B10" s="61" t="s">
        <v>18</v>
      </c>
      <c r="C10" s="62"/>
      <c r="D10" s="63"/>
      <c r="E10" s="64"/>
      <c r="F10" s="32"/>
      <c r="G10" s="32"/>
      <c r="H10" s="29"/>
      <c r="I10" s="288">
        <f t="shared" si="0"/>
        <v>0</v>
      </c>
    </row>
    <row r="11" spans="1:10" ht="20.100000000000001" customHeight="1" thickBot="1" x14ac:dyDescent="0.3">
      <c r="A11" s="287" t="s">
        <v>890</v>
      </c>
      <c r="B11" s="61" t="s">
        <v>18</v>
      </c>
      <c r="C11" s="62"/>
      <c r="D11" s="63"/>
      <c r="E11" s="64"/>
      <c r="F11" s="32"/>
      <c r="G11" s="32"/>
      <c r="H11" s="29"/>
      <c r="I11" s="288">
        <f t="shared" si="0"/>
        <v>0</v>
      </c>
    </row>
    <row r="12" spans="1:10" ht="20.100000000000001" customHeight="1" thickBot="1" x14ac:dyDescent="0.3">
      <c r="A12" s="285" t="s">
        <v>891</v>
      </c>
      <c r="B12" s="286" t="s">
        <v>214</v>
      </c>
      <c r="C12" s="295"/>
      <c r="D12" s="70"/>
      <c r="E12" s="71"/>
      <c r="F12" s="72"/>
      <c r="G12" s="72"/>
      <c r="H12" s="73"/>
      <c r="I12" s="57">
        <f t="shared" si="0"/>
        <v>0</v>
      </c>
    </row>
    <row r="13" spans="1:10" ht="20.100000000000001" customHeight="1" thickBot="1" x14ac:dyDescent="0.3">
      <c r="A13" s="287" t="s">
        <v>892</v>
      </c>
      <c r="B13" s="61" t="s">
        <v>18</v>
      </c>
      <c r="C13" s="62"/>
      <c r="D13" s="63"/>
      <c r="E13" s="64"/>
      <c r="F13" s="32"/>
      <c r="G13" s="32"/>
      <c r="H13" s="29"/>
      <c r="I13" s="288">
        <f t="shared" si="0"/>
        <v>0</v>
      </c>
    </row>
    <row r="14" spans="1:10" ht="20.100000000000001" customHeight="1" thickBot="1" x14ac:dyDescent="0.3">
      <c r="A14" s="285" t="s">
        <v>893</v>
      </c>
      <c r="B14" s="286" t="s">
        <v>215</v>
      </c>
      <c r="C14" s="295"/>
      <c r="D14" s="70"/>
      <c r="E14" s="71"/>
      <c r="F14" s="72"/>
      <c r="G14" s="72"/>
      <c r="H14" s="73"/>
      <c r="I14" s="57">
        <f t="shared" si="0"/>
        <v>0</v>
      </c>
      <c r="J14" s="65"/>
    </row>
    <row r="15" spans="1:10" ht="20.100000000000001" customHeight="1" thickBot="1" x14ac:dyDescent="0.3">
      <c r="A15" s="289" t="s">
        <v>894</v>
      </c>
      <c r="B15" s="66" t="s">
        <v>18</v>
      </c>
      <c r="C15" s="67"/>
      <c r="D15" s="68"/>
      <c r="E15" s="69"/>
      <c r="F15" s="33"/>
      <c r="G15" s="33"/>
      <c r="H15" s="31"/>
      <c r="I15" s="290">
        <f t="shared" si="0"/>
        <v>0</v>
      </c>
    </row>
    <row r="16" spans="1:10" ht="20.100000000000001" customHeight="1" thickBot="1" x14ac:dyDescent="0.3">
      <c r="A16" s="285" t="s">
        <v>895</v>
      </c>
      <c r="B16" s="291" t="s">
        <v>216</v>
      </c>
      <c r="C16" s="295"/>
      <c r="D16" s="70"/>
      <c r="E16" s="71"/>
      <c r="F16" s="72"/>
      <c r="G16" s="72"/>
      <c r="H16" s="73"/>
      <c r="I16" s="57">
        <f t="shared" si="0"/>
        <v>0</v>
      </c>
    </row>
    <row r="17" spans="1:9" ht="20.100000000000001" customHeight="1" thickBot="1" x14ac:dyDescent="0.3">
      <c r="A17" s="292" t="s">
        <v>896</v>
      </c>
      <c r="B17" s="74" t="s">
        <v>18</v>
      </c>
      <c r="C17" s="75"/>
      <c r="D17" s="76"/>
      <c r="E17" s="77"/>
      <c r="F17" s="78"/>
      <c r="G17" s="78"/>
      <c r="H17" s="30"/>
      <c r="I17" s="293">
        <f t="shared" si="0"/>
        <v>0</v>
      </c>
    </row>
    <row r="18" spans="1:9" ht="20.100000000000001" customHeight="1" thickBot="1" x14ac:dyDescent="0.3">
      <c r="A18" s="1414" t="s">
        <v>90</v>
      </c>
      <c r="B18" s="1415"/>
      <c r="C18" s="122"/>
      <c r="D18" s="57">
        <f>D6+D9+D12+D14+D16</f>
        <v>0</v>
      </c>
      <c r="E18" s="58">
        <f>E6+E9+E12+E14+E16</f>
        <v>0</v>
      </c>
      <c r="F18" s="59">
        <f>F6+F9+F12+F14+F16</f>
        <v>0</v>
      </c>
      <c r="G18" s="59">
        <f>G6+G9+G12+G14+G16</f>
        <v>0</v>
      </c>
      <c r="H18" s="60">
        <f>H6+H9+H12+H14+H16</f>
        <v>0</v>
      </c>
      <c r="I18" s="57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3.2" x14ac:dyDescent="0.25"/>
  <cols>
    <col min="1" max="1" width="39.44140625" style="771" bestFit="1" customWidth="1"/>
    <col min="2" max="2" width="23" style="771" customWidth="1"/>
    <col min="3" max="3" width="21.109375" style="771" customWidth="1"/>
    <col min="4" max="4" width="17" style="771" hidden="1" customWidth="1"/>
    <col min="5" max="8" width="17" style="771" customWidth="1"/>
    <col min="9" max="9" width="12.77734375" style="774" customWidth="1"/>
    <col min="10" max="16384" width="9.33203125" style="771"/>
  </cols>
  <sheetData>
    <row r="1" spans="1:9" ht="13.8" x14ac:dyDescent="0.3">
      <c r="A1" s="1341" t="s">
        <v>1317</v>
      </c>
      <c r="B1" s="1341"/>
      <c r="C1" s="1341"/>
      <c r="D1" s="776"/>
      <c r="E1" s="776"/>
      <c r="F1" s="776"/>
      <c r="G1" s="776"/>
      <c r="H1" s="776"/>
      <c r="I1" s="776"/>
    </row>
    <row r="4" spans="1:9" ht="12.75" customHeight="1" x14ac:dyDescent="0.25">
      <c r="A4" s="1339" t="s">
        <v>812</v>
      </c>
      <c r="B4" s="1339"/>
      <c r="C4" s="1339"/>
      <c r="D4" s="742"/>
      <c r="E4" s="742"/>
      <c r="F4" s="742"/>
      <c r="G4" s="742"/>
      <c r="H4" s="742"/>
      <c r="I4" s="742"/>
    </row>
    <row r="5" spans="1:9" x14ac:dyDescent="0.25">
      <c r="A5" s="1340" t="s">
        <v>1078</v>
      </c>
      <c r="B5" s="1340"/>
      <c r="C5" s="1340"/>
      <c r="D5" s="775"/>
      <c r="E5" s="775"/>
      <c r="F5" s="775"/>
      <c r="G5" s="775"/>
      <c r="H5" s="775"/>
      <c r="I5" s="775"/>
    </row>
    <row r="6" spans="1:9" ht="13.8" thickBot="1" x14ac:dyDescent="0.3">
      <c r="A6" s="772"/>
      <c r="B6" s="773"/>
    </row>
    <row r="7" spans="1:9" ht="13.8" thickBot="1" x14ac:dyDescent="0.3">
      <c r="A7" s="1344" t="s">
        <v>982</v>
      </c>
      <c r="B7" s="1345"/>
      <c r="C7" s="1346"/>
    </row>
    <row r="8" spans="1:9" ht="14.4" thickTop="1" thickBot="1" x14ac:dyDescent="0.3">
      <c r="A8" s="837" t="s">
        <v>983</v>
      </c>
      <c r="B8" s="837" t="s">
        <v>984</v>
      </c>
      <c r="C8" s="837" t="s">
        <v>985</v>
      </c>
    </row>
    <row r="9" spans="1:9" ht="15" customHeight="1" thickBot="1" x14ac:dyDescent="0.3">
      <c r="A9" s="1343" t="s">
        <v>986</v>
      </c>
      <c r="B9" s="838" t="s">
        <v>987</v>
      </c>
      <c r="C9" s="839" t="s">
        <v>988</v>
      </c>
    </row>
    <row r="10" spans="1:9" ht="15" customHeight="1" thickBot="1" x14ac:dyDescent="0.3">
      <c r="A10" s="1343"/>
      <c r="B10" s="838" t="s">
        <v>989</v>
      </c>
      <c r="C10" s="839" t="s">
        <v>988</v>
      </c>
    </row>
    <row r="11" spans="1:9" ht="15" customHeight="1" thickBot="1" x14ac:dyDescent="0.3">
      <c r="A11" s="841" t="s">
        <v>990</v>
      </c>
      <c r="B11" s="838" t="s">
        <v>992</v>
      </c>
      <c r="C11" s="839" t="s">
        <v>1051</v>
      </c>
    </row>
    <row r="12" spans="1:9" ht="15" customHeight="1" thickBot="1" x14ac:dyDescent="0.3">
      <c r="A12" s="846" t="s">
        <v>991</v>
      </c>
      <c r="B12" s="838" t="s">
        <v>994</v>
      </c>
      <c r="C12" s="839" t="s">
        <v>988</v>
      </c>
    </row>
    <row r="13" spans="1:9" ht="15" customHeight="1" thickBot="1" x14ac:dyDescent="0.3">
      <c r="A13" s="1342" t="s">
        <v>1052</v>
      </c>
      <c r="B13" s="1343" t="s">
        <v>998</v>
      </c>
      <c r="C13" s="1342" t="s">
        <v>988</v>
      </c>
    </row>
    <row r="14" spans="1:9" ht="15" customHeight="1" thickBot="1" x14ac:dyDescent="0.3">
      <c r="A14" s="1342"/>
      <c r="B14" s="1343"/>
      <c r="C14" s="1342"/>
    </row>
    <row r="15" spans="1:9" ht="15" customHeight="1" thickBot="1" x14ac:dyDescent="0.3">
      <c r="A15" s="1342"/>
      <c r="B15" s="838" t="s">
        <v>1050</v>
      </c>
      <c r="C15" s="839" t="s">
        <v>995</v>
      </c>
    </row>
    <row r="16" spans="1:9" ht="15" customHeight="1" thickBot="1" x14ac:dyDescent="0.3">
      <c r="A16" s="841" t="s">
        <v>814</v>
      </c>
      <c r="B16" s="1342" t="s">
        <v>999</v>
      </c>
      <c r="C16" s="1342" t="s">
        <v>988</v>
      </c>
    </row>
    <row r="17" spans="1:3" ht="15" customHeight="1" thickBot="1" x14ac:dyDescent="0.3">
      <c r="A17" s="846" t="s">
        <v>996</v>
      </c>
      <c r="B17" s="1342"/>
      <c r="C17" s="1342"/>
    </row>
    <row r="18" spans="1:3" ht="15" customHeight="1" thickBot="1" x14ac:dyDescent="0.3">
      <c r="A18" s="841" t="s">
        <v>942</v>
      </c>
      <c r="B18" s="1343" t="s">
        <v>1053</v>
      </c>
      <c r="C18" s="1342" t="s">
        <v>993</v>
      </c>
    </row>
    <row r="19" spans="1:3" ht="15" customHeight="1" thickBot="1" x14ac:dyDescent="0.3">
      <c r="A19" s="846" t="s">
        <v>996</v>
      </c>
      <c r="B19" s="1343"/>
      <c r="C19" s="1342"/>
    </row>
    <row r="20" spans="1:3" ht="15" customHeight="1" thickBot="1" x14ac:dyDescent="0.3">
      <c r="A20" s="841" t="s">
        <v>1054</v>
      </c>
      <c r="B20" s="1343" t="s">
        <v>1055</v>
      </c>
      <c r="C20" s="1342" t="s">
        <v>988</v>
      </c>
    </row>
    <row r="21" spans="1:3" ht="15" customHeight="1" thickBot="1" x14ac:dyDescent="0.3">
      <c r="A21" s="846" t="s">
        <v>996</v>
      </c>
      <c r="B21" s="1343"/>
      <c r="C21" s="1342"/>
    </row>
    <row r="22" spans="1:3" ht="13.8" thickBot="1" x14ac:dyDescent="0.3"/>
    <row r="23" spans="1:3" ht="13.8" thickBot="1" x14ac:dyDescent="0.3">
      <c r="A23" s="1338" t="s">
        <v>813</v>
      </c>
      <c r="B23" s="1338"/>
      <c r="C23" s="1338"/>
    </row>
    <row r="24" spans="1:3" ht="13.8" thickBot="1" x14ac:dyDescent="0.3">
      <c r="A24" s="840" t="s">
        <v>983</v>
      </c>
      <c r="B24" s="840" t="s">
        <v>984</v>
      </c>
      <c r="C24" s="840" t="s">
        <v>985</v>
      </c>
    </row>
    <row r="25" spans="1:3" ht="15" customHeight="1" thickBot="1" x14ac:dyDescent="0.3">
      <c r="A25" s="841" t="s">
        <v>1000</v>
      </c>
      <c r="B25" s="838" t="s">
        <v>1002</v>
      </c>
      <c r="C25" s="838" t="s">
        <v>988</v>
      </c>
    </row>
    <row r="26" spans="1:3" ht="15" customHeight="1" thickBot="1" x14ac:dyDescent="0.3">
      <c r="A26" s="846" t="s">
        <v>1001</v>
      </c>
      <c r="B26" s="838" t="s">
        <v>1000</v>
      </c>
      <c r="C26" s="838" t="s">
        <v>1003</v>
      </c>
    </row>
    <row r="27" spans="1:3" ht="13.8" thickBot="1" x14ac:dyDescent="0.3"/>
    <row r="28" spans="1:3" ht="13.8" thickBot="1" x14ac:dyDescent="0.3">
      <c r="A28" s="1338" t="s">
        <v>476</v>
      </c>
      <c r="B28" s="1338"/>
      <c r="C28" s="1338"/>
    </row>
    <row r="29" spans="1:3" ht="13.8" thickBot="1" x14ac:dyDescent="0.3">
      <c r="A29" s="840" t="s">
        <v>983</v>
      </c>
      <c r="B29" s="840" t="s">
        <v>984</v>
      </c>
      <c r="C29" s="840" t="s">
        <v>985</v>
      </c>
    </row>
    <row r="30" spans="1:3" ht="15" customHeight="1" thickBot="1" x14ac:dyDescent="0.3">
      <c r="A30" s="841" t="s">
        <v>1004</v>
      </c>
      <c r="B30" s="838" t="s">
        <v>1006</v>
      </c>
      <c r="C30" s="839" t="s">
        <v>988</v>
      </c>
    </row>
    <row r="31" spans="1:3" ht="15" customHeight="1" thickBot="1" x14ac:dyDescent="0.3">
      <c r="A31" s="842" t="s">
        <v>1005</v>
      </c>
      <c r="B31" s="838" t="s">
        <v>1007</v>
      </c>
      <c r="C31" s="839" t="s">
        <v>1168</v>
      </c>
    </row>
    <row r="32" spans="1:3" ht="15" customHeight="1" thickBot="1" x14ac:dyDescent="0.3">
      <c r="A32" s="843"/>
      <c r="B32" s="838" t="s">
        <v>1008</v>
      </c>
      <c r="C32" s="839" t="s">
        <v>993</v>
      </c>
    </row>
    <row r="33" spans="1:3" ht="15" customHeight="1" thickBot="1" x14ac:dyDescent="0.3">
      <c r="A33" s="844"/>
      <c r="B33" s="838" t="s">
        <v>1009</v>
      </c>
      <c r="C33" s="839" t="s">
        <v>1169</v>
      </c>
    </row>
    <row r="34" spans="1:3" ht="15" customHeight="1" thickBot="1" x14ac:dyDescent="0.3">
      <c r="A34" s="844"/>
      <c r="B34" s="838" t="s">
        <v>1010</v>
      </c>
      <c r="C34" s="839" t="s">
        <v>988</v>
      </c>
    </row>
    <row r="35" spans="1:3" ht="15" customHeight="1" thickBot="1" x14ac:dyDescent="0.3">
      <c r="A35" s="845"/>
      <c r="B35" s="838" t="s">
        <v>997</v>
      </c>
      <c r="C35" s="839" t="s">
        <v>993</v>
      </c>
    </row>
  </sheetData>
  <mergeCells count="16">
    <mergeCell ref="A28:C28"/>
    <mergeCell ref="A4:C4"/>
    <mergeCell ref="A5:C5"/>
    <mergeCell ref="A23:C23"/>
    <mergeCell ref="A1:C1"/>
    <mergeCell ref="B16:B17"/>
    <mergeCell ref="C16:C17"/>
    <mergeCell ref="B20:B21"/>
    <mergeCell ref="C20:C21"/>
    <mergeCell ref="A7:C7"/>
    <mergeCell ref="A9:A10"/>
    <mergeCell ref="B13:B14"/>
    <mergeCell ref="C13:C14"/>
    <mergeCell ref="A13:A15"/>
    <mergeCell ref="B18:B19"/>
    <mergeCell ref="C18:C19"/>
  </mergeCells>
  <phoneticPr fontId="33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4.4" x14ac:dyDescent="0.3"/>
  <cols>
    <col min="1" max="1" width="6" style="421" bestFit="1" customWidth="1"/>
    <col min="2" max="2" width="63" style="421" customWidth="1"/>
    <col min="3" max="3" width="6.33203125" style="420" hidden="1" customWidth="1"/>
    <col min="4" max="4" width="9.77734375" style="479" bestFit="1" customWidth="1"/>
    <col min="5" max="5" width="18.109375" style="479" customWidth="1"/>
    <col min="6" max="6" width="15.109375" style="479" customWidth="1"/>
    <col min="7" max="7" width="15.44140625" style="479" customWidth="1"/>
    <col min="8" max="8" width="11.33203125" style="479" bestFit="1" customWidth="1"/>
    <col min="9" max="9" width="9.77734375" style="479" bestFit="1" customWidth="1"/>
    <col min="10" max="10" width="13.109375" style="480" bestFit="1" customWidth="1"/>
    <col min="11" max="11" width="17.33203125" style="420" customWidth="1"/>
    <col min="12" max="12" width="9.109375" style="420" hidden="1" customWidth="1"/>
    <col min="13" max="13" width="16.77734375" style="420" customWidth="1"/>
    <col min="14" max="14" width="0" style="420" hidden="1" customWidth="1"/>
    <col min="15" max="15" width="18.44140625" style="420" customWidth="1"/>
    <col min="16" max="16" width="9.77734375" style="420" customWidth="1"/>
    <col min="17" max="17" width="16.109375" style="464" customWidth="1"/>
    <col min="18" max="18" width="9.33203125" style="421"/>
    <col min="19" max="19" width="9.33203125" style="422"/>
    <col min="20" max="16384" width="9.33203125" style="421"/>
  </cols>
  <sheetData>
    <row r="1" spans="1:19" x14ac:dyDescent="0.3">
      <c r="A1" s="1423" t="s">
        <v>679</v>
      </c>
      <c r="B1" s="1423"/>
      <c r="C1" s="1423"/>
      <c r="D1" s="1423"/>
      <c r="E1" s="1423"/>
      <c r="F1" s="1423"/>
      <c r="G1" s="1423"/>
      <c r="H1" s="1423"/>
      <c r="I1" s="1423"/>
      <c r="J1" s="1423"/>
      <c r="K1" s="1423"/>
      <c r="L1" s="1423"/>
      <c r="M1" s="1423"/>
      <c r="N1" s="1423"/>
      <c r="O1" s="1423"/>
      <c r="P1" s="1423"/>
      <c r="Q1" s="1423"/>
    </row>
    <row r="2" spans="1:19" x14ac:dyDescent="0.3">
      <c r="A2" s="1424" t="s">
        <v>472</v>
      </c>
      <c r="B2" s="1424"/>
      <c r="C2" s="1424"/>
      <c r="D2" s="1424"/>
      <c r="E2" s="1424"/>
      <c r="F2" s="1424"/>
      <c r="G2" s="1424"/>
      <c r="H2" s="1424"/>
      <c r="I2" s="1424"/>
      <c r="J2" s="1424"/>
      <c r="K2" s="1424"/>
      <c r="L2" s="1424"/>
      <c r="M2" s="1424"/>
      <c r="N2" s="1424"/>
      <c r="O2" s="1424"/>
      <c r="P2" s="1424"/>
      <c r="Q2" s="1424"/>
    </row>
    <row r="3" spans="1:19" x14ac:dyDescent="0.3">
      <c r="A3" s="423"/>
      <c r="B3" s="423"/>
      <c r="C3" s="423"/>
      <c r="D3" s="423"/>
      <c r="E3" s="423"/>
      <c r="F3" s="423"/>
      <c r="G3" s="423"/>
      <c r="H3" s="423"/>
      <c r="I3" s="423"/>
      <c r="J3" s="423"/>
      <c r="Q3" s="420"/>
    </row>
    <row r="4" spans="1:19" s="427" customFormat="1" x14ac:dyDescent="0.25">
      <c r="A4" s="424"/>
      <c r="B4" s="425" t="s">
        <v>12</v>
      </c>
      <c r="C4" s="426">
        <v>2011</v>
      </c>
      <c r="D4" s="1425" t="s">
        <v>473</v>
      </c>
      <c r="E4" s="1426"/>
      <c r="F4" s="1426"/>
      <c r="G4" s="1426"/>
      <c r="H4" s="1426"/>
      <c r="I4" s="1426"/>
      <c r="J4" s="1427"/>
      <c r="K4" s="1425" t="s">
        <v>474</v>
      </c>
      <c r="L4" s="1426"/>
      <c r="M4" s="1426"/>
      <c r="N4" s="1426"/>
      <c r="O4" s="1426"/>
      <c r="P4" s="1426"/>
      <c r="Q4" s="1427"/>
      <c r="S4" s="428"/>
    </row>
    <row r="5" spans="1:19" s="427" customFormat="1" ht="43.2" x14ac:dyDescent="0.25">
      <c r="A5" s="429"/>
      <c r="B5" s="430"/>
      <c r="C5" s="431" t="s">
        <v>475</v>
      </c>
      <c r="D5" s="432" t="s">
        <v>451</v>
      </c>
      <c r="E5" s="432" t="s">
        <v>476</v>
      </c>
      <c r="F5" s="432" t="s">
        <v>477</v>
      </c>
      <c r="G5" s="432" t="s">
        <v>478</v>
      </c>
      <c r="H5" s="432" t="s">
        <v>449</v>
      </c>
      <c r="I5" s="432" t="s">
        <v>450</v>
      </c>
      <c r="J5" s="433" t="s">
        <v>918</v>
      </c>
      <c r="K5" s="432" t="s">
        <v>476</v>
      </c>
      <c r="L5" s="432" t="s">
        <v>477</v>
      </c>
      <c r="M5" s="432" t="s">
        <v>478</v>
      </c>
      <c r="N5" s="432" t="s">
        <v>449</v>
      </c>
      <c r="O5" s="432" t="s">
        <v>680</v>
      </c>
      <c r="P5" s="432" t="s">
        <v>450</v>
      </c>
      <c r="Q5" s="433" t="s">
        <v>918</v>
      </c>
      <c r="S5" s="428"/>
    </row>
    <row r="6" spans="1:19" x14ac:dyDescent="0.3">
      <c r="A6" s="435">
        <v>1</v>
      </c>
      <c r="B6" s="436" t="s">
        <v>479</v>
      </c>
      <c r="C6" s="437"/>
      <c r="D6" s="438">
        <v>27.562999999999999</v>
      </c>
      <c r="E6" s="438">
        <v>0</v>
      </c>
      <c r="F6" s="438">
        <v>0</v>
      </c>
      <c r="G6" s="438">
        <v>0</v>
      </c>
      <c r="H6" s="438">
        <v>392.04300000000001</v>
      </c>
      <c r="I6" s="438">
        <v>0</v>
      </c>
      <c r="J6" s="439">
        <v>419.60599999999999</v>
      </c>
      <c r="K6" s="440">
        <v>0</v>
      </c>
      <c r="L6" s="440">
        <v>0</v>
      </c>
      <c r="M6" s="440">
        <v>0</v>
      </c>
      <c r="N6" s="440">
        <v>0</v>
      </c>
      <c r="O6" s="440">
        <v>0</v>
      </c>
      <c r="P6" s="440">
        <v>0</v>
      </c>
      <c r="Q6" s="441">
        <v>0</v>
      </c>
    </row>
    <row r="7" spans="1:19" x14ac:dyDescent="0.3">
      <c r="A7" s="435">
        <v>2</v>
      </c>
      <c r="B7" s="436" t="s">
        <v>480</v>
      </c>
      <c r="C7" s="437"/>
      <c r="D7" s="438">
        <v>0</v>
      </c>
      <c r="E7" s="438">
        <v>0</v>
      </c>
      <c r="F7" s="438">
        <v>0</v>
      </c>
      <c r="G7" s="438">
        <v>0</v>
      </c>
      <c r="H7" s="438">
        <v>20548.030999999999</v>
      </c>
      <c r="I7" s="438">
        <v>0</v>
      </c>
      <c r="J7" s="439">
        <v>20548.030999999999</v>
      </c>
      <c r="K7" s="440">
        <v>0</v>
      </c>
      <c r="L7" s="440">
        <v>0</v>
      </c>
      <c r="M7" s="440">
        <v>0</v>
      </c>
      <c r="N7" s="440">
        <v>9998.68</v>
      </c>
      <c r="O7" s="440">
        <v>9998.68</v>
      </c>
      <c r="P7" s="440">
        <v>0</v>
      </c>
      <c r="Q7" s="441">
        <v>9998.68</v>
      </c>
    </row>
    <row r="8" spans="1:19" x14ac:dyDescent="0.3">
      <c r="A8" s="435">
        <v>3</v>
      </c>
      <c r="B8" s="436" t="s">
        <v>481</v>
      </c>
      <c r="C8" s="437">
        <v>0</v>
      </c>
      <c r="D8" s="438">
        <v>0</v>
      </c>
      <c r="E8" s="438">
        <v>0</v>
      </c>
      <c r="F8" s="438">
        <v>0</v>
      </c>
      <c r="G8" s="438">
        <v>0</v>
      </c>
      <c r="H8" s="438">
        <v>81690.829999999987</v>
      </c>
      <c r="I8" s="438">
        <v>0</v>
      </c>
      <c r="J8" s="439">
        <v>81690.829999999987</v>
      </c>
      <c r="K8" s="440">
        <v>0</v>
      </c>
      <c r="L8" s="440">
        <v>0</v>
      </c>
      <c r="M8" s="440">
        <v>0</v>
      </c>
      <c r="N8" s="440">
        <v>100697.92</v>
      </c>
      <c r="O8" s="440">
        <v>100697.92</v>
      </c>
      <c r="P8" s="440">
        <v>0</v>
      </c>
      <c r="Q8" s="441">
        <v>100697.92</v>
      </c>
    </row>
    <row r="9" spans="1:19" x14ac:dyDescent="0.3">
      <c r="A9" s="435">
        <v>4</v>
      </c>
      <c r="B9" s="436" t="s">
        <v>482</v>
      </c>
      <c r="C9" s="437"/>
      <c r="D9" s="438">
        <v>0</v>
      </c>
      <c r="E9" s="438">
        <v>0</v>
      </c>
      <c r="F9" s="438">
        <v>0</v>
      </c>
      <c r="G9" s="438">
        <v>0</v>
      </c>
      <c r="H9" s="438">
        <v>33829.214999999997</v>
      </c>
      <c r="I9" s="438">
        <v>0</v>
      </c>
      <c r="J9" s="439">
        <v>33829.214999999997</v>
      </c>
      <c r="K9" s="440">
        <v>0</v>
      </c>
      <c r="L9" s="440">
        <v>0</v>
      </c>
      <c r="M9" s="440">
        <v>0</v>
      </c>
      <c r="N9" s="440">
        <v>42924.409999999996</v>
      </c>
      <c r="O9" s="440">
        <v>42924.409999999996</v>
      </c>
      <c r="P9" s="440">
        <v>0</v>
      </c>
      <c r="Q9" s="441">
        <v>42924.409999999996</v>
      </c>
    </row>
    <row r="10" spans="1:19" x14ac:dyDescent="0.3">
      <c r="A10" s="435">
        <v>5</v>
      </c>
      <c r="B10" s="436" t="s">
        <v>483</v>
      </c>
      <c r="C10" s="437"/>
      <c r="D10" s="438">
        <v>0</v>
      </c>
      <c r="E10" s="438">
        <v>0</v>
      </c>
      <c r="F10" s="438">
        <v>0</v>
      </c>
      <c r="G10" s="438">
        <v>0</v>
      </c>
      <c r="H10" s="438">
        <v>18379.445</v>
      </c>
      <c r="I10" s="438">
        <v>0</v>
      </c>
      <c r="J10" s="439">
        <v>18379.445</v>
      </c>
      <c r="K10" s="440">
        <v>0</v>
      </c>
      <c r="L10" s="440">
        <v>0</v>
      </c>
      <c r="M10" s="440">
        <v>0</v>
      </c>
      <c r="N10" s="440">
        <v>21189.848000000002</v>
      </c>
      <c r="O10" s="440">
        <v>21189.848000000002</v>
      </c>
      <c r="P10" s="440">
        <v>0</v>
      </c>
      <c r="Q10" s="441">
        <v>21189.848000000002</v>
      </c>
    </row>
    <row r="11" spans="1:19" x14ac:dyDescent="0.3">
      <c r="A11" s="435">
        <v>6</v>
      </c>
      <c r="B11" s="436" t="s">
        <v>116</v>
      </c>
      <c r="C11" s="437"/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9">
        <v>0</v>
      </c>
      <c r="K11" s="440">
        <v>0</v>
      </c>
      <c r="L11" s="440">
        <v>0</v>
      </c>
      <c r="M11" s="440">
        <v>0</v>
      </c>
      <c r="N11" s="440">
        <v>0</v>
      </c>
      <c r="O11" s="440">
        <v>0</v>
      </c>
      <c r="P11" s="440">
        <v>0</v>
      </c>
      <c r="Q11" s="441">
        <v>0</v>
      </c>
    </row>
    <row r="12" spans="1:19" x14ac:dyDescent="0.3">
      <c r="A12" s="435">
        <v>7</v>
      </c>
      <c r="B12" s="436" t="s">
        <v>484</v>
      </c>
      <c r="C12" s="437"/>
      <c r="D12" s="438">
        <v>0</v>
      </c>
      <c r="E12" s="438">
        <v>0</v>
      </c>
      <c r="F12" s="438">
        <v>0</v>
      </c>
      <c r="G12" s="438">
        <v>0</v>
      </c>
      <c r="H12" s="438">
        <v>29482.17</v>
      </c>
      <c r="I12" s="438">
        <v>0</v>
      </c>
      <c r="J12" s="439">
        <v>29482.17</v>
      </c>
      <c r="K12" s="440">
        <v>0</v>
      </c>
      <c r="L12" s="440">
        <v>0</v>
      </c>
      <c r="M12" s="440">
        <v>0</v>
      </c>
      <c r="N12" s="440">
        <v>36583.661999999997</v>
      </c>
      <c r="O12" s="440">
        <v>36583.661999999997</v>
      </c>
      <c r="P12" s="440">
        <v>0</v>
      </c>
      <c r="Q12" s="441">
        <v>36583.661999999997</v>
      </c>
    </row>
    <row r="13" spans="1:19" x14ac:dyDescent="0.3">
      <c r="A13" s="435">
        <v>8</v>
      </c>
      <c r="B13" s="436" t="s">
        <v>485</v>
      </c>
      <c r="C13" s="437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9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9" x14ac:dyDescent="0.3">
      <c r="A14" s="435">
        <v>9</v>
      </c>
      <c r="B14" s="436" t="s">
        <v>486</v>
      </c>
      <c r="C14" s="437">
        <v>0</v>
      </c>
      <c r="D14" s="438">
        <v>0</v>
      </c>
      <c r="E14" s="438">
        <v>0</v>
      </c>
      <c r="F14" s="438">
        <v>0</v>
      </c>
      <c r="G14" s="438">
        <v>0</v>
      </c>
      <c r="H14" s="438">
        <v>91588.676000000007</v>
      </c>
      <c r="I14" s="438">
        <v>0</v>
      </c>
      <c r="J14" s="439">
        <v>91588.676000000007</v>
      </c>
      <c r="K14" s="440">
        <v>0</v>
      </c>
      <c r="L14" s="440">
        <v>0</v>
      </c>
      <c r="M14" s="440">
        <v>0</v>
      </c>
      <c r="N14" s="440">
        <v>0</v>
      </c>
      <c r="O14" s="440">
        <v>0</v>
      </c>
      <c r="P14" s="440">
        <v>0</v>
      </c>
      <c r="Q14" s="441">
        <v>0</v>
      </c>
    </row>
    <row r="15" spans="1:19" x14ac:dyDescent="0.3">
      <c r="A15" s="435"/>
      <c r="B15" s="436" t="s">
        <v>487</v>
      </c>
      <c r="C15" s="437"/>
      <c r="D15" s="438">
        <v>0</v>
      </c>
      <c r="E15" s="438">
        <v>0</v>
      </c>
      <c r="F15" s="438">
        <v>0</v>
      </c>
      <c r="G15" s="438">
        <v>0</v>
      </c>
      <c r="H15" s="438">
        <v>0</v>
      </c>
      <c r="I15" s="438">
        <v>0</v>
      </c>
      <c r="J15" s="439">
        <v>0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9" ht="28.8" x14ac:dyDescent="0.3">
      <c r="A16" s="435">
        <v>10</v>
      </c>
      <c r="B16" s="436" t="s">
        <v>488</v>
      </c>
      <c r="C16" s="437"/>
      <c r="D16" s="438">
        <v>0</v>
      </c>
      <c r="E16" s="438">
        <v>0</v>
      </c>
      <c r="F16" s="438">
        <v>0</v>
      </c>
      <c r="G16" s="438">
        <v>0</v>
      </c>
      <c r="H16" s="438">
        <v>63892.480000000003</v>
      </c>
      <c r="I16" s="438">
        <v>0</v>
      </c>
      <c r="J16" s="439">
        <v>63892.480000000003</v>
      </c>
      <c r="K16" s="440">
        <v>0</v>
      </c>
      <c r="L16" s="440">
        <v>0</v>
      </c>
      <c r="M16" s="440">
        <v>0</v>
      </c>
      <c r="N16" s="440">
        <v>0</v>
      </c>
      <c r="O16" s="440">
        <v>0</v>
      </c>
      <c r="P16" s="440">
        <v>0</v>
      </c>
      <c r="Q16" s="441">
        <v>0</v>
      </c>
    </row>
    <row r="17" spans="1:19" x14ac:dyDescent="0.3">
      <c r="A17" s="435">
        <v>11</v>
      </c>
      <c r="B17" s="436" t="s">
        <v>489</v>
      </c>
      <c r="C17" s="437"/>
      <c r="D17" s="438">
        <v>0</v>
      </c>
      <c r="E17" s="438">
        <v>0</v>
      </c>
      <c r="F17" s="438">
        <v>0</v>
      </c>
      <c r="G17" s="438">
        <v>0</v>
      </c>
      <c r="H17" s="438">
        <v>27696.196</v>
      </c>
      <c r="I17" s="438">
        <v>0</v>
      </c>
      <c r="J17" s="439">
        <v>27696.196</v>
      </c>
      <c r="K17" s="440">
        <v>0</v>
      </c>
      <c r="L17" s="440">
        <v>0</v>
      </c>
      <c r="M17" s="440">
        <v>0</v>
      </c>
      <c r="N17" s="440">
        <v>0</v>
      </c>
      <c r="O17" s="440">
        <v>0</v>
      </c>
      <c r="P17" s="440">
        <v>0</v>
      </c>
      <c r="Q17" s="441">
        <v>0</v>
      </c>
    </row>
    <row r="18" spans="1:19" x14ac:dyDescent="0.3">
      <c r="A18" s="435">
        <v>12</v>
      </c>
      <c r="B18" s="436" t="s">
        <v>490</v>
      </c>
      <c r="C18" s="437"/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8">
        <v>0</v>
      </c>
      <c r="J18" s="439">
        <v>0</v>
      </c>
      <c r="K18" s="440">
        <v>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0</v>
      </c>
    </row>
    <row r="19" spans="1:19" x14ac:dyDescent="0.3">
      <c r="A19" s="435">
        <v>13</v>
      </c>
      <c r="B19" s="436" t="s">
        <v>491</v>
      </c>
      <c r="C19" s="437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0</v>
      </c>
      <c r="J19" s="439">
        <v>0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0</v>
      </c>
      <c r="Q19" s="441">
        <v>0</v>
      </c>
    </row>
    <row r="20" spans="1:19" x14ac:dyDescent="0.3">
      <c r="A20" s="435">
        <v>14</v>
      </c>
      <c r="B20" s="436" t="s">
        <v>492</v>
      </c>
      <c r="C20" s="437"/>
      <c r="D20" s="438">
        <v>0</v>
      </c>
      <c r="E20" s="438">
        <v>0</v>
      </c>
      <c r="F20" s="438">
        <v>0</v>
      </c>
      <c r="G20" s="438">
        <v>0</v>
      </c>
      <c r="H20" s="438">
        <v>177.84299999999999</v>
      </c>
      <c r="I20" s="438">
        <v>0</v>
      </c>
      <c r="J20" s="439">
        <v>177.84299999999999</v>
      </c>
      <c r="K20" s="440">
        <v>0</v>
      </c>
      <c r="L20" s="440">
        <v>0</v>
      </c>
      <c r="M20" s="440">
        <v>0</v>
      </c>
      <c r="N20" s="440">
        <v>234.5</v>
      </c>
      <c r="O20" s="440">
        <v>234.5</v>
      </c>
      <c r="P20" s="440">
        <v>0</v>
      </c>
      <c r="Q20" s="441">
        <v>234.5</v>
      </c>
    </row>
    <row r="21" spans="1:19" ht="28.8" x14ac:dyDescent="0.3">
      <c r="A21" s="435">
        <v>15</v>
      </c>
      <c r="B21" s="436" t="s">
        <v>493</v>
      </c>
      <c r="C21" s="437"/>
      <c r="D21" s="438">
        <v>0</v>
      </c>
      <c r="E21" s="438">
        <v>0</v>
      </c>
      <c r="F21" s="438">
        <v>0</v>
      </c>
      <c r="G21" s="438">
        <v>0</v>
      </c>
      <c r="H21" s="438">
        <v>2732.6729999999998</v>
      </c>
      <c r="I21" s="438">
        <v>0</v>
      </c>
      <c r="J21" s="439">
        <v>2732.6729999999998</v>
      </c>
      <c r="K21" s="440">
        <v>0</v>
      </c>
      <c r="L21" s="440">
        <v>0</v>
      </c>
      <c r="M21" s="440">
        <v>0</v>
      </c>
      <c r="N21" s="440">
        <v>3411.7649999999999</v>
      </c>
      <c r="O21" s="440">
        <v>3411.7649999999999</v>
      </c>
      <c r="P21" s="440">
        <v>0</v>
      </c>
      <c r="Q21" s="441">
        <v>3411.7649999999999</v>
      </c>
    </row>
    <row r="22" spans="1:19" s="449" customFormat="1" ht="28.8" x14ac:dyDescent="0.3">
      <c r="A22" s="452">
        <v>16</v>
      </c>
      <c r="B22" s="453" t="s">
        <v>494</v>
      </c>
      <c r="C22" s="454">
        <v>0</v>
      </c>
      <c r="D22" s="454">
        <v>27.562999999999999</v>
      </c>
      <c r="E22" s="454">
        <v>0</v>
      </c>
      <c r="F22" s="454">
        <v>0</v>
      </c>
      <c r="G22" s="454">
        <v>0</v>
      </c>
      <c r="H22" s="454">
        <v>197130.09599999999</v>
      </c>
      <c r="I22" s="454">
        <v>0</v>
      </c>
      <c r="J22" s="454">
        <v>197157.65899999999</v>
      </c>
      <c r="K22" s="454">
        <v>0</v>
      </c>
      <c r="L22" s="454">
        <v>0</v>
      </c>
      <c r="M22" s="454">
        <v>0</v>
      </c>
      <c r="N22" s="454">
        <v>114342.86500000001</v>
      </c>
      <c r="O22" s="454">
        <v>114342.86500000001</v>
      </c>
      <c r="P22" s="454">
        <v>0</v>
      </c>
      <c r="Q22" s="454">
        <v>114342.86500000001</v>
      </c>
    </row>
    <row r="23" spans="1:19" s="455" customFormat="1" x14ac:dyDescent="0.3">
      <c r="A23" s="442">
        <v>17</v>
      </c>
      <c r="B23" s="443" t="s">
        <v>495</v>
      </c>
      <c r="C23" s="444">
        <v>0</v>
      </c>
      <c r="D23" s="444">
        <v>4243.21</v>
      </c>
      <c r="E23" s="444">
        <v>1897.9190000000001</v>
      </c>
      <c r="F23" s="444">
        <v>97.016999999999996</v>
      </c>
      <c r="G23" s="444">
        <v>68.47</v>
      </c>
      <c r="H23" s="444">
        <v>10089.620000000001</v>
      </c>
      <c r="I23" s="444">
        <v>0</v>
      </c>
      <c r="J23" s="444">
        <v>16396.236000000001</v>
      </c>
      <c r="K23" s="444">
        <v>5104.866</v>
      </c>
      <c r="L23" s="444">
        <v>546.55100000000004</v>
      </c>
      <c r="M23" s="444">
        <v>250</v>
      </c>
      <c r="N23" s="444">
        <v>6559.9620000000014</v>
      </c>
      <c r="O23" s="444">
        <v>7106.5130000000017</v>
      </c>
      <c r="P23" s="444">
        <v>0</v>
      </c>
      <c r="Q23" s="496">
        <v>12461.379000000001</v>
      </c>
      <c r="S23" s="456"/>
    </row>
    <row r="24" spans="1:19" s="457" customFormat="1" x14ac:dyDescent="0.3">
      <c r="A24" s="435"/>
      <c r="B24" s="447" t="s">
        <v>496</v>
      </c>
      <c r="C24" s="448"/>
      <c r="D24" s="438">
        <v>0</v>
      </c>
      <c r="E24" s="438">
        <v>0</v>
      </c>
      <c r="F24" s="438">
        <v>0</v>
      </c>
      <c r="G24" s="438">
        <v>0</v>
      </c>
      <c r="H24" s="438">
        <v>0</v>
      </c>
      <c r="I24" s="438">
        <v>0</v>
      </c>
      <c r="J24" s="439">
        <v>0</v>
      </c>
      <c r="K24" s="440">
        <v>0</v>
      </c>
      <c r="L24" s="440">
        <v>0</v>
      </c>
      <c r="M24" s="440">
        <v>0</v>
      </c>
      <c r="N24" s="440">
        <v>0</v>
      </c>
      <c r="O24" s="440">
        <v>0</v>
      </c>
      <c r="P24" s="440">
        <v>0</v>
      </c>
      <c r="Q24" s="441">
        <v>0</v>
      </c>
      <c r="S24" s="449"/>
    </row>
    <row r="25" spans="1:19" s="457" customFormat="1" x14ac:dyDescent="0.3">
      <c r="A25" s="446">
        <v>18</v>
      </c>
      <c r="B25" s="450" t="s">
        <v>497</v>
      </c>
      <c r="C25" s="448"/>
      <c r="D25" s="438">
        <v>0</v>
      </c>
      <c r="E25" s="438">
        <v>0</v>
      </c>
      <c r="F25" s="438">
        <v>0</v>
      </c>
      <c r="G25" s="438">
        <v>0</v>
      </c>
      <c r="H25" s="438">
        <v>0</v>
      </c>
      <c r="I25" s="438">
        <v>0</v>
      </c>
      <c r="J25" s="439">
        <v>0</v>
      </c>
      <c r="K25" s="440">
        <v>0</v>
      </c>
      <c r="L25" s="440">
        <v>0</v>
      </c>
      <c r="M25" s="440">
        <v>0</v>
      </c>
      <c r="N25" s="440">
        <v>0</v>
      </c>
      <c r="O25" s="440">
        <v>0</v>
      </c>
      <c r="P25" s="440">
        <v>0</v>
      </c>
      <c r="Q25" s="441">
        <v>0</v>
      </c>
      <c r="S25" s="449"/>
    </row>
    <row r="26" spans="1:19" s="457" customFormat="1" x14ac:dyDescent="0.3">
      <c r="A26" s="446">
        <v>19</v>
      </c>
      <c r="B26" s="450" t="s">
        <v>498</v>
      </c>
      <c r="C26" s="448"/>
      <c r="D26" s="438">
        <v>0</v>
      </c>
      <c r="E26" s="438">
        <v>0</v>
      </c>
      <c r="F26" s="438">
        <v>0</v>
      </c>
      <c r="G26" s="438">
        <v>0</v>
      </c>
      <c r="H26" s="438">
        <v>-379.15300000000002</v>
      </c>
      <c r="I26" s="438">
        <v>0</v>
      </c>
      <c r="J26" s="439">
        <v>-379.15300000000002</v>
      </c>
      <c r="K26" s="440">
        <v>0</v>
      </c>
      <c r="L26" s="440">
        <v>0</v>
      </c>
      <c r="M26" s="440">
        <v>0</v>
      </c>
      <c r="N26" s="440">
        <v>0</v>
      </c>
      <c r="O26" s="440">
        <v>0</v>
      </c>
      <c r="P26" s="440">
        <v>0</v>
      </c>
      <c r="Q26" s="441">
        <v>0</v>
      </c>
      <c r="S26" s="449"/>
    </row>
    <row r="27" spans="1:19" s="459" customFormat="1" x14ac:dyDescent="0.3">
      <c r="A27" s="446">
        <v>20</v>
      </c>
      <c r="B27" s="450" t="s">
        <v>499</v>
      </c>
      <c r="C27" s="458"/>
      <c r="D27" s="438">
        <v>60.6</v>
      </c>
      <c r="E27" s="438">
        <v>0</v>
      </c>
      <c r="F27" s="438">
        <v>50.9</v>
      </c>
      <c r="G27" s="438">
        <v>0</v>
      </c>
      <c r="H27" s="438">
        <v>0</v>
      </c>
      <c r="I27" s="438">
        <v>0</v>
      </c>
      <c r="J27" s="439">
        <v>111.5</v>
      </c>
      <c r="K27" s="440">
        <v>0</v>
      </c>
      <c r="L27" s="440">
        <v>0</v>
      </c>
      <c r="M27" s="440">
        <v>0</v>
      </c>
      <c r="N27" s="440">
        <v>0</v>
      </c>
      <c r="O27" s="440">
        <v>0</v>
      </c>
      <c r="P27" s="440">
        <v>0</v>
      </c>
      <c r="Q27" s="441">
        <v>0</v>
      </c>
      <c r="S27" s="449"/>
    </row>
    <row r="28" spans="1:19" s="457" customFormat="1" x14ac:dyDescent="0.3">
      <c r="A28" s="446">
        <v>21</v>
      </c>
      <c r="B28" s="450" t="s">
        <v>500</v>
      </c>
      <c r="C28" s="448"/>
      <c r="D28" s="438">
        <v>0</v>
      </c>
      <c r="E28" s="438">
        <v>0</v>
      </c>
      <c r="F28" s="438">
        <v>0</v>
      </c>
      <c r="G28" s="438">
        <v>0</v>
      </c>
      <c r="H28" s="438">
        <v>1749.952</v>
      </c>
      <c r="I28" s="438">
        <v>0</v>
      </c>
      <c r="J28" s="439">
        <v>1749.952</v>
      </c>
      <c r="K28" s="440">
        <v>0</v>
      </c>
      <c r="L28" s="440">
        <v>0</v>
      </c>
      <c r="M28" s="440">
        <v>0</v>
      </c>
      <c r="N28" s="440">
        <v>0</v>
      </c>
      <c r="O28" s="440">
        <v>0</v>
      </c>
      <c r="P28" s="440">
        <v>0</v>
      </c>
      <c r="Q28" s="441">
        <v>0</v>
      </c>
      <c r="S28" s="449"/>
    </row>
    <row r="29" spans="1:19" s="457" customFormat="1" x14ac:dyDescent="0.3">
      <c r="A29" s="446">
        <v>22</v>
      </c>
      <c r="B29" s="450" t="s">
        <v>501</v>
      </c>
      <c r="C29" s="448"/>
      <c r="D29" s="438">
        <v>0</v>
      </c>
      <c r="E29" s="438">
        <v>0</v>
      </c>
      <c r="F29" s="438">
        <v>0</v>
      </c>
      <c r="G29" s="438">
        <v>0</v>
      </c>
      <c r="H29" s="438">
        <v>940.2</v>
      </c>
      <c r="I29" s="438">
        <v>0</v>
      </c>
      <c r="J29" s="439">
        <v>940.2</v>
      </c>
      <c r="K29" s="440">
        <v>0</v>
      </c>
      <c r="L29" s="440">
        <v>0</v>
      </c>
      <c r="M29" s="440">
        <v>0</v>
      </c>
      <c r="N29" s="440">
        <v>0</v>
      </c>
      <c r="O29" s="440">
        <v>0</v>
      </c>
      <c r="P29" s="440">
        <v>0</v>
      </c>
      <c r="Q29" s="441">
        <v>0</v>
      </c>
      <c r="S29" s="449"/>
    </row>
    <row r="30" spans="1:19" s="457" customFormat="1" x14ac:dyDescent="0.3">
      <c r="A30" s="446">
        <v>23</v>
      </c>
      <c r="B30" s="450" t="s">
        <v>502</v>
      </c>
      <c r="C30" s="448">
        <v>0</v>
      </c>
      <c r="D30" s="438">
        <v>29.12</v>
      </c>
      <c r="E30" s="438">
        <v>0</v>
      </c>
      <c r="F30" s="438">
        <v>0</v>
      </c>
      <c r="G30" s="438">
        <v>68.47</v>
      </c>
      <c r="H30" s="438">
        <v>7778.621000000001</v>
      </c>
      <c r="I30" s="438">
        <v>0</v>
      </c>
      <c r="J30" s="439">
        <v>7876.2110000000002</v>
      </c>
      <c r="K30" s="440">
        <v>0</v>
      </c>
      <c r="L30" s="440">
        <v>0</v>
      </c>
      <c r="M30" s="440">
        <v>250</v>
      </c>
      <c r="N30" s="440">
        <v>6559.9620000000014</v>
      </c>
      <c r="O30" s="440">
        <v>6559.9620000000014</v>
      </c>
      <c r="P30" s="440">
        <v>0</v>
      </c>
      <c r="Q30" s="441">
        <v>6809.9620000000014</v>
      </c>
      <c r="S30" s="449"/>
    </row>
    <row r="31" spans="1:19" s="457" customFormat="1" x14ac:dyDescent="0.3">
      <c r="A31" s="446">
        <v>24</v>
      </c>
      <c r="B31" s="460" t="s">
        <v>503</v>
      </c>
      <c r="C31" s="448"/>
      <c r="D31" s="438">
        <v>0</v>
      </c>
      <c r="E31" s="438">
        <v>0</v>
      </c>
      <c r="F31" s="438">
        <v>0</v>
      </c>
      <c r="G31" s="438">
        <v>0</v>
      </c>
      <c r="H31" s="438">
        <v>2307.4070000000002</v>
      </c>
      <c r="I31" s="438">
        <v>0</v>
      </c>
      <c r="J31" s="439">
        <v>2307.4070000000002</v>
      </c>
      <c r="K31" s="440">
        <v>0</v>
      </c>
      <c r="L31" s="440">
        <v>0</v>
      </c>
      <c r="M31" s="440">
        <v>0</v>
      </c>
      <c r="N31" s="440">
        <v>2307.4070000000002</v>
      </c>
      <c r="O31" s="440">
        <v>2307.4070000000002</v>
      </c>
      <c r="P31" s="440">
        <v>0</v>
      </c>
      <c r="Q31" s="441">
        <v>2307.4070000000002</v>
      </c>
      <c r="S31" s="449"/>
    </row>
    <row r="32" spans="1:19" s="457" customFormat="1" x14ac:dyDescent="0.3">
      <c r="A32" s="446">
        <v>25</v>
      </c>
      <c r="B32" s="460" t="s">
        <v>504</v>
      </c>
      <c r="C32" s="448"/>
      <c r="D32" s="438">
        <v>0</v>
      </c>
      <c r="E32" s="438">
        <v>0</v>
      </c>
      <c r="F32" s="438">
        <v>0</v>
      </c>
      <c r="G32" s="438">
        <v>0</v>
      </c>
      <c r="H32" s="438">
        <v>289.65800000000002</v>
      </c>
      <c r="I32" s="438">
        <v>0</v>
      </c>
      <c r="J32" s="439">
        <v>289.65800000000002</v>
      </c>
      <c r="K32" s="440">
        <v>0</v>
      </c>
      <c r="L32" s="440">
        <v>0</v>
      </c>
      <c r="M32" s="440">
        <v>0</v>
      </c>
      <c r="N32" s="440">
        <v>700.48800000000006</v>
      </c>
      <c r="O32" s="440">
        <v>700.48800000000006</v>
      </c>
      <c r="P32" s="440">
        <v>0</v>
      </c>
      <c r="Q32" s="441">
        <v>700.48800000000006</v>
      </c>
      <c r="S32" s="449"/>
    </row>
    <row r="33" spans="1:20" s="457" customFormat="1" x14ac:dyDescent="0.3">
      <c r="A33" s="446">
        <v>26</v>
      </c>
      <c r="B33" s="460" t="s">
        <v>505</v>
      </c>
      <c r="C33" s="448"/>
      <c r="D33" s="438">
        <v>29.12</v>
      </c>
      <c r="E33" s="438">
        <v>0</v>
      </c>
      <c r="F33" s="438">
        <v>0</v>
      </c>
      <c r="G33" s="438">
        <v>68.47</v>
      </c>
      <c r="H33" s="438">
        <v>1668.768</v>
      </c>
      <c r="I33" s="438">
        <v>0</v>
      </c>
      <c r="J33" s="439">
        <v>1766.3579999999999</v>
      </c>
      <c r="K33" s="440">
        <v>0</v>
      </c>
      <c r="L33" s="440">
        <v>0</v>
      </c>
      <c r="M33" s="440">
        <v>250</v>
      </c>
      <c r="N33" s="440">
        <v>1536.19</v>
      </c>
      <c r="O33" s="440">
        <v>1536.19</v>
      </c>
      <c r="P33" s="440">
        <v>0</v>
      </c>
      <c r="Q33" s="441">
        <v>1786.19</v>
      </c>
      <c r="S33" s="449"/>
    </row>
    <row r="34" spans="1:20" s="457" customFormat="1" x14ac:dyDescent="0.3">
      <c r="A34" s="446">
        <v>27</v>
      </c>
      <c r="B34" s="460" t="s">
        <v>506</v>
      </c>
      <c r="C34" s="448"/>
      <c r="D34" s="438">
        <v>0</v>
      </c>
      <c r="E34" s="438">
        <v>0</v>
      </c>
      <c r="F34" s="438">
        <v>0</v>
      </c>
      <c r="G34" s="438">
        <v>0</v>
      </c>
      <c r="H34" s="438">
        <v>38.97</v>
      </c>
      <c r="I34" s="438">
        <v>0</v>
      </c>
      <c r="J34" s="439">
        <v>38.97</v>
      </c>
      <c r="K34" s="440">
        <v>0</v>
      </c>
      <c r="L34" s="440">
        <v>0</v>
      </c>
      <c r="M34" s="440">
        <v>0</v>
      </c>
      <c r="N34" s="440">
        <v>40</v>
      </c>
      <c r="O34" s="440">
        <v>40</v>
      </c>
      <c r="P34" s="440">
        <v>0</v>
      </c>
      <c r="Q34" s="441">
        <v>40</v>
      </c>
      <c r="S34" s="449"/>
    </row>
    <row r="35" spans="1:20" s="457" customFormat="1" x14ac:dyDescent="0.3">
      <c r="A35" s="446">
        <v>28</v>
      </c>
      <c r="B35" s="460" t="s">
        <v>507</v>
      </c>
      <c r="C35" s="448"/>
      <c r="D35" s="438">
        <v>0</v>
      </c>
      <c r="E35" s="438">
        <v>0</v>
      </c>
      <c r="F35" s="438">
        <v>0</v>
      </c>
      <c r="G35" s="438">
        <v>0</v>
      </c>
      <c r="H35" s="438">
        <v>3168.8980000000001</v>
      </c>
      <c r="I35" s="438">
        <v>0</v>
      </c>
      <c r="J35" s="439">
        <v>3168.8980000000001</v>
      </c>
      <c r="K35" s="497">
        <v>0</v>
      </c>
      <c r="L35" s="497">
        <v>0</v>
      </c>
      <c r="M35" s="497">
        <v>0</v>
      </c>
      <c r="N35" s="497">
        <v>0</v>
      </c>
      <c r="O35" s="497">
        <v>0</v>
      </c>
      <c r="P35" s="497">
        <v>0</v>
      </c>
      <c r="Q35" s="498">
        <v>0</v>
      </c>
      <c r="S35" s="459"/>
    </row>
    <row r="36" spans="1:20" s="457" customFormat="1" x14ac:dyDescent="0.3">
      <c r="A36" s="446">
        <v>29</v>
      </c>
      <c r="B36" s="460" t="s">
        <v>508</v>
      </c>
      <c r="C36" s="448"/>
      <c r="D36" s="438">
        <v>0</v>
      </c>
      <c r="E36" s="438">
        <v>0</v>
      </c>
      <c r="F36" s="438">
        <v>0</v>
      </c>
      <c r="G36" s="438">
        <v>0</v>
      </c>
      <c r="H36" s="438">
        <v>304.92</v>
      </c>
      <c r="I36" s="438">
        <v>0</v>
      </c>
      <c r="J36" s="439">
        <v>304.92</v>
      </c>
      <c r="K36" s="440">
        <v>0</v>
      </c>
      <c r="L36" s="440">
        <v>0</v>
      </c>
      <c r="M36" s="440">
        <v>0</v>
      </c>
      <c r="N36" s="440">
        <v>1975.877</v>
      </c>
      <c r="O36" s="440">
        <v>1975.877</v>
      </c>
      <c r="P36" s="440">
        <v>0</v>
      </c>
      <c r="Q36" s="441">
        <v>1975.877</v>
      </c>
      <c r="S36" s="449"/>
    </row>
    <row r="37" spans="1:20" s="457" customFormat="1" x14ac:dyDescent="0.3">
      <c r="A37" s="446">
        <v>30</v>
      </c>
      <c r="B37" s="450" t="s">
        <v>509</v>
      </c>
      <c r="C37" s="448"/>
      <c r="D37" s="438">
        <v>4153.027</v>
      </c>
      <c r="E37" s="438">
        <v>1049.8510000000001</v>
      </c>
      <c r="F37" s="438">
        <v>37.506999999999998</v>
      </c>
      <c r="G37" s="438">
        <v>0</v>
      </c>
      <c r="H37" s="438">
        <v>0</v>
      </c>
      <c r="I37" s="438">
        <v>0</v>
      </c>
      <c r="J37" s="439">
        <v>5240.3850000000002</v>
      </c>
      <c r="K37" s="440">
        <v>5104.866</v>
      </c>
      <c r="L37" s="440">
        <v>546.55100000000004</v>
      </c>
      <c r="M37" s="440">
        <v>0</v>
      </c>
      <c r="N37" s="440">
        <v>0</v>
      </c>
      <c r="O37" s="440">
        <v>546.55100000000004</v>
      </c>
      <c r="P37" s="440">
        <v>0</v>
      </c>
      <c r="Q37" s="441">
        <v>5651.4170000000004</v>
      </c>
      <c r="S37" s="449"/>
    </row>
    <row r="38" spans="1:20" s="457" customFormat="1" x14ac:dyDescent="0.3">
      <c r="A38" s="446">
        <v>31</v>
      </c>
      <c r="B38" s="450" t="s">
        <v>510</v>
      </c>
      <c r="C38" s="448"/>
      <c r="D38" s="438">
        <v>0</v>
      </c>
      <c r="E38" s="438">
        <v>848.06799999999998</v>
      </c>
      <c r="F38" s="438">
        <v>0</v>
      </c>
      <c r="G38" s="438">
        <v>0</v>
      </c>
      <c r="H38" s="438">
        <v>0</v>
      </c>
      <c r="I38" s="438">
        <v>0</v>
      </c>
      <c r="J38" s="439">
        <v>848.06799999999998</v>
      </c>
      <c r="K38" s="440">
        <v>0</v>
      </c>
      <c r="L38" s="440">
        <v>0</v>
      </c>
      <c r="M38" s="440">
        <v>0</v>
      </c>
      <c r="N38" s="440">
        <v>0</v>
      </c>
      <c r="O38" s="440">
        <v>0</v>
      </c>
      <c r="P38" s="440">
        <v>0</v>
      </c>
      <c r="Q38" s="441">
        <v>0</v>
      </c>
      <c r="S38" s="449"/>
    </row>
    <row r="39" spans="1:20" s="457" customFormat="1" x14ac:dyDescent="0.3">
      <c r="A39" s="446">
        <v>32</v>
      </c>
      <c r="B39" s="450" t="s">
        <v>511</v>
      </c>
      <c r="C39" s="448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9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  <c r="S39" s="449"/>
    </row>
    <row r="40" spans="1:20" s="457" customFormat="1" x14ac:dyDescent="0.3">
      <c r="A40" s="446">
        <v>33</v>
      </c>
      <c r="B40" s="450" t="s">
        <v>512</v>
      </c>
      <c r="C40" s="448"/>
      <c r="D40" s="438">
        <v>0.46300000000000002</v>
      </c>
      <c r="E40" s="438">
        <v>0</v>
      </c>
      <c r="F40" s="438">
        <v>8.61</v>
      </c>
      <c r="G40" s="438">
        <v>0</v>
      </c>
      <c r="H40" s="438">
        <v>0</v>
      </c>
      <c r="I40" s="438">
        <v>0</v>
      </c>
      <c r="J40" s="439">
        <v>9.0729999999999986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  <c r="S40" s="449"/>
    </row>
    <row r="41" spans="1:20" x14ac:dyDescent="0.3">
      <c r="A41" s="435">
        <v>34</v>
      </c>
      <c r="B41" s="436" t="s">
        <v>513</v>
      </c>
      <c r="C41" s="437"/>
      <c r="D41" s="438">
        <v>0</v>
      </c>
      <c r="E41" s="438">
        <v>512.44100000000003</v>
      </c>
      <c r="F41" s="438">
        <v>7.4980000000000002</v>
      </c>
      <c r="G41" s="438">
        <v>0</v>
      </c>
      <c r="H41" s="438">
        <v>25938.665000000001</v>
      </c>
      <c r="I41" s="438">
        <v>0</v>
      </c>
      <c r="J41" s="439">
        <v>26458.603999999999</v>
      </c>
      <c r="K41" s="440">
        <v>1378.3138200000001</v>
      </c>
      <c r="L41" s="440">
        <v>147.56877000000003</v>
      </c>
      <c r="M41" s="440">
        <v>0</v>
      </c>
      <c r="N41" s="440">
        <v>0</v>
      </c>
      <c r="O41" s="440">
        <v>147.56877000000003</v>
      </c>
      <c r="P41" s="440">
        <v>0</v>
      </c>
      <c r="Q41" s="441">
        <v>1525.8825900000002</v>
      </c>
    </row>
    <row r="42" spans="1:20" x14ac:dyDescent="0.3">
      <c r="A42" s="435">
        <v>35</v>
      </c>
      <c r="B42" s="436" t="s">
        <v>514</v>
      </c>
      <c r="C42" s="437"/>
      <c r="D42" s="438">
        <v>0</v>
      </c>
      <c r="E42" s="438">
        <v>1.218</v>
      </c>
      <c r="F42" s="438">
        <v>8.2000000000000003E-2</v>
      </c>
      <c r="G42" s="438">
        <v>1E-3</v>
      </c>
      <c r="H42" s="438">
        <v>227.964</v>
      </c>
      <c r="I42" s="438">
        <v>1.409</v>
      </c>
      <c r="J42" s="439">
        <v>230.67399999999998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20" s="465" customFormat="1" ht="28.8" x14ac:dyDescent="0.3">
      <c r="A43" s="452">
        <v>36</v>
      </c>
      <c r="B43" s="453" t="s">
        <v>515</v>
      </c>
      <c r="C43" s="454">
        <v>0</v>
      </c>
      <c r="D43" s="454">
        <v>4243.21</v>
      </c>
      <c r="E43" s="454">
        <v>2411.578</v>
      </c>
      <c r="F43" s="454">
        <v>104.59699999999999</v>
      </c>
      <c r="G43" s="454">
        <v>68.471000000000004</v>
      </c>
      <c r="H43" s="454">
        <v>36256.249000000003</v>
      </c>
      <c r="I43" s="454">
        <v>1.409</v>
      </c>
      <c r="J43" s="454">
        <v>43085.513999999996</v>
      </c>
      <c r="K43" s="454">
        <v>6483.1798200000003</v>
      </c>
      <c r="L43" s="454">
        <v>694.11977000000002</v>
      </c>
      <c r="M43" s="454">
        <v>250</v>
      </c>
      <c r="N43" s="454">
        <v>6559.9620000000014</v>
      </c>
      <c r="O43" s="454">
        <v>7254.0817700000016</v>
      </c>
      <c r="P43" s="454">
        <v>0</v>
      </c>
      <c r="Q43" s="454">
        <v>13987.261590000002</v>
      </c>
      <c r="R43" s="464"/>
      <c r="S43" s="422"/>
    </row>
    <row r="44" spans="1:20" x14ac:dyDescent="0.3">
      <c r="A44" s="466">
        <v>37</v>
      </c>
      <c r="B44" s="467" t="s">
        <v>516</v>
      </c>
      <c r="C44" s="437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9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  <c r="T44"/>
    </row>
    <row r="45" spans="1:20" ht="28.8" x14ac:dyDescent="0.3">
      <c r="A45" s="435">
        <v>38</v>
      </c>
      <c r="B45" s="436" t="s">
        <v>517</v>
      </c>
      <c r="C45" s="437"/>
      <c r="D45" s="438">
        <v>313</v>
      </c>
      <c r="E45" s="438">
        <v>0</v>
      </c>
      <c r="F45" s="438">
        <v>0</v>
      </c>
      <c r="G45" s="438">
        <v>0</v>
      </c>
      <c r="H45" s="438">
        <v>0</v>
      </c>
      <c r="I45" s="438">
        <v>0</v>
      </c>
      <c r="J45" s="439">
        <v>313</v>
      </c>
      <c r="K45" s="440">
        <v>0</v>
      </c>
      <c r="L45" s="440">
        <v>0</v>
      </c>
      <c r="M45" s="440">
        <v>0</v>
      </c>
      <c r="N45" s="440">
        <v>12500</v>
      </c>
      <c r="O45" s="440">
        <v>12500</v>
      </c>
      <c r="P45" s="440">
        <v>0</v>
      </c>
      <c r="Q45" s="441">
        <v>12500</v>
      </c>
    </row>
    <row r="46" spans="1:20" x14ac:dyDescent="0.3">
      <c r="A46" s="435">
        <v>39</v>
      </c>
      <c r="B46" s="436" t="s">
        <v>518</v>
      </c>
      <c r="C46" s="437">
        <v>0</v>
      </c>
      <c r="D46" s="438">
        <v>0</v>
      </c>
      <c r="E46" s="438">
        <v>0</v>
      </c>
      <c r="F46" s="438">
        <v>0</v>
      </c>
      <c r="G46" s="438">
        <v>0</v>
      </c>
      <c r="H46" s="438">
        <v>11442.049000000001</v>
      </c>
      <c r="I46" s="438">
        <v>0</v>
      </c>
      <c r="J46" s="439">
        <v>11442.049000000001</v>
      </c>
      <c r="K46" s="440">
        <v>0</v>
      </c>
      <c r="L46" s="440">
        <v>0</v>
      </c>
      <c r="M46" s="440">
        <v>0</v>
      </c>
      <c r="N46" s="440">
        <v>11561.272000000001</v>
      </c>
      <c r="O46" s="440">
        <v>11561.272000000001</v>
      </c>
      <c r="P46" s="440">
        <v>0</v>
      </c>
      <c r="Q46" s="441">
        <v>11561.272000000001</v>
      </c>
    </row>
    <row r="47" spans="1:20" s="457" customFormat="1" x14ac:dyDescent="0.3">
      <c r="A47" s="446">
        <v>40</v>
      </c>
      <c r="B47" s="450" t="s">
        <v>519</v>
      </c>
      <c r="C47" s="448"/>
      <c r="D47" s="438">
        <v>0</v>
      </c>
      <c r="E47" s="438">
        <v>0</v>
      </c>
      <c r="F47" s="438">
        <v>0</v>
      </c>
      <c r="G47" s="438">
        <v>0</v>
      </c>
      <c r="H47" s="438">
        <v>3645.9</v>
      </c>
      <c r="I47" s="438">
        <v>0</v>
      </c>
      <c r="J47" s="439">
        <v>3645.9</v>
      </c>
      <c r="K47" s="440">
        <v>0</v>
      </c>
      <c r="L47" s="440">
        <v>0</v>
      </c>
      <c r="M47" s="440">
        <v>0</v>
      </c>
      <c r="N47" s="440">
        <v>4018.8</v>
      </c>
      <c r="O47" s="440">
        <v>4018.8</v>
      </c>
      <c r="P47" s="440">
        <v>0</v>
      </c>
      <c r="Q47" s="441">
        <v>4018.8</v>
      </c>
      <c r="S47" s="449"/>
    </row>
    <row r="48" spans="1:20" s="457" customFormat="1" x14ac:dyDescent="0.3">
      <c r="A48" s="446">
        <v>41</v>
      </c>
      <c r="B48" s="468" t="s">
        <v>520</v>
      </c>
      <c r="C48" s="448"/>
      <c r="D48" s="438">
        <v>0</v>
      </c>
      <c r="E48" s="438">
        <v>0</v>
      </c>
      <c r="F48" s="438">
        <v>0</v>
      </c>
      <c r="G48" s="438">
        <v>0</v>
      </c>
      <c r="H48" s="438">
        <v>7796.1490000000003</v>
      </c>
      <c r="I48" s="438">
        <v>0</v>
      </c>
      <c r="J48" s="439">
        <v>7796.1490000000003</v>
      </c>
      <c r="K48" s="440">
        <v>0</v>
      </c>
      <c r="L48" s="440">
        <v>0</v>
      </c>
      <c r="M48" s="440">
        <v>0</v>
      </c>
      <c r="N48" s="440">
        <v>7542.4719999999998</v>
      </c>
      <c r="O48" s="440">
        <f>7542.472-2668</f>
        <v>4874.4719999999998</v>
      </c>
      <c r="P48" s="440">
        <v>0</v>
      </c>
      <c r="Q48" s="441">
        <v>4874</v>
      </c>
      <c r="S48" s="449"/>
    </row>
    <row r="49" spans="1:19" s="457" customFormat="1" x14ac:dyDescent="0.3">
      <c r="A49" s="446">
        <v>42</v>
      </c>
      <c r="B49" s="468" t="s">
        <v>681</v>
      </c>
      <c r="C49" s="448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9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2668</v>
      </c>
      <c r="P49" s="440">
        <v>0</v>
      </c>
      <c r="Q49" s="441">
        <v>2668</v>
      </c>
      <c r="S49" s="449"/>
    </row>
    <row r="50" spans="1:19" x14ac:dyDescent="0.3">
      <c r="A50" s="452">
        <v>43</v>
      </c>
      <c r="B50" s="453" t="s">
        <v>521</v>
      </c>
      <c r="C50" s="454">
        <v>0</v>
      </c>
      <c r="D50" s="454">
        <v>4583.7730000000001</v>
      </c>
      <c r="E50" s="454">
        <v>2411.578</v>
      </c>
      <c r="F50" s="454">
        <v>104.59699999999999</v>
      </c>
      <c r="G50" s="454">
        <v>68.471000000000004</v>
      </c>
      <c r="H50" s="454">
        <v>244828.394</v>
      </c>
      <c r="I50" s="454">
        <v>1.409</v>
      </c>
      <c r="J50" s="454">
        <v>251998.22199999998</v>
      </c>
      <c r="K50" s="454">
        <v>6483.1798200000003</v>
      </c>
      <c r="L50" s="454">
        <v>694.11977000000002</v>
      </c>
      <c r="M50" s="454">
        <v>250</v>
      </c>
      <c r="N50" s="454">
        <v>144964.09900000002</v>
      </c>
      <c r="O50" s="454">
        <v>145658.21877000001</v>
      </c>
      <c r="P50" s="454">
        <v>0</v>
      </c>
      <c r="Q50" s="454">
        <v>152391.39859000003</v>
      </c>
    </row>
    <row r="51" spans="1:19" x14ac:dyDescent="0.3">
      <c r="A51" s="435">
        <v>44</v>
      </c>
      <c r="B51" s="436" t="s">
        <v>522</v>
      </c>
      <c r="C51" s="437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9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9" x14ac:dyDescent="0.3">
      <c r="A52" s="435">
        <v>45</v>
      </c>
      <c r="B52" s="436" t="s">
        <v>523</v>
      </c>
      <c r="C52" s="437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9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9" x14ac:dyDescent="0.3">
      <c r="A53" s="435">
        <v>46</v>
      </c>
      <c r="B53" s="436" t="s">
        <v>524</v>
      </c>
      <c r="C53" s="437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9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9" x14ac:dyDescent="0.3">
      <c r="A54" s="435">
        <v>47</v>
      </c>
      <c r="B54" s="436" t="s">
        <v>525</v>
      </c>
      <c r="C54" s="437"/>
      <c r="D54" s="438">
        <v>0</v>
      </c>
      <c r="E54" s="438">
        <v>0</v>
      </c>
      <c r="F54" s="438">
        <v>0</v>
      </c>
      <c r="G54" s="438">
        <v>0</v>
      </c>
      <c r="H54" s="438">
        <v>0</v>
      </c>
      <c r="I54" s="438">
        <v>0</v>
      </c>
      <c r="J54" s="439">
        <v>0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9" x14ac:dyDescent="0.3">
      <c r="A55" s="435">
        <v>48</v>
      </c>
      <c r="B55" s="436" t="s">
        <v>526</v>
      </c>
      <c r="C55" s="437">
        <v>0</v>
      </c>
      <c r="D55" s="438">
        <v>0</v>
      </c>
      <c r="E55" s="438">
        <v>0</v>
      </c>
      <c r="F55" s="438">
        <v>0</v>
      </c>
      <c r="G55" s="438">
        <v>0</v>
      </c>
      <c r="H55" s="438">
        <v>332.12199999999996</v>
      </c>
      <c r="I55" s="438">
        <v>0</v>
      </c>
      <c r="J55" s="439">
        <v>332.12199999999996</v>
      </c>
      <c r="K55" s="440">
        <v>0</v>
      </c>
      <c r="L55" s="440">
        <v>0</v>
      </c>
      <c r="M55" s="440">
        <v>0</v>
      </c>
      <c r="N55" s="440">
        <v>400</v>
      </c>
      <c r="O55" s="440">
        <v>400</v>
      </c>
      <c r="P55" s="440">
        <v>0</v>
      </c>
      <c r="Q55" s="441">
        <v>400</v>
      </c>
    </row>
    <row r="56" spans="1:19" s="457" customFormat="1" x14ac:dyDescent="0.3">
      <c r="A56" s="446">
        <v>49</v>
      </c>
      <c r="B56" s="450" t="s">
        <v>527</v>
      </c>
      <c r="C56" s="448"/>
      <c r="D56" s="438">
        <v>0</v>
      </c>
      <c r="E56" s="438">
        <v>0</v>
      </c>
      <c r="F56" s="438">
        <v>0</v>
      </c>
      <c r="G56" s="438">
        <v>0</v>
      </c>
      <c r="H56" s="438">
        <v>128.249</v>
      </c>
      <c r="I56" s="438">
        <v>0</v>
      </c>
      <c r="J56" s="439">
        <v>128.249</v>
      </c>
      <c r="K56" s="440">
        <v>0</v>
      </c>
      <c r="L56" s="440">
        <v>0</v>
      </c>
      <c r="M56" s="440">
        <v>0</v>
      </c>
      <c r="N56" s="440">
        <v>150</v>
      </c>
      <c r="O56" s="440">
        <v>150</v>
      </c>
      <c r="P56" s="440">
        <v>0</v>
      </c>
      <c r="Q56" s="441">
        <v>150</v>
      </c>
      <c r="S56" s="449"/>
    </row>
    <row r="57" spans="1:19" s="457" customFormat="1" x14ac:dyDescent="0.3">
      <c r="A57" s="446">
        <v>50</v>
      </c>
      <c r="B57" s="450" t="s">
        <v>528</v>
      </c>
      <c r="C57" s="448"/>
      <c r="D57" s="438">
        <v>0</v>
      </c>
      <c r="E57" s="438">
        <v>0</v>
      </c>
      <c r="F57" s="438">
        <v>0</v>
      </c>
      <c r="G57" s="438">
        <v>0</v>
      </c>
      <c r="H57" s="438">
        <v>203.87299999999999</v>
      </c>
      <c r="I57" s="438">
        <v>0</v>
      </c>
      <c r="J57" s="439">
        <v>203.87299999999999</v>
      </c>
      <c r="K57" s="440">
        <v>0</v>
      </c>
      <c r="L57" s="440">
        <v>0</v>
      </c>
      <c r="M57" s="440">
        <v>0</v>
      </c>
      <c r="N57" s="440">
        <v>250</v>
      </c>
      <c r="O57" s="440">
        <v>250</v>
      </c>
      <c r="P57" s="440">
        <v>0</v>
      </c>
      <c r="Q57" s="441">
        <v>250</v>
      </c>
      <c r="S57" s="449"/>
    </row>
    <row r="58" spans="1:19" s="457" customFormat="1" x14ac:dyDescent="0.3">
      <c r="A58" s="446">
        <v>51</v>
      </c>
      <c r="B58" s="450" t="s">
        <v>529</v>
      </c>
      <c r="C58" s="469"/>
      <c r="D58" s="438">
        <v>0</v>
      </c>
      <c r="E58" s="438">
        <v>0</v>
      </c>
      <c r="F58" s="438">
        <v>0</v>
      </c>
      <c r="G58" s="438">
        <v>0</v>
      </c>
      <c r="H58" s="438">
        <v>0</v>
      </c>
      <c r="I58" s="438">
        <v>0</v>
      </c>
      <c r="J58" s="439">
        <v>0</v>
      </c>
      <c r="K58" s="440">
        <v>0</v>
      </c>
      <c r="L58" s="440">
        <v>0</v>
      </c>
      <c r="M58" s="440">
        <v>0</v>
      </c>
      <c r="N58" s="440">
        <v>0</v>
      </c>
      <c r="O58" s="440">
        <v>0</v>
      </c>
      <c r="P58" s="440">
        <v>0</v>
      </c>
      <c r="Q58" s="441">
        <v>0</v>
      </c>
      <c r="S58" s="449"/>
    </row>
    <row r="59" spans="1:19" ht="28.8" x14ac:dyDescent="0.3">
      <c r="A59" s="435">
        <v>52</v>
      </c>
      <c r="B59" s="436" t="s">
        <v>530</v>
      </c>
      <c r="C59" s="437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9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9" s="465" customFormat="1" ht="28.8" x14ac:dyDescent="0.3">
      <c r="A60" s="452">
        <v>53</v>
      </c>
      <c r="B60" s="453" t="s">
        <v>531</v>
      </c>
      <c r="C60" s="454">
        <v>0</v>
      </c>
      <c r="D60" s="454">
        <v>0</v>
      </c>
      <c r="E60" s="454">
        <v>0</v>
      </c>
      <c r="F60" s="454">
        <v>0</v>
      </c>
      <c r="G60" s="454">
        <v>0</v>
      </c>
      <c r="H60" s="454">
        <v>332.12199999999996</v>
      </c>
      <c r="I60" s="454">
        <v>0</v>
      </c>
      <c r="J60" s="454">
        <v>332.12199999999996</v>
      </c>
      <c r="K60" s="454">
        <v>0</v>
      </c>
      <c r="L60" s="454">
        <v>0</v>
      </c>
      <c r="M60" s="454">
        <v>0</v>
      </c>
      <c r="N60" s="454">
        <v>400</v>
      </c>
      <c r="O60" s="454">
        <v>400</v>
      </c>
      <c r="P60" s="454">
        <v>0</v>
      </c>
      <c r="Q60" s="454">
        <v>400</v>
      </c>
      <c r="S60" s="422"/>
    </row>
    <row r="61" spans="1:19" s="465" customFormat="1" x14ac:dyDescent="0.3">
      <c r="A61" s="466">
        <v>54</v>
      </c>
      <c r="B61" s="467" t="s">
        <v>532</v>
      </c>
      <c r="C61" s="470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9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  <c r="S61" s="422"/>
    </row>
    <row r="62" spans="1:19" ht="28.8" x14ac:dyDescent="0.3">
      <c r="A62" s="435">
        <v>55</v>
      </c>
      <c r="B62" s="436" t="s">
        <v>533</v>
      </c>
      <c r="C62" s="437"/>
      <c r="D62" s="438">
        <v>280.10700000000003</v>
      </c>
      <c r="E62" s="438">
        <v>0</v>
      </c>
      <c r="F62" s="438">
        <v>0</v>
      </c>
      <c r="G62" s="438">
        <v>0</v>
      </c>
      <c r="H62" s="438">
        <v>2407.5880000000002</v>
      </c>
      <c r="I62" s="438">
        <v>0</v>
      </c>
      <c r="J62" s="439">
        <v>2687.6950000000002</v>
      </c>
      <c r="K62" s="440">
        <v>0</v>
      </c>
      <c r="L62" s="440">
        <v>0</v>
      </c>
      <c r="M62" s="440">
        <v>0</v>
      </c>
      <c r="N62" s="440">
        <v>0</v>
      </c>
      <c r="O62" s="440">
        <v>0</v>
      </c>
      <c r="P62" s="440">
        <v>0</v>
      </c>
      <c r="Q62" s="441">
        <v>0</v>
      </c>
    </row>
    <row r="63" spans="1:19" x14ac:dyDescent="0.3">
      <c r="A63" s="435">
        <v>56</v>
      </c>
      <c r="B63" s="436" t="s">
        <v>534</v>
      </c>
      <c r="C63" s="437">
        <v>0</v>
      </c>
      <c r="D63" s="438">
        <v>0</v>
      </c>
      <c r="E63" s="438">
        <v>0</v>
      </c>
      <c r="F63" s="438">
        <v>0</v>
      </c>
      <c r="G63" s="438">
        <v>0</v>
      </c>
      <c r="H63" s="438">
        <v>185517.524</v>
      </c>
      <c r="I63" s="438">
        <v>0</v>
      </c>
      <c r="J63" s="439">
        <v>185517.524</v>
      </c>
      <c r="K63" s="440">
        <v>0</v>
      </c>
      <c r="L63" s="440">
        <v>0</v>
      </c>
      <c r="M63" s="440">
        <v>0</v>
      </c>
      <c r="N63" s="440">
        <v>1453.2360000000001</v>
      </c>
      <c r="O63" s="440">
        <v>1453.2360000000001</v>
      </c>
      <c r="P63" s="440">
        <v>0</v>
      </c>
      <c r="Q63" s="441">
        <v>1453.2360000000001</v>
      </c>
    </row>
    <row r="64" spans="1:19" s="457" customFormat="1" ht="28.8" x14ac:dyDescent="0.3">
      <c r="A64" s="446">
        <v>57</v>
      </c>
      <c r="B64" s="450" t="s">
        <v>535</v>
      </c>
      <c r="C64" s="448"/>
      <c r="D64" s="438">
        <v>0</v>
      </c>
      <c r="E64" s="438">
        <v>0</v>
      </c>
      <c r="F64" s="438">
        <v>0</v>
      </c>
      <c r="G64" s="438">
        <v>0</v>
      </c>
      <c r="H64" s="438">
        <v>8801.6620000000003</v>
      </c>
      <c r="I64" s="438">
        <v>0</v>
      </c>
      <c r="J64" s="439">
        <v>8801.6620000000003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  <c r="S64" s="449"/>
    </row>
    <row r="65" spans="1:19" s="455" customFormat="1" ht="28.8" x14ac:dyDescent="0.3">
      <c r="A65" s="461">
        <v>58</v>
      </c>
      <c r="B65" s="471" t="s">
        <v>536</v>
      </c>
      <c r="C65" s="462"/>
      <c r="D65" s="438">
        <v>0</v>
      </c>
      <c r="E65" s="438">
        <v>0</v>
      </c>
      <c r="F65" s="438">
        <v>0</v>
      </c>
      <c r="G65" s="438">
        <v>0</v>
      </c>
      <c r="H65" s="438">
        <v>176715.86199999999</v>
      </c>
      <c r="I65" s="438">
        <v>0</v>
      </c>
      <c r="J65" s="439">
        <v>176715.86199999999</v>
      </c>
      <c r="K65" s="440">
        <v>0</v>
      </c>
      <c r="L65" s="440">
        <v>0</v>
      </c>
      <c r="M65" s="440">
        <v>0</v>
      </c>
      <c r="N65" s="440">
        <v>1453.2360000000001</v>
      </c>
      <c r="O65" s="440">
        <v>1453.2360000000001</v>
      </c>
      <c r="P65" s="440">
        <v>0</v>
      </c>
      <c r="Q65" s="441">
        <v>1453.2360000000001</v>
      </c>
      <c r="S65" s="463"/>
    </row>
    <row r="66" spans="1:19" x14ac:dyDescent="0.3">
      <c r="A66" s="452">
        <v>59</v>
      </c>
      <c r="B66" s="472" t="s">
        <v>537</v>
      </c>
      <c r="C66" s="473">
        <v>0</v>
      </c>
      <c r="D66" s="473">
        <v>280.10700000000003</v>
      </c>
      <c r="E66" s="473">
        <v>0</v>
      </c>
      <c r="F66" s="473">
        <v>0</v>
      </c>
      <c r="G66" s="473">
        <v>0</v>
      </c>
      <c r="H66" s="473">
        <v>188257.234</v>
      </c>
      <c r="I66" s="473">
        <v>0</v>
      </c>
      <c r="J66" s="473">
        <v>188537.34100000001</v>
      </c>
      <c r="K66" s="473">
        <v>0</v>
      </c>
      <c r="L66" s="473">
        <v>0</v>
      </c>
      <c r="M66" s="473">
        <v>0</v>
      </c>
      <c r="N66" s="473">
        <v>1853.2360000000001</v>
      </c>
      <c r="O66" s="473">
        <v>1853.2360000000001</v>
      </c>
      <c r="P66" s="473">
        <v>0</v>
      </c>
      <c r="Q66" s="473">
        <v>1853.2360000000001</v>
      </c>
    </row>
    <row r="67" spans="1:19" s="465" customFormat="1" x14ac:dyDescent="0.3">
      <c r="A67" s="452">
        <v>60</v>
      </c>
      <c r="B67" s="453" t="s">
        <v>538</v>
      </c>
      <c r="C67" s="473"/>
      <c r="D67" s="473">
        <v>0</v>
      </c>
      <c r="E67" s="473">
        <v>0</v>
      </c>
      <c r="F67" s="473">
        <v>0</v>
      </c>
      <c r="G67" s="473">
        <v>0</v>
      </c>
      <c r="H67" s="473">
        <v>0</v>
      </c>
      <c r="I67" s="473">
        <v>0</v>
      </c>
      <c r="J67" s="473"/>
      <c r="K67" s="473">
        <v>0</v>
      </c>
      <c r="L67" s="473">
        <v>0</v>
      </c>
      <c r="M67" s="473">
        <v>0</v>
      </c>
      <c r="N67" s="473">
        <v>0</v>
      </c>
      <c r="O67" s="473">
        <v>0</v>
      </c>
      <c r="P67" s="473">
        <v>0</v>
      </c>
      <c r="Q67" s="473">
        <v>0</v>
      </c>
      <c r="S67" s="422"/>
    </row>
    <row r="68" spans="1:19" x14ac:dyDescent="0.3">
      <c r="A68" s="452">
        <v>61</v>
      </c>
      <c r="B68" s="453" t="s">
        <v>539</v>
      </c>
      <c r="C68" s="473">
        <v>0</v>
      </c>
      <c r="D68" s="473">
        <v>4863.88</v>
      </c>
      <c r="E68" s="473">
        <v>2411.578</v>
      </c>
      <c r="F68" s="473">
        <v>104.59699999999999</v>
      </c>
      <c r="G68" s="473">
        <v>68.471000000000004</v>
      </c>
      <c r="H68" s="473">
        <v>433085.62800000003</v>
      </c>
      <c r="I68" s="473">
        <v>1.409</v>
      </c>
      <c r="J68" s="473">
        <v>440535.56299999997</v>
      </c>
      <c r="K68" s="473">
        <v>6483.1798200000003</v>
      </c>
      <c r="L68" s="473">
        <v>694.11977000000002</v>
      </c>
      <c r="M68" s="473">
        <v>250</v>
      </c>
      <c r="N68" s="473">
        <v>146817.33500000002</v>
      </c>
      <c r="O68" s="473">
        <v>147511.45477000001</v>
      </c>
      <c r="P68" s="473">
        <v>0</v>
      </c>
      <c r="Q68" s="473">
        <v>154244.63459000003</v>
      </c>
    </row>
    <row r="69" spans="1:19" x14ac:dyDescent="0.3">
      <c r="A69" s="435">
        <v>62</v>
      </c>
      <c r="B69" s="436" t="s">
        <v>540</v>
      </c>
      <c r="C69" s="437">
        <v>0</v>
      </c>
      <c r="D69" s="438">
        <v>0</v>
      </c>
      <c r="E69" s="438">
        <v>0</v>
      </c>
      <c r="F69" s="438">
        <v>0</v>
      </c>
      <c r="G69" s="438">
        <v>0</v>
      </c>
      <c r="H69" s="438">
        <v>251305.24900000001</v>
      </c>
      <c r="I69" s="438">
        <v>0</v>
      </c>
      <c r="J69" s="439">
        <v>251305.24900000001</v>
      </c>
      <c r="K69" s="440">
        <v>0</v>
      </c>
      <c r="L69" s="440">
        <v>0</v>
      </c>
      <c r="M69" s="440">
        <v>0</v>
      </c>
      <c r="N69" s="440">
        <v>118553.02799999999</v>
      </c>
      <c r="O69" s="440">
        <v>118553.02799999999</v>
      </c>
      <c r="P69" s="440">
        <v>0</v>
      </c>
      <c r="Q69" s="441">
        <v>118553.02799999999</v>
      </c>
    </row>
    <row r="70" spans="1:19" s="457" customFormat="1" x14ac:dyDescent="0.3">
      <c r="A70" s="446">
        <v>63</v>
      </c>
      <c r="B70" s="450" t="s">
        <v>541</v>
      </c>
      <c r="C70" s="448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9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  <c r="S70" s="449"/>
    </row>
    <row r="71" spans="1:19" s="457" customFormat="1" x14ac:dyDescent="0.3">
      <c r="A71" s="446">
        <v>64</v>
      </c>
      <c r="B71" s="474" t="s">
        <v>542</v>
      </c>
      <c r="C71" s="448"/>
      <c r="D71" s="438">
        <v>0</v>
      </c>
      <c r="E71" s="438">
        <v>0</v>
      </c>
      <c r="F71" s="438">
        <v>0</v>
      </c>
      <c r="G71" s="438">
        <v>0</v>
      </c>
      <c r="H71" s="438">
        <v>13012.044</v>
      </c>
      <c r="I71" s="438">
        <v>0</v>
      </c>
      <c r="J71" s="439">
        <v>13012.044</v>
      </c>
      <c r="K71" s="440">
        <v>0</v>
      </c>
      <c r="L71" s="440">
        <v>0</v>
      </c>
      <c r="M71" s="440">
        <v>0</v>
      </c>
      <c r="N71" s="440">
        <v>0</v>
      </c>
      <c r="O71" s="440">
        <v>0</v>
      </c>
      <c r="P71" s="440">
        <v>0</v>
      </c>
      <c r="Q71" s="441">
        <v>0</v>
      </c>
      <c r="S71" s="449"/>
    </row>
    <row r="72" spans="1:19" s="457" customFormat="1" x14ac:dyDescent="0.3">
      <c r="A72" s="446">
        <v>65</v>
      </c>
      <c r="B72" s="475" t="s">
        <v>543</v>
      </c>
      <c r="C72" s="448"/>
      <c r="D72" s="438">
        <v>0</v>
      </c>
      <c r="E72" s="438">
        <v>0</v>
      </c>
      <c r="F72" s="438">
        <v>0</v>
      </c>
      <c r="G72" s="438">
        <v>0</v>
      </c>
      <c r="H72" s="438">
        <v>41621.620999999999</v>
      </c>
      <c r="I72" s="438">
        <v>0</v>
      </c>
      <c r="J72" s="439">
        <v>41621.620999999999</v>
      </c>
      <c r="K72" s="440">
        <v>0</v>
      </c>
      <c r="L72" s="440">
        <v>0</v>
      </c>
      <c r="M72" s="440">
        <v>0</v>
      </c>
      <c r="N72" s="440">
        <v>0</v>
      </c>
      <c r="O72" s="440">
        <v>0</v>
      </c>
      <c r="P72" s="440">
        <v>0</v>
      </c>
      <c r="Q72" s="441">
        <v>0</v>
      </c>
      <c r="S72" s="449"/>
    </row>
    <row r="73" spans="1:19" s="457" customFormat="1" x14ac:dyDescent="0.3">
      <c r="A73" s="446">
        <v>66</v>
      </c>
      <c r="B73" s="450" t="s">
        <v>149</v>
      </c>
      <c r="C73" s="448"/>
      <c r="D73" s="438">
        <v>0</v>
      </c>
      <c r="E73" s="438">
        <v>0</v>
      </c>
      <c r="F73" s="438">
        <v>0</v>
      </c>
      <c r="G73" s="438">
        <v>0</v>
      </c>
      <c r="H73" s="438">
        <v>0</v>
      </c>
      <c r="I73" s="438">
        <v>0</v>
      </c>
      <c r="J73" s="439">
        <v>0</v>
      </c>
      <c r="K73" s="440">
        <v>0</v>
      </c>
      <c r="L73" s="440">
        <v>0</v>
      </c>
      <c r="M73" s="440">
        <v>0</v>
      </c>
      <c r="N73" s="440">
        <v>0</v>
      </c>
      <c r="O73" s="440">
        <v>0</v>
      </c>
      <c r="P73" s="440">
        <v>0</v>
      </c>
      <c r="Q73" s="441">
        <v>0</v>
      </c>
      <c r="S73" s="449"/>
    </row>
    <row r="74" spans="1:19" s="457" customFormat="1" x14ac:dyDescent="0.3">
      <c r="A74" s="446">
        <v>67</v>
      </c>
      <c r="B74" s="460" t="s">
        <v>544</v>
      </c>
      <c r="C74" s="448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9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  <c r="S74" s="449"/>
    </row>
    <row r="75" spans="1:19" s="457" customFormat="1" x14ac:dyDescent="0.3">
      <c r="A75" s="446">
        <v>68</v>
      </c>
      <c r="B75" s="460" t="s">
        <v>545</v>
      </c>
      <c r="C75" s="448"/>
      <c r="D75" s="438">
        <v>0</v>
      </c>
      <c r="E75" s="438">
        <v>0</v>
      </c>
      <c r="F75" s="438">
        <v>0</v>
      </c>
      <c r="G75" s="438">
        <v>0</v>
      </c>
      <c r="H75" s="438">
        <v>0</v>
      </c>
      <c r="I75" s="438">
        <v>0</v>
      </c>
      <c r="J75" s="439">
        <v>0</v>
      </c>
      <c r="K75" s="440">
        <v>0</v>
      </c>
      <c r="L75" s="440">
        <v>0</v>
      </c>
      <c r="M75" s="440">
        <v>0</v>
      </c>
      <c r="N75" s="440">
        <v>0</v>
      </c>
      <c r="O75" s="440">
        <v>0</v>
      </c>
      <c r="P75" s="440">
        <v>0</v>
      </c>
      <c r="Q75" s="441">
        <v>0</v>
      </c>
      <c r="S75" s="449"/>
    </row>
    <row r="76" spans="1:19" s="457" customFormat="1" ht="28.8" x14ac:dyDescent="0.3">
      <c r="A76" s="446">
        <v>69</v>
      </c>
      <c r="B76" s="450" t="s">
        <v>546</v>
      </c>
      <c r="C76" s="448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9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  <c r="S76" s="449"/>
    </row>
    <row r="77" spans="1:19" s="457" customFormat="1" ht="43.2" x14ac:dyDescent="0.3">
      <c r="A77" s="446">
        <v>70</v>
      </c>
      <c r="B77" s="450" t="s">
        <v>547</v>
      </c>
      <c r="C77" s="448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9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  <c r="S77" s="449"/>
    </row>
    <row r="78" spans="1:19" s="457" customFormat="1" x14ac:dyDescent="0.3">
      <c r="A78" s="446">
        <v>71</v>
      </c>
      <c r="B78" s="450" t="s">
        <v>548</v>
      </c>
      <c r="C78" s="448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9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  <c r="S78" s="449"/>
    </row>
    <row r="79" spans="1:19" s="457" customFormat="1" x14ac:dyDescent="0.3">
      <c r="A79" s="446">
        <v>72</v>
      </c>
      <c r="B79" s="476" t="s">
        <v>549</v>
      </c>
      <c r="C79" s="448"/>
      <c r="D79" s="438">
        <v>0</v>
      </c>
      <c r="E79" s="438">
        <v>0</v>
      </c>
      <c r="F79" s="438">
        <v>0</v>
      </c>
      <c r="G79" s="438">
        <v>0</v>
      </c>
      <c r="H79" s="438">
        <v>14095.507</v>
      </c>
      <c r="I79" s="438">
        <v>0</v>
      </c>
      <c r="J79" s="439">
        <v>14095.507</v>
      </c>
      <c r="K79" s="440">
        <v>0</v>
      </c>
      <c r="L79" s="440">
        <v>0</v>
      </c>
      <c r="M79" s="440">
        <v>0</v>
      </c>
      <c r="N79" s="440">
        <v>16651.099000000002</v>
      </c>
      <c r="O79" s="440">
        <v>16651.099000000002</v>
      </c>
      <c r="P79" s="440">
        <v>0</v>
      </c>
      <c r="Q79" s="441">
        <v>16651.099000000002</v>
      </c>
      <c r="S79" s="449"/>
    </row>
    <row r="80" spans="1:19" s="457" customFormat="1" x14ac:dyDescent="0.3">
      <c r="A80" s="446">
        <v>73</v>
      </c>
      <c r="B80" s="450" t="s">
        <v>550</v>
      </c>
      <c r="C80" s="448"/>
      <c r="D80" s="438">
        <v>0</v>
      </c>
      <c r="E80" s="438">
        <v>0</v>
      </c>
      <c r="F80" s="438">
        <v>0</v>
      </c>
      <c r="G80" s="438">
        <v>0</v>
      </c>
      <c r="H80" s="438">
        <v>0</v>
      </c>
      <c r="I80" s="438">
        <v>0</v>
      </c>
      <c r="J80" s="439">
        <v>0</v>
      </c>
      <c r="K80" s="440">
        <v>0</v>
      </c>
      <c r="L80" s="440">
        <v>0</v>
      </c>
      <c r="M80" s="440">
        <v>0</v>
      </c>
      <c r="N80" s="440">
        <v>0</v>
      </c>
      <c r="O80" s="440">
        <v>0</v>
      </c>
      <c r="P80" s="440">
        <v>0</v>
      </c>
      <c r="Q80" s="441">
        <v>0</v>
      </c>
      <c r="S80" s="449"/>
    </row>
    <row r="81" spans="1:19" s="457" customFormat="1" x14ac:dyDescent="0.3">
      <c r="A81" s="446">
        <v>74</v>
      </c>
      <c r="B81" s="450" t="s">
        <v>551</v>
      </c>
      <c r="C81" s="448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9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  <c r="S81" s="449"/>
    </row>
    <row r="82" spans="1:19" s="457" customFormat="1" x14ac:dyDescent="0.3">
      <c r="A82" s="446">
        <v>75</v>
      </c>
      <c r="B82" s="450" t="s">
        <v>241</v>
      </c>
      <c r="C82" s="448"/>
      <c r="D82" s="438">
        <v>0</v>
      </c>
      <c r="E82" s="438">
        <v>0</v>
      </c>
      <c r="F82" s="438">
        <v>0</v>
      </c>
      <c r="G82" s="438">
        <v>0</v>
      </c>
      <c r="H82" s="438">
        <v>0</v>
      </c>
      <c r="I82" s="438">
        <v>0</v>
      </c>
      <c r="J82" s="439">
        <v>0</v>
      </c>
      <c r="K82" s="440">
        <v>0</v>
      </c>
      <c r="L82" s="440">
        <v>0</v>
      </c>
      <c r="M82" s="440">
        <v>0</v>
      </c>
      <c r="N82" s="440">
        <v>0</v>
      </c>
      <c r="O82" s="440">
        <v>0</v>
      </c>
      <c r="P82" s="440">
        <v>0</v>
      </c>
      <c r="Q82" s="441">
        <v>0</v>
      </c>
      <c r="S82" s="449"/>
    </row>
    <row r="83" spans="1:19" s="457" customFormat="1" x14ac:dyDescent="0.3">
      <c r="A83" s="446">
        <v>76</v>
      </c>
      <c r="B83" s="450" t="s">
        <v>552</v>
      </c>
      <c r="C83" s="448"/>
      <c r="D83" s="438">
        <v>0</v>
      </c>
      <c r="E83" s="438">
        <v>0</v>
      </c>
      <c r="F83" s="438">
        <v>0</v>
      </c>
      <c r="G83" s="438">
        <v>0</v>
      </c>
      <c r="H83" s="438">
        <v>175850.42499999999</v>
      </c>
      <c r="I83" s="438">
        <v>0</v>
      </c>
      <c r="J83" s="439">
        <v>175850.42499999999</v>
      </c>
      <c r="K83" s="440">
        <v>0</v>
      </c>
      <c r="L83" s="440">
        <v>0</v>
      </c>
      <c r="M83" s="440">
        <v>0</v>
      </c>
      <c r="N83" s="440">
        <v>7.7649999999999997</v>
      </c>
      <c r="O83" s="440">
        <v>7.7649999999999997</v>
      </c>
      <c r="P83" s="440">
        <v>0</v>
      </c>
      <c r="Q83" s="441">
        <v>7.7649999999999997</v>
      </c>
      <c r="S83" s="449"/>
    </row>
    <row r="84" spans="1:19" s="457" customFormat="1" x14ac:dyDescent="0.3">
      <c r="A84" s="446">
        <v>77</v>
      </c>
      <c r="B84" s="450" t="s">
        <v>462</v>
      </c>
      <c r="C84" s="448"/>
      <c r="D84" s="438">
        <v>0</v>
      </c>
      <c r="E84" s="438">
        <v>0</v>
      </c>
      <c r="F84" s="438">
        <v>0</v>
      </c>
      <c r="G84" s="438">
        <v>0</v>
      </c>
      <c r="H84" s="438">
        <v>150.25200000000001</v>
      </c>
      <c r="I84" s="438">
        <v>0</v>
      </c>
      <c r="J84" s="439">
        <v>150.25200000000001</v>
      </c>
      <c r="K84" s="440">
        <v>0</v>
      </c>
      <c r="L84" s="440">
        <v>0</v>
      </c>
      <c r="M84" s="440">
        <v>0</v>
      </c>
      <c r="N84" s="440">
        <v>51035.883999999998</v>
      </c>
      <c r="O84" s="440">
        <v>51035.883999999998</v>
      </c>
      <c r="P84" s="440">
        <v>0</v>
      </c>
      <c r="Q84" s="441">
        <v>51035.883999999998</v>
      </c>
      <c r="S84" s="449"/>
    </row>
    <row r="85" spans="1:19" s="457" customFormat="1" x14ac:dyDescent="0.3">
      <c r="A85" s="446">
        <v>78</v>
      </c>
      <c r="B85" s="450" t="s">
        <v>463</v>
      </c>
      <c r="C85" s="448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9">
        <v>0</v>
      </c>
      <c r="K85" s="440">
        <v>0</v>
      </c>
      <c r="L85" s="440">
        <v>0</v>
      </c>
      <c r="M85" s="440">
        <v>0</v>
      </c>
      <c r="N85" s="440">
        <v>33648</v>
      </c>
      <c r="O85" s="440">
        <v>33648</v>
      </c>
      <c r="P85" s="440">
        <v>0</v>
      </c>
      <c r="Q85" s="441">
        <v>33648</v>
      </c>
      <c r="S85" s="449"/>
    </row>
    <row r="86" spans="1:19" s="457" customFormat="1" x14ac:dyDescent="0.3">
      <c r="A86" s="446">
        <v>79</v>
      </c>
      <c r="B86" s="450" t="s">
        <v>464</v>
      </c>
      <c r="C86" s="448"/>
      <c r="D86" s="438">
        <v>0</v>
      </c>
      <c r="E86" s="438">
        <v>0</v>
      </c>
      <c r="F86" s="438">
        <v>0</v>
      </c>
      <c r="G86" s="438">
        <v>0</v>
      </c>
      <c r="H86" s="438">
        <v>0</v>
      </c>
      <c r="I86" s="438">
        <v>0</v>
      </c>
      <c r="J86" s="439">
        <v>0</v>
      </c>
      <c r="K86" s="440">
        <v>0</v>
      </c>
      <c r="L86" s="440">
        <v>0</v>
      </c>
      <c r="M86" s="440">
        <v>0</v>
      </c>
      <c r="N86" s="440">
        <v>5400</v>
      </c>
      <c r="O86" s="440">
        <v>5400</v>
      </c>
      <c r="P86" s="440">
        <v>0</v>
      </c>
      <c r="Q86" s="441">
        <v>5400</v>
      </c>
      <c r="S86" s="449"/>
    </row>
    <row r="87" spans="1:19" s="457" customFormat="1" x14ac:dyDescent="0.3">
      <c r="A87" s="446">
        <v>80</v>
      </c>
      <c r="B87" s="450" t="s">
        <v>465</v>
      </c>
      <c r="C87" s="448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9">
        <v>0</v>
      </c>
      <c r="K87" s="440">
        <v>0</v>
      </c>
      <c r="L87" s="440">
        <v>0</v>
      </c>
      <c r="M87" s="440">
        <v>0</v>
      </c>
      <c r="N87" s="440">
        <v>8160</v>
      </c>
      <c r="O87" s="440">
        <v>8160</v>
      </c>
      <c r="P87" s="440">
        <v>0</v>
      </c>
      <c r="Q87" s="441">
        <v>8160</v>
      </c>
      <c r="S87" s="449"/>
    </row>
    <row r="88" spans="1:19" s="457" customFormat="1" x14ac:dyDescent="0.3">
      <c r="A88" s="446">
        <v>81</v>
      </c>
      <c r="B88" s="450" t="s">
        <v>467</v>
      </c>
      <c r="C88" s="448"/>
      <c r="D88" s="438">
        <v>0</v>
      </c>
      <c r="E88" s="438">
        <v>0</v>
      </c>
      <c r="F88" s="438">
        <v>0</v>
      </c>
      <c r="G88" s="438">
        <v>0</v>
      </c>
      <c r="H88" s="438">
        <v>123.9</v>
      </c>
      <c r="I88" s="438">
        <v>0</v>
      </c>
      <c r="J88" s="439">
        <v>123.9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  <c r="S88" s="449"/>
    </row>
    <row r="89" spans="1:19" s="457" customFormat="1" x14ac:dyDescent="0.3">
      <c r="A89" s="446">
        <v>82</v>
      </c>
      <c r="B89" s="450" t="s">
        <v>468</v>
      </c>
      <c r="C89" s="448"/>
      <c r="D89" s="438">
        <v>0</v>
      </c>
      <c r="E89" s="438">
        <v>0</v>
      </c>
      <c r="F89" s="438">
        <v>0</v>
      </c>
      <c r="G89" s="438">
        <v>0</v>
      </c>
      <c r="H89" s="438">
        <v>104</v>
      </c>
      <c r="I89" s="438">
        <v>0</v>
      </c>
      <c r="J89" s="439">
        <v>104</v>
      </c>
      <c r="K89" s="440">
        <v>0</v>
      </c>
      <c r="L89" s="440">
        <v>0</v>
      </c>
      <c r="M89" s="440">
        <v>0</v>
      </c>
      <c r="N89" s="440">
        <v>0</v>
      </c>
      <c r="O89" s="440">
        <v>0</v>
      </c>
      <c r="P89" s="440">
        <v>0</v>
      </c>
      <c r="Q89" s="441">
        <v>0</v>
      </c>
      <c r="S89" s="449"/>
    </row>
    <row r="90" spans="1:19" s="457" customFormat="1" x14ac:dyDescent="0.3">
      <c r="A90" s="446">
        <v>83</v>
      </c>
      <c r="B90" s="450" t="s">
        <v>469</v>
      </c>
      <c r="C90" s="448"/>
      <c r="D90" s="438">
        <v>0</v>
      </c>
      <c r="E90" s="438">
        <v>0</v>
      </c>
      <c r="F90" s="438">
        <v>0</v>
      </c>
      <c r="G90" s="438">
        <v>0</v>
      </c>
      <c r="H90" s="438">
        <v>6260</v>
      </c>
      <c r="I90" s="438">
        <v>0</v>
      </c>
      <c r="J90" s="439">
        <v>6260</v>
      </c>
      <c r="K90" s="440">
        <v>0</v>
      </c>
      <c r="L90" s="440">
        <v>0</v>
      </c>
      <c r="M90" s="440">
        <v>0</v>
      </c>
      <c r="N90" s="440">
        <v>0</v>
      </c>
      <c r="O90" s="440">
        <v>0</v>
      </c>
      <c r="P90" s="440">
        <v>0</v>
      </c>
      <c r="Q90" s="441">
        <v>0</v>
      </c>
      <c r="S90" s="449"/>
    </row>
    <row r="91" spans="1:19" s="457" customFormat="1" x14ac:dyDescent="0.3">
      <c r="A91" s="446">
        <v>84</v>
      </c>
      <c r="B91" s="450" t="s">
        <v>470</v>
      </c>
      <c r="C91" s="448"/>
      <c r="D91" s="438">
        <v>0</v>
      </c>
      <c r="E91" s="438">
        <v>0</v>
      </c>
      <c r="F91" s="438">
        <v>0</v>
      </c>
      <c r="G91" s="438">
        <v>0</v>
      </c>
      <c r="H91" s="438">
        <v>87.5</v>
      </c>
      <c r="I91" s="438">
        <v>0</v>
      </c>
      <c r="J91" s="439">
        <v>87.5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  <c r="S91" s="449"/>
    </row>
    <row r="92" spans="1:19" s="457" customFormat="1" x14ac:dyDescent="0.3">
      <c r="A92" s="446">
        <v>85</v>
      </c>
      <c r="B92" s="450" t="s">
        <v>471</v>
      </c>
      <c r="C92" s="448"/>
      <c r="D92" s="438">
        <v>0</v>
      </c>
      <c r="E92" s="438">
        <v>0</v>
      </c>
      <c r="F92" s="438">
        <v>0</v>
      </c>
      <c r="G92" s="438">
        <v>0</v>
      </c>
      <c r="H92" s="438">
        <v>0</v>
      </c>
      <c r="I92" s="438">
        <v>0</v>
      </c>
      <c r="J92" s="439">
        <v>0</v>
      </c>
      <c r="K92" s="440">
        <v>0</v>
      </c>
      <c r="L92" s="440">
        <v>0</v>
      </c>
      <c r="M92" s="440">
        <v>0</v>
      </c>
      <c r="N92" s="440">
        <v>3650.28</v>
      </c>
      <c r="O92" s="440">
        <v>3650.28</v>
      </c>
      <c r="P92" s="440">
        <v>0</v>
      </c>
      <c r="Q92" s="441">
        <v>3650.28</v>
      </c>
      <c r="S92" s="449"/>
    </row>
    <row r="93" spans="1:19" ht="28.8" x14ac:dyDescent="0.3">
      <c r="A93" s="435">
        <v>86</v>
      </c>
      <c r="B93" s="436" t="s">
        <v>553</v>
      </c>
      <c r="C93" s="437"/>
      <c r="D93" s="438">
        <v>79112.615000000005</v>
      </c>
      <c r="E93" s="438">
        <v>20759.187000000002</v>
      </c>
      <c r="F93" s="438">
        <v>16606.030999999999</v>
      </c>
      <c r="G93" s="438">
        <v>4741.4070000000002</v>
      </c>
      <c r="H93" s="438">
        <v>0</v>
      </c>
      <c r="I93" s="438">
        <v>66163.808000000005</v>
      </c>
      <c r="J93" s="439">
        <v>187383.04800000001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9" x14ac:dyDescent="0.3">
      <c r="A94" s="435">
        <v>87</v>
      </c>
      <c r="B94" s="436" t="s">
        <v>554</v>
      </c>
      <c r="C94" s="437"/>
      <c r="D94" s="438">
        <v>0</v>
      </c>
      <c r="E94" s="438">
        <v>0</v>
      </c>
      <c r="F94" s="438">
        <v>0</v>
      </c>
      <c r="G94" s="438">
        <v>0</v>
      </c>
      <c r="H94" s="438">
        <v>0</v>
      </c>
      <c r="I94" s="438">
        <v>0</v>
      </c>
      <c r="J94" s="439">
        <v>0</v>
      </c>
      <c r="K94" s="440">
        <v>0</v>
      </c>
      <c r="L94" s="440">
        <v>0</v>
      </c>
      <c r="M94" s="440">
        <v>0</v>
      </c>
      <c r="N94" s="440">
        <v>0</v>
      </c>
      <c r="O94" s="440">
        <v>0</v>
      </c>
      <c r="P94" s="440">
        <v>0</v>
      </c>
      <c r="Q94" s="441">
        <v>0</v>
      </c>
    </row>
    <row r="95" spans="1:19" s="465" customFormat="1" x14ac:dyDescent="0.3">
      <c r="A95" s="452">
        <v>88</v>
      </c>
      <c r="B95" s="453" t="s">
        <v>555</v>
      </c>
      <c r="C95" s="473">
        <v>0</v>
      </c>
      <c r="D95" s="473">
        <v>79112.615000000005</v>
      </c>
      <c r="E95" s="473">
        <v>20759.187000000002</v>
      </c>
      <c r="F95" s="473">
        <v>16606.030999999999</v>
      </c>
      <c r="G95" s="473">
        <v>4741.4070000000002</v>
      </c>
      <c r="H95" s="473">
        <v>251305.24900000001</v>
      </c>
      <c r="I95" s="473">
        <v>66163.808000000005</v>
      </c>
      <c r="J95" s="473">
        <v>438688.29700000002</v>
      </c>
      <c r="K95" s="473">
        <v>0</v>
      </c>
      <c r="L95" s="473">
        <v>0</v>
      </c>
      <c r="M95" s="473">
        <v>0</v>
      </c>
      <c r="N95" s="473">
        <v>118553.02799999999</v>
      </c>
      <c r="O95" s="473">
        <v>118553.02799999999</v>
      </c>
      <c r="P95" s="473">
        <v>0</v>
      </c>
      <c r="Q95" s="473">
        <v>118553.02799999999</v>
      </c>
      <c r="S95" s="422"/>
    </row>
    <row r="96" spans="1:19" s="465" customFormat="1" x14ac:dyDescent="0.3">
      <c r="A96" s="452">
        <v>89</v>
      </c>
      <c r="B96" s="453" t="s">
        <v>556</v>
      </c>
      <c r="C96" s="473">
        <v>0</v>
      </c>
      <c r="D96" s="473">
        <v>83976.49500000001</v>
      </c>
      <c r="E96" s="473">
        <v>23170.765000000003</v>
      </c>
      <c r="F96" s="473">
        <v>16710.628000000001</v>
      </c>
      <c r="G96" s="473">
        <v>4809.8780000000006</v>
      </c>
      <c r="H96" s="473">
        <v>684390.87700000009</v>
      </c>
      <c r="I96" s="473">
        <v>66165.217000000004</v>
      </c>
      <c r="J96" s="473">
        <v>879223.86</v>
      </c>
      <c r="K96" s="473">
        <v>6483.1798200000003</v>
      </c>
      <c r="L96" s="473">
        <v>694.11977000000002</v>
      </c>
      <c r="M96" s="473">
        <v>250</v>
      </c>
      <c r="N96" s="473">
        <v>265370.36300000001</v>
      </c>
      <c r="O96" s="473">
        <v>266064.48277</v>
      </c>
      <c r="P96" s="473">
        <v>0</v>
      </c>
      <c r="Q96" s="473">
        <v>272797.66258999996</v>
      </c>
      <c r="S96" s="422"/>
    </row>
    <row r="97" spans="1:19" s="465" customFormat="1" x14ac:dyDescent="0.3">
      <c r="A97" s="452">
        <v>90</v>
      </c>
      <c r="B97" s="453" t="s">
        <v>557</v>
      </c>
      <c r="C97" s="473"/>
      <c r="D97" s="473">
        <v>0</v>
      </c>
      <c r="E97" s="473">
        <v>0</v>
      </c>
      <c r="F97" s="473">
        <v>0</v>
      </c>
      <c r="G97" s="473">
        <v>0</v>
      </c>
      <c r="H97" s="473">
        <v>0</v>
      </c>
      <c r="I97" s="473">
        <v>0</v>
      </c>
      <c r="J97" s="473"/>
      <c r="K97" s="473">
        <v>0</v>
      </c>
      <c r="L97" s="473">
        <v>0</v>
      </c>
      <c r="M97" s="473">
        <v>0</v>
      </c>
      <c r="N97" s="473">
        <v>0</v>
      </c>
      <c r="O97" s="473">
        <v>0</v>
      </c>
      <c r="P97" s="473">
        <v>0</v>
      </c>
      <c r="Q97" s="473">
        <v>0</v>
      </c>
      <c r="S97" s="422"/>
    </row>
    <row r="98" spans="1:19" x14ac:dyDescent="0.3">
      <c r="A98" s="435">
        <v>91</v>
      </c>
      <c r="B98" s="436" t="s">
        <v>558</v>
      </c>
      <c r="C98" s="437"/>
      <c r="D98" s="438">
        <v>0</v>
      </c>
      <c r="E98" s="438">
        <v>0</v>
      </c>
      <c r="F98" s="438">
        <v>0</v>
      </c>
      <c r="G98" s="438">
        <v>0</v>
      </c>
      <c r="H98" s="438">
        <v>77127.762000000002</v>
      </c>
      <c r="I98" s="438">
        <v>0</v>
      </c>
      <c r="J98" s="439">
        <v>77127.762000000002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9" x14ac:dyDescent="0.3">
      <c r="A99" s="435">
        <v>92</v>
      </c>
      <c r="B99" s="436" t="s">
        <v>559</v>
      </c>
      <c r="C99" s="437"/>
      <c r="D99" s="438">
        <v>0</v>
      </c>
      <c r="E99" s="438">
        <v>0</v>
      </c>
      <c r="F99" s="438">
        <v>0</v>
      </c>
      <c r="G99" s="438">
        <v>0</v>
      </c>
      <c r="H99" s="438">
        <v>0</v>
      </c>
      <c r="I99" s="438">
        <v>0</v>
      </c>
      <c r="J99" s="439">
        <v>0</v>
      </c>
      <c r="K99" s="440">
        <v>0</v>
      </c>
      <c r="L99" s="440">
        <v>0</v>
      </c>
      <c r="M99" s="440">
        <v>0</v>
      </c>
      <c r="N99" s="440">
        <v>0</v>
      </c>
      <c r="O99" s="440">
        <v>0</v>
      </c>
      <c r="P99" s="440">
        <v>0</v>
      </c>
      <c r="Q99" s="441">
        <v>0</v>
      </c>
    </row>
    <row r="100" spans="1:19" x14ac:dyDescent="0.3">
      <c r="A100" s="435">
        <v>93</v>
      </c>
      <c r="B100" s="477" t="s">
        <v>560</v>
      </c>
      <c r="C100" s="437"/>
      <c r="D100" s="438">
        <v>0</v>
      </c>
      <c r="E100" s="438">
        <v>0</v>
      </c>
      <c r="F100" s="438">
        <v>0</v>
      </c>
      <c r="G100" s="438">
        <v>0</v>
      </c>
      <c r="H100" s="438">
        <v>58201.942000000003</v>
      </c>
      <c r="I100" s="438">
        <v>0</v>
      </c>
      <c r="J100" s="439">
        <v>58201.942000000003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0</v>
      </c>
      <c r="Q100" s="441">
        <v>0</v>
      </c>
    </row>
    <row r="101" spans="1:19" x14ac:dyDescent="0.3">
      <c r="A101" s="435">
        <v>94</v>
      </c>
      <c r="B101" s="436" t="s">
        <v>561</v>
      </c>
      <c r="C101" s="437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9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9" x14ac:dyDescent="0.3">
      <c r="A102" s="435">
        <v>95</v>
      </c>
      <c r="B102" s="436" t="s">
        <v>562</v>
      </c>
      <c r="C102" s="437"/>
      <c r="D102" s="438">
        <v>0</v>
      </c>
      <c r="E102" s="438">
        <v>0</v>
      </c>
      <c r="F102" s="438">
        <v>0</v>
      </c>
      <c r="G102" s="438">
        <v>0</v>
      </c>
      <c r="H102" s="438">
        <v>0</v>
      </c>
      <c r="I102" s="438">
        <v>0</v>
      </c>
      <c r="J102" s="439">
        <v>0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0</v>
      </c>
      <c r="Q102" s="441">
        <v>0</v>
      </c>
    </row>
    <row r="103" spans="1:19" x14ac:dyDescent="0.3">
      <c r="A103" s="435">
        <v>96</v>
      </c>
      <c r="B103" s="436" t="s">
        <v>563</v>
      </c>
      <c r="C103" s="437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9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9" x14ac:dyDescent="0.3">
      <c r="A104" s="435">
        <v>97</v>
      </c>
      <c r="B104" s="436" t="s">
        <v>564</v>
      </c>
      <c r="C104" s="437"/>
      <c r="D104" s="438">
        <v>0</v>
      </c>
      <c r="E104" s="438">
        <v>0</v>
      </c>
      <c r="F104" s="438">
        <v>0</v>
      </c>
      <c r="G104" s="438">
        <v>0</v>
      </c>
      <c r="H104" s="438">
        <v>0</v>
      </c>
      <c r="I104" s="438">
        <v>0</v>
      </c>
      <c r="J104" s="439">
        <v>0</v>
      </c>
      <c r="K104" s="440">
        <v>0</v>
      </c>
      <c r="L104" s="440">
        <v>0</v>
      </c>
      <c r="M104" s="440">
        <v>0</v>
      </c>
      <c r="N104" s="440">
        <v>0</v>
      </c>
      <c r="O104" s="440">
        <v>0</v>
      </c>
      <c r="P104" s="440">
        <v>0</v>
      </c>
      <c r="Q104" s="441">
        <v>0</v>
      </c>
    </row>
    <row r="105" spans="1:19" x14ac:dyDescent="0.3">
      <c r="A105" s="435">
        <v>98</v>
      </c>
      <c r="B105" s="436" t="s">
        <v>565</v>
      </c>
      <c r="C105" s="437"/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9">
        <v>0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0</v>
      </c>
      <c r="Q105" s="441">
        <v>0</v>
      </c>
    </row>
    <row r="106" spans="1:19" x14ac:dyDescent="0.3">
      <c r="A106" s="435">
        <v>99</v>
      </c>
      <c r="B106" s="436" t="s">
        <v>566</v>
      </c>
      <c r="C106" s="437"/>
      <c r="D106" s="438">
        <v>0</v>
      </c>
      <c r="E106" s="438">
        <v>0</v>
      </c>
      <c r="F106" s="438">
        <v>0</v>
      </c>
      <c r="G106" s="438">
        <v>0</v>
      </c>
      <c r="H106" s="438">
        <v>0</v>
      </c>
      <c r="I106" s="438">
        <v>0</v>
      </c>
      <c r="J106" s="439">
        <v>0</v>
      </c>
      <c r="K106" s="440">
        <v>0</v>
      </c>
      <c r="L106" s="440">
        <v>0</v>
      </c>
      <c r="M106" s="440">
        <v>0</v>
      </c>
      <c r="N106" s="440">
        <v>0</v>
      </c>
      <c r="O106" s="440">
        <v>0</v>
      </c>
      <c r="P106" s="440">
        <v>0</v>
      </c>
      <c r="Q106" s="441">
        <v>0</v>
      </c>
    </row>
    <row r="107" spans="1:19" x14ac:dyDescent="0.3">
      <c r="A107" s="435">
        <v>100</v>
      </c>
      <c r="B107" s="436" t="s">
        <v>567</v>
      </c>
      <c r="C107" s="437"/>
      <c r="D107" s="438">
        <v>0</v>
      </c>
      <c r="E107" s="438">
        <v>0</v>
      </c>
      <c r="F107" s="438">
        <v>0</v>
      </c>
      <c r="G107" s="438">
        <v>0</v>
      </c>
      <c r="H107" s="438">
        <v>633.00199999999984</v>
      </c>
      <c r="I107" s="438">
        <v>0</v>
      </c>
      <c r="J107" s="439">
        <v>633.00199999999984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9" s="465" customFormat="1" x14ac:dyDescent="0.3">
      <c r="A108" s="452">
        <v>101</v>
      </c>
      <c r="B108" s="453" t="s">
        <v>568</v>
      </c>
      <c r="C108" s="473">
        <v>0</v>
      </c>
      <c r="D108" s="473">
        <v>0</v>
      </c>
      <c r="E108" s="473">
        <v>0</v>
      </c>
      <c r="F108" s="473">
        <v>0</v>
      </c>
      <c r="G108" s="473">
        <v>0</v>
      </c>
      <c r="H108" s="473">
        <v>135962.70600000001</v>
      </c>
      <c r="I108" s="473">
        <v>0</v>
      </c>
      <c r="J108" s="473">
        <v>135962.70600000001</v>
      </c>
      <c r="K108" s="473">
        <v>0</v>
      </c>
      <c r="L108" s="473">
        <v>0</v>
      </c>
      <c r="M108" s="473">
        <v>0</v>
      </c>
      <c r="N108" s="473">
        <v>0</v>
      </c>
      <c r="O108" s="473">
        <v>0</v>
      </c>
      <c r="P108" s="473">
        <v>0</v>
      </c>
      <c r="Q108" s="473">
        <v>0</v>
      </c>
      <c r="S108" s="422"/>
    </row>
    <row r="109" spans="1:19" s="465" customFormat="1" x14ac:dyDescent="0.3">
      <c r="A109" s="452">
        <v>102</v>
      </c>
      <c r="B109" s="453" t="s">
        <v>569</v>
      </c>
      <c r="C109" s="473">
        <v>0</v>
      </c>
      <c r="D109" s="473">
        <v>83976.49500000001</v>
      </c>
      <c r="E109" s="473">
        <v>23170.765000000003</v>
      </c>
      <c r="F109" s="473">
        <v>16710.628000000001</v>
      </c>
      <c r="G109" s="473">
        <v>4809.8780000000006</v>
      </c>
      <c r="H109" s="473">
        <v>820353.5830000001</v>
      </c>
      <c r="I109" s="473">
        <v>66165.217000000004</v>
      </c>
      <c r="J109" s="473">
        <v>1015186.566</v>
      </c>
      <c r="K109" s="473">
        <v>6483.1798200000003</v>
      </c>
      <c r="L109" s="473">
        <v>694.11977000000002</v>
      </c>
      <c r="M109" s="473">
        <v>250</v>
      </c>
      <c r="N109" s="473">
        <v>265370.36300000001</v>
      </c>
      <c r="O109" s="473">
        <v>266064.48277</v>
      </c>
      <c r="P109" s="473">
        <v>0</v>
      </c>
      <c r="Q109" s="473">
        <v>272797.66258999996</v>
      </c>
      <c r="R109" s="464"/>
      <c r="S109" s="422"/>
    </row>
    <row r="110" spans="1:19" x14ac:dyDescent="0.3">
      <c r="A110" s="478"/>
      <c r="S110" s="421"/>
    </row>
    <row r="111" spans="1:19" x14ac:dyDescent="0.3">
      <c r="B111"/>
      <c r="S111" s="421"/>
    </row>
    <row r="112" spans="1:19" x14ac:dyDescent="0.3">
      <c r="B112"/>
      <c r="D112" s="479">
        <v>83976.49500000001</v>
      </c>
      <c r="E112" s="479">
        <v>23170.765000000003</v>
      </c>
      <c r="F112" s="479">
        <v>16710.628000000001</v>
      </c>
      <c r="G112" s="479">
        <v>4809.8780000000006</v>
      </c>
      <c r="H112" s="479">
        <v>820353.58299999998</v>
      </c>
      <c r="I112" s="479">
        <v>66165.217000000004</v>
      </c>
      <c r="J112" s="480">
        <v>1015186.5659999999</v>
      </c>
      <c r="K112" s="420">
        <v>6483.1798200000003</v>
      </c>
      <c r="L112" s="481">
        <v>694.11977000000002</v>
      </c>
      <c r="M112" s="481">
        <v>250</v>
      </c>
      <c r="N112" s="481">
        <v>265370.36300000001</v>
      </c>
      <c r="O112" s="481"/>
      <c r="P112" s="420">
        <v>0</v>
      </c>
      <c r="Q112" s="464">
        <v>272797.66258999996</v>
      </c>
      <c r="S112" s="421"/>
    </row>
    <row r="113" spans="2:19" x14ac:dyDescent="0.3">
      <c r="B113" t="s">
        <v>570</v>
      </c>
      <c r="D113" s="479">
        <v>0</v>
      </c>
      <c r="E113" s="479">
        <v>0</v>
      </c>
      <c r="F113" s="479">
        <v>0</v>
      </c>
      <c r="G113" s="479">
        <v>0</v>
      </c>
      <c r="H113" s="479">
        <v>0</v>
      </c>
      <c r="I113" s="479">
        <v>0</v>
      </c>
      <c r="J113" s="479">
        <v>0</v>
      </c>
      <c r="K113" s="479">
        <v>0</v>
      </c>
      <c r="L113" s="479">
        <v>0</v>
      </c>
      <c r="M113" s="479">
        <v>0</v>
      </c>
      <c r="N113" s="479">
        <v>0</v>
      </c>
      <c r="O113" s="479"/>
      <c r="P113" s="479">
        <v>0</v>
      </c>
      <c r="Q113" s="479">
        <v>0</v>
      </c>
      <c r="S113" s="421"/>
    </row>
    <row r="114" spans="2:19" x14ac:dyDescent="0.3">
      <c r="S114" s="421"/>
    </row>
    <row r="115" spans="2:19" x14ac:dyDescent="0.3">
      <c r="S115" s="421"/>
    </row>
    <row r="116" spans="2:19" x14ac:dyDescent="0.3">
      <c r="S116" s="421"/>
    </row>
    <row r="117" spans="2:19" x14ac:dyDescent="0.3">
      <c r="S117" s="421"/>
    </row>
    <row r="118" spans="2:19" x14ac:dyDescent="0.3">
      <c r="S118" s="421"/>
    </row>
    <row r="119" spans="2:19" x14ac:dyDescent="0.3">
      <c r="S119" s="421"/>
    </row>
    <row r="120" spans="2:19" x14ac:dyDescent="0.3">
      <c r="S120" s="421"/>
    </row>
    <row r="121" spans="2:19" x14ac:dyDescent="0.3">
      <c r="S121" s="421"/>
    </row>
    <row r="122" spans="2:19" x14ac:dyDescent="0.3">
      <c r="S122" s="421"/>
    </row>
    <row r="123" spans="2:19" x14ac:dyDescent="0.3">
      <c r="S123" s="421"/>
    </row>
    <row r="124" spans="2:19" x14ac:dyDescent="0.3">
      <c r="S124" s="421"/>
    </row>
    <row r="125" spans="2:19" x14ac:dyDescent="0.3">
      <c r="S125" s="421"/>
    </row>
    <row r="126" spans="2:19" x14ac:dyDescent="0.3">
      <c r="S126" s="421"/>
    </row>
    <row r="127" spans="2:19" x14ac:dyDescent="0.3">
      <c r="S127" s="421"/>
    </row>
    <row r="128" spans="2:19" x14ac:dyDescent="0.3">
      <c r="S128" s="421"/>
    </row>
    <row r="129" spans="19:19" x14ac:dyDescent="0.3">
      <c r="S129" s="421"/>
    </row>
    <row r="130" spans="19:19" x14ac:dyDescent="0.3">
      <c r="S130" s="421"/>
    </row>
    <row r="131" spans="19:19" x14ac:dyDescent="0.3">
      <c r="S131" s="421"/>
    </row>
    <row r="132" spans="19:19" x14ac:dyDescent="0.3">
      <c r="S132" s="421"/>
    </row>
    <row r="133" spans="19:19" x14ac:dyDescent="0.3">
      <c r="S133" s="421"/>
    </row>
    <row r="134" spans="19:19" x14ac:dyDescent="0.3">
      <c r="S134" s="421"/>
    </row>
    <row r="135" spans="19:19" x14ac:dyDescent="0.3">
      <c r="S135" s="421"/>
    </row>
    <row r="136" spans="19:19" x14ac:dyDescent="0.3">
      <c r="S136" s="421"/>
    </row>
    <row r="137" spans="19:19" x14ac:dyDescent="0.3">
      <c r="S137" s="421"/>
    </row>
    <row r="138" spans="19:19" x14ac:dyDescent="0.3">
      <c r="S138" s="421"/>
    </row>
    <row r="139" spans="19:19" x14ac:dyDescent="0.3">
      <c r="S139" s="421"/>
    </row>
    <row r="140" spans="19:19" x14ac:dyDescent="0.3">
      <c r="S140" s="421"/>
    </row>
    <row r="141" spans="19:19" x14ac:dyDescent="0.3">
      <c r="S141" s="421"/>
    </row>
    <row r="142" spans="19:19" x14ac:dyDescent="0.3">
      <c r="S142" s="421"/>
    </row>
    <row r="143" spans="19:19" x14ac:dyDescent="0.3">
      <c r="S143" s="421"/>
    </row>
    <row r="144" spans="19:19" x14ac:dyDescent="0.3">
      <c r="S144" s="421"/>
    </row>
    <row r="145" spans="19:19" x14ac:dyDescent="0.3">
      <c r="S145" s="421"/>
    </row>
    <row r="146" spans="19:19" x14ac:dyDescent="0.3">
      <c r="S146" s="421"/>
    </row>
    <row r="147" spans="19:19" x14ac:dyDescent="0.3">
      <c r="S147" s="421"/>
    </row>
    <row r="148" spans="19:19" x14ac:dyDescent="0.3">
      <c r="S148" s="421"/>
    </row>
    <row r="149" spans="19:19" x14ac:dyDescent="0.3">
      <c r="S149" s="421"/>
    </row>
    <row r="150" spans="19:19" x14ac:dyDescent="0.3">
      <c r="S150" s="421"/>
    </row>
    <row r="151" spans="19:19" x14ac:dyDescent="0.3">
      <c r="S151" s="421"/>
    </row>
    <row r="152" spans="19:19" x14ac:dyDescent="0.3">
      <c r="S152" s="421"/>
    </row>
    <row r="153" spans="19:19" x14ac:dyDescent="0.3">
      <c r="S153" s="421"/>
    </row>
    <row r="154" spans="19:19" x14ac:dyDescent="0.3">
      <c r="S154" s="421"/>
    </row>
    <row r="155" spans="19:19" x14ac:dyDescent="0.3">
      <c r="S155" s="421"/>
    </row>
    <row r="156" spans="19:19" x14ac:dyDescent="0.3">
      <c r="S156" s="421"/>
    </row>
    <row r="157" spans="19:19" x14ac:dyDescent="0.3">
      <c r="S157" s="421"/>
    </row>
    <row r="158" spans="19:19" x14ac:dyDescent="0.3">
      <c r="S158" s="421"/>
    </row>
    <row r="159" spans="19:19" x14ac:dyDescent="0.3">
      <c r="S159" s="421"/>
    </row>
    <row r="160" spans="19:19" x14ac:dyDescent="0.3">
      <c r="S160" s="421"/>
    </row>
    <row r="161" spans="19:19" x14ac:dyDescent="0.3">
      <c r="S161" s="421"/>
    </row>
    <row r="162" spans="19:19" x14ac:dyDescent="0.3">
      <c r="S162" s="421"/>
    </row>
    <row r="163" spans="19:19" x14ac:dyDescent="0.3">
      <c r="S163" s="421"/>
    </row>
    <row r="164" spans="19:19" x14ac:dyDescent="0.3">
      <c r="S164" s="421"/>
    </row>
    <row r="165" spans="19:19" x14ac:dyDescent="0.3">
      <c r="S165" s="421"/>
    </row>
    <row r="166" spans="19:19" x14ac:dyDescent="0.3">
      <c r="S166" s="421"/>
    </row>
    <row r="167" spans="19:19" x14ac:dyDescent="0.3">
      <c r="S167" s="421"/>
    </row>
    <row r="168" spans="19:19" x14ac:dyDescent="0.3">
      <c r="S168" s="421"/>
    </row>
    <row r="169" spans="19:19" x14ac:dyDescent="0.3">
      <c r="S169" s="421"/>
    </row>
    <row r="170" spans="19:19" x14ac:dyDescent="0.3">
      <c r="S170" s="421"/>
    </row>
    <row r="171" spans="19:19" x14ac:dyDescent="0.3">
      <c r="S171" s="421"/>
    </row>
    <row r="172" spans="19:19" x14ac:dyDescent="0.3">
      <c r="S172" s="421"/>
    </row>
    <row r="173" spans="19:19" x14ac:dyDescent="0.3">
      <c r="S173" s="421"/>
    </row>
    <row r="174" spans="19:19" x14ac:dyDescent="0.3">
      <c r="S174" s="421"/>
    </row>
    <row r="175" spans="19:19" x14ac:dyDescent="0.3">
      <c r="S175" s="421"/>
    </row>
    <row r="176" spans="19:19" x14ac:dyDescent="0.3">
      <c r="S176" s="421"/>
    </row>
    <row r="177" spans="19:19" x14ac:dyDescent="0.3">
      <c r="S177" s="421"/>
    </row>
    <row r="178" spans="19:19" x14ac:dyDescent="0.3">
      <c r="S178" s="421"/>
    </row>
    <row r="179" spans="19:19" x14ac:dyDescent="0.3">
      <c r="S179" s="421"/>
    </row>
    <row r="180" spans="19:19" x14ac:dyDescent="0.3">
      <c r="S180" s="421"/>
    </row>
    <row r="181" spans="19:19" x14ac:dyDescent="0.3">
      <c r="S181" s="421"/>
    </row>
    <row r="182" spans="19:19" x14ac:dyDescent="0.3">
      <c r="S182" s="421"/>
    </row>
    <row r="183" spans="19:19" x14ac:dyDescent="0.3">
      <c r="S183" s="421"/>
    </row>
    <row r="184" spans="19:19" x14ac:dyDescent="0.3">
      <c r="S184" s="421"/>
    </row>
    <row r="185" spans="19:19" x14ac:dyDescent="0.3">
      <c r="S185" s="421"/>
    </row>
    <row r="186" spans="19:19" x14ac:dyDescent="0.3">
      <c r="S186" s="421"/>
    </row>
    <row r="187" spans="19:19" x14ac:dyDescent="0.3">
      <c r="S187" s="421"/>
    </row>
    <row r="188" spans="19:19" x14ac:dyDescent="0.3">
      <c r="S188" s="421"/>
    </row>
    <row r="189" spans="19:19" x14ac:dyDescent="0.3">
      <c r="S189" s="421"/>
    </row>
    <row r="190" spans="19:19" x14ac:dyDescent="0.3">
      <c r="S190" s="421"/>
    </row>
    <row r="191" spans="19:19" x14ac:dyDescent="0.3">
      <c r="S191" s="421"/>
    </row>
    <row r="192" spans="19:19" x14ac:dyDescent="0.3">
      <c r="S192" s="421"/>
    </row>
    <row r="193" spans="19:19" x14ac:dyDescent="0.3">
      <c r="S193" s="421"/>
    </row>
    <row r="194" spans="19:19" x14ac:dyDescent="0.3">
      <c r="S194" s="421"/>
    </row>
    <row r="195" spans="19:19" x14ac:dyDescent="0.3">
      <c r="S195" s="421"/>
    </row>
    <row r="196" spans="19:19" x14ac:dyDescent="0.3">
      <c r="S196" s="421"/>
    </row>
    <row r="197" spans="19:19" x14ac:dyDescent="0.3">
      <c r="S197" s="421"/>
    </row>
    <row r="198" spans="19:19" x14ac:dyDescent="0.3">
      <c r="S198" s="421"/>
    </row>
    <row r="199" spans="19:19" x14ac:dyDescent="0.3">
      <c r="S199" s="421"/>
    </row>
    <row r="200" spans="19:19" x14ac:dyDescent="0.3">
      <c r="S200" s="421"/>
    </row>
    <row r="201" spans="19:19" x14ac:dyDescent="0.3">
      <c r="S201" s="421"/>
    </row>
    <row r="202" spans="19:19" x14ac:dyDescent="0.3">
      <c r="S202" s="421"/>
    </row>
    <row r="203" spans="19:19" x14ac:dyDescent="0.3">
      <c r="S203" s="421"/>
    </row>
    <row r="204" spans="19:19" x14ac:dyDescent="0.3">
      <c r="S204" s="421"/>
    </row>
  </sheetData>
  <mergeCells count="4">
    <mergeCell ref="A1:Q1"/>
    <mergeCell ref="A2:Q2"/>
    <mergeCell ref="D4:J4"/>
    <mergeCell ref="K4:Q4"/>
  </mergeCells>
  <phoneticPr fontId="33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4.4" x14ac:dyDescent="0.3"/>
  <cols>
    <col min="1" max="1" width="5.77734375" style="500" bestFit="1" customWidth="1"/>
    <col min="2" max="2" width="60.109375" style="482" customWidth="1"/>
    <col min="3" max="3" width="0" style="492" hidden="1" customWidth="1"/>
    <col min="4" max="4" width="11.44140625" style="492" customWidth="1"/>
    <col min="5" max="5" width="17.44140625" style="492" customWidth="1"/>
    <col min="6" max="6" width="14.33203125" style="492" customWidth="1"/>
    <col min="7" max="7" width="17.44140625" style="492" customWidth="1"/>
    <col min="8" max="8" width="11.33203125" style="492" bestFit="1" customWidth="1"/>
    <col min="9" max="9" width="9.77734375" style="492" bestFit="1" customWidth="1"/>
    <col min="10" max="10" width="13.109375" style="492" customWidth="1"/>
    <col min="11" max="11" width="18.6640625" style="492" customWidth="1"/>
    <col min="12" max="12" width="9.44140625" style="492" hidden="1" customWidth="1"/>
    <col min="13" max="13" width="18.77734375" style="492" customWidth="1"/>
    <col min="14" max="14" width="0" style="492" hidden="1" customWidth="1"/>
    <col min="15" max="15" width="16.77734375" style="492" customWidth="1"/>
    <col min="16" max="16" width="9.77734375" style="492" bestFit="1" customWidth="1"/>
    <col min="17" max="17" width="13.6640625" style="501" customWidth="1"/>
    <col min="18" max="16384" width="9.33203125" style="482"/>
  </cols>
  <sheetData>
    <row r="1" spans="1:17" x14ac:dyDescent="0.3">
      <c r="A1" s="1423" t="s">
        <v>682</v>
      </c>
      <c r="B1" s="1423"/>
      <c r="C1" s="1423"/>
      <c r="D1" s="1423"/>
      <c r="E1" s="1423"/>
      <c r="F1" s="1423"/>
      <c r="G1" s="1423"/>
      <c r="H1" s="1423"/>
      <c r="I1" s="1423"/>
      <c r="J1" s="1423"/>
      <c r="K1" s="1423"/>
      <c r="L1" s="1423"/>
      <c r="M1" s="1423"/>
      <c r="N1" s="1423"/>
      <c r="O1" s="1423"/>
      <c r="P1" s="1423"/>
      <c r="Q1" s="1423"/>
    </row>
    <row r="2" spans="1:17" x14ac:dyDescent="0.3">
      <c r="A2" s="1424" t="s">
        <v>683</v>
      </c>
      <c r="B2" s="1424"/>
      <c r="C2" s="1424"/>
      <c r="D2" s="1424"/>
      <c r="E2" s="1424"/>
      <c r="F2" s="1424"/>
      <c r="G2" s="1424"/>
      <c r="H2" s="1424"/>
      <c r="I2" s="1424"/>
      <c r="J2" s="1424"/>
      <c r="K2" s="499"/>
      <c r="L2" s="482"/>
      <c r="M2" s="482"/>
      <c r="N2" s="482"/>
      <c r="O2" s="482"/>
      <c r="P2" s="482"/>
      <c r="Q2" s="482"/>
    </row>
    <row r="4" spans="1:17" s="505" customFormat="1" x14ac:dyDescent="0.3">
      <c r="A4" s="502"/>
      <c r="B4" s="503" t="s">
        <v>12</v>
      </c>
      <c r="C4" s="504">
        <v>2011</v>
      </c>
      <c r="D4" s="1428" t="s">
        <v>473</v>
      </c>
      <c r="E4" s="1429"/>
      <c r="F4" s="1429"/>
      <c r="G4" s="1429"/>
      <c r="H4" s="1429"/>
      <c r="I4" s="1429"/>
      <c r="J4" s="1430"/>
      <c r="K4" s="1426" t="s">
        <v>474</v>
      </c>
      <c r="L4" s="1426"/>
      <c r="M4" s="1426"/>
      <c r="N4" s="1426"/>
      <c r="O4" s="1426"/>
      <c r="P4" s="1426"/>
      <c r="Q4" s="1427"/>
    </row>
    <row r="5" spans="1:17" s="505" customFormat="1" ht="43.2" x14ac:dyDescent="0.3">
      <c r="A5" s="506"/>
      <c r="B5" s="507"/>
      <c r="C5" s="504" t="s">
        <v>684</v>
      </c>
      <c r="D5" s="504" t="s">
        <v>451</v>
      </c>
      <c r="E5" s="432" t="s">
        <v>476</v>
      </c>
      <c r="F5" s="432" t="s">
        <v>477</v>
      </c>
      <c r="G5" s="432" t="s">
        <v>478</v>
      </c>
      <c r="H5" s="504" t="s">
        <v>449</v>
      </c>
      <c r="I5" s="504" t="s">
        <v>450</v>
      </c>
      <c r="J5" s="504" t="s">
        <v>918</v>
      </c>
      <c r="K5" s="432" t="s">
        <v>476</v>
      </c>
      <c r="L5" s="432" t="s">
        <v>477</v>
      </c>
      <c r="M5" s="432" t="s">
        <v>478</v>
      </c>
      <c r="N5" s="504" t="s">
        <v>449</v>
      </c>
      <c r="O5" s="432" t="s">
        <v>680</v>
      </c>
      <c r="P5" s="504" t="s">
        <v>450</v>
      </c>
      <c r="Q5" s="434" t="s">
        <v>918</v>
      </c>
    </row>
    <row r="6" spans="1:17" x14ac:dyDescent="0.3">
      <c r="A6" s="508">
        <v>1</v>
      </c>
      <c r="B6" s="509" t="s">
        <v>685</v>
      </c>
      <c r="C6" s="451"/>
      <c r="D6" s="438">
        <v>37307.510999999999</v>
      </c>
      <c r="E6" s="438">
        <v>9658.8590000000004</v>
      </c>
      <c r="F6" s="438">
        <v>6776.4070000000002</v>
      </c>
      <c r="G6" s="438">
        <v>580.88199999999995</v>
      </c>
      <c r="H6" s="438">
        <v>10415.591</v>
      </c>
      <c r="I6" s="438">
        <v>33870.446999999993</v>
      </c>
      <c r="J6" s="438">
        <v>98609.696999999986</v>
      </c>
      <c r="K6" s="440">
        <v>30313.200000000001</v>
      </c>
      <c r="L6" s="440">
        <v>0</v>
      </c>
      <c r="M6" s="440">
        <v>2307.6</v>
      </c>
      <c r="N6" s="440">
        <v>14015.82</v>
      </c>
      <c r="O6" s="440">
        <v>14015.82</v>
      </c>
      <c r="P6" s="440">
        <v>32068.795000000002</v>
      </c>
      <c r="Q6" s="441">
        <v>78705.415000000008</v>
      </c>
    </row>
    <row r="7" spans="1:17" x14ac:dyDescent="0.3">
      <c r="A7" s="510">
        <v>2</v>
      </c>
      <c r="B7" s="511" t="s">
        <v>686</v>
      </c>
      <c r="C7" s="451"/>
      <c r="D7" s="438">
        <v>10871.213</v>
      </c>
      <c r="E7" s="438">
        <v>1885.702</v>
      </c>
      <c r="F7" s="438">
        <v>2102.7359999999999</v>
      </c>
      <c r="G7" s="438">
        <v>310.26400000000001</v>
      </c>
      <c r="H7" s="438">
        <v>4687.991</v>
      </c>
      <c r="I7" s="438">
        <v>9168.5529999999999</v>
      </c>
      <c r="J7" s="438">
        <v>29026.458999999995</v>
      </c>
      <c r="K7" s="440">
        <v>4347</v>
      </c>
      <c r="L7" s="440">
        <v>0</v>
      </c>
      <c r="M7" s="440">
        <v>480</v>
      </c>
      <c r="N7" s="440">
        <v>6303.9009999999998</v>
      </c>
      <c r="O7" s="440">
        <v>6303.9009999999998</v>
      </c>
      <c r="P7" s="440">
        <v>5704.558</v>
      </c>
      <c r="Q7" s="441">
        <v>16835.459000000003</v>
      </c>
    </row>
    <row r="8" spans="1:17" s="493" customFormat="1" x14ac:dyDescent="0.3">
      <c r="A8" s="510">
        <v>3</v>
      </c>
      <c r="B8" s="511" t="s">
        <v>687</v>
      </c>
      <c r="C8" s="451"/>
      <c r="D8" s="438">
        <v>321.15600000000001</v>
      </c>
      <c r="E8" s="438">
        <v>92</v>
      </c>
      <c r="F8" s="438">
        <v>818.31099999999992</v>
      </c>
      <c r="G8" s="438">
        <v>523.02099999999996</v>
      </c>
      <c r="H8" s="438">
        <v>3153.4</v>
      </c>
      <c r="I8" s="438">
        <v>1370.0910000000001</v>
      </c>
      <c r="J8" s="438">
        <v>6277.9790000000003</v>
      </c>
      <c r="K8" s="440">
        <v>276</v>
      </c>
      <c r="L8" s="440">
        <v>0</v>
      </c>
      <c r="M8" s="440">
        <v>926.4</v>
      </c>
      <c r="N8" s="440">
        <v>2087.1</v>
      </c>
      <c r="O8" s="440">
        <v>2087.1</v>
      </c>
      <c r="P8" s="440">
        <v>0</v>
      </c>
      <c r="Q8" s="441">
        <v>3289.5000000000005</v>
      </c>
    </row>
    <row r="9" spans="1:17" s="493" customFormat="1" x14ac:dyDescent="0.3">
      <c r="A9" s="452">
        <v>4</v>
      </c>
      <c r="B9" s="453" t="s">
        <v>688</v>
      </c>
      <c r="C9" s="512">
        <v>0</v>
      </c>
      <c r="D9" s="512">
        <v>48499.880000000005</v>
      </c>
      <c r="E9" s="512">
        <v>11636.561</v>
      </c>
      <c r="F9" s="512">
        <v>9697.4539999999997</v>
      </c>
      <c r="G9" s="512">
        <v>1414.1669999999999</v>
      </c>
      <c r="H9" s="512">
        <v>18256.982</v>
      </c>
      <c r="I9" s="512">
        <v>44409.090999999993</v>
      </c>
      <c r="J9" s="512">
        <v>133914.13500000001</v>
      </c>
      <c r="K9" s="512">
        <v>34936.199999999997</v>
      </c>
      <c r="L9" s="512">
        <v>0</v>
      </c>
      <c r="M9" s="512">
        <v>3714</v>
      </c>
      <c r="N9" s="512">
        <v>22406.820999999996</v>
      </c>
      <c r="O9" s="512">
        <v>22406.820999999996</v>
      </c>
      <c r="P9" s="512">
        <v>37773.353000000003</v>
      </c>
      <c r="Q9" s="512">
        <v>98830.373999999996</v>
      </c>
    </row>
    <row r="10" spans="1:17" s="493" customFormat="1" x14ac:dyDescent="0.3">
      <c r="A10" s="452">
        <v>5</v>
      </c>
      <c r="B10" s="453" t="s">
        <v>689</v>
      </c>
      <c r="C10" s="512"/>
      <c r="D10" s="512">
        <v>13945.891</v>
      </c>
      <c r="E10" s="512">
        <v>3062.3130000000001</v>
      </c>
      <c r="F10" s="512">
        <v>2452.9369999999999</v>
      </c>
      <c r="G10" s="512">
        <v>376.512</v>
      </c>
      <c r="H10" s="512">
        <v>4427.0889999999999</v>
      </c>
      <c r="I10" s="512">
        <v>11635.154999999999</v>
      </c>
      <c r="J10" s="512">
        <v>35899.896999999997</v>
      </c>
      <c r="K10" s="512">
        <v>10275.744000000001</v>
      </c>
      <c r="L10" s="512">
        <v>0</v>
      </c>
      <c r="M10" s="512">
        <v>1002.7800000000001</v>
      </c>
      <c r="N10" s="512">
        <v>6030.1790000000001</v>
      </c>
      <c r="O10" s="512">
        <v>6030.1790000000001</v>
      </c>
      <c r="P10" s="512">
        <v>9264.7510000000002</v>
      </c>
      <c r="Q10" s="512">
        <v>26573.454000000002</v>
      </c>
    </row>
    <row r="11" spans="1:17" s="513" customFormat="1" x14ac:dyDescent="0.25">
      <c r="A11" s="452">
        <v>6</v>
      </c>
      <c r="B11" s="453" t="s">
        <v>690</v>
      </c>
      <c r="C11" s="512">
        <v>0</v>
      </c>
      <c r="D11" s="512">
        <v>15676.251</v>
      </c>
      <c r="E11" s="512">
        <v>6338.8120000000008</v>
      </c>
      <c r="F11" s="512">
        <v>3552.2360000000003</v>
      </c>
      <c r="G11" s="512">
        <v>2335.3100000000004</v>
      </c>
      <c r="H11" s="512">
        <v>35830.889000000003</v>
      </c>
      <c r="I11" s="512">
        <v>7111.4290000000001</v>
      </c>
      <c r="J11" s="512">
        <v>70844.927000000011</v>
      </c>
      <c r="K11" s="512">
        <v>19973.105209599998</v>
      </c>
      <c r="L11" s="512">
        <v>10197.028188976377</v>
      </c>
      <c r="M11" s="512">
        <v>2497.6275000000001</v>
      </c>
      <c r="N11" s="512">
        <v>27951.150711220471</v>
      </c>
      <c r="O11" s="512">
        <v>38148.17890019685</v>
      </c>
      <c r="P11" s="512">
        <v>11774.928659000001</v>
      </c>
      <c r="Q11" s="512">
        <v>72393.840268796834</v>
      </c>
    </row>
    <row r="12" spans="1:17" x14ac:dyDescent="0.3">
      <c r="A12" s="514">
        <v>7</v>
      </c>
      <c r="B12" s="515" t="s">
        <v>691</v>
      </c>
      <c r="C12" s="451">
        <v>0</v>
      </c>
      <c r="D12" s="438">
        <v>275.70100000000002</v>
      </c>
      <c r="E12" s="438">
        <v>638.84199999999998</v>
      </c>
      <c r="F12" s="438">
        <v>470.01000000000005</v>
      </c>
      <c r="G12" s="438">
        <v>77.579000000000008</v>
      </c>
      <c r="H12" s="438">
        <v>2146.5930000000003</v>
      </c>
      <c r="I12" s="438">
        <v>1341.011</v>
      </c>
      <c r="J12" s="438">
        <v>4949.7360000000008</v>
      </c>
      <c r="K12" s="440">
        <v>745</v>
      </c>
      <c r="L12" s="440">
        <v>660</v>
      </c>
      <c r="M12" s="440">
        <v>200</v>
      </c>
      <c r="N12" s="440">
        <v>2282</v>
      </c>
      <c r="O12" s="440">
        <v>2942</v>
      </c>
      <c r="P12" s="440">
        <v>1969</v>
      </c>
      <c r="Q12" s="441">
        <v>5856</v>
      </c>
    </row>
    <row r="13" spans="1:17" x14ac:dyDescent="0.3">
      <c r="A13" s="516">
        <v>8</v>
      </c>
      <c r="B13" s="517" t="s">
        <v>692</v>
      </c>
      <c r="C13" s="451"/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40">
        <v>0</v>
      </c>
      <c r="L13" s="440">
        <v>0</v>
      </c>
      <c r="M13" s="440">
        <v>0</v>
      </c>
      <c r="N13" s="440">
        <v>0</v>
      </c>
      <c r="O13" s="440">
        <v>0</v>
      </c>
      <c r="P13" s="440">
        <v>0</v>
      </c>
      <c r="Q13" s="441">
        <v>0</v>
      </c>
    </row>
    <row r="14" spans="1:17" x14ac:dyDescent="0.3">
      <c r="A14" s="516">
        <v>9</v>
      </c>
      <c r="B14" s="517" t="s">
        <v>452</v>
      </c>
      <c r="C14" s="451"/>
      <c r="D14" s="438">
        <v>3.9</v>
      </c>
      <c r="E14" s="438">
        <v>0</v>
      </c>
      <c r="F14" s="438">
        <v>0</v>
      </c>
      <c r="G14" s="438">
        <v>0</v>
      </c>
      <c r="H14" s="438">
        <v>57.414999999999999</v>
      </c>
      <c r="I14" s="438">
        <v>0</v>
      </c>
      <c r="J14" s="438">
        <v>61.314999999999998</v>
      </c>
      <c r="K14" s="440">
        <v>5</v>
      </c>
      <c r="L14" s="440">
        <v>10</v>
      </c>
      <c r="M14" s="440">
        <v>0</v>
      </c>
      <c r="N14" s="440">
        <v>150</v>
      </c>
      <c r="O14" s="440">
        <v>160</v>
      </c>
      <c r="P14" s="440">
        <v>0</v>
      </c>
      <c r="Q14" s="441">
        <v>165</v>
      </c>
    </row>
    <row r="15" spans="1:17" x14ac:dyDescent="0.3">
      <c r="A15" s="516">
        <v>10</v>
      </c>
      <c r="B15" s="517" t="s">
        <v>453</v>
      </c>
      <c r="C15" s="451"/>
      <c r="D15" s="438">
        <v>0</v>
      </c>
      <c r="E15" s="438">
        <v>0</v>
      </c>
      <c r="F15" s="438">
        <v>0</v>
      </c>
      <c r="G15" s="438">
        <v>17.811</v>
      </c>
      <c r="H15" s="438">
        <v>3.3050000000000002</v>
      </c>
      <c r="I15" s="438">
        <v>0</v>
      </c>
      <c r="J15" s="438">
        <v>21.116</v>
      </c>
      <c r="K15" s="440">
        <v>0</v>
      </c>
      <c r="L15" s="440">
        <v>0</v>
      </c>
      <c r="M15" s="440">
        <v>0</v>
      </c>
      <c r="N15" s="440">
        <v>0</v>
      </c>
      <c r="O15" s="440">
        <v>0</v>
      </c>
      <c r="P15" s="440">
        <v>0</v>
      </c>
      <c r="Q15" s="441">
        <v>0</v>
      </c>
    </row>
    <row r="16" spans="1:17" s="445" customFormat="1" x14ac:dyDescent="0.3">
      <c r="A16" s="518">
        <v>11</v>
      </c>
      <c r="B16" s="519" t="s">
        <v>693</v>
      </c>
      <c r="C16" s="444"/>
      <c r="D16" s="438">
        <v>96.269000000000005</v>
      </c>
      <c r="E16" s="438">
        <v>22.527999999999999</v>
      </c>
      <c r="F16" s="438">
        <v>15.244</v>
      </c>
      <c r="G16" s="438">
        <v>24.071000000000002</v>
      </c>
      <c r="H16" s="438">
        <v>249.023</v>
      </c>
      <c r="I16" s="438">
        <v>585.18299999999999</v>
      </c>
      <c r="J16" s="438">
        <v>992.31799999999998</v>
      </c>
      <c r="K16" s="440">
        <v>45</v>
      </c>
      <c r="L16" s="440">
        <v>100</v>
      </c>
      <c r="M16" s="440">
        <v>50</v>
      </c>
      <c r="N16" s="440">
        <v>50</v>
      </c>
      <c r="O16" s="440">
        <v>150</v>
      </c>
      <c r="P16" s="440">
        <v>849</v>
      </c>
      <c r="Q16" s="441">
        <v>1094</v>
      </c>
    </row>
    <row r="17" spans="1:17" x14ac:dyDescent="0.3">
      <c r="A17" s="516">
        <v>12</v>
      </c>
      <c r="B17" s="517" t="s">
        <v>694</v>
      </c>
      <c r="C17" s="451"/>
      <c r="D17" s="438">
        <v>0</v>
      </c>
      <c r="E17" s="438">
        <v>0</v>
      </c>
      <c r="F17" s="438">
        <v>381.88099999999997</v>
      </c>
      <c r="G17" s="438">
        <v>0</v>
      </c>
      <c r="H17" s="438">
        <v>3.343</v>
      </c>
      <c r="I17" s="438">
        <v>0</v>
      </c>
      <c r="J17" s="438">
        <v>385.22399999999999</v>
      </c>
      <c r="K17" s="440">
        <v>0</v>
      </c>
      <c r="L17" s="440">
        <v>0</v>
      </c>
      <c r="M17" s="440">
        <v>0</v>
      </c>
      <c r="N17" s="440">
        <v>12</v>
      </c>
      <c r="O17" s="440">
        <v>12</v>
      </c>
      <c r="P17" s="440">
        <v>100</v>
      </c>
      <c r="Q17" s="441">
        <v>112</v>
      </c>
    </row>
    <row r="18" spans="1:17" x14ac:dyDescent="0.3">
      <c r="A18" s="516">
        <v>13</v>
      </c>
      <c r="B18" s="517" t="s">
        <v>695</v>
      </c>
      <c r="C18" s="451"/>
      <c r="D18" s="438">
        <v>0</v>
      </c>
      <c r="E18" s="438">
        <v>0</v>
      </c>
      <c r="F18" s="438">
        <v>35.5</v>
      </c>
      <c r="G18" s="438">
        <v>0</v>
      </c>
      <c r="H18" s="438">
        <v>0</v>
      </c>
      <c r="I18" s="438">
        <v>0</v>
      </c>
      <c r="J18" s="438">
        <v>35.5</v>
      </c>
      <c r="K18" s="440">
        <v>60</v>
      </c>
      <c r="L18" s="440">
        <v>0</v>
      </c>
      <c r="M18" s="440">
        <v>0</v>
      </c>
      <c r="N18" s="440">
        <v>0</v>
      </c>
      <c r="O18" s="440">
        <v>0</v>
      </c>
      <c r="P18" s="440">
        <v>0</v>
      </c>
      <c r="Q18" s="441">
        <v>60</v>
      </c>
    </row>
    <row r="19" spans="1:17" x14ac:dyDescent="0.3">
      <c r="A19" s="516">
        <v>14</v>
      </c>
      <c r="B19" s="517" t="s">
        <v>696</v>
      </c>
      <c r="C19" s="451"/>
      <c r="D19" s="438">
        <v>0</v>
      </c>
      <c r="E19" s="438">
        <v>0</v>
      </c>
      <c r="F19" s="438">
        <v>0</v>
      </c>
      <c r="G19" s="438">
        <v>0</v>
      </c>
      <c r="H19" s="438">
        <v>0</v>
      </c>
      <c r="I19" s="438">
        <v>206.1</v>
      </c>
      <c r="J19" s="438">
        <v>206.1</v>
      </c>
      <c r="K19" s="440">
        <v>0</v>
      </c>
      <c r="L19" s="440">
        <v>0</v>
      </c>
      <c r="M19" s="440">
        <v>0</v>
      </c>
      <c r="N19" s="440">
        <v>0</v>
      </c>
      <c r="O19" s="440">
        <v>0</v>
      </c>
      <c r="P19" s="440">
        <v>170</v>
      </c>
      <c r="Q19" s="441">
        <v>170</v>
      </c>
    </row>
    <row r="20" spans="1:17" x14ac:dyDescent="0.3">
      <c r="A20" s="516">
        <v>15</v>
      </c>
      <c r="B20" s="517" t="s">
        <v>697</v>
      </c>
      <c r="C20" s="451"/>
      <c r="D20" s="438">
        <v>0</v>
      </c>
      <c r="E20" s="438">
        <v>0</v>
      </c>
      <c r="F20" s="438">
        <v>0</v>
      </c>
      <c r="G20" s="438">
        <v>0</v>
      </c>
      <c r="H20" s="438">
        <v>0</v>
      </c>
      <c r="I20" s="438">
        <v>0</v>
      </c>
      <c r="J20" s="438">
        <v>0</v>
      </c>
      <c r="K20" s="440">
        <v>0</v>
      </c>
      <c r="L20" s="440">
        <v>0</v>
      </c>
      <c r="M20" s="440">
        <v>0</v>
      </c>
      <c r="N20" s="440">
        <v>0</v>
      </c>
      <c r="O20" s="440">
        <v>0</v>
      </c>
      <c r="P20" s="440">
        <v>0</v>
      </c>
      <c r="Q20" s="441">
        <v>0</v>
      </c>
    </row>
    <row r="21" spans="1:17" x14ac:dyDescent="0.3">
      <c r="A21" s="516">
        <v>16</v>
      </c>
      <c r="B21" s="517" t="s">
        <v>698</v>
      </c>
      <c r="C21" s="451"/>
      <c r="D21" s="438">
        <v>0</v>
      </c>
      <c r="E21" s="438">
        <v>0</v>
      </c>
      <c r="F21" s="438">
        <v>0</v>
      </c>
      <c r="G21" s="438">
        <v>0</v>
      </c>
      <c r="H21" s="438">
        <v>782.96799999999996</v>
      </c>
      <c r="I21" s="438">
        <v>0</v>
      </c>
      <c r="J21" s="438">
        <v>782.96799999999996</v>
      </c>
      <c r="K21" s="440">
        <v>0</v>
      </c>
      <c r="L21" s="440">
        <v>0</v>
      </c>
      <c r="M21" s="440">
        <v>0</v>
      </c>
      <c r="N21" s="440">
        <v>900</v>
      </c>
      <c r="O21" s="440">
        <v>900</v>
      </c>
      <c r="P21" s="440">
        <v>0</v>
      </c>
      <c r="Q21" s="441">
        <v>900</v>
      </c>
    </row>
    <row r="22" spans="1:17" x14ac:dyDescent="0.3">
      <c r="A22" s="516">
        <v>17</v>
      </c>
      <c r="B22" s="517" t="s">
        <v>454</v>
      </c>
      <c r="C22" s="451"/>
      <c r="D22" s="438">
        <v>107.072</v>
      </c>
      <c r="E22" s="438">
        <v>88.415999999999997</v>
      </c>
      <c r="F22" s="438">
        <v>2.0710000000000002</v>
      </c>
      <c r="G22" s="438">
        <v>0</v>
      </c>
      <c r="H22" s="438">
        <v>201.38</v>
      </c>
      <c r="I22" s="438">
        <v>0</v>
      </c>
      <c r="J22" s="438">
        <v>398.93899999999996</v>
      </c>
      <c r="K22" s="440">
        <v>300</v>
      </c>
      <c r="L22" s="440">
        <v>400</v>
      </c>
      <c r="M22" s="440">
        <v>0</v>
      </c>
      <c r="N22" s="440">
        <v>100</v>
      </c>
      <c r="O22" s="440">
        <v>500</v>
      </c>
      <c r="P22" s="440">
        <v>0</v>
      </c>
      <c r="Q22" s="441">
        <v>800</v>
      </c>
    </row>
    <row r="23" spans="1:17" ht="26.4" x14ac:dyDescent="0.3">
      <c r="A23" s="516">
        <v>18</v>
      </c>
      <c r="B23" s="517" t="s">
        <v>699</v>
      </c>
      <c r="C23" s="451"/>
      <c r="D23" s="438">
        <v>15.717000000000001</v>
      </c>
      <c r="E23" s="438">
        <v>180.34899999999999</v>
      </c>
      <c r="F23" s="438">
        <v>0</v>
      </c>
      <c r="G23" s="438">
        <v>22</v>
      </c>
      <c r="H23" s="438">
        <v>40.271999999999998</v>
      </c>
      <c r="I23" s="438">
        <v>84.063000000000002</v>
      </c>
      <c r="J23" s="438">
        <v>342.40100000000001</v>
      </c>
      <c r="K23" s="440">
        <v>120</v>
      </c>
      <c r="L23" s="440">
        <v>0</v>
      </c>
      <c r="M23" s="440">
        <v>100</v>
      </c>
      <c r="N23" s="440">
        <v>60</v>
      </c>
      <c r="O23" s="440">
        <v>60</v>
      </c>
      <c r="P23" s="440">
        <v>200</v>
      </c>
      <c r="Q23" s="441">
        <v>480</v>
      </c>
    </row>
    <row r="24" spans="1:17" ht="26.4" x14ac:dyDescent="0.3">
      <c r="A24" s="516">
        <v>19</v>
      </c>
      <c r="B24" s="517" t="s">
        <v>700</v>
      </c>
      <c r="C24" s="451"/>
      <c r="D24" s="438">
        <v>0</v>
      </c>
      <c r="E24" s="438">
        <v>0</v>
      </c>
      <c r="F24" s="438">
        <v>0</v>
      </c>
      <c r="G24" s="438">
        <v>0</v>
      </c>
      <c r="H24" s="438">
        <v>67.545000000000002</v>
      </c>
      <c r="I24" s="438">
        <v>0</v>
      </c>
      <c r="J24" s="438">
        <v>67.545000000000002</v>
      </c>
      <c r="K24" s="440">
        <v>0</v>
      </c>
      <c r="L24" s="440">
        <v>0</v>
      </c>
      <c r="M24" s="440">
        <v>0</v>
      </c>
      <c r="N24" s="440">
        <v>150</v>
      </c>
      <c r="O24" s="440">
        <v>150</v>
      </c>
      <c r="P24" s="440">
        <v>0</v>
      </c>
      <c r="Q24" s="441">
        <v>150</v>
      </c>
    </row>
    <row r="25" spans="1:17" x14ac:dyDescent="0.3">
      <c r="A25" s="516">
        <v>20</v>
      </c>
      <c r="B25" s="517" t="s">
        <v>701</v>
      </c>
      <c r="C25" s="451"/>
      <c r="D25" s="438">
        <v>52.742999999999995</v>
      </c>
      <c r="E25" s="438">
        <v>347.54899999999998</v>
      </c>
      <c r="F25" s="438">
        <v>35.314</v>
      </c>
      <c r="G25" s="438">
        <v>13.696999999999999</v>
      </c>
      <c r="H25" s="438">
        <v>741.34199999999998</v>
      </c>
      <c r="I25" s="438">
        <v>465.66500000000002</v>
      </c>
      <c r="J25" s="438">
        <v>1656.31</v>
      </c>
      <c r="K25" s="440">
        <v>215</v>
      </c>
      <c r="L25" s="440">
        <v>150</v>
      </c>
      <c r="M25" s="440">
        <v>50</v>
      </c>
      <c r="N25" s="440">
        <v>860</v>
      </c>
      <c r="O25" s="440">
        <v>1010</v>
      </c>
      <c r="P25" s="440">
        <v>650</v>
      </c>
      <c r="Q25" s="441">
        <v>1925</v>
      </c>
    </row>
    <row r="26" spans="1:17" x14ac:dyDescent="0.3">
      <c r="A26" s="514">
        <v>21</v>
      </c>
      <c r="B26" s="515" t="s">
        <v>702</v>
      </c>
      <c r="C26" s="451">
        <v>0</v>
      </c>
      <c r="D26" s="438">
        <v>192.25800000000001</v>
      </c>
      <c r="E26" s="438">
        <v>62.027000000000001</v>
      </c>
      <c r="F26" s="438">
        <v>28.827999999999999</v>
      </c>
      <c r="G26" s="438">
        <v>64.864000000000004</v>
      </c>
      <c r="H26" s="438">
        <v>372.27600000000001</v>
      </c>
      <c r="I26" s="438">
        <v>1051.4829999999999</v>
      </c>
      <c r="J26" s="438">
        <v>1771.7359999999999</v>
      </c>
      <c r="K26" s="440">
        <v>157.35009359999998</v>
      </c>
      <c r="L26" s="440">
        <v>73.131</v>
      </c>
      <c r="M26" s="440">
        <v>164</v>
      </c>
      <c r="N26" s="440">
        <v>649</v>
      </c>
      <c r="O26" s="440">
        <v>722.13099999999997</v>
      </c>
      <c r="P26" s="440">
        <v>685.40300000000002</v>
      </c>
      <c r="Q26" s="441">
        <v>1728.8840936000001</v>
      </c>
    </row>
    <row r="27" spans="1:17" x14ac:dyDescent="0.3">
      <c r="A27" s="516">
        <v>22</v>
      </c>
      <c r="B27" s="517" t="s">
        <v>703</v>
      </c>
      <c r="C27" s="451"/>
      <c r="D27" s="438">
        <v>73.188000000000002</v>
      </c>
      <c r="E27" s="438">
        <v>11.914999999999999</v>
      </c>
      <c r="F27" s="438">
        <v>28.827999999999999</v>
      </c>
      <c r="G27" s="438">
        <v>23.106000000000002</v>
      </c>
      <c r="H27" s="438">
        <v>-2.214</v>
      </c>
      <c r="I27" s="438">
        <v>1041.643</v>
      </c>
      <c r="J27" s="438">
        <v>1176.4660000000001</v>
      </c>
      <c r="K27" s="440">
        <v>30.225971999999999</v>
      </c>
      <c r="L27" s="440">
        <v>73.131</v>
      </c>
      <c r="M27" s="440">
        <v>50</v>
      </c>
      <c r="N27" s="440">
        <v>0</v>
      </c>
      <c r="O27" s="440">
        <v>73.131</v>
      </c>
      <c r="P27" s="440">
        <v>618.34699999999998</v>
      </c>
      <c r="Q27" s="441">
        <v>771.70397200000002</v>
      </c>
    </row>
    <row r="28" spans="1:17" x14ac:dyDescent="0.3">
      <c r="A28" s="516">
        <v>23</v>
      </c>
      <c r="B28" s="517" t="s">
        <v>704</v>
      </c>
      <c r="C28" s="451"/>
      <c r="D28" s="438">
        <v>85.066000000000003</v>
      </c>
      <c r="E28" s="438">
        <v>50.112000000000002</v>
      </c>
      <c r="F28" s="438">
        <v>0</v>
      </c>
      <c r="G28" s="438">
        <v>41.758000000000003</v>
      </c>
      <c r="H28" s="438">
        <v>0</v>
      </c>
      <c r="I28" s="438">
        <v>9.84</v>
      </c>
      <c r="J28" s="438">
        <v>186.77600000000001</v>
      </c>
      <c r="K28" s="440">
        <v>127.12412159999998</v>
      </c>
      <c r="L28" s="440">
        <v>0</v>
      </c>
      <c r="M28" s="440">
        <v>114</v>
      </c>
      <c r="N28" s="440">
        <v>105</v>
      </c>
      <c r="O28" s="440">
        <v>105</v>
      </c>
      <c r="P28" s="440">
        <v>67.055999999999997</v>
      </c>
      <c r="Q28" s="441">
        <v>413.18012160000001</v>
      </c>
    </row>
    <row r="29" spans="1:17" x14ac:dyDescent="0.3">
      <c r="A29" s="516">
        <v>24</v>
      </c>
      <c r="B29" s="517" t="s">
        <v>705</v>
      </c>
      <c r="C29" s="451"/>
      <c r="D29" s="438">
        <v>34.003999999999998</v>
      </c>
      <c r="E29" s="438">
        <v>0</v>
      </c>
      <c r="F29" s="438">
        <v>0</v>
      </c>
      <c r="G29" s="438">
        <v>0</v>
      </c>
      <c r="H29" s="438">
        <v>374.49</v>
      </c>
      <c r="I29" s="438">
        <v>0</v>
      </c>
      <c r="J29" s="438">
        <v>408.49400000000003</v>
      </c>
      <c r="K29" s="440">
        <v>0</v>
      </c>
      <c r="L29" s="440">
        <v>0</v>
      </c>
      <c r="M29" s="440">
        <v>0</v>
      </c>
      <c r="N29" s="440">
        <v>544</v>
      </c>
      <c r="O29" s="440">
        <v>544</v>
      </c>
      <c r="P29" s="440">
        <v>0</v>
      </c>
      <c r="Q29" s="441">
        <v>544</v>
      </c>
    </row>
    <row r="30" spans="1:17" x14ac:dyDescent="0.3">
      <c r="A30" s="514">
        <v>25</v>
      </c>
      <c r="B30" s="515" t="s">
        <v>706</v>
      </c>
      <c r="C30" s="451">
        <v>0</v>
      </c>
      <c r="D30" s="438">
        <v>15169.269999999999</v>
      </c>
      <c r="E30" s="438">
        <v>5606.3610000000008</v>
      </c>
      <c r="F30" s="438">
        <v>3053.3980000000001</v>
      </c>
      <c r="G30" s="438">
        <v>2192.8670000000002</v>
      </c>
      <c r="H30" s="438">
        <v>23636.494000000002</v>
      </c>
      <c r="I30" s="438">
        <v>4385.1760000000004</v>
      </c>
      <c r="J30" s="438">
        <v>54043.565999999999</v>
      </c>
      <c r="K30" s="440">
        <v>18870.755116</v>
      </c>
      <c r="L30" s="440">
        <v>9463.8971889763779</v>
      </c>
      <c r="M30" s="440">
        <v>2133.6275000000001</v>
      </c>
      <c r="N30" s="440">
        <v>18217.598711220471</v>
      </c>
      <c r="O30" s="440">
        <v>27681.495900196849</v>
      </c>
      <c r="P30" s="440">
        <v>7640.5256589999999</v>
      </c>
      <c r="Q30" s="441">
        <v>56326.404175196847</v>
      </c>
    </row>
    <row r="31" spans="1:17" x14ac:dyDescent="0.3">
      <c r="A31" s="516">
        <v>26</v>
      </c>
      <c r="B31" s="517" t="s">
        <v>455</v>
      </c>
      <c r="C31" s="451"/>
      <c r="D31" s="438">
        <v>11101.998</v>
      </c>
      <c r="E31" s="438">
        <v>4900.027</v>
      </c>
      <c r="F31" s="438">
        <v>1848.883</v>
      </c>
      <c r="G31" s="438">
        <v>0</v>
      </c>
      <c r="H31" s="438">
        <v>0</v>
      </c>
      <c r="I31" s="438">
        <v>0</v>
      </c>
      <c r="J31" s="438">
        <v>17850.907999999999</v>
      </c>
      <c r="K31" s="440">
        <v>14126.425999999999</v>
      </c>
      <c r="L31" s="440">
        <v>5519.4089999999997</v>
      </c>
      <c r="M31" s="440">
        <v>0</v>
      </c>
      <c r="N31" s="440">
        <v>0</v>
      </c>
      <c r="O31" s="440">
        <v>5519.4089999999997</v>
      </c>
      <c r="P31" s="440">
        <v>0</v>
      </c>
      <c r="Q31" s="441">
        <v>19645.834999999999</v>
      </c>
    </row>
    <row r="32" spans="1:17" s="445" customFormat="1" x14ac:dyDescent="0.3">
      <c r="A32" s="518">
        <v>27</v>
      </c>
      <c r="B32" s="519" t="s">
        <v>707</v>
      </c>
      <c r="C32" s="444"/>
      <c r="D32" s="438">
        <v>0</v>
      </c>
      <c r="E32" s="438">
        <v>10.894</v>
      </c>
      <c r="F32" s="438">
        <v>0</v>
      </c>
      <c r="G32" s="438">
        <v>0</v>
      </c>
      <c r="H32" s="438">
        <v>2938.3720000000003</v>
      </c>
      <c r="I32" s="438">
        <v>185.5</v>
      </c>
      <c r="J32" s="438">
        <v>3134.7660000000001</v>
      </c>
      <c r="K32" s="440">
        <v>96</v>
      </c>
      <c r="L32" s="440">
        <v>0</v>
      </c>
      <c r="M32" s="440">
        <v>0</v>
      </c>
      <c r="N32" s="440">
        <v>2471.94</v>
      </c>
      <c r="O32" s="440">
        <v>2471.94</v>
      </c>
      <c r="P32" s="440">
        <v>291</v>
      </c>
      <c r="Q32" s="441">
        <v>2858.94</v>
      </c>
    </row>
    <row r="33" spans="1:17" x14ac:dyDescent="0.3">
      <c r="A33" s="516">
        <v>28</v>
      </c>
      <c r="B33" s="517" t="s">
        <v>708</v>
      </c>
      <c r="C33" s="451"/>
      <c r="D33" s="438">
        <v>0</v>
      </c>
      <c r="E33" s="438">
        <v>0</v>
      </c>
      <c r="F33" s="438">
        <v>0</v>
      </c>
      <c r="G33" s="438">
        <v>0</v>
      </c>
      <c r="H33" s="438">
        <v>31.187999999999999</v>
      </c>
      <c r="I33" s="438">
        <v>5.3</v>
      </c>
      <c r="J33" s="438">
        <v>36.488</v>
      </c>
      <c r="K33" s="440">
        <v>0</v>
      </c>
      <c r="L33" s="440">
        <v>0</v>
      </c>
      <c r="M33" s="440">
        <v>0</v>
      </c>
      <c r="N33" s="440">
        <v>400</v>
      </c>
      <c r="O33" s="440">
        <v>400</v>
      </c>
      <c r="P33" s="440">
        <v>0</v>
      </c>
      <c r="Q33" s="441">
        <v>400</v>
      </c>
    </row>
    <row r="34" spans="1:17" x14ac:dyDescent="0.3">
      <c r="A34" s="516">
        <v>29</v>
      </c>
      <c r="B34" s="517" t="s">
        <v>709</v>
      </c>
      <c r="C34" s="451"/>
      <c r="D34" s="438">
        <v>2863.96</v>
      </c>
      <c r="E34" s="438">
        <v>46.578000000000003</v>
      </c>
      <c r="F34" s="438">
        <v>633.91399999999999</v>
      </c>
      <c r="G34" s="438">
        <v>1622.242</v>
      </c>
      <c r="H34" s="438">
        <v>1379.5170000000001</v>
      </c>
      <c r="I34" s="438">
        <v>1090.1869999999999</v>
      </c>
      <c r="J34" s="438">
        <v>7636.3980000000001</v>
      </c>
      <c r="K34" s="440">
        <v>3000</v>
      </c>
      <c r="L34" s="440">
        <v>2500</v>
      </c>
      <c r="M34" s="440">
        <v>885.62199999999996</v>
      </c>
      <c r="N34" s="440">
        <v>1458.1494689999997</v>
      </c>
      <c r="O34" s="440">
        <v>3958.149469</v>
      </c>
      <c r="P34" s="440">
        <v>1152.327659</v>
      </c>
      <c r="Q34" s="441">
        <v>8996.0991279999998</v>
      </c>
    </row>
    <row r="35" spans="1:17" x14ac:dyDescent="0.3">
      <c r="A35" s="516">
        <v>30</v>
      </c>
      <c r="B35" s="517" t="s">
        <v>710</v>
      </c>
      <c r="C35" s="451"/>
      <c r="D35" s="438">
        <v>412.15300000000002</v>
      </c>
      <c r="E35" s="438">
        <v>237.71799999999999</v>
      </c>
      <c r="F35" s="438">
        <v>290.74599999999998</v>
      </c>
      <c r="G35" s="438">
        <v>159.69200000000001</v>
      </c>
      <c r="H35" s="438">
        <v>5540.2290000000003</v>
      </c>
      <c r="I35" s="438">
        <v>792.774</v>
      </c>
      <c r="J35" s="438">
        <v>7433.3120000000008</v>
      </c>
      <c r="K35" s="440">
        <v>603.04302239999993</v>
      </c>
      <c r="L35" s="440">
        <v>600</v>
      </c>
      <c r="M35" s="440">
        <v>405.10750000000002</v>
      </c>
      <c r="N35" s="440">
        <v>5735.8823759999996</v>
      </c>
      <c r="O35" s="440">
        <v>6335.8823759999996</v>
      </c>
      <c r="P35" s="440">
        <v>898.23900000000003</v>
      </c>
      <c r="Q35" s="441">
        <v>8242.2718983999985</v>
      </c>
    </row>
    <row r="36" spans="1:17" x14ac:dyDescent="0.3">
      <c r="A36" s="516">
        <v>31</v>
      </c>
      <c r="B36" s="517" t="s">
        <v>711</v>
      </c>
      <c r="C36" s="45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1">
        <v>0</v>
      </c>
    </row>
    <row r="37" spans="1:17" x14ac:dyDescent="0.3">
      <c r="A37" s="516">
        <v>32</v>
      </c>
      <c r="B37" s="517" t="s">
        <v>712</v>
      </c>
      <c r="C37" s="451"/>
      <c r="D37" s="438">
        <v>263.786</v>
      </c>
      <c r="E37" s="438">
        <v>110.432</v>
      </c>
      <c r="F37" s="438">
        <v>203.53200000000001</v>
      </c>
      <c r="G37" s="438">
        <v>122.47199999999999</v>
      </c>
      <c r="H37" s="438">
        <v>966.59</v>
      </c>
      <c r="I37" s="438">
        <v>46.304000000000002</v>
      </c>
      <c r="J37" s="438">
        <v>1713.116</v>
      </c>
      <c r="K37" s="440">
        <v>280.1438976</v>
      </c>
      <c r="L37" s="440">
        <v>300</v>
      </c>
      <c r="M37" s="440">
        <v>100</v>
      </c>
      <c r="N37" s="440">
        <v>1021.6856299999998</v>
      </c>
      <c r="O37" s="440">
        <v>1321.6856299999999</v>
      </c>
      <c r="P37" s="440">
        <v>80</v>
      </c>
      <c r="Q37" s="441">
        <v>1781.8295275999999</v>
      </c>
    </row>
    <row r="38" spans="1:17" s="445" customFormat="1" x14ac:dyDescent="0.3">
      <c r="A38" s="518">
        <v>33</v>
      </c>
      <c r="B38" s="519" t="s">
        <v>713</v>
      </c>
      <c r="C38" s="444"/>
      <c r="D38" s="438">
        <v>55.47</v>
      </c>
      <c r="E38" s="438">
        <v>79.117000000000004</v>
      </c>
      <c r="F38" s="438">
        <v>61.283000000000001</v>
      </c>
      <c r="G38" s="438">
        <v>12</v>
      </c>
      <c r="H38" s="438">
        <v>6167.7709999999997</v>
      </c>
      <c r="I38" s="438">
        <v>1476.548</v>
      </c>
      <c r="J38" s="438">
        <v>7852.1889999999994</v>
      </c>
      <c r="K38" s="440">
        <v>203</v>
      </c>
      <c r="L38" s="440">
        <v>394.48818897637796</v>
      </c>
      <c r="M38" s="440">
        <v>50</v>
      </c>
      <c r="N38" s="440">
        <v>5767.3230000000003</v>
      </c>
      <c r="O38" s="440">
        <v>6161.8111889763786</v>
      </c>
      <c r="P38" s="440">
        <v>2200</v>
      </c>
      <c r="Q38" s="441">
        <v>8614.8111889763786</v>
      </c>
    </row>
    <row r="39" spans="1:17" s="522" customFormat="1" hidden="1" x14ac:dyDescent="0.3">
      <c r="A39" s="520"/>
      <c r="B39" s="521" t="s">
        <v>714</v>
      </c>
      <c r="C39" s="451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40">
        <v>0</v>
      </c>
      <c r="L39" s="440">
        <v>0</v>
      </c>
      <c r="M39" s="440">
        <v>0</v>
      </c>
      <c r="N39" s="440">
        <v>0</v>
      </c>
      <c r="O39" s="440">
        <v>0</v>
      </c>
      <c r="P39" s="440">
        <v>0</v>
      </c>
      <c r="Q39" s="441">
        <v>0</v>
      </c>
    </row>
    <row r="40" spans="1:17" s="522" customFormat="1" hidden="1" x14ac:dyDescent="0.3">
      <c r="A40" s="520"/>
      <c r="B40" s="521" t="s">
        <v>715</v>
      </c>
      <c r="C40" s="45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40">
        <v>0</v>
      </c>
      <c r="L40" s="440">
        <v>0</v>
      </c>
      <c r="M40" s="440">
        <v>0</v>
      </c>
      <c r="N40" s="440">
        <v>0</v>
      </c>
      <c r="O40" s="440">
        <v>0</v>
      </c>
      <c r="P40" s="440">
        <v>0</v>
      </c>
      <c r="Q40" s="441">
        <v>0</v>
      </c>
    </row>
    <row r="41" spans="1:17" s="522" customFormat="1" hidden="1" x14ac:dyDescent="0.3">
      <c r="A41" s="520"/>
      <c r="B41" s="521" t="s">
        <v>716</v>
      </c>
      <c r="C41" s="45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40">
        <v>0</v>
      </c>
      <c r="L41" s="440">
        <v>0</v>
      </c>
      <c r="M41" s="440">
        <v>0</v>
      </c>
      <c r="N41" s="440">
        <v>0</v>
      </c>
      <c r="O41" s="440">
        <v>0</v>
      </c>
      <c r="P41" s="440">
        <v>0</v>
      </c>
      <c r="Q41" s="441">
        <v>0</v>
      </c>
    </row>
    <row r="42" spans="1:17" s="522" customFormat="1" hidden="1" x14ac:dyDescent="0.3">
      <c r="A42" s="520"/>
      <c r="B42" s="521" t="s">
        <v>717</v>
      </c>
      <c r="C42" s="451"/>
      <c r="D42" s="438">
        <v>0</v>
      </c>
      <c r="E42" s="438">
        <v>0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40">
        <v>0</v>
      </c>
      <c r="L42" s="440">
        <v>0</v>
      </c>
      <c r="M42" s="440">
        <v>0</v>
      </c>
      <c r="N42" s="440">
        <v>0</v>
      </c>
      <c r="O42" s="440">
        <v>0</v>
      </c>
      <c r="P42" s="440">
        <v>0</v>
      </c>
      <c r="Q42" s="441">
        <v>0</v>
      </c>
    </row>
    <row r="43" spans="1:17" s="522" customFormat="1" hidden="1" x14ac:dyDescent="0.3">
      <c r="A43" s="520"/>
      <c r="B43" s="521" t="s">
        <v>718</v>
      </c>
      <c r="C43" s="451"/>
      <c r="D43" s="438">
        <v>0</v>
      </c>
      <c r="E43" s="438">
        <v>0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40">
        <v>0</v>
      </c>
      <c r="L43" s="440">
        <v>0</v>
      </c>
      <c r="M43" s="440">
        <v>0</v>
      </c>
      <c r="N43" s="440">
        <v>0</v>
      </c>
      <c r="O43" s="440">
        <v>0</v>
      </c>
      <c r="P43" s="440">
        <v>0</v>
      </c>
      <c r="Q43" s="441">
        <v>0</v>
      </c>
    </row>
    <row r="44" spans="1:17" s="522" customFormat="1" hidden="1" x14ac:dyDescent="0.3">
      <c r="A44" s="520"/>
      <c r="B44" s="521" t="s">
        <v>719</v>
      </c>
      <c r="C44" s="45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40">
        <v>0</v>
      </c>
      <c r="L44" s="440">
        <v>0</v>
      </c>
      <c r="M44" s="440">
        <v>0</v>
      </c>
      <c r="N44" s="440">
        <v>0</v>
      </c>
      <c r="O44" s="440">
        <v>0</v>
      </c>
      <c r="P44" s="440">
        <v>0</v>
      </c>
      <c r="Q44" s="441">
        <v>0</v>
      </c>
    </row>
    <row r="45" spans="1:17" x14ac:dyDescent="0.3">
      <c r="A45" s="516">
        <v>34</v>
      </c>
      <c r="B45" s="517" t="s">
        <v>720</v>
      </c>
      <c r="C45" s="451"/>
      <c r="D45" s="438">
        <v>471.90300000000002</v>
      </c>
      <c r="E45" s="438">
        <v>221.595</v>
      </c>
      <c r="F45" s="438">
        <v>15.04</v>
      </c>
      <c r="G45" s="438">
        <v>276.46100000000001</v>
      </c>
      <c r="H45" s="438">
        <v>5753.915</v>
      </c>
      <c r="I45" s="438">
        <v>788.56299999999999</v>
      </c>
      <c r="J45" s="438">
        <v>7527.4769999999999</v>
      </c>
      <c r="K45" s="440">
        <v>562.14219600000001</v>
      </c>
      <c r="L45" s="440">
        <v>150</v>
      </c>
      <c r="M45" s="440">
        <v>692.89800000000002</v>
      </c>
      <c r="N45" s="440">
        <v>1362.6182362204725</v>
      </c>
      <c r="O45" s="440">
        <v>1512.6182362204725</v>
      </c>
      <c r="P45" s="440">
        <v>3018.9589999999998</v>
      </c>
      <c r="Q45" s="441">
        <v>5786.6174322204724</v>
      </c>
    </row>
    <row r="46" spans="1:17" s="522" customFormat="1" hidden="1" x14ac:dyDescent="0.3">
      <c r="A46" s="520"/>
      <c r="B46" s="521" t="s">
        <v>721</v>
      </c>
      <c r="C46" s="45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40">
        <v>0</v>
      </c>
      <c r="L46" s="440">
        <v>0</v>
      </c>
      <c r="M46" s="440">
        <v>0</v>
      </c>
      <c r="N46" s="440">
        <v>0</v>
      </c>
      <c r="O46" s="440">
        <v>0</v>
      </c>
      <c r="P46" s="440">
        <v>0</v>
      </c>
      <c r="Q46" s="441">
        <v>0</v>
      </c>
    </row>
    <row r="47" spans="1:17" s="522" customFormat="1" hidden="1" x14ac:dyDescent="0.3">
      <c r="A47" s="520"/>
      <c r="B47" s="521" t="s">
        <v>722</v>
      </c>
      <c r="C47" s="45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40">
        <v>0</v>
      </c>
      <c r="L47" s="440">
        <v>0</v>
      </c>
      <c r="M47" s="440">
        <v>0</v>
      </c>
      <c r="N47" s="440">
        <v>0</v>
      </c>
      <c r="O47" s="440">
        <v>0</v>
      </c>
      <c r="P47" s="440">
        <v>0</v>
      </c>
      <c r="Q47" s="441">
        <v>0</v>
      </c>
    </row>
    <row r="48" spans="1:17" s="522" customFormat="1" hidden="1" x14ac:dyDescent="0.3">
      <c r="A48" s="520"/>
      <c r="B48" s="521" t="s">
        <v>723</v>
      </c>
      <c r="C48" s="451"/>
      <c r="D48" s="438">
        <v>0</v>
      </c>
      <c r="E48" s="438">
        <v>0</v>
      </c>
      <c r="F48" s="438">
        <v>0</v>
      </c>
      <c r="G48" s="438">
        <v>0</v>
      </c>
      <c r="H48" s="438">
        <v>0</v>
      </c>
      <c r="I48" s="438">
        <v>0</v>
      </c>
      <c r="J48" s="438">
        <v>0</v>
      </c>
      <c r="K48" s="440">
        <v>0</v>
      </c>
      <c r="L48" s="440">
        <v>0</v>
      </c>
      <c r="M48" s="440">
        <v>0</v>
      </c>
      <c r="N48" s="440">
        <v>0</v>
      </c>
      <c r="O48" s="440">
        <v>0</v>
      </c>
      <c r="P48" s="440">
        <v>0</v>
      </c>
      <c r="Q48" s="441">
        <v>0</v>
      </c>
    </row>
    <row r="49" spans="1:17" s="522" customFormat="1" hidden="1" x14ac:dyDescent="0.3">
      <c r="A49" s="520"/>
      <c r="B49" s="521" t="s">
        <v>724</v>
      </c>
      <c r="C49" s="451"/>
      <c r="D49" s="438">
        <v>0</v>
      </c>
      <c r="E49" s="438">
        <v>0</v>
      </c>
      <c r="F49" s="438">
        <v>0</v>
      </c>
      <c r="G49" s="438">
        <v>0</v>
      </c>
      <c r="H49" s="438">
        <v>0</v>
      </c>
      <c r="I49" s="438">
        <v>0</v>
      </c>
      <c r="J49" s="438">
        <v>0</v>
      </c>
      <c r="K49" s="440">
        <v>0</v>
      </c>
      <c r="L49" s="440">
        <v>0</v>
      </c>
      <c r="M49" s="440">
        <v>0</v>
      </c>
      <c r="N49" s="440">
        <v>0</v>
      </c>
      <c r="O49" s="440">
        <v>0</v>
      </c>
      <c r="P49" s="440">
        <v>0</v>
      </c>
      <c r="Q49" s="441">
        <v>0</v>
      </c>
    </row>
    <row r="50" spans="1:17" s="522" customFormat="1" hidden="1" x14ac:dyDescent="0.3">
      <c r="A50" s="520"/>
      <c r="B50" s="521" t="s">
        <v>725</v>
      </c>
      <c r="C50" s="451"/>
      <c r="D50" s="438">
        <v>0</v>
      </c>
      <c r="E50" s="438">
        <v>0</v>
      </c>
      <c r="F50" s="438">
        <v>0</v>
      </c>
      <c r="G50" s="438">
        <v>0</v>
      </c>
      <c r="H50" s="438">
        <v>0</v>
      </c>
      <c r="I50" s="438">
        <v>0</v>
      </c>
      <c r="J50" s="438">
        <v>0</v>
      </c>
      <c r="K50" s="440">
        <v>0</v>
      </c>
      <c r="L50" s="440">
        <v>0</v>
      </c>
      <c r="M50" s="440">
        <v>0</v>
      </c>
      <c r="N50" s="440">
        <v>0</v>
      </c>
      <c r="O50" s="440">
        <v>0</v>
      </c>
      <c r="P50" s="440">
        <v>0</v>
      </c>
      <c r="Q50" s="441">
        <v>0</v>
      </c>
    </row>
    <row r="51" spans="1:17" s="522" customFormat="1" hidden="1" x14ac:dyDescent="0.3">
      <c r="A51" s="520"/>
      <c r="B51" s="521" t="s">
        <v>726</v>
      </c>
      <c r="C51" s="451"/>
      <c r="D51" s="438">
        <v>0</v>
      </c>
      <c r="E51" s="438">
        <v>0</v>
      </c>
      <c r="F51" s="438">
        <v>0</v>
      </c>
      <c r="G51" s="438">
        <v>0</v>
      </c>
      <c r="H51" s="438">
        <v>0</v>
      </c>
      <c r="I51" s="438">
        <v>0</v>
      </c>
      <c r="J51" s="438">
        <v>0</v>
      </c>
      <c r="K51" s="440">
        <v>0</v>
      </c>
      <c r="L51" s="440">
        <v>0</v>
      </c>
      <c r="M51" s="440">
        <v>0</v>
      </c>
      <c r="N51" s="440">
        <v>0</v>
      </c>
      <c r="O51" s="440">
        <v>0</v>
      </c>
      <c r="P51" s="440">
        <v>0</v>
      </c>
      <c r="Q51" s="441">
        <v>0</v>
      </c>
    </row>
    <row r="52" spans="1:17" s="522" customFormat="1" hidden="1" x14ac:dyDescent="0.3">
      <c r="A52" s="520"/>
      <c r="B52" s="521" t="s">
        <v>727</v>
      </c>
      <c r="C52" s="451"/>
      <c r="D52" s="438">
        <v>0</v>
      </c>
      <c r="E52" s="438">
        <v>0</v>
      </c>
      <c r="F52" s="438">
        <v>0</v>
      </c>
      <c r="G52" s="438">
        <v>0</v>
      </c>
      <c r="H52" s="438">
        <v>0</v>
      </c>
      <c r="I52" s="438">
        <v>0</v>
      </c>
      <c r="J52" s="438">
        <v>0</v>
      </c>
      <c r="K52" s="440">
        <v>0</v>
      </c>
      <c r="L52" s="440">
        <v>0</v>
      </c>
      <c r="M52" s="440">
        <v>0</v>
      </c>
      <c r="N52" s="440">
        <v>0</v>
      </c>
      <c r="O52" s="440">
        <v>0</v>
      </c>
      <c r="P52" s="440">
        <v>0</v>
      </c>
      <c r="Q52" s="441">
        <v>0</v>
      </c>
    </row>
    <row r="53" spans="1:17" s="522" customFormat="1" hidden="1" x14ac:dyDescent="0.3">
      <c r="A53" s="520"/>
      <c r="B53" s="521" t="s">
        <v>728</v>
      </c>
      <c r="C53" s="451"/>
      <c r="D53" s="438">
        <v>0</v>
      </c>
      <c r="E53" s="438">
        <v>0</v>
      </c>
      <c r="F53" s="438">
        <v>0</v>
      </c>
      <c r="G53" s="438">
        <v>0</v>
      </c>
      <c r="H53" s="438">
        <v>0</v>
      </c>
      <c r="I53" s="438">
        <v>0</v>
      </c>
      <c r="J53" s="438">
        <v>0</v>
      </c>
      <c r="K53" s="440">
        <v>0</v>
      </c>
      <c r="L53" s="440">
        <v>0</v>
      </c>
      <c r="M53" s="440">
        <v>0</v>
      </c>
      <c r="N53" s="440">
        <v>0</v>
      </c>
      <c r="O53" s="440">
        <v>0</v>
      </c>
      <c r="P53" s="440">
        <v>0</v>
      </c>
      <c r="Q53" s="441">
        <v>0</v>
      </c>
    </row>
    <row r="54" spans="1:17" ht="26.4" x14ac:dyDescent="0.3">
      <c r="A54" s="516">
        <v>35</v>
      </c>
      <c r="B54" s="517" t="s">
        <v>729</v>
      </c>
      <c r="C54" s="451"/>
      <c r="D54" s="438">
        <v>0</v>
      </c>
      <c r="E54" s="438">
        <v>0</v>
      </c>
      <c r="F54" s="438">
        <v>0</v>
      </c>
      <c r="G54" s="438">
        <v>0</v>
      </c>
      <c r="H54" s="438">
        <v>858.91200000000003</v>
      </c>
      <c r="I54" s="438">
        <v>0</v>
      </c>
      <c r="J54" s="438">
        <v>858.91200000000003</v>
      </c>
      <c r="K54" s="440">
        <v>0</v>
      </c>
      <c r="L54" s="440">
        <v>0</v>
      </c>
      <c r="M54" s="440">
        <v>0</v>
      </c>
      <c r="N54" s="440">
        <v>0</v>
      </c>
      <c r="O54" s="440">
        <v>0</v>
      </c>
      <c r="P54" s="440">
        <v>0</v>
      </c>
      <c r="Q54" s="441">
        <v>0</v>
      </c>
    </row>
    <row r="55" spans="1:17" x14ac:dyDescent="0.3">
      <c r="A55" s="516">
        <v>36</v>
      </c>
      <c r="B55" s="517" t="s">
        <v>730</v>
      </c>
      <c r="C55" s="451"/>
      <c r="D55" s="438">
        <v>0</v>
      </c>
      <c r="E55" s="438">
        <v>0</v>
      </c>
      <c r="F55" s="438">
        <v>0</v>
      </c>
      <c r="G55" s="438">
        <v>0</v>
      </c>
      <c r="H55" s="438">
        <v>0</v>
      </c>
      <c r="I55" s="438">
        <v>0</v>
      </c>
      <c r="J55" s="438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1">
        <v>0</v>
      </c>
    </row>
    <row r="56" spans="1:17" x14ac:dyDescent="0.3">
      <c r="A56" s="514">
        <v>37</v>
      </c>
      <c r="B56" s="515" t="s">
        <v>731</v>
      </c>
      <c r="C56" s="451"/>
      <c r="D56" s="438">
        <v>0</v>
      </c>
      <c r="E56" s="438">
        <v>0</v>
      </c>
      <c r="F56" s="438">
        <v>0</v>
      </c>
      <c r="G56" s="438">
        <v>0</v>
      </c>
      <c r="H56" s="438">
        <v>0</v>
      </c>
      <c r="I56" s="438">
        <v>0</v>
      </c>
      <c r="J56" s="438">
        <v>0</v>
      </c>
      <c r="K56" s="440">
        <v>0</v>
      </c>
      <c r="L56" s="440">
        <v>0</v>
      </c>
      <c r="M56" s="440">
        <v>0</v>
      </c>
      <c r="N56" s="440">
        <v>0</v>
      </c>
      <c r="O56" s="440">
        <v>0</v>
      </c>
      <c r="P56" s="440">
        <v>0</v>
      </c>
      <c r="Q56" s="441">
        <v>0</v>
      </c>
    </row>
    <row r="57" spans="1:17" x14ac:dyDescent="0.3">
      <c r="A57" s="514">
        <v>38</v>
      </c>
      <c r="B57" s="515" t="s">
        <v>732</v>
      </c>
      <c r="C57" s="451">
        <v>0</v>
      </c>
      <c r="D57" s="438">
        <v>0</v>
      </c>
      <c r="E57" s="438">
        <v>15.282</v>
      </c>
      <c r="F57" s="438">
        <v>0</v>
      </c>
      <c r="G57" s="438">
        <v>0</v>
      </c>
      <c r="H57" s="438">
        <v>398.45399999999995</v>
      </c>
      <c r="I57" s="438">
        <v>72.844999999999999</v>
      </c>
      <c r="J57" s="438">
        <v>486.5809999999999</v>
      </c>
      <c r="K57" s="440">
        <v>30</v>
      </c>
      <c r="L57" s="440">
        <v>0</v>
      </c>
      <c r="M57" s="440">
        <v>0</v>
      </c>
      <c r="N57" s="440">
        <v>370</v>
      </c>
      <c r="O57" s="440">
        <v>370</v>
      </c>
      <c r="P57" s="440">
        <v>100</v>
      </c>
      <c r="Q57" s="441">
        <v>500</v>
      </c>
    </row>
    <row r="58" spans="1:17" x14ac:dyDescent="0.3">
      <c r="A58" s="516">
        <v>39</v>
      </c>
      <c r="B58" s="517" t="s">
        <v>733</v>
      </c>
      <c r="C58" s="451"/>
      <c r="D58" s="438">
        <v>0</v>
      </c>
      <c r="E58" s="438">
        <v>0</v>
      </c>
      <c r="F58" s="438">
        <v>0</v>
      </c>
      <c r="G58" s="438">
        <v>0</v>
      </c>
      <c r="H58" s="438">
        <v>78.727000000000004</v>
      </c>
      <c r="I58" s="438">
        <v>72.844999999999999</v>
      </c>
      <c r="J58" s="438">
        <v>151.572</v>
      </c>
      <c r="K58" s="440">
        <v>0</v>
      </c>
      <c r="L58" s="440">
        <v>0</v>
      </c>
      <c r="M58" s="440">
        <v>0</v>
      </c>
      <c r="N58" s="440">
        <v>70</v>
      </c>
      <c r="O58" s="440">
        <v>70</v>
      </c>
      <c r="P58" s="440">
        <v>100</v>
      </c>
      <c r="Q58" s="441">
        <v>170</v>
      </c>
    </row>
    <row r="59" spans="1:17" x14ac:dyDescent="0.3">
      <c r="A59" s="516">
        <v>40</v>
      </c>
      <c r="B59" s="517" t="s">
        <v>734</v>
      </c>
      <c r="C59" s="451"/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40">
        <v>0</v>
      </c>
      <c r="L59" s="440">
        <v>0</v>
      </c>
      <c r="M59" s="440">
        <v>0</v>
      </c>
      <c r="N59" s="440">
        <v>0</v>
      </c>
      <c r="O59" s="440">
        <v>0</v>
      </c>
      <c r="P59" s="440">
        <v>0</v>
      </c>
      <c r="Q59" s="441">
        <v>0</v>
      </c>
    </row>
    <row r="60" spans="1:17" x14ac:dyDescent="0.3">
      <c r="A60" s="516">
        <v>41</v>
      </c>
      <c r="B60" s="517" t="s">
        <v>735</v>
      </c>
      <c r="C60" s="451"/>
      <c r="D60" s="438">
        <v>0</v>
      </c>
      <c r="E60" s="438">
        <v>15.282</v>
      </c>
      <c r="F60" s="438">
        <v>0</v>
      </c>
      <c r="G60" s="438">
        <v>0</v>
      </c>
      <c r="H60" s="438">
        <v>319.72699999999998</v>
      </c>
      <c r="I60" s="438">
        <v>0</v>
      </c>
      <c r="J60" s="438">
        <v>335.00899999999996</v>
      </c>
      <c r="K60" s="440">
        <v>30</v>
      </c>
      <c r="L60" s="440">
        <v>0</v>
      </c>
      <c r="M60" s="440">
        <v>0</v>
      </c>
      <c r="N60" s="440">
        <v>300</v>
      </c>
      <c r="O60" s="440">
        <v>300</v>
      </c>
      <c r="P60" s="440">
        <v>0</v>
      </c>
      <c r="Q60" s="441">
        <v>330</v>
      </c>
    </row>
    <row r="61" spans="1:17" x14ac:dyDescent="0.3">
      <c r="A61" s="516">
        <v>42</v>
      </c>
      <c r="B61" s="517" t="s">
        <v>736</v>
      </c>
      <c r="C61" s="451"/>
      <c r="D61" s="438">
        <v>0</v>
      </c>
      <c r="E61" s="438">
        <v>0</v>
      </c>
      <c r="F61" s="438">
        <v>0</v>
      </c>
      <c r="G61" s="438">
        <v>0</v>
      </c>
      <c r="H61" s="438">
        <v>0</v>
      </c>
      <c r="I61" s="438">
        <v>0</v>
      </c>
      <c r="J61" s="438">
        <v>0</v>
      </c>
      <c r="K61" s="440">
        <v>0</v>
      </c>
      <c r="L61" s="440">
        <v>0</v>
      </c>
      <c r="M61" s="440">
        <v>0</v>
      </c>
      <c r="N61" s="440">
        <v>0</v>
      </c>
      <c r="O61" s="440">
        <v>0</v>
      </c>
      <c r="P61" s="440">
        <v>0</v>
      </c>
      <c r="Q61" s="441">
        <v>0</v>
      </c>
    </row>
    <row r="62" spans="1:17" x14ac:dyDescent="0.3">
      <c r="A62" s="514">
        <v>43</v>
      </c>
      <c r="B62" s="515" t="s">
        <v>737</v>
      </c>
      <c r="C62" s="451">
        <v>0</v>
      </c>
      <c r="D62" s="438">
        <v>0</v>
      </c>
      <c r="E62" s="438">
        <v>0</v>
      </c>
      <c r="F62" s="438">
        <v>0</v>
      </c>
      <c r="G62" s="438">
        <v>0</v>
      </c>
      <c r="H62" s="438">
        <v>5582.1049999999996</v>
      </c>
      <c r="I62" s="438">
        <v>260.91399999999999</v>
      </c>
      <c r="J62" s="438">
        <v>5843.0189999999993</v>
      </c>
      <c r="K62" s="440">
        <v>150</v>
      </c>
      <c r="L62" s="440">
        <v>0</v>
      </c>
      <c r="M62" s="440">
        <v>0</v>
      </c>
      <c r="N62" s="440">
        <v>5105.7</v>
      </c>
      <c r="O62" s="440">
        <v>5105.7</v>
      </c>
      <c r="P62" s="440">
        <v>1380</v>
      </c>
      <c r="Q62" s="441">
        <v>6635.7</v>
      </c>
    </row>
    <row r="63" spans="1:17" hidden="1" x14ac:dyDescent="0.3">
      <c r="A63" s="514"/>
      <c r="B63" s="521" t="s">
        <v>738</v>
      </c>
      <c r="C63" s="45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40">
        <v>0</v>
      </c>
      <c r="L63" s="440">
        <v>0</v>
      </c>
      <c r="M63" s="440">
        <v>0</v>
      </c>
      <c r="N63" s="440">
        <v>0</v>
      </c>
      <c r="O63" s="440">
        <v>0</v>
      </c>
      <c r="P63" s="440">
        <v>0</v>
      </c>
      <c r="Q63" s="441">
        <v>0</v>
      </c>
    </row>
    <row r="64" spans="1:17" hidden="1" x14ac:dyDescent="0.3">
      <c r="A64" s="514"/>
      <c r="B64" s="521" t="s">
        <v>456</v>
      </c>
      <c r="C64" s="451"/>
      <c r="D64" s="438">
        <v>0</v>
      </c>
      <c r="E64" s="438">
        <v>0</v>
      </c>
      <c r="F64" s="438">
        <v>0</v>
      </c>
      <c r="G64" s="438">
        <v>0</v>
      </c>
      <c r="H64" s="438">
        <v>0</v>
      </c>
      <c r="I64" s="438">
        <v>0</v>
      </c>
      <c r="J64" s="438">
        <v>0</v>
      </c>
      <c r="K64" s="440">
        <v>0</v>
      </c>
      <c r="L64" s="440">
        <v>0</v>
      </c>
      <c r="M64" s="440">
        <v>0</v>
      </c>
      <c r="N64" s="440">
        <v>0</v>
      </c>
      <c r="O64" s="440">
        <v>0</v>
      </c>
      <c r="P64" s="440">
        <v>0</v>
      </c>
      <c r="Q64" s="441">
        <v>0</v>
      </c>
    </row>
    <row r="65" spans="1:17" hidden="1" x14ac:dyDescent="0.3">
      <c r="A65" s="514"/>
      <c r="B65" s="521" t="s">
        <v>739</v>
      </c>
      <c r="C65" s="451"/>
      <c r="D65" s="438">
        <v>0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40">
        <v>0</v>
      </c>
      <c r="L65" s="440">
        <v>0</v>
      </c>
      <c r="M65" s="440">
        <v>0</v>
      </c>
      <c r="N65" s="440">
        <v>0</v>
      </c>
      <c r="O65" s="440">
        <v>0</v>
      </c>
      <c r="P65" s="440">
        <v>0</v>
      </c>
      <c r="Q65" s="441">
        <v>0</v>
      </c>
    </row>
    <row r="66" spans="1:17" hidden="1" x14ac:dyDescent="0.3">
      <c r="A66" s="514"/>
      <c r="B66" s="521" t="s">
        <v>740</v>
      </c>
      <c r="C66" s="451"/>
      <c r="D66" s="438">
        <v>0</v>
      </c>
      <c r="E66" s="438">
        <v>0</v>
      </c>
      <c r="F66" s="438">
        <v>0</v>
      </c>
      <c r="G66" s="438">
        <v>0</v>
      </c>
      <c r="H66" s="438">
        <v>0</v>
      </c>
      <c r="I66" s="438">
        <v>0</v>
      </c>
      <c r="J66" s="438">
        <v>0</v>
      </c>
      <c r="K66" s="440">
        <v>0</v>
      </c>
      <c r="L66" s="440">
        <v>0</v>
      </c>
      <c r="M66" s="440">
        <v>0</v>
      </c>
      <c r="N66" s="440">
        <v>0</v>
      </c>
      <c r="O66" s="440">
        <v>0</v>
      </c>
      <c r="P66" s="440">
        <v>0</v>
      </c>
      <c r="Q66" s="441">
        <v>0</v>
      </c>
    </row>
    <row r="67" spans="1:17" hidden="1" x14ac:dyDescent="0.3">
      <c r="A67" s="514"/>
      <c r="B67" s="521" t="s">
        <v>457</v>
      </c>
      <c r="C67" s="451"/>
      <c r="D67" s="438">
        <v>0</v>
      </c>
      <c r="E67" s="438">
        <v>0</v>
      </c>
      <c r="F67" s="438">
        <v>0</v>
      </c>
      <c r="G67" s="438">
        <v>0</v>
      </c>
      <c r="H67" s="438">
        <v>0</v>
      </c>
      <c r="I67" s="438">
        <v>0</v>
      </c>
      <c r="J67" s="438">
        <v>0</v>
      </c>
      <c r="K67" s="440">
        <v>0</v>
      </c>
      <c r="L67" s="440">
        <v>0</v>
      </c>
      <c r="M67" s="440">
        <v>0</v>
      </c>
      <c r="N67" s="440">
        <v>0</v>
      </c>
      <c r="O67" s="440">
        <v>0</v>
      </c>
      <c r="P67" s="440">
        <v>0</v>
      </c>
      <c r="Q67" s="441">
        <v>0</v>
      </c>
    </row>
    <row r="68" spans="1:17" hidden="1" x14ac:dyDescent="0.3">
      <c r="A68" s="514"/>
      <c r="B68" s="521" t="s">
        <v>458</v>
      </c>
      <c r="C68" s="451"/>
      <c r="D68" s="438">
        <v>0</v>
      </c>
      <c r="E68" s="438">
        <v>0</v>
      </c>
      <c r="F68" s="438">
        <v>0</v>
      </c>
      <c r="G68" s="438">
        <v>0</v>
      </c>
      <c r="H68" s="438">
        <v>0</v>
      </c>
      <c r="I68" s="438">
        <v>0</v>
      </c>
      <c r="J68" s="438">
        <v>0</v>
      </c>
      <c r="K68" s="440">
        <v>0</v>
      </c>
      <c r="L68" s="440">
        <v>0</v>
      </c>
      <c r="M68" s="440">
        <v>0</v>
      </c>
      <c r="N68" s="440">
        <v>0</v>
      </c>
      <c r="O68" s="440">
        <v>0</v>
      </c>
      <c r="P68" s="440">
        <v>0</v>
      </c>
      <c r="Q68" s="441">
        <v>0</v>
      </c>
    </row>
    <row r="69" spans="1:17" hidden="1" x14ac:dyDescent="0.3">
      <c r="A69" s="514"/>
      <c r="B69" s="521" t="s">
        <v>459</v>
      </c>
      <c r="C69" s="45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40">
        <v>0</v>
      </c>
      <c r="L69" s="440">
        <v>0</v>
      </c>
      <c r="M69" s="440">
        <v>0</v>
      </c>
      <c r="N69" s="440">
        <v>0</v>
      </c>
      <c r="O69" s="440">
        <v>0</v>
      </c>
      <c r="P69" s="440">
        <v>0</v>
      </c>
      <c r="Q69" s="441">
        <v>0</v>
      </c>
    </row>
    <row r="70" spans="1:17" hidden="1" x14ac:dyDescent="0.3">
      <c r="A70" s="514"/>
      <c r="B70" s="521" t="s">
        <v>741</v>
      </c>
      <c r="C70" s="45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40">
        <v>0</v>
      </c>
      <c r="L70" s="440">
        <v>0</v>
      </c>
      <c r="M70" s="440">
        <v>0</v>
      </c>
      <c r="N70" s="440">
        <v>0</v>
      </c>
      <c r="O70" s="440">
        <v>0</v>
      </c>
      <c r="P70" s="440">
        <v>0</v>
      </c>
      <c r="Q70" s="441">
        <v>0</v>
      </c>
    </row>
    <row r="71" spans="1:17" x14ac:dyDescent="0.3">
      <c r="A71" s="514">
        <v>44</v>
      </c>
      <c r="B71" s="515" t="s">
        <v>742</v>
      </c>
      <c r="C71" s="451"/>
      <c r="D71" s="438">
        <v>39.021999999999998</v>
      </c>
      <c r="E71" s="438">
        <v>16.3</v>
      </c>
      <c r="F71" s="438">
        <v>0</v>
      </c>
      <c r="G71" s="438">
        <v>0</v>
      </c>
      <c r="H71" s="438">
        <v>3694.9670000000001</v>
      </c>
      <c r="I71" s="438">
        <v>0</v>
      </c>
      <c r="J71" s="438">
        <v>3750.2890000000002</v>
      </c>
      <c r="K71" s="440">
        <v>20</v>
      </c>
      <c r="L71" s="440">
        <v>0</v>
      </c>
      <c r="M71" s="440">
        <v>0</v>
      </c>
      <c r="N71" s="440">
        <v>1326.8520000000001</v>
      </c>
      <c r="O71" s="440">
        <v>1326.8520000000001</v>
      </c>
      <c r="P71" s="440">
        <v>0</v>
      </c>
      <c r="Q71" s="441">
        <v>1346.8520000000001</v>
      </c>
    </row>
    <row r="72" spans="1:17" x14ac:dyDescent="0.3">
      <c r="A72" s="514"/>
      <c r="B72" s="517" t="s">
        <v>623</v>
      </c>
      <c r="C72" s="451"/>
      <c r="D72" s="438"/>
      <c r="E72" s="438"/>
      <c r="F72" s="438"/>
      <c r="G72" s="438"/>
      <c r="H72" s="438"/>
      <c r="I72" s="438"/>
      <c r="J72" s="438"/>
      <c r="K72" s="440"/>
      <c r="L72" s="440"/>
      <c r="M72" s="440"/>
      <c r="N72" s="440"/>
      <c r="O72" s="440"/>
      <c r="P72" s="440"/>
      <c r="Q72" s="441">
        <v>1258</v>
      </c>
    </row>
    <row r="73" spans="1:17" x14ac:dyDescent="0.3">
      <c r="A73" s="510">
        <v>45</v>
      </c>
      <c r="B73" s="511" t="s">
        <v>743</v>
      </c>
      <c r="C73" s="451"/>
      <c r="D73" s="438">
        <v>4092.9659999999999</v>
      </c>
      <c r="E73" s="438">
        <v>1695.309</v>
      </c>
      <c r="F73" s="438">
        <v>859.15899999999999</v>
      </c>
      <c r="G73" s="438">
        <v>628.53</v>
      </c>
      <c r="H73" s="438">
        <v>89620.406000000003</v>
      </c>
      <c r="I73" s="438">
        <v>1637.0219999999999</v>
      </c>
      <c r="J73" s="438">
        <v>98533.391999999993</v>
      </c>
      <c r="K73" s="440">
        <v>5384.6384065919983</v>
      </c>
      <c r="L73" s="440">
        <v>2727.6858000000002</v>
      </c>
      <c r="M73" s="440">
        <v>674.3594250000001</v>
      </c>
      <c r="N73" s="440">
        <v>6860.4868399999996</v>
      </c>
      <c r="O73" s="440">
        <v>9588.1726400000007</v>
      </c>
      <c r="P73" s="440">
        <v>2957.8307379300004</v>
      </c>
      <c r="Q73" s="441">
        <v>18605.001209521997</v>
      </c>
    </row>
    <row r="74" spans="1:17" x14ac:dyDescent="0.3">
      <c r="A74" s="510">
        <v>46</v>
      </c>
      <c r="B74" s="511" t="s">
        <v>744</v>
      </c>
      <c r="C74" s="451"/>
      <c r="D74" s="438">
        <v>0</v>
      </c>
      <c r="E74" s="438">
        <v>0</v>
      </c>
      <c r="F74" s="438">
        <v>0</v>
      </c>
      <c r="G74" s="438">
        <v>0</v>
      </c>
      <c r="H74" s="438">
        <v>0</v>
      </c>
      <c r="I74" s="438">
        <v>0</v>
      </c>
      <c r="J74" s="438">
        <v>0</v>
      </c>
      <c r="K74" s="440">
        <v>0</v>
      </c>
      <c r="L74" s="440">
        <v>0</v>
      </c>
      <c r="M74" s="440">
        <v>0</v>
      </c>
      <c r="N74" s="440">
        <v>0</v>
      </c>
      <c r="O74" s="440">
        <v>0</v>
      </c>
      <c r="P74" s="440">
        <v>0</v>
      </c>
      <c r="Q74" s="441">
        <v>0</v>
      </c>
    </row>
    <row r="75" spans="1:17" ht="26.4" x14ac:dyDescent="0.3">
      <c r="A75" s="510">
        <v>47</v>
      </c>
      <c r="B75" s="511" t="s">
        <v>745</v>
      </c>
      <c r="C75" s="451">
        <v>0</v>
      </c>
      <c r="D75" s="438">
        <v>1929</v>
      </c>
      <c r="E75" s="438">
        <v>18.975999999999999</v>
      </c>
      <c r="F75" s="438">
        <v>5.734</v>
      </c>
      <c r="G75" s="438">
        <v>2.7</v>
      </c>
      <c r="H75" s="438">
        <v>6829.5329999999994</v>
      </c>
      <c r="I75" s="438">
        <v>534.79099999999994</v>
      </c>
      <c r="J75" s="438">
        <v>9320.7339999999986</v>
      </c>
      <c r="K75" s="440">
        <v>100</v>
      </c>
      <c r="L75" s="440">
        <v>0</v>
      </c>
      <c r="M75" s="440">
        <v>50</v>
      </c>
      <c r="N75" s="440">
        <v>5147.6273505999998</v>
      </c>
      <c r="O75" s="440">
        <v>5147.6273505999998</v>
      </c>
      <c r="P75" s="440">
        <v>486.22832</v>
      </c>
      <c r="Q75" s="441">
        <v>5783.8556705999999</v>
      </c>
    </row>
    <row r="76" spans="1:17" hidden="1" x14ac:dyDescent="0.3">
      <c r="A76" s="510"/>
      <c r="B76" s="521" t="s">
        <v>746</v>
      </c>
      <c r="C76" s="451"/>
      <c r="D76" s="438">
        <v>0</v>
      </c>
      <c r="E76" s="438">
        <v>0</v>
      </c>
      <c r="F76" s="438">
        <v>0</v>
      </c>
      <c r="G76" s="438">
        <v>0</v>
      </c>
      <c r="H76" s="438">
        <v>0</v>
      </c>
      <c r="I76" s="438">
        <v>0</v>
      </c>
      <c r="J76" s="438">
        <v>0</v>
      </c>
      <c r="K76" s="440">
        <v>0</v>
      </c>
      <c r="L76" s="440">
        <v>0</v>
      </c>
      <c r="M76" s="440">
        <v>0</v>
      </c>
      <c r="N76" s="440">
        <v>0</v>
      </c>
      <c r="O76" s="440">
        <v>0</v>
      </c>
      <c r="P76" s="440">
        <v>0</v>
      </c>
      <c r="Q76" s="441">
        <v>0</v>
      </c>
    </row>
    <row r="77" spans="1:17" hidden="1" x14ac:dyDescent="0.3">
      <c r="A77" s="510"/>
      <c r="B77" s="521" t="s">
        <v>747</v>
      </c>
      <c r="C77" s="451"/>
      <c r="D77" s="438">
        <v>0</v>
      </c>
      <c r="E77" s="438">
        <v>0</v>
      </c>
      <c r="F77" s="438">
        <v>0</v>
      </c>
      <c r="G77" s="438">
        <v>0</v>
      </c>
      <c r="H77" s="438">
        <v>0</v>
      </c>
      <c r="I77" s="438">
        <v>0</v>
      </c>
      <c r="J77" s="438">
        <v>0</v>
      </c>
      <c r="K77" s="440">
        <v>0</v>
      </c>
      <c r="L77" s="440">
        <v>0</v>
      </c>
      <c r="M77" s="440">
        <v>0</v>
      </c>
      <c r="N77" s="440">
        <v>0</v>
      </c>
      <c r="O77" s="440">
        <v>0</v>
      </c>
      <c r="P77" s="440">
        <v>0</v>
      </c>
      <c r="Q77" s="441">
        <v>0</v>
      </c>
    </row>
    <row r="78" spans="1:17" hidden="1" x14ac:dyDescent="0.3">
      <c r="A78" s="510"/>
      <c r="B78" s="521" t="s">
        <v>748</v>
      </c>
      <c r="C78" s="451"/>
      <c r="D78" s="438">
        <v>0</v>
      </c>
      <c r="E78" s="438">
        <v>0</v>
      </c>
      <c r="F78" s="438">
        <v>0</v>
      </c>
      <c r="G78" s="438">
        <v>0</v>
      </c>
      <c r="H78" s="438">
        <v>0</v>
      </c>
      <c r="I78" s="438">
        <v>0</v>
      </c>
      <c r="J78" s="438">
        <v>0</v>
      </c>
      <c r="K78" s="440">
        <v>0</v>
      </c>
      <c r="L78" s="440">
        <v>0</v>
      </c>
      <c r="M78" s="440">
        <v>0</v>
      </c>
      <c r="N78" s="440">
        <v>0</v>
      </c>
      <c r="O78" s="440">
        <v>0</v>
      </c>
      <c r="P78" s="440">
        <v>0</v>
      </c>
      <c r="Q78" s="441">
        <v>0</v>
      </c>
    </row>
    <row r="79" spans="1:17" hidden="1" x14ac:dyDescent="0.3">
      <c r="A79" s="510"/>
      <c r="B79" s="521" t="s">
        <v>749</v>
      </c>
      <c r="C79" s="451"/>
      <c r="D79" s="438">
        <v>0</v>
      </c>
      <c r="E79" s="438">
        <v>0</v>
      </c>
      <c r="F79" s="438">
        <v>0</v>
      </c>
      <c r="G79" s="438">
        <v>0</v>
      </c>
      <c r="H79" s="438">
        <v>0</v>
      </c>
      <c r="I79" s="438">
        <v>0</v>
      </c>
      <c r="J79" s="438">
        <v>0</v>
      </c>
      <c r="K79" s="440">
        <v>0</v>
      </c>
      <c r="L79" s="440">
        <v>0</v>
      </c>
      <c r="M79" s="440">
        <v>0</v>
      </c>
      <c r="N79" s="440">
        <v>0</v>
      </c>
      <c r="O79" s="440">
        <v>0</v>
      </c>
      <c r="P79" s="440">
        <v>0</v>
      </c>
      <c r="Q79" s="441">
        <v>0</v>
      </c>
    </row>
    <row r="80" spans="1:17" x14ac:dyDescent="0.3">
      <c r="A80" s="510">
        <v>48</v>
      </c>
      <c r="B80" s="523" t="s">
        <v>750</v>
      </c>
      <c r="C80" s="451"/>
      <c r="D80" s="438">
        <v>38.786999999999999</v>
      </c>
      <c r="E80" s="438">
        <v>0.68700000000000006</v>
      </c>
      <c r="F80" s="438">
        <v>12.576000000000001</v>
      </c>
      <c r="G80" s="438">
        <v>6.0789999999999997</v>
      </c>
      <c r="H80" s="438">
        <v>9191.6769999999997</v>
      </c>
      <c r="I80" s="438">
        <v>40.270000000000003</v>
      </c>
      <c r="J80" s="438">
        <v>9290.0760000000009</v>
      </c>
      <c r="K80" s="440">
        <v>10</v>
      </c>
      <c r="L80" s="440">
        <v>10</v>
      </c>
      <c r="M80" s="440">
        <v>10</v>
      </c>
      <c r="N80" s="440">
        <v>20</v>
      </c>
      <c r="O80" s="440">
        <v>30</v>
      </c>
      <c r="P80" s="440">
        <v>10</v>
      </c>
      <c r="Q80" s="441">
        <v>60</v>
      </c>
    </row>
    <row r="81" spans="1:17" x14ac:dyDescent="0.3">
      <c r="A81" s="510">
        <v>49</v>
      </c>
      <c r="B81" s="511" t="s">
        <v>751</v>
      </c>
      <c r="C81" s="451"/>
      <c r="D81" s="438">
        <v>0</v>
      </c>
      <c r="E81" s="438">
        <v>0</v>
      </c>
      <c r="F81" s="438">
        <v>0</v>
      </c>
      <c r="G81" s="438">
        <v>0</v>
      </c>
      <c r="H81" s="438">
        <v>0</v>
      </c>
      <c r="I81" s="438">
        <v>0</v>
      </c>
      <c r="J81" s="438">
        <v>0</v>
      </c>
      <c r="K81" s="440">
        <v>0</v>
      </c>
      <c r="L81" s="440">
        <v>0</v>
      </c>
      <c r="M81" s="440">
        <v>0</v>
      </c>
      <c r="N81" s="440">
        <v>0</v>
      </c>
      <c r="O81" s="440">
        <v>0</v>
      </c>
      <c r="P81" s="440">
        <v>0</v>
      </c>
      <c r="Q81" s="441">
        <v>0</v>
      </c>
    </row>
    <row r="82" spans="1:17" ht="28.8" x14ac:dyDescent="0.3">
      <c r="A82" s="452">
        <v>50</v>
      </c>
      <c r="B82" s="453" t="s">
        <v>752</v>
      </c>
      <c r="C82" s="512">
        <v>0</v>
      </c>
      <c r="D82" s="512">
        <v>21737.004000000001</v>
      </c>
      <c r="E82" s="512">
        <v>8053.7840000000006</v>
      </c>
      <c r="F82" s="512">
        <v>4429.7049999999999</v>
      </c>
      <c r="G82" s="512">
        <v>2972.6190000000006</v>
      </c>
      <c r="H82" s="512">
        <v>141472.505</v>
      </c>
      <c r="I82" s="512">
        <v>9323.5119999999988</v>
      </c>
      <c r="J82" s="512">
        <v>187989.12899999999</v>
      </c>
      <c r="K82" s="512">
        <v>25467.743616191998</v>
      </c>
      <c r="L82" s="512">
        <v>12934.713988976378</v>
      </c>
      <c r="M82" s="512">
        <v>3231.9869250000002</v>
      </c>
      <c r="N82" s="512">
        <v>39979.264901820468</v>
      </c>
      <c r="O82" s="512">
        <v>52913.978890796847</v>
      </c>
      <c r="P82" s="512">
        <v>15228.987716930002</v>
      </c>
      <c r="Q82" s="512">
        <v>96842.697148918829</v>
      </c>
    </row>
    <row r="83" spans="1:17" ht="26.4" x14ac:dyDescent="0.3">
      <c r="A83" s="510">
        <v>51</v>
      </c>
      <c r="B83" s="511" t="s">
        <v>753</v>
      </c>
      <c r="C83" s="451"/>
      <c r="D83" s="438">
        <v>0</v>
      </c>
      <c r="E83" s="438">
        <v>0</v>
      </c>
      <c r="F83" s="438">
        <v>0</v>
      </c>
      <c r="G83" s="438">
        <v>0</v>
      </c>
      <c r="H83" s="438">
        <v>187383.04800000001</v>
      </c>
      <c r="I83" s="438">
        <v>0</v>
      </c>
      <c r="J83" s="438">
        <v>187383.04800000001</v>
      </c>
      <c r="K83" s="440">
        <v>0</v>
      </c>
      <c r="L83" s="440">
        <v>0</v>
      </c>
      <c r="M83" s="440">
        <v>0</v>
      </c>
      <c r="N83" s="440">
        <v>0</v>
      </c>
      <c r="O83" s="440">
        <v>0</v>
      </c>
      <c r="P83" s="440">
        <v>0</v>
      </c>
      <c r="Q83" s="441">
        <v>0</v>
      </c>
    </row>
    <row r="84" spans="1:17" x14ac:dyDescent="0.3">
      <c r="A84" s="510">
        <v>52</v>
      </c>
      <c r="B84" s="511" t="s">
        <v>754</v>
      </c>
      <c r="C84" s="451"/>
      <c r="D84" s="438">
        <v>0</v>
      </c>
      <c r="E84" s="438">
        <v>0</v>
      </c>
      <c r="F84" s="438">
        <v>0</v>
      </c>
      <c r="G84" s="438">
        <v>0</v>
      </c>
      <c r="H84" s="438">
        <v>0</v>
      </c>
      <c r="I84" s="438">
        <v>0</v>
      </c>
      <c r="J84" s="438">
        <v>0</v>
      </c>
      <c r="K84" s="440">
        <v>0</v>
      </c>
      <c r="L84" s="440">
        <v>0</v>
      </c>
      <c r="M84" s="440">
        <v>0</v>
      </c>
      <c r="N84" s="440">
        <v>0</v>
      </c>
      <c r="O84" s="440">
        <v>0</v>
      </c>
      <c r="P84" s="440">
        <v>0</v>
      </c>
      <c r="Q84" s="441">
        <v>0</v>
      </c>
    </row>
    <row r="85" spans="1:17" x14ac:dyDescent="0.3">
      <c r="A85" s="510">
        <v>53</v>
      </c>
      <c r="B85" s="511" t="s">
        <v>755</v>
      </c>
      <c r="C85" s="451"/>
      <c r="D85" s="438">
        <v>0</v>
      </c>
      <c r="E85" s="438">
        <v>0</v>
      </c>
      <c r="F85" s="438">
        <v>0</v>
      </c>
      <c r="G85" s="438">
        <v>0</v>
      </c>
      <c r="H85" s="438">
        <v>0</v>
      </c>
      <c r="I85" s="438">
        <v>0</v>
      </c>
      <c r="J85" s="438">
        <v>0</v>
      </c>
      <c r="K85" s="440">
        <v>0</v>
      </c>
      <c r="L85" s="440">
        <v>0</v>
      </c>
      <c r="M85" s="440">
        <v>0</v>
      </c>
      <c r="N85" s="440">
        <v>0</v>
      </c>
      <c r="O85" s="440">
        <v>0</v>
      </c>
      <c r="P85" s="440">
        <v>0</v>
      </c>
      <c r="Q85" s="441">
        <v>0</v>
      </c>
    </row>
    <row r="86" spans="1:17" ht="26.4" x14ac:dyDescent="0.3">
      <c r="A86" s="510">
        <v>54</v>
      </c>
      <c r="B86" s="511" t="s">
        <v>756</v>
      </c>
      <c r="C86" s="451">
        <v>0</v>
      </c>
      <c r="D86" s="438">
        <v>0</v>
      </c>
      <c r="E86" s="438">
        <v>0</v>
      </c>
      <c r="F86" s="438">
        <v>0</v>
      </c>
      <c r="G86" s="438">
        <v>0</v>
      </c>
      <c r="H86" s="438">
        <v>4947.9159999999993</v>
      </c>
      <c r="I86" s="438">
        <v>300</v>
      </c>
      <c r="J86" s="438">
        <v>5247.9159999999993</v>
      </c>
      <c r="K86" s="440">
        <v>0</v>
      </c>
      <c r="L86" s="440">
        <v>0</v>
      </c>
      <c r="M86" s="440">
        <v>0</v>
      </c>
      <c r="N86" s="440">
        <v>4034</v>
      </c>
      <c r="O86" s="440">
        <v>4034</v>
      </c>
      <c r="P86" s="440">
        <v>0</v>
      </c>
      <c r="Q86" s="441">
        <v>4034</v>
      </c>
    </row>
    <row r="87" spans="1:17" x14ac:dyDescent="0.3">
      <c r="A87" s="510">
        <v>5401</v>
      </c>
      <c r="B87" s="515" t="s">
        <v>757</v>
      </c>
      <c r="C87" s="451"/>
      <c r="D87" s="438">
        <v>0</v>
      </c>
      <c r="E87" s="438">
        <v>0</v>
      </c>
      <c r="F87" s="438">
        <v>0</v>
      </c>
      <c r="G87" s="438">
        <v>0</v>
      </c>
      <c r="H87" s="438">
        <v>0</v>
      </c>
      <c r="I87" s="438">
        <v>0</v>
      </c>
      <c r="J87" s="438">
        <v>0</v>
      </c>
      <c r="K87" s="440">
        <v>0</v>
      </c>
      <c r="L87" s="440">
        <v>0</v>
      </c>
      <c r="M87" s="440">
        <v>0</v>
      </c>
      <c r="N87" s="440">
        <v>0</v>
      </c>
      <c r="O87" s="440">
        <v>0</v>
      </c>
      <c r="P87" s="440">
        <v>0</v>
      </c>
      <c r="Q87" s="441">
        <v>0</v>
      </c>
    </row>
    <row r="88" spans="1:17" x14ac:dyDescent="0.3">
      <c r="A88" s="510">
        <v>5402</v>
      </c>
      <c r="B88" s="515" t="s">
        <v>758</v>
      </c>
      <c r="C88" s="451"/>
      <c r="D88" s="438">
        <v>0</v>
      </c>
      <c r="E88" s="438">
        <v>0</v>
      </c>
      <c r="F88" s="438">
        <v>0</v>
      </c>
      <c r="G88" s="438">
        <v>0</v>
      </c>
      <c r="H88" s="438">
        <v>0</v>
      </c>
      <c r="I88" s="438">
        <v>0</v>
      </c>
      <c r="J88" s="438">
        <v>0</v>
      </c>
      <c r="K88" s="440">
        <v>0</v>
      </c>
      <c r="L88" s="440">
        <v>0</v>
      </c>
      <c r="M88" s="440">
        <v>0</v>
      </c>
      <c r="N88" s="440">
        <v>0</v>
      </c>
      <c r="O88" s="440">
        <v>0</v>
      </c>
      <c r="P88" s="440">
        <v>0</v>
      </c>
      <c r="Q88" s="441">
        <v>0</v>
      </c>
    </row>
    <row r="89" spans="1:17" x14ac:dyDescent="0.3">
      <c r="A89" s="510">
        <v>5403</v>
      </c>
      <c r="B89" s="515" t="s">
        <v>759</v>
      </c>
      <c r="C89" s="451"/>
      <c r="D89" s="438">
        <v>0</v>
      </c>
      <c r="E89" s="438">
        <v>0</v>
      </c>
      <c r="F89" s="438">
        <v>0</v>
      </c>
      <c r="G89" s="438">
        <v>0</v>
      </c>
      <c r="H89" s="438">
        <v>382.41</v>
      </c>
      <c r="I89" s="438">
        <v>0</v>
      </c>
      <c r="J89" s="438">
        <v>382.41</v>
      </c>
      <c r="K89" s="440">
        <v>0</v>
      </c>
      <c r="L89" s="440">
        <v>0</v>
      </c>
      <c r="M89" s="440">
        <v>0</v>
      </c>
      <c r="N89" s="440">
        <v>576</v>
      </c>
      <c r="O89" s="440">
        <v>576</v>
      </c>
      <c r="P89" s="440">
        <v>0</v>
      </c>
      <c r="Q89" s="441">
        <v>576</v>
      </c>
    </row>
    <row r="90" spans="1:17" x14ac:dyDescent="0.3">
      <c r="A90" s="510">
        <v>5404</v>
      </c>
      <c r="B90" s="515" t="s">
        <v>760</v>
      </c>
      <c r="C90" s="451"/>
      <c r="D90" s="438">
        <v>0</v>
      </c>
      <c r="E90" s="438">
        <v>0</v>
      </c>
      <c r="F90" s="438">
        <v>0</v>
      </c>
      <c r="G90" s="438">
        <v>0</v>
      </c>
      <c r="H90" s="438">
        <v>69.3</v>
      </c>
      <c r="I90" s="438">
        <v>0</v>
      </c>
      <c r="J90" s="438">
        <v>69.3</v>
      </c>
      <c r="K90" s="440">
        <v>0</v>
      </c>
      <c r="L90" s="440">
        <v>0</v>
      </c>
      <c r="M90" s="440">
        <v>0</v>
      </c>
      <c r="N90" s="440">
        <v>78</v>
      </c>
      <c r="O90" s="440">
        <v>78</v>
      </c>
      <c r="P90" s="440">
        <v>0</v>
      </c>
      <c r="Q90" s="441">
        <v>78</v>
      </c>
    </row>
    <row r="91" spans="1:17" x14ac:dyDescent="0.3">
      <c r="A91" s="510">
        <v>5405</v>
      </c>
      <c r="B91" s="515" t="s">
        <v>761</v>
      </c>
      <c r="C91" s="451"/>
      <c r="D91" s="438">
        <v>0</v>
      </c>
      <c r="E91" s="438">
        <v>0</v>
      </c>
      <c r="F91" s="438">
        <v>0</v>
      </c>
      <c r="G91" s="438">
        <v>0</v>
      </c>
      <c r="H91" s="438">
        <v>0</v>
      </c>
      <c r="I91" s="438">
        <v>0</v>
      </c>
      <c r="J91" s="438">
        <v>0</v>
      </c>
      <c r="K91" s="440">
        <v>0</v>
      </c>
      <c r="L91" s="440">
        <v>0</v>
      </c>
      <c r="M91" s="440">
        <v>0</v>
      </c>
      <c r="N91" s="440">
        <v>0</v>
      </c>
      <c r="O91" s="440">
        <v>0</v>
      </c>
      <c r="P91" s="440">
        <v>0</v>
      </c>
      <c r="Q91" s="441">
        <v>0</v>
      </c>
    </row>
    <row r="92" spans="1:17" x14ac:dyDescent="0.3">
      <c r="A92" s="510">
        <v>5406</v>
      </c>
      <c r="B92" s="515" t="s">
        <v>762</v>
      </c>
      <c r="C92" s="451"/>
      <c r="D92" s="438">
        <v>0</v>
      </c>
      <c r="E92" s="438">
        <v>0</v>
      </c>
      <c r="F92" s="438">
        <v>0</v>
      </c>
      <c r="G92" s="438">
        <v>0</v>
      </c>
      <c r="H92" s="438">
        <v>1126.7349999999999</v>
      </c>
      <c r="I92" s="438">
        <v>0</v>
      </c>
      <c r="J92" s="438">
        <v>1126.7349999999999</v>
      </c>
      <c r="K92" s="440">
        <v>0</v>
      </c>
      <c r="L92" s="440">
        <v>0</v>
      </c>
      <c r="M92" s="440">
        <v>0</v>
      </c>
      <c r="N92" s="440">
        <v>0</v>
      </c>
      <c r="O92" s="440">
        <v>0</v>
      </c>
      <c r="P92" s="440">
        <v>0</v>
      </c>
      <c r="Q92" s="441">
        <v>0</v>
      </c>
    </row>
    <row r="93" spans="1:17" x14ac:dyDescent="0.3">
      <c r="A93" s="510">
        <v>5407</v>
      </c>
      <c r="B93" s="515" t="s">
        <v>763</v>
      </c>
      <c r="C93" s="451"/>
      <c r="D93" s="438">
        <v>0</v>
      </c>
      <c r="E93" s="438">
        <v>0</v>
      </c>
      <c r="F93" s="438">
        <v>0</v>
      </c>
      <c r="G93" s="438">
        <v>0</v>
      </c>
      <c r="H93" s="438">
        <v>0</v>
      </c>
      <c r="I93" s="438">
        <v>0</v>
      </c>
      <c r="J93" s="438">
        <v>0</v>
      </c>
      <c r="K93" s="440">
        <v>0</v>
      </c>
      <c r="L93" s="440">
        <v>0</v>
      </c>
      <c r="M93" s="440">
        <v>0</v>
      </c>
      <c r="N93" s="440">
        <v>0</v>
      </c>
      <c r="O93" s="440">
        <v>0</v>
      </c>
      <c r="P93" s="440">
        <v>0</v>
      </c>
      <c r="Q93" s="441">
        <v>0</v>
      </c>
    </row>
    <row r="94" spans="1:17" x14ac:dyDescent="0.3">
      <c r="A94" s="510">
        <v>5408</v>
      </c>
      <c r="B94" s="515" t="s">
        <v>764</v>
      </c>
      <c r="C94" s="451"/>
      <c r="D94" s="438">
        <v>0</v>
      </c>
      <c r="E94" s="438">
        <v>0</v>
      </c>
      <c r="F94" s="438">
        <v>0</v>
      </c>
      <c r="G94" s="438">
        <v>0</v>
      </c>
      <c r="H94" s="438">
        <v>1260</v>
      </c>
      <c r="I94" s="438">
        <v>0</v>
      </c>
      <c r="J94" s="438">
        <v>1260</v>
      </c>
      <c r="K94" s="440">
        <v>0</v>
      </c>
      <c r="L94" s="440">
        <v>0</v>
      </c>
      <c r="M94" s="440">
        <v>0</v>
      </c>
      <c r="N94" s="440">
        <v>1080</v>
      </c>
      <c r="O94" s="440">
        <v>1080</v>
      </c>
      <c r="P94" s="440">
        <v>0</v>
      </c>
      <c r="Q94" s="441">
        <v>1080</v>
      </c>
    </row>
    <row r="95" spans="1:17" x14ac:dyDescent="0.3">
      <c r="A95" s="510">
        <v>5409</v>
      </c>
      <c r="B95" s="515" t="s">
        <v>765</v>
      </c>
      <c r="C95" s="451"/>
      <c r="D95" s="438">
        <v>0</v>
      </c>
      <c r="E95" s="438">
        <v>0</v>
      </c>
      <c r="F95" s="438">
        <v>0</v>
      </c>
      <c r="G95" s="438">
        <v>0</v>
      </c>
      <c r="H95" s="438">
        <v>2109.471</v>
      </c>
      <c r="I95" s="438">
        <v>300</v>
      </c>
      <c r="J95" s="438">
        <v>2409.471</v>
      </c>
      <c r="K95" s="440">
        <v>0</v>
      </c>
      <c r="L95" s="440">
        <v>0</v>
      </c>
      <c r="M95" s="440">
        <v>0</v>
      </c>
      <c r="N95" s="440">
        <v>2300</v>
      </c>
      <c r="O95" s="440">
        <v>2300</v>
      </c>
      <c r="P95" s="440">
        <v>0</v>
      </c>
      <c r="Q95" s="441">
        <v>2300</v>
      </c>
    </row>
    <row r="96" spans="1:17" x14ac:dyDescent="0.3">
      <c r="A96" s="510">
        <v>5410</v>
      </c>
      <c r="B96" s="515" t="s">
        <v>766</v>
      </c>
      <c r="C96" s="451"/>
      <c r="D96" s="438">
        <v>0</v>
      </c>
      <c r="E96" s="438">
        <v>0</v>
      </c>
      <c r="F96" s="438">
        <v>0</v>
      </c>
      <c r="G96" s="438">
        <v>0</v>
      </c>
      <c r="H96" s="438">
        <v>0</v>
      </c>
      <c r="I96" s="438">
        <v>0</v>
      </c>
      <c r="J96" s="438">
        <v>0</v>
      </c>
      <c r="K96" s="440">
        <v>0</v>
      </c>
      <c r="L96" s="440">
        <v>0</v>
      </c>
      <c r="M96" s="440">
        <v>0</v>
      </c>
      <c r="N96" s="440">
        <v>0</v>
      </c>
      <c r="O96" s="440">
        <v>0</v>
      </c>
      <c r="P96" s="440">
        <v>0</v>
      </c>
      <c r="Q96" s="441">
        <v>0</v>
      </c>
    </row>
    <row r="97" spans="1:17" x14ac:dyDescent="0.3">
      <c r="A97" s="510">
        <v>5411</v>
      </c>
      <c r="B97" s="515" t="s">
        <v>767</v>
      </c>
      <c r="C97" s="451"/>
      <c r="D97" s="438">
        <v>0</v>
      </c>
      <c r="E97" s="438">
        <v>0</v>
      </c>
      <c r="F97" s="438">
        <v>0</v>
      </c>
      <c r="G97" s="438">
        <v>0</v>
      </c>
      <c r="H97" s="438">
        <v>0</v>
      </c>
      <c r="I97" s="438">
        <v>0</v>
      </c>
      <c r="J97" s="438">
        <v>0</v>
      </c>
      <c r="K97" s="440">
        <v>0</v>
      </c>
      <c r="L97" s="440">
        <v>0</v>
      </c>
      <c r="M97" s="440">
        <v>0</v>
      </c>
      <c r="N97" s="440">
        <v>0</v>
      </c>
      <c r="O97" s="440">
        <v>0</v>
      </c>
      <c r="P97" s="440">
        <v>0</v>
      </c>
      <c r="Q97" s="441">
        <v>0</v>
      </c>
    </row>
    <row r="98" spans="1:17" x14ac:dyDescent="0.3">
      <c r="A98" s="510">
        <v>5412</v>
      </c>
      <c r="B98" s="515" t="s">
        <v>768</v>
      </c>
      <c r="C98" s="451"/>
      <c r="D98" s="438">
        <v>0</v>
      </c>
      <c r="E98" s="438">
        <v>0</v>
      </c>
      <c r="F98" s="438">
        <v>0</v>
      </c>
      <c r="G98" s="438">
        <v>0</v>
      </c>
      <c r="H98" s="438">
        <v>0</v>
      </c>
      <c r="I98" s="438">
        <v>0</v>
      </c>
      <c r="J98" s="438">
        <v>0</v>
      </c>
      <c r="K98" s="440">
        <v>0</v>
      </c>
      <c r="L98" s="440">
        <v>0</v>
      </c>
      <c r="M98" s="440">
        <v>0</v>
      </c>
      <c r="N98" s="440">
        <v>0</v>
      </c>
      <c r="O98" s="440">
        <v>0</v>
      </c>
      <c r="P98" s="440">
        <v>0</v>
      </c>
      <c r="Q98" s="441">
        <v>0</v>
      </c>
    </row>
    <row r="99" spans="1:17" x14ac:dyDescent="0.3">
      <c r="A99" s="510">
        <v>55</v>
      </c>
      <c r="B99" s="511" t="s">
        <v>769</v>
      </c>
      <c r="C99" s="451">
        <v>0</v>
      </c>
      <c r="D99" s="438">
        <v>0</v>
      </c>
      <c r="E99" s="438">
        <v>0</v>
      </c>
      <c r="F99" s="438">
        <v>0</v>
      </c>
      <c r="G99" s="438">
        <v>0</v>
      </c>
      <c r="H99" s="438">
        <v>21959.952999999998</v>
      </c>
      <c r="I99" s="438">
        <v>0</v>
      </c>
      <c r="J99" s="438">
        <v>21959.952999999998</v>
      </c>
      <c r="K99" s="440">
        <v>0</v>
      </c>
      <c r="L99" s="440">
        <v>0</v>
      </c>
      <c r="M99" s="440">
        <v>0</v>
      </c>
      <c r="N99" s="440">
        <v>1850</v>
      </c>
      <c r="O99" s="440">
        <v>1850</v>
      </c>
      <c r="P99" s="440">
        <v>13543</v>
      </c>
      <c r="Q99" s="441">
        <v>15393</v>
      </c>
    </row>
    <row r="100" spans="1:17" x14ac:dyDescent="0.3">
      <c r="A100" s="510">
        <v>5501</v>
      </c>
      <c r="B100" s="524" t="s">
        <v>770</v>
      </c>
      <c r="C100" s="451"/>
      <c r="D100" s="438">
        <v>0</v>
      </c>
      <c r="E100" s="438">
        <v>0</v>
      </c>
      <c r="F100" s="438">
        <v>0</v>
      </c>
      <c r="G100" s="438">
        <v>0</v>
      </c>
      <c r="H100" s="438">
        <v>1955.4670000000001</v>
      </c>
      <c r="I100" s="438">
        <v>0</v>
      </c>
      <c r="J100" s="438">
        <v>1955.4670000000001</v>
      </c>
      <c r="K100" s="440">
        <v>0</v>
      </c>
      <c r="L100" s="440">
        <v>0</v>
      </c>
      <c r="M100" s="440">
        <v>0</v>
      </c>
      <c r="N100" s="440">
        <v>0</v>
      </c>
      <c r="O100" s="440">
        <v>0</v>
      </c>
      <c r="P100" s="440">
        <v>1955</v>
      </c>
      <c r="Q100" s="441">
        <v>1955</v>
      </c>
    </row>
    <row r="101" spans="1:17" x14ac:dyDescent="0.3">
      <c r="A101" s="510">
        <v>5502</v>
      </c>
      <c r="B101" s="524" t="s">
        <v>771</v>
      </c>
      <c r="C101" s="451"/>
      <c r="D101" s="438">
        <v>0</v>
      </c>
      <c r="E101" s="438">
        <v>0</v>
      </c>
      <c r="F101" s="438">
        <v>0</v>
      </c>
      <c r="G101" s="438">
        <v>0</v>
      </c>
      <c r="H101" s="438">
        <v>0</v>
      </c>
      <c r="I101" s="438">
        <v>0</v>
      </c>
      <c r="J101" s="438">
        <v>0</v>
      </c>
      <c r="K101" s="440">
        <v>0</v>
      </c>
      <c r="L101" s="440">
        <v>0</v>
      </c>
      <c r="M101" s="440">
        <v>0</v>
      </c>
      <c r="N101" s="440">
        <v>0</v>
      </c>
      <c r="O101" s="440">
        <v>0</v>
      </c>
      <c r="P101" s="440">
        <v>0</v>
      </c>
      <c r="Q101" s="441">
        <v>0</v>
      </c>
    </row>
    <row r="102" spans="1:17" x14ac:dyDescent="0.3">
      <c r="A102" s="510">
        <v>5503</v>
      </c>
      <c r="B102" s="524" t="s">
        <v>772</v>
      </c>
      <c r="C102" s="451"/>
      <c r="D102" s="438">
        <v>0</v>
      </c>
      <c r="E102" s="438">
        <v>0</v>
      </c>
      <c r="F102" s="438">
        <v>0</v>
      </c>
      <c r="G102" s="438">
        <v>0</v>
      </c>
      <c r="H102" s="438">
        <v>8160.45</v>
      </c>
      <c r="I102" s="438">
        <v>0</v>
      </c>
      <c r="J102" s="438">
        <v>8160.45</v>
      </c>
      <c r="K102" s="440">
        <v>0</v>
      </c>
      <c r="L102" s="440">
        <v>0</v>
      </c>
      <c r="M102" s="440">
        <v>0</v>
      </c>
      <c r="N102" s="440">
        <v>0</v>
      </c>
      <c r="O102" s="440">
        <v>0</v>
      </c>
      <c r="P102" s="440">
        <v>8182</v>
      </c>
      <c r="Q102" s="441">
        <v>8182</v>
      </c>
    </row>
    <row r="103" spans="1:17" x14ac:dyDescent="0.3">
      <c r="A103" s="510">
        <v>5504</v>
      </c>
      <c r="B103" s="524" t="s">
        <v>773</v>
      </c>
      <c r="C103" s="451"/>
      <c r="D103" s="438">
        <v>0</v>
      </c>
      <c r="E103" s="438">
        <v>0</v>
      </c>
      <c r="F103" s="438">
        <v>0</v>
      </c>
      <c r="G103" s="438">
        <v>0</v>
      </c>
      <c r="H103" s="438">
        <v>0</v>
      </c>
      <c r="I103" s="438">
        <v>0</v>
      </c>
      <c r="J103" s="438">
        <v>0</v>
      </c>
      <c r="K103" s="440">
        <v>0</v>
      </c>
      <c r="L103" s="440">
        <v>0</v>
      </c>
      <c r="M103" s="440">
        <v>0</v>
      </c>
      <c r="N103" s="440">
        <v>0</v>
      </c>
      <c r="O103" s="440">
        <v>0</v>
      </c>
      <c r="P103" s="440">
        <v>0</v>
      </c>
      <c r="Q103" s="441">
        <v>0</v>
      </c>
    </row>
    <row r="104" spans="1:17" x14ac:dyDescent="0.3">
      <c r="A104" s="510">
        <v>5505</v>
      </c>
      <c r="B104" s="524" t="s">
        <v>460</v>
      </c>
      <c r="C104" s="451"/>
      <c r="D104" s="438">
        <v>0</v>
      </c>
      <c r="E104" s="438">
        <v>0</v>
      </c>
      <c r="F104" s="438">
        <v>0</v>
      </c>
      <c r="G104" s="438">
        <v>0</v>
      </c>
      <c r="H104" s="438">
        <v>889.2</v>
      </c>
      <c r="I104" s="438">
        <v>0</v>
      </c>
      <c r="J104" s="438">
        <v>889.2</v>
      </c>
      <c r="K104" s="440">
        <v>0</v>
      </c>
      <c r="L104" s="440">
        <v>0</v>
      </c>
      <c r="M104" s="440">
        <v>0</v>
      </c>
      <c r="N104" s="440">
        <v>74</v>
      </c>
      <c r="O104" s="440">
        <v>74</v>
      </c>
      <c r="P104" s="440">
        <v>0</v>
      </c>
      <c r="Q104" s="441">
        <v>74</v>
      </c>
    </row>
    <row r="105" spans="1:17" x14ac:dyDescent="0.3">
      <c r="A105" s="510">
        <v>5506</v>
      </c>
      <c r="B105" s="524" t="s">
        <v>774</v>
      </c>
      <c r="C105" s="451"/>
      <c r="D105" s="438">
        <v>0</v>
      </c>
      <c r="E105" s="438">
        <v>0</v>
      </c>
      <c r="F105" s="438">
        <v>0</v>
      </c>
      <c r="G105" s="438">
        <v>0</v>
      </c>
      <c r="H105" s="438">
        <v>3117.4850000000001</v>
      </c>
      <c r="I105" s="438">
        <v>0</v>
      </c>
      <c r="J105" s="438">
        <v>3117.4850000000001</v>
      </c>
      <c r="K105" s="440">
        <v>0</v>
      </c>
      <c r="L105" s="440">
        <v>0</v>
      </c>
      <c r="M105" s="440">
        <v>0</v>
      </c>
      <c r="N105" s="440">
        <v>0</v>
      </c>
      <c r="O105" s="440">
        <v>0</v>
      </c>
      <c r="P105" s="440">
        <v>3117</v>
      </c>
      <c r="Q105" s="441">
        <v>3117</v>
      </c>
    </row>
    <row r="106" spans="1:17" x14ac:dyDescent="0.3">
      <c r="A106" s="510">
        <v>5507</v>
      </c>
      <c r="B106" s="524" t="s">
        <v>676</v>
      </c>
      <c r="C106" s="451"/>
      <c r="D106" s="438">
        <v>0</v>
      </c>
      <c r="E106" s="438">
        <v>0</v>
      </c>
      <c r="F106" s="438">
        <v>0</v>
      </c>
      <c r="G106" s="438">
        <v>0</v>
      </c>
      <c r="H106" s="438">
        <v>4270.6149999999998</v>
      </c>
      <c r="I106" s="438">
        <v>0</v>
      </c>
      <c r="J106" s="438">
        <v>4270.6149999999998</v>
      </c>
      <c r="K106" s="440">
        <v>0</v>
      </c>
      <c r="L106" s="440">
        <v>0</v>
      </c>
      <c r="M106" s="440">
        <v>0</v>
      </c>
      <c r="N106" s="440">
        <v>304</v>
      </c>
      <c r="O106" s="440">
        <v>304</v>
      </c>
      <c r="P106" s="440">
        <v>0</v>
      </c>
      <c r="Q106" s="441">
        <v>304</v>
      </c>
    </row>
    <row r="107" spans="1:17" x14ac:dyDescent="0.3">
      <c r="A107" s="510">
        <v>5508</v>
      </c>
      <c r="B107" s="524" t="s">
        <v>775</v>
      </c>
      <c r="C107" s="451"/>
      <c r="D107" s="438">
        <v>0</v>
      </c>
      <c r="E107" s="438">
        <v>0</v>
      </c>
      <c r="F107" s="438">
        <v>0</v>
      </c>
      <c r="G107" s="438">
        <v>0</v>
      </c>
      <c r="H107" s="438">
        <v>0</v>
      </c>
      <c r="I107" s="438">
        <v>0</v>
      </c>
      <c r="J107" s="438">
        <v>0</v>
      </c>
      <c r="K107" s="440">
        <v>0</v>
      </c>
      <c r="L107" s="440">
        <v>0</v>
      </c>
      <c r="M107" s="440">
        <v>0</v>
      </c>
      <c r="N107" s="440">
        <v>0</v>
      </c>
      <c r="O107" s="440">
        <v>0</v>
      </c>
      <c r="P107" s="440">
        <v>0</v>
      </c>
      <c r="Q107" s="441">
        <v>0</v>
      </c>
    </row>
    <row r="108" spans="1:17" x14ac:dyDescent="0.3">
      <c r="A108" s="510">
        <v>5509</v>
      </c>
      <c r="B108" s="524" t="s">
        <v>677</v>
      </c>
      <c r="C108" s="451"/>
      <c r="D108" s="438">
        <v>0</v>
      </c>
      <c r="E108" s="438">
        <v>0</v>
      </c>
      <c r="F108" s="438">
        <v>0</v>
      </c>
      <c r="G108" s="438">
        <v>0</v>
      </c>
      <c r="H108" s="438">
        <v>516.13</v>
      </c>
      <c r="I108" s="438">
        <v>0</v>
      </c>
      <c r="J108" s="438">
        <v>516.13</v>
      </c>
      <c r="K108" s="440">
        <v>0</v>
      </c>
      <c r="L108" s="440">
        <v>0</v>
      </c>
      <c r="M108" s="440">
        <v>0</v>
      </c>
      <c r="N108" s="440">
        <v>516</v>
      </c>
      <c r="O108" s="440">
        <v>516</v>
      </c>
      <c r="P108" s="440">
        <v>0</v>
      </c>
      <c r="Q108" s="441">
        <v>516</v>
      </c>
    </row>
    <row r="109" spans="1:17" x14ac:dyDescent="0.3">
      <c r="A109" s="510">
        <v>5510</v>
      </c>
      <c r="B109" s="524" t="s">
        <v>678</v>
      </c>
      <c r="C109" s="451"/>
      <c r="D109" s="438">
        <v>0</v>
      </c>
      <c r="E109" s="438">
        <v>0</v>
      </c>
      <c r="F109" s="438">
        <v>0</v>
      </c>
      <c r="G109" s="438">
        <v>0</v>
      </c>
      <c r="H109" s="438">
        <v>513</v>
      </c>
      <c r="I109" s="438">
        <v>0</v>
      </c>
      <c r="J109" s="438">
        <v>513</v>
      </c>
      <c r="K109" s="440">
        <v>0</v>
      </c>
      <c r="L109" s="440">
        <v>0</v>
      </c>
      <c r="M109" s="440">
        <v>0</v>
      </c>
      <c r="N109" s="440">
        <v>513</v>
      </c>
      <c r="O109" s="440">
        <v>513</v>
      </c>
      <c r="P109" s="440">
        <v>0</v>
      </c>
      <c r="Q109" s="441">
        <v>513</v>
      </c>
    </row>
    <row r="110" spans="1:17" x14ac:dyDescent="0.3">
      <c r="A110" s="510">
        <v>5511</v>
      </c>
      <c r="B110" s="524" t="s">
        <v>776</v>
      </c>
      <c r="C110" s="451"/>
      <c r="D110" s="438">
        <v>0</v>
      </c>
      <c r="E110" s="438">
        <v>0</v>
      </c>
      <c r="F110" s="438">
        <v>0</v>
      </c>
      <c r="G110" s="438">
        <v>0</v>
      </c>
      <c r="H110" s="438">
        <v>1218</v>
      </c>
      <c r="I110" s="438">
        <v>0</v>
      </c>
      <c r="J110" s="438">
        <v>1218</v>
      </c>
      <c r="K110" s="440">
        <v>0</v>
      </c>
      <c r="L110" s="440">
        <v>0</v>
      </c>
      <c r="M110" s="440">
        <v>0</v>
      </c>
      <c r="N110" s="440">
        <v>0</v>
      </c>
      <c r="O110" s="440">
        <v>0</v>
      </c>
      <c r="P110" s="440">
        <v>0</v>
      </c>
      <c r="Q110" s="441">
        <v>0</v>
      </c>
    </row>
    <row r="111" spans="1:17" x14ac:dyDescent="0.3">
      <c r="A111" s="510">
        <v>5512</v>
      </c>
      <c r="B111" s="524" t="s">
        <v>777</v>
      </c>
      <c r="C111" s="451"/>
      <c r="D111" s="438">
        <v>0</v>
      </c>
      <c r="E111" s="438">
        <v>0</v>
      </c>
      <c r="F111" s="438">
        <v>0</v>
      </c>
      <c r="G111" s="438">
        <v>0</v>
      </c>
      <c r="H111" s="438">
        <v>0</v>
      </c>
      <c r="I111" s="438">
        <v>0</v>
      </c>
      <c r="J111" s="438">
        <v>0</v>
      </c>
      <c r="K111" s="440">
        <v>0</v>
      </c>
      <c r="L111" s="440">
        <v>0</v>
      </c>
      <c r="M111" s="440">
        <v>0</v>
      </c>
      <c r="N111" s="440">
        <v>0</v>
      </c>
      <c r="O111" s="440">
        <v>0</v>
      </c>
      <c r="P111" s="440">
        <v>0</v>
      </c>
      <c r="Q111" s="441">
        <v>0</v>
      </c>
    </row>
    <row r="112" spans="1:17" x14ac:dyDescent="0.3">
      <c r="A112" s="510">
        <v>5513</v>
      </c>
      <c r="B112" s="524" t="s">
        <v>673</v>
      </c>
      <c r="C112" s="451"/>
      <c r="D112" s="438">
        <v>0</v>
      </c>
      <c r="E112" s="438">
        <v>0</v>
      </c>
      <c r="F112" s="438">
        <v>0</v>
      </c>
      <c r="G112" s="438">
        <v>0</v>
      </c>
      <c r="H112" s="438">
        <v>360</v>
      </c>
      <c r="I112" s="438">
        <v>0</v>
      </c>
      <c r="J112" s="438">
        <v>360</v>
      </c>
      <c r="K112" s="440">
        <v>0</v>
      </c>
      <c r="L112" s="440">
        <v>0</v>
      </c>
      <c r="M112" s="440">
        <v>0</v>
      </c>
      <c r="N112" s="440">
        <v>0</v>
      </c>
      <c r="O112" s="440">
        <v>0</v>
      </c>
      <c r="P112" s="440">
        <v>0</v>
      </c>
      <c r="Q112" s="441">
        <v>0</v>
      </c>
    </row>
    <row r="113" spans="1:18" x14ac:dyDescent="0.3">
      <c r="A113" s="510">
        <v>5514</v>
      </c>
      <c r="B113" s="524" t="s">
        <v>778</v>
      </c>
      <c r="C113" s="451"/>
      <c r="D113" s="438">
        <v>0</v>
      </c>
      <c r="E113" s="438">
        <v>0</v>
      </c>
      <c r="F113" s="438">
        <v>0</v>
      </c>
      <c r="G113" s="438">
        <v>0</v>
      </c>
      <c r="H113" s="438">
        <v>0</v>
      </c>
      <c r="I113" s="438">
        <v>0</v>
      </c>
      <c r="J113" s="438">
        <v>0</v>
      </c>
      <c r="K113" s="440">
        <v>0</v>
      </c>
      <c r="L113" s="440">
        <v>0</v>
      </c>
      <c r="M113" s="440">
        <v>0</v>
      </c>
      <c r="N113" s="440">
        <v>0</v>
      </c>
      <c r="O113" s="440">
        <v>0</v>
      </c>
      <c r="P113" s="440">
        <v>0</v>
      </c>
      <c r="Q113" s="441">
        <v>0</v>
      </c>
    </row>
    <row r="114" spans="1:18" x14ac:dyDescent="0.3">
      <c r="A114" s="510">
        <v>5515</v>
      </c>
      <c r="B114" s="524" t="s">
        <v>779</v>
      </c>
      <c r="C114" s="451"/>
      <c r="D114" s="438">
        <v>0</v>
      </c>
      <c r="E114" s="438">
        <v>0</v>
      </c>
      <c r="F114" s="438">
        <v>0</v>
      </c>
      <c r="G114" s="438">
        <v>0</v>
      </c>
      <c r="H114" s="438">
        <v>50</v>
      </c>
      <c r="I114" s="438">
        <v>0</v>
      </c>
      <c r="J114" s="438">
        <v>50</v>
      </c>
      <c r="K114" s="440">
        <v>0</v>
      </c>
      <c r="L114" s="440">
        <v>0</v>
      </c>
      <c r="M114" s="440">
        <v>0</v>
      </c>
      <c r="N114" s="440">
        <v>60</v>
      </c>
      <c r="O114" s="440">
        <v>60</v>
      </c>
      <c r="P114" s="440">
        <v>0</v>
      </c>
      <c r="Q114" s="441">
        <v>60</v>
      </c>
    </row>
    <row r="115" spans="1:18" x14ac:dyDescent="0.3">
      <c r="A115" s="510">
        <v>5516</v>
      </c>
      <c r="B115" s="524" t="s">
        <v>780</v>
      </c>
      <c r="C115" s="451"/>
      <c r="D115" s="438">
        <v>0</v>
      </c>
      <c r="E115" s="438">
        <v>0</v>
      </c>
      <c r="F115" s="438">
        <v>0</v>
      </c>
      <c r="G115" s="438">
        <v>0</v>
      </c>
      <c r="H115" s="438">
        <v>0</v>
      </c>
      <c r="I115" s="438">
        <v>0</v>
      </c>
      <c r="J115" s="438">
        <v>0</v>
      </c>
      <c r="K115" s="440">
        <v>0</v>
      </c>
      <c r="L115" s="440">
        <v>0</v>
      </c>
      <c r="M115" s="440">
        <v>0</v>
      </c>
      <c r="N115" s="440">
        <v>0</v>
      </c>
      <c r="O115" s="440">
        <v>0</v>
      </c>
      <c r="P115" s="440">
        <v>0</v>
      </c>
      <c r="Q115" s="441">
        <v>0</v>
      </c>
    </row>
    <row r="116" spans="1:18" x14ac:dyDescent="0.3">
      <c r="A116" s="510">
        <v>5517</v>
      </c>
      <c r="B116" s="524" t="s">
        <v>781</v>
      </c>
      <c r="C116" s="451"/>
      <c r="D116" s="438">
        <v>0</v>
      </c>
      <c r="E116" s="438">
        <v>0</v>
      </c>
      <c r="F116" s="438">
        <v>0</v>
      </c>
      <c r="G116" s="438">
        <v>0</v>
      </c>
      <c r="H116" s="438">
        <v>200.53200000000001</v>
      </c>
      <c r="I116" s="438">
        <v>0</v>
      </c>
      <c r="J116" s="438">
        <v>200.53200000000001</v>
      </c>
      <c r="K116" s="440">
        <v>0</v>
      </c>
      <c r="L116" s="440">
        <v>0</v>
      </c>
      <c r="M116" s="440">
        <v>0</v>
      </c>
      <c r="N116" s="440">
        <v>201</v>
      </c>
      <c r="O116" s="440">
        <v>201</v>
      </c>
      <c r="P116" s="440">
        <v>0</v>
      </c>
      <c r="Q116" s="441">
        <v>201</v>
      </c>
    </row>
    <row r="117" spans="1:18" x14ac:dyDescent="0.3">
      <c r="A117" s="510">
        <v>5518</v>
      </c>
      <c r="B117" s="524" t="s">
        <v>782</v>
      </c>
      <c r="C117" s="451"/>
      <c r="D117" s="438">
        <v>0</v>
      </c>
      <c r="E117" s="438">
        <v>0</v>
      </c>
      <c r="F117" s="438">
        <v>0</v>
      </c>
      <c r="G117" s="438">
        <v>0</v>
      </c>
      <c r="H117" s="438">
        <v>0</v>
      </c>
      <c r="I117" s="438">
        <v>0</v>
      </c>
      <c r="J117" s="438">
        <v>0</v>
      </c>
      <c r="K117" s="440">
        <v>0</v>
      </c>
      <c r="L117" s="440">
        <v>0</v>
      </c>
      <c r="M117" s="440">
        <v>0</v>
      </c>
      <c r="N117" s="440">
        <v>0</v>
      </c>
      <c r="O117" s="440">
        <v>0</v>
      </c>
      <c r="P117" s="440">
        <v>0</v>
      </c>
      <c r="Q117" s="441">
        <v>0</v>
      </c>
    </row>
    <row r="118" spans="1:18" x14ac:dyDescent="0.3">
      <c r="A118" s="510">
        <v>5519</v>
      </c>
      <c r="B118" s="524" t="s">
        <v>461</v>
      </c>
      <c r="C118" s="451"/>
      <c r="D118" s="438">
        <v>0</v>
      </c>
      <c r="E118" s="438">
        <v>0</v>
      </c>
      <c r="F118" s="438">
        <v>0</v>
      </c>
      <c r="G118" s="438">
        <v>0</v>
      </c>
      <c r="H118" s="438">
        <v>133</v>
      </c>
      <c r="I118" s="438">
        <v>0</v>
      </c>
      <c r="J118" s="438">
        <v>133</v>
      </c>
      <c r="K118" s="440">
        <v>0</v>
      </c>
      <c r="L118" s="440">
        <v>0</v>
      </c>
      <c r="M118" s="440">
        <v>0</v>
      </c>
      <c r="N118" s="440">
        <v>0</v>
      </c>
      <c r="O118" s="440">
        <v>0</v>
      </c>
      <c r="P118" s="440">
        <v>0</v>
      </c>
      <c r="Q118" s="441">
        <v>0</v>
      </c>
    </row>
    <row r="119" spans="1:18" x14ac:dyDescent="0.3">
      <c r="A119" s="510">
        <v>5520</v>
      </c>
      <c r="B119" s="524" t="s">
        <v>783</v>
      </c>
      <c r="C119" s="451"/>
      <c r="D119" s="438">
        <v>0</v>
      </c>
      <c r="E119" s="438">
        <v>0</v>
      </c>
      <c r="F119" s="438">
        <v>0</v>
      </c>
      <c r="G119" s="438">
        <v>0</v>
      </c>
      <c r="H119" s="438">
        <v>287.35000000000002</v>
      </c>
      <c r="I119" s="438">
        <v>0</v>
      </c>
      <c r="J119" s="438">
        <v>287.35000000000002</v>
      </c>
      <c r="K119" s="440">
        <v>0</v>
      </c>
      <c r="L119" s="440">
        <v>0</v>
      </c>
      <c r="M119" s="440">
        <v>0</v>
      </c>
      <c r="N119" s="440">
        <v>182</v>
      </c>
      <c r="O119" s="440">
        <v>182</v>
      </c>
      <c r="P119" s="440">
        <v>0</v>
      </c>
      <c r="Q119" s="441">
        <v>182</v>
      </c>
    </row>
    <row r="120" spans="1:18" x14ac:dyDescent="0.3">
      <c r="A120" s="510">
        <v>5521</v>
      </c>
      <c r="B120" s="524" t="s">
        <v>675</v>
      </c>
      <c r="C120" s="451"/>
      <c r="D120" s="438">
        <v>0</v>
      </c>
      <c r="E120" s="438">
        <v>0</v>
      </c>
      <c r="F120" s="438">
        <v>0</v>
      </c>
      <c r="G120" s="438">
        <v>0</v>
      </c>
      <c r="H120" s="438">
        <v>288.72399999999999</v>
      </c>
      <c r="I120" s="438">
        <v>0</v>
      </c>
      <c r="J120" s="438">
        <v>288.72399999999999</v>
      </c>
      <c r="K120" s="440">
        <v>0</v>
      </c>
      <c r="L120" s="440">
        <v>0</v>
      </c>
      <c r="M120" s="440">
        <v>0</v>
      </c>
      <c r="N120" s="440">
        <v>0</v>
      </c>
      <c r="O120" s="440">
        <v>0</v>
      </c>
      <c r="P120" s="440">
        <v>289</v>
      </c>
      <c r="Q120" s="441">
        <v>289</v>
      </c>
    </row>
    <row r="121" spans="1:18" x14ac:dyDescent="0.3">
      <c r="A121" s="510">
        <v>5522</v>
      </c>
      <c r="B121" s="524" t="s">
        <v>674</v>
      </c>
      <c r="C121" s="451"/>
      <c r="D121" s="438">
        <v>0</v>
      </c>
      <c r="E121" s="438">
        <v>0</v>
      </c>
      <c r="F121" s="438">
        <v>0</v>
      </c>
      <c r="G121" s="438">
        <v>0</v>
      </c>
      <c r="H121" s="438">
        <v>0</v>
      </c>
      <c r="I121" s="438">
        <v>0</v>
      </c>
      <c r="J121" s="438">
        <v>0</v>
      </c>
      <c r="K121" s="440">
        <v>0</v>
      </c>
      <c r="L121" s="440">
        <v>0</v>
      </c>
      <c r="M121" s="440">
        <v>0</v>
      </c>
      <c r="N121" s="440">
        <v>0</v>
      </c>
      <c r="O121" s="440">
        <v>0</v>
      </c>
      <c r="P121" s="440">
        <v>0</v>
      </c>
      <c r="Q121" s="441">
        <v>0</v>
      </c>
    </row>
    <row r="122" spans="1:18" ht="26.4" x14ac:dyDescent="0.3">
      <c r="A122" s="510">
        <v>56</v>
      </c>
      <c r="B122" s="511" t="s">
        <v>784</v>
      </c>
      <c r="C122" s="451">
        <v>0</v>
      </c>
      <c r="D122" s="438">
        <v>0</v>
      </c>
      <c r="E122" s="438">
        <v>0</v>
      </c>
      <c r="F122" s="438">
        <v>0</v>
      </c>
      <c r="G122" s="438">
        <v>0</v>
      </c>
      <c r="H122" s="438">
        <v>214290.91700000002</v>
      </c>
      <c r="I122" s="438">
        <v>300</v>
      </c>
      <c r="J122" s="438">
        <v>214590.91700000002</v>
      </c>
      <c r="K122" s="440">
        <v>0</v>
      </c>
      <c r="L122" s="440">
        <v>0</v>
      </c>
      <c r="M122" s="440">
        <v>0</v>
      </c>
      <c r="N122" s="440">
        <v>5884</v>
      </c>
      <c r="O122" s="440">
        <v>5884</v>
      </c>
      <c r="P122" s="440">
        <v>13543</v>
      </c>
      <c r="Q122" s="441">
        <v>19427</v>
      </c>
    </row>
    <row r="123" spans="1:18" x14ac:dyDescent="0.3">
      <c r="A123" s="510">
        <v>57</v>
      </c>
      <c r="B123" s="511" t="s">
        <v>785</v>
      </c>
      <c r="C123" s="451"/>
      <c r="D123" s="438">
        <v>0</v>
      </c>
      <c r="E123" s="438">
        <v>0</v>
      </c>
      <c r="F123" s="438">
        <v>0</v>
      </c>
      <c r="G123" s="438">
        <v>0</v>
      </c>
      <c r="H123" s="438">
        <v>0</v>
      </c>
      <c r="I123" s="438">
        <v>0</v>
      </c>
      <c r="J123" s="438">
        <v>0</v>
      </c>
      <c r="K123" s="440">
        <v>0</v>
      </c>
      <c r="L123" s="440">
        <v>0</v>
      </c>
      <c r="M123" s="440">
        <v>0</v>
      </c>
      <c r="N123" s="440">
        <v>0</v>
      </c>
      <c r="O123" s="440">
        <f>1351+2668</f>
        <v>4019</v>
      </c>
      <c r="P123" s="440">
        <v>0</v>
      </c>
      <c r="Q123" s="441">
        <f>1351+2668</f>
        <v>4019</v>
      </c>
    </row>
    <row r="124" spans="1:18" x14ac:dyDescent="0.3">
      <c r="A124" s="510">
        <v>58</v>
      </c>
      <c r="B124" s="511" t="s">
        <v>786</v>
      </c>
      <c r="C124" s="451"/>
      <c r="D124" s="438">
        <v>313</v>
      </c>
      <c r="E124" s="438">
        <v>0</v>
      </c>
      <c r="F124" s="438">
        <v>0</v>
      </c>
      <c r="G124" s="438">
        <v>0</v>
      </c>
      <c r="H124" s="438">
        <v>-111</v>
      </c>
      <c r="I124" s="438">
        <v>0</v>
      </c>
      <c r="J124" s="438">
        <v>202</v>
      </c>
      <c r="K124" s="440">
        <v>0</v>
      </c>
      <c r="L124" s="440">
        <v>0</v>
      </c>
      <c r="M124" s="440">
        <v>0</v>
      </c>
      <c r="N124" s="440">
        <v>0</v>
      </c>
      <c r="O124" s="440">
        <v>0</v>
      </c>
      <c r="P124" s="440">
        <v>0</v>
      </c>
      <c r="Q124" s="441">
        <v>0</v>
      </c>
    </row>
    <row r="125" spans="1:18" ht="28.8" x14ac:dyDescent="0.3">
      <c r="A125" s="452">
        <v>59</v>
      </c>
      <c r="B125" s="453" t="s">
        <v>787</v>
      </c>
      <c r="C125" s="512">
        <v>0</v>
      </c>
      <c r="D125" s="512">
        <v>313</v>
      </c>
      <c r="E125" s="512">
        <v>0</v>
      </c>
      <c r="F125" s="512">
        <v>0</v>
      </c>
      <c r="G125" s="512">
        <v>0</v>
      </c>
      <c r="H125" s="512">
        <v>214179.91700000002</v>
      </c>
      <c r="I125" s="512">
        <v>300</v>
      </c>
      <c r="J125" s="512">
        <v>214792.91700000002</v>
      </c>
      <c r="K125" s="512">
        <v>0</v>
      </c>
      <c r="L125" s="512">
        <v>0</v>
      </c>
      <c r="M125" s="512">
        <v>0</v>
      </c>
      <c r="N125" s="512">
        <v>5884</v>
      </c>
      <c r="O125" s="512">
        <f>5884+4019</f>
        <v>9903</v>
      </c>
      <c r="P125" s="512">
        <v>13543</v>
      </c>
      <c r="Q125" s="512">
        <f>19427+4019</f>
        <v>23446</v>
      </c>
      <c r="R125" s="493"/>
    </row>
    <row r="126" spans="1:18" x14ac:dyDescent="0.3">
      <c r="A126" s="452">
        <v>60</v>
      </c>
      <c r="B126" s="453" t="s">
        <v>788</v>
      </c>
      <c r="C126" s="512"/>
      <c r="D126" s="512">
        <v>0</v>
      </c>
      <c r="E126" s="512">
        <v>0</v>
      </c>
      <c r="F126" s="512">
        <v>0</v>
      </c>
      <c r="G126" s="512">
        <v>0</v>
      </c>
      <c r="H126" s="512">
        <v>0</v>
      </c>
      <c r="I126" s="512">
        <v>0</v>
      </c>
      <c r="J126" s="512">
        <v>0</v>
      </c>
      <c r="K126" s="512">
        <v>0</v>
      </c>
      <c r="L126" s="512">
        <v>0</v>
      </c>
      <c r="M126" s="512">
        <v>0</v>
      </c>
      <c r="N126" s="512">
        <v>0</v>
      </c>
      <c r="O126" s="512">
        <v>0</v>
      </c>
      <c r="P126" s="512">
        <v>0</v>
      </c>
      <c r="Q126" s="512">
        <v>0</v>
      </c>
    </row>
    <row r="127" spans="1:18" x14ac:dyDescent="0.3">
      <c r="A127" s="452">
        <v>61</v>
      </c>
      <c r="B127" s="453" t="s">
        <v>789</v>
      </c>
      <c r="C127" s="512">
        <v>0</v>
      </c>
      <c r="D127" s="512">
        <v>84495.775000000009</v>
      </c>
      <c r="E127" s="512">
        <v>22752.658000000003</v>
      </c>
      <c r="F127" s="512">
        <v>16580.095999999998</v>
      </c>
      <c r="G127" s="512">
        <v>4763.2980000000007</v>
      </c>
      <c r="H127" s="512">
        <v>378336.49300000002</v>
      </c>
      <c r="I127" s="512">
        <v>65667.757999999987</v>
      </c>
      <c r="J127" s="512">
        <v>572596.07799999998</v>
      </c>
      <c r="K127" s="512">
        <v>70679.687616191994</v>
      </c>
      <c r="L127" s="512">
        <v>12934.713988976378</v>
      </c>
      <c r="M127" s="512">
        <v>7948.7669249999999</v>
      </c>
      <c r="N127" s="512">
        <v>74300.264901820468</v>
      </c>
      <c r="O127" s="512">
        <v>87234.978890796847</v>
      </c>
      <c r="P127" s="512">
        <v>75810.091716930008</v>
      </c>
      <c r="Q127" s="512">
        <v>241673.52514891891</v>
      </c>
    </row>
    <row r="128" spans="1:18" x14ac:dyDescent="0.3">
      <c r="A128" s="510">
        <v>62</v>
      </c>
      <c r="B128" s="511" t="s">
        <v>790</v>
      </c>
      <c r="C128" s="451"/>
      <c r="D128" s="438">
        <v>0</v>
      </c>
      <c r="E128" s="438">
        <v>0</v>
      </c>
      <c r="F128" s="438">
        <v>0</v>
      </c>
      <c r="G128" s="438">
        <v>0</v>
      </c>
      <c r="H128" s="438">
        <v>830.56399999999996</v>
      </c>
      <c r="I128" s="438">
        <v>0</v>
      </c>
      <c r="J128" s="438">
        <v>830.56399999999996</v>
      </c>
      <c r="K128" s="440">
        <v>0</v>
      </c>
      <c r="L128" s="440">
        <v>0</v>
      </c>
      <c r="M128" s="440">
        <v>0</v>
      </c>
      <c r="N128" s="440"/>
      <c r="O128" s="440"/>
      <c r="P128" s="440">
        <v>0</v>
      </c>
      <c r="Q128" s="441"/>
    </row>
    <row r="129" spans="1:18" x14ac:dyDescent="0.3">
      <c r="A129" s="510">
        <v>63</v>
      </c>
      <c r="B129" s="511" t="s">
        <v>791</v>
      </c>
      <c r="C129" s="451"/>
      <c r="D129" s="438">
        <v>0</v>
      </c>
      <c r="E129" s="438">
        <v>0</v>
      </c>
      <c r="F129" s="438">
        <v>0</v>
      </c>
      <c r="G129" s="438">
        <v>0</v>
      </c>
      <c r="H129" s="438">
        <v>184143.348</v>
      </c>
      <c r="I129" s="438">
        <v>83.45</v>
      </c>
      <c r="J129" s="438">
        <v>184226.79800000001</v>
      </c>
      <c r="K129" s="440">
        <v>0</v>
      </c>
      <c r="L129" s="440">
        <v>0</v>
      </c>
      <c r="M129" s="440">
        <v>0</v>
      </c>
      <c r="N129" s="440">
        <v>27105</v>
      </c>
      <c r="O129" s="440">
        <f>24275.79+4180-1351</f>
        <v>27104.79</v>
      </c>
      <c r="P129" s="440">
        <v>0</v>
      </c>
      <c r="Q129" s="441">
        <v>27104</v>
      </c>
    </row>
    <row r="130" spans="1:18" ht="26.4" x14ac:dyDescent="0.3">
      <c r="A130" s="510">
        <v>64</v>
      </c>
      <c r="B130" s="511" t="s">
        <v>792</v>
      </c>
      <c r="C130" s="451"/>
      <c r="D130" s="438">
        <v>0</v>
      </c>
      <c r="E130" s="438">
        <v>0</v>
      </c>
      <c r="F130" s="438">
        <v>0</v>
      </c>
      <c r="G130" s="438">
        <v>0</v>
      </c>
      <c r="H130" s="438">
        <v>0</v>
      </c>
      <c r="I130" s="438">
        <v>0</v>
      </c>
      <c r="J130" s="438">
        <v>0</v>
      </c>
      <c r="K130" s="440">
        <v>0</v>
      </c>
      <c r="L130" s="440">
        <v>0</v>
      </c>
      <c r="M130" s="440">
        <v>0</v>
      </c>
      <c r="N130" s="440">
        <v>0</v>
      </c>
      <c r="O130" s="440">
        <v>0</v>
      </c>
      <c r="P130" s="440">
        <v>0</v>
      </c>
      <c r="Q130" s="441">
        <v>0</v>
      </c>
    </row>
    <row r="131" spans="1:18" x14ac:dyDescent="0.3">
      <c r="A131" s="510">
        <v>65</v>
      </c>
      <c r="B131" s="511" t="s">
        <v>4</v>
      </c>
      <c r="C131" s="451"/>
      <c r="D131" s="438">
        <v>0</v>
      </c>
      <c r="E131" s="438">
        <v>0</v>
      </c>
      <c r="F131" s="438">
        <v>0</v>
      </c>
      <c r="G131" s="438">
        <v>0</v>
      </c>
      <c r="H131" s="438">
        <v>0</v>
      </c>
      <c r="I131" s="438">
        <v>0</v>
      </c>
      <c r="J131" s="438">
        <v>0</v>
      </c>
      <c r="K131" s="440">
        <v>0</v>
      </c>
      <c r="L131" s="440">
        <v>0</v>
      </c>
      <c r="M131" s="440">
        <v>0</v>
      </c>
      <c r="N131" s="440">
        <v>2668.348</v>
      </c>
      <c r="O131" s="440">
        <v>0</v>
      </c>
      <c r="P131" s="440">
        <v>0</v>
      </c>
      <c r="Q131" s="441">
        <v>0</v>
      </c>
    </row>
    <row r="132" spans="1:18" x14ac:dyDescent="0.3">
      <c r="A132" s="510">
        <v>66</v>
      </c>
      <c r="B132" s="511" t="s">
        <v>793</v>
      </c>
      <c r="C132" s="451"/>
      <c r="D132" s="438">
        <v>0</v>
      </c>
      <c r="E132" s="438">
        <v>0</v>
      </c>
      <c r="F132" s="438">
        <v>0</v>
      </c>
      <c r="G132" s="438">
        <v>0</v>
      </c>
      <c r="H132" s="438">
        <v>0</v>
      </c>
      <c r="I132" s="438">
        <v>0</v>
      </c>
      <c r="J132" s="438">
        <v>0</v>
      </c>
      <c r="K132" s="440">
        <v>0</v>
      </c>
      <c r="L132" s="440">
        <v>0</v>
      </c>
      <c r="M132" s="440">
        <v>0</v>
      </c>
      <c r="N132" s="440">
        <v>0</v>
      </c>
      <c r="O132" s="440">
        <v>0</v>
      </c>
      <c r="P132" s="440">
        <v>0</v>
      </c>
      <c r="Q132" s="441">
        <v>0</v>
      </c>
    </row>
    <row r="133" spans="1:18" ht="26.4" x14ac:dyDescent="0.3">
      <c r="A133" s="510">
        <v>67</v>
      </c>
      <c r="B133" s="511" t="s">
        <v>794</v>
      </c>
      <c r="C133" s="451"/>
      <c r="D133" s="438">
        <v>0</v>
      </c>
      <c r="E133" s="438">
        <v>0</v>
      </c>
      <c r="F133" s="438">
        <v>0</v>
      </c>
      <c r="G133" s="438">
        <v>0</v>
      </c>
      <c r="H133" s="438">
        <v>0</v>
      </c>
      <c r="I133" s="438">
        <v>0</v>
      </c>
      <c r="J133" s="438">
        <v>0</v>
      </c>
      <c r="K133" s="440">
        <v>0</v>
      </c>
      <c r="L133" s="440">
        <v>0</v>
      </c>
      <c r="M133" s="440">
        <v>0</v>
      </c>
      <c r="N133" s="440">
        <v>0</v>
      </c>
      <c r="O133" s="440">
        <v>0</v>
      </c>
      <c r="P133" s="440">
        <v>0</v>
      </c>
      <c r="Q133" s="441">
        <v>0</v>
      </c>
    </row>
    <row r="134" spans="1:18" x14ac:dyDescent="0.3">
      <c r="A134" s="510">
        <v>68</v>
      </c>
      <c r="B134" s="511" t="s">
        <v>795</v>
      </c>
      <c r="C134" s="451"/>
      <c r="D134" s="438">
        <v>0</v>
      </c>
      <c r="E134" s="438">
        <v>0</v>
      </c>
      <c r="F134" s="438">
        <v>0</v>
      </c>
      <c r="G134" s="438">
        <v>0</v>
      </c>
      <c r="H134" s="438">
        <v>0</v>
      </c>
      <c r="I134" s="438">
        <v>0</v>
      </c>
      <c r="J134" s="438">
        <v>0</v>
      </c>
      <c r="K134" s="440">
        <v>0</v>
      </c>
      <c r="L134" s="440">
        <v>0</v>
      </c>
      <c r="M134" s="440">
        <v>0</v>
      </c>
      <c r="N134" s="440">
        <v>0</v>
      </c>
      <c r="O134" s="440">
        <v>0</v>
      </c>
      <c r="P134" s="440">
        <v>0</v>
      </c>
      <c r="Q134" s="441">
        <v>0</v>
      </c>
      <c r="R134" s="493"/>
    </row>
    <row r="135" spans="1:18" s="493" customFormat="1" x14ac:dyDescent="0.3">
      <c r="A135" s="510">
        <v>69</v>
      </c>
      <c r="B135" s="511" t="s">
        <v>796</v>
      </c>
      <c r="C135" s="451"/>
      <c r="D135" s="438">
        <v>0</v>
      </c>
      <c r="E135" s="438">
        <v>0</v>
      </c>
      <c r="F135" s="438">
        <v>0</v>
      </c>
      <c r="G135" s="438">
        <v>0</v>
      </c>
      <c r="H135" s="438">
        <v>0</v>
      </c>
      <c r="I135" s="438">
        <v>0</v>
      </c>
      <c r="J135" s="438">
        <v>0</v>
      </c>
      <c r="K135" s="440">
        <v>0</v>
      </c>
      <c r="L135" s="440">
        <v>0</v>
      </c>
      <c r="M135" s="440">
        <v>0</v>
      </c>
      <c r="N135" s="440">
        <v>0</v>
      </c>
      <c r="O135" s="440">
        <v>0</v>
      </c>
      <c r="P135" s="440">
        <v>0</v>
      </c>
      <c r="Q135" s="441">
        <v>0</v>
      </c>
    </row>
    <row r="136" spans="1:18" x14ac:dyDescent="0.3">
      <c r="A136" s="452">
        <v>70</v>
      </c>
      <c r="B136" s="453" t="s">
        <v>797</v>
      </c>
      <c r="C136" s="512">
        <v>0</v>
      </c>
      <c r="D136" s="512">
        <v>0</v>
      </c>
      <c r="E136" s="512">
        <v>0</v>
      </c>
      <c r="F136" s="512">
        <v>0</v>
      </c>
      <c r="G136" s="512">
        <v>0</v>
      </c>
      <c r="H136" s="512">
        <v>184973.91200000001</v>
      </c>
      <c r="I136" s="512">
        <v>83.45</v>
      </c>
      <c r="J136" s="512">
        <v>185057.36200000002</v>
      </c>
      <c r="K136" s="512">
        <v>0</v>
      </c>
      <c r="L136" s="512">
        <v>0</v>
      </c>
      <c r="M136" s="512">
        <v>0</v>
      </c>
      <c r="N136" s="512">
        <v>31124.137999999999</v>
      </c>
      <c r="O136" s="512">
        <f>SUM(O129:O135)</f>
        <v>27104.79</v>
      </c>
      <c r="P136" s="512">
        <v>0</v>
      </c>
      <c r="Q136" s="512">
        <v>27105</v>
      </c>
      <c r="R136" s="493"/>
    </row>
    <row r="137" spans="1:18" s="493" customFormat="1" x14ac:dyDescent="0.3">
      <c r="A137" s="510">
        <v>71</v>
      </c>
      <c r="B137" s="511" t="s">
        <v>798</v>
      </c>
      <c r="C137" s="451"/>
      <c r="D137" s="438">
        <v>0</v>
      </c>
      <c r="E137" s="438">
        <v>0</v>
      </c>
      <c r="F137" s="438">
        <v>0</v>
      </c>
      <c r="G137" s="438">
        <v>0</v>
      </c>
      <c r="H137" s="438">
        <v>0</v>
      </c>
      <c r="I137" s="438">
        <v>0</v>
      </c>
      <c r="J137" s="438">
        <v>0</v>
      </c>
      <c r="K137" s="440">
        <v>0</v>
      </c>
      <c r="L137" s="440">
        <v>0</v>
      </c>
      <c r="M137" s="440">
        <v>0</v>
      </c>
      <c r="N137" s="440">
        <v>0</v>
      </c>
      <c r="O137" s="440">
        <v>0</v>
      </c>
      <c r="P137" s="440">
        <v>0</v>
      </c>
      <c r="Q137" s="441">
        <v>0</v>
      </c>
      <c r="R137" s="482"/>
    </row>
    <row r="138" spans="1:18" x14ac:dyDescent="0.3">
      <c r="A138" s="452">
        <v>72</v>
      </c>
      <c r="B138" s="453" t="s">
        <v>799</v>
      </c>
      <c r="C138" s="512">
        <v>0</v>
      </c>
      <c r="D138" s="512">
        <v>84495.775000000009</v>
      </c>
      <c r="E138" s="512">
        <v>22752.658000000003</v>
      </c>
      <c r="F138" s="512">
        <v>16580.095999999998</v>
      </c>
      <c r="G138" s="512">
        <v>4763.2980000000007</v>
      </c>
      <c r="H138" s="512">
        <v>563310.40500000003</v>
      </c>
      <c r="I138" s="512">
        <v>65751.207999999984</v>
      </c>
      <c r="J138" s="512">
        <v>757653.44000000006</v>
      </c>
      <c r="K138" s="512">
        <v>70679.687616191994</v>
      </c>
      <c r="L138" s="512">
        <v>12934.713988976378</v>
      </c>
      <c r="M138" s="512">
        <v>7948.7669249999999</v>
      </c>
      <c r="N138" s="512">
        <v>105424.40290182046</v>
      </c>
      <c r="O138" s="512">
        <v>118359.11689079684</v>
      </c>
      <c r="P138" s="512">
        <v>75810.091716930008</v>
      </c>
      <c r="Q138" s="512">
        <v>272797.66314891889</v>
      </c>
    </row>
    <row r="139" spans="1:18" x14ac:dyDescent="0.3">
      <c r="A139" s="510">
        <v>73</v>
      </c>
      <c r="B139" s="511" t="s">
        <v>800</v>
      </c>
      <c r="C139" s="451"/>
      <c r="D139" s="438">
        <v>0</v>
      </c>
      <c r="E139" s="438">
        <v>0</v>
      </c>
      <c r="F139" s="438">
        <v>0</v>
      </c>
      <c r="G139" s="438">
        <v>0</v>
      </c>
      <c r="H139" s="438">
        <v>0</v>
      </c>
      <c r="I139" s="438">
        <v>0</v>
      </c>
      <c r="J139" s="438">
        <v>0</v>
      </c>
      <c r="K139" s="440">
        <v>0</v>
      </c>
      <c r="L139" s="440">
        <v>0</v>
      </c>
      <c r="M139" s="440">
        <v>0</v>
      </c>
      <c r="N139" s="440">
        <v>0</v>
      </c>
      <c r="O139" s="440">
        <v>0</v>
      </c>
      <c r="P139" s="440">
        <v>0</v>
      </c>
      <c r="Q139" s="441">
        <v>0</v>
      </c>
    </row>
    <row r="140" spans="1:18" x14ac:dyDescent="0.3">
      <c r="A140" s="510">
        <v>74</v>
      </c>
      <c r="B140" s="511" t="s">
        <v>801</v>
      </c>
      <c r="C140" s="451"/>
      <c r="D140" s="438">
        <v>0</v>
      </c>
      <c r="E140" s="438">
        <v>0</v>
      </c>
      <c r="F140" s="438">
        <v>0</v>
      </c>
      <c r="G140" s="438">
        <v>0</v>
      </c>
      <c r="H140" s="438">
        <v>109862.193</v>
      </c>
      <c r="I140" s="438">
        <v>0</v>
      </c>
      <c r="J140" s="438">
        <v>109862.193</v>
      </c>
      <c r="K140" s="440">
        <v>0</v>
      </c>
      <c r="L140" s="440">
        <v>0</v>
      </c>
      <c r="M140" s="440">
        <v>0</v>
      </c>
      <c r="N140" s="440">
        <v>0</v>
      </c>
      <c r="O140" s="440">
        <v>0</v>
      </c>
      <c r="P140" s="440">
        <v>0</v>
      </c>
      <c r="Q140" s="441">
        <v>0</v>
      </c>
    </row>
    <row r="141" spans="1:18" x14ac:dyDescent="0.3">
      <c r="A141" s="510">
        <v>75</v>
      </c>
      <c r="B141" s="523" t="s">
        <v>802</v>
      </c>
      <c r="C141" s="451"/>
      <c r="D141" s="438">
        <v>0</v>
      </c>
      <c r="E141" s="438">
        <v>0</v>
      </c>
      <c r="F141" s="438">
        <v>0</v>
      </c>
      <c r="G141" s="438">
        <v>0</v>
      </c>
      <c r="H141" s="438">
        <v>125604.49400000001</v>
      </c>
      <c r="I141" s="438">
        <v>0</v>
      </c>
      <c r="J141" s="438">
        <v>125604.49400000001</v>
      </c>
      <c r="K141" s="440">
        <v>0</v>
      </c>
      <c r="L141" s="440">
        <v>0</v>
      </c>
      <c r="M141" s="440">
        <v>0</v>
      </c>
      <c r="N141" s="440">
        <v>0</v>
      </c>
      <c r="O141" s="440">
        <v>0</v>
      </c>
      <c r="P141" s="440">
        <v>0</v>
      </c>
      <c r="Q141" s="441">
        <v>0</v>
      </c>
    </row>
    <row r="142" spans="1:18" x14ac:dyDescent="0.3">
      <c r="A142" s="510">
        <v>76</v>
      </c>
      <c r="B142" s="511" t="s">
        <v>803</v>
      </c>
      <c r="C142" s="451"/>
      <c r="D142" s="438">
        <v>0</v>
      </c>
      <c r="E142" s="438">
        <v>0</v>
      </c>
      <c r="F142" s="438">
        <v>0</v>
      </c>
      <c r="G142" s="438">
        <v>0</v>
      </c>
      <c r="H142" s="438">
        <v>0</v>
      </c>
      <c r="I142" s="438">
        <v>0</v>
      </c>
      <c r="J142" s="438">
        <v>0</v>
      </c>
      <c r="K142" s="440">
        <v>0</v>
      </c>
      <c r="L142" s="440">
        <v>0</v>
      </c>
      <c r="M142" s="440">
        <v>0</v>
      </c>
      <c r="N142" s="440">
        <v>0</v>
      </c>
      <c r="O142" s="440">
        <v>0</v>
      </c>
      <c r="P142" s="440">
        <v>0</v>
      </c>
      <c r="Q142" s="441">
        <v>0</v>
      </c>
    </row>
    <row r="143" spans="1:18" x14ac:dyDescent="0.3">
      <c r="A143" s="510">
        <v>77</v>
      </c>
      <c r="B143" s="511" t="s">
        <v>804</v>
      </c>
      <c r="C143" s="451"/>
      <c r="D143" s="438">
        <v>0</v>
      </c>
      <c r="E143" s="438">
        <v>0</v>
      </c>
      <c r="F143" s="438">
        <v>0</v>
      </c>
      <c r="G143" s="438">
        <v>0</v>
      </c>
      <c r="H143" s="438">
        <v>0</v>
      </c>
      <c r="I143" s="438">
        <v>0</v>
      </c>
      <c r="J143" s="438">
        <v>0</v>
      </c>
      <c r="K143" s="440">
        <v>0</v>
      </c>
      <c r="L143" s="440">
        <v>0</v>
      </c>
      <c r="M143" s="440">
        <v>0</v>
      </c>
      <c r="N143" s="440">
        <v>0</v>
      </c>
      <c r="O143" s="440">
        <v>0</v>
      </c>
      <c r="P143" s="440">
        <v>0</v>
      </c>
      <c r="Q143" s="441">
        <v>0</v>
      </c>
    </row>
    <row r="144" spans="1:18" x14ac:dyDescent="0.3">
      <c r="A144" s="510">
        <v>78</v>
      </c>
      <c r="B144" s="511" t="s">
        <v>805</v>
      </c>
      <c r="C144" s="451"/>
      <c r="D144" s="438">
        <v>0</v>
      </c>
      <c r="E144" s="438">
        <v>0</v>
      </c>
      <c r="F144" s="438">
        <v>0</v>
      </c>
      <c r="G144" s="438">
        <v>0</v>
      </c>
      <c r="H144" s="438">
        <v>0</v>
      </c>
      <c r="I144" s="438">
        <v>0</v>
      </c>
      <c r="J144" s="438">
        <v>0</v>
      </c>
      <c r="K144" s="440">
        <v>0</v>
      </c>
      <c r="L144" s="440">
        <v>0</v>
      </c>
      <c r="M144" s="440">
        <v>0</v>
      </c>
      <c r="N144" s="440">
        <v>0</v>
      </c>
      <c r="O144" s="440">
        <v>0</v>
      </c>
      <c r="P144" s="440">
        <v>0</v>
      </c>
      <c r="Q144" s="441">
        <v>0</v>
      </c>
    </row>
    <row r="145" spans="1:18" x14ac:dyDescent="0.3">
      <c r="A145" s="510">
        <v>79</v>
      </c>
      <c r="B145" s="511" t="s">
        <v>806</v>
      </c>
      <c r="C145" s="451"/>
      <c r="D145" s="438">
        <v>0</v>
      </c>
      <c r="E145" s="438">
        <v>0</v>
      </c>
      <c r="F145" s="438">
        <v>0</v>
      </c>
      <c r="G145" s="438">
        <v>0</v>
      </c>
      <c r="H145" s="438">
        <v>0</v>
      </c>
      <c r="I145" s="438">
        <v>0</v>
      </c>
      <c r="J145" s="438">
        <v>0</v>
      </c>
      <c r="K145" s="440">
        <v>0</v>
      </c>
      <c r="L145" s="440">
        <v>0</v>
      </c>
      <c r="M145" s="440">
        <v>0</v>
      </c>
      <c r="N145" s="440">
        <v>0</v>
      </c>
      <c r="O145" s="440">
        <v>0</v>
      </c>
      <c r="P145" s="440">
        <v>0</v>
      </c>
      <c r="Q145" s="441">
        <v>0</v>
      </c>
    </row>
    <row r="146" spans="1:18" x14ac:dyDescent="0.3">
      <c r="A146" s="510">
        <v>80</v>
      </c>
      <c r="B146" s="511" t="s">
        <v>807</v>
      </c>
      <c r="C146" s="451"/>
      <c r="D146" s="438">
        <v>0</v>
      </c>
      <c r="E146" s="438">
        <v>0</v>
      </c>
      <c r="F146" s="438">
        <v>0</v>
      </c>
      <c r="G146" s="438">
        <v>0</v>
      </c>
      <c r="H146" s="438">
        <v>0</v>
      </c>
      <c r="I146" s="438">
        <v>0</v>
      </c>
      <c r="J146" s="438">
        <v>0</v>
      </c>
      <c r="K146" s="440">
        <v>0</v>
      </c>
      <c r="L146" s="440">
        <v>0</v>
      </c>
      <c r="M146" s="440">
        <v>0</v>
      </c>
      <c r="N146" s="440">
        <v>0</v>
      </c>
      <c r="O146" s="440">
        <v>0</v>
      </c>
      <c r="P146" s="440">
        <v>0</v>
      </c>
      <c r="Q146" s="441">
        <v>0</v>
      </c>
    </row>
    <row r="147" spans="1:18" x14ac:dyDescent="0.3">
      <c r="A147" s="510">
        <v>81</v>
      </c>
      <c r="B147" s="511" t="s">
        <v>808</v>
      </c>
      <c r="C147" s="451"/>
      <c r="D147" s="438">
        <v>0</v>
      </c>
      <c r="E147" s="438">
        <v>0</v>
      </c>
      <c r="F147" s="438">
        <v>0</v>
      </c>
      <c r="G147" s="438">
        <v>0</v>
      </c>
      <c r="H147" s="438">
        <v>0</v>
      </c>
      <c r="I147" s="438">
        <v>0</v>
      </c>
      <c r="J147" s="438">
        <v>0</v>
      </c>
      <c r="K147" s="440">
        <v>0</v>
      </c>
      <c r="L147" s="440">
        <v>0</v>
      </c>
      <c r="M147" s="440">
        <v>0</v>
      </c>
      <c r="N147" s="440">
        <v>0</v>
      </c>
      <c r="O147" s="440">
        <v>0</v>
      </c>
      <c r="P147" s="440">
        <v>0</v>
      </c>
      <c r="Q147" s="441">
        <v>0</v>
      </c>
      <c r="R147" s="493"/>
    </row>
    <row r="148" spans="1:18" s="493" customFormat="1" x14ac:dyDescent="0.3">
      <c r="A148" s="510">
        <v>82</v>
      </c>
      <c r="B148" s="511" t="s">
        <v>809</v>
      </c>
      <c r="C148" s="451"/>
      <c r="D148" s="438">
        <v>-531.072</v>
      </c>
      <c r="E148" s="438">
        <v>20.548999999999999</v>
      </c>
      <c r="F148" s="438">
        <v>41.667000000000002</v>
      </c>
      <c r="G148" s="438">
        <v>0</v>
      </c>
      <c r="H148" s="438">
        <v>-1643.0579999999998</v>
      </c>
      <c r="I148" s="438">
        <v>389.738</v>
      </c>
      <c r="J148" s="438">
        <v>-1722.1759999999997</v>
      </c>
      <c r="K148" s="440">
        <v>0</v>
      </c>
      <c r="L148" s="440">
        <v>0</v>
      </c>
      <c r="M148" s="440">
        <v>0</v>
      </c>
      <c r="N148" s="440">
        <v>0</v>
      </c>
      <c r="O148" s="440">
        <v>0</v>
      </c>
      <c r="P148" s="440">
        <v>0</v>
      </c>
      <c r="Q148" s="441">
        <v>0</v>
      </c>
    </row>
    <row r="149" spans="1:18" x14ac:dyDescent="0.3">
      <c r="A149" s="452">
        <v>83</v>
      </c>
      <c r="B149" s="453" t="s">
        <v>810</v>
      </c>
      <c r="C149" s="512">
        <v>0</v>
      </c>
      <c r="D149" s="512">
        <v>-531.072</v>
      </c>
      <c r="E149" s="512">
        <v>20.548999999999999</v>
      </c>
      <c r="F149" s="512">
        <v>41.667000000000002</v>
      </c>
      <c r="G149" s="512">
        <v>0</v>
      </c>
      <c r="H149" s="512">
        <v>233823.62900000002</v>
      </c>
      <c r="I149" s="512">
        <v>389.738</v>
      </c>
      <c r="J149" s="512">
        <v>233744.51100000003</v>
      </c>
      <c r="K149" s="512">
        <v>0</v>
      </c>
      <c r="L149" s="512">
        <v>0</v>
      </c>
      <c r="M149" s="512">
        <v>0</v>
      </c>
      <c r="N149" s="512">
        <v>0</v>
      </c>
      <c r="O149" s="512">
        <v>0</v>
      </c>
      <c r="P149" s="512">
        <v>0</v>
      </c>
      <c r="Q149" s="512">
        <v>0</v>
      </c>
    </row>
    <row r="150" spans="1:18" x14ac:dyDescent="0.3">
      <c r="A150" s="452">
        <v>84</v>
      </c>
      <c r="B150" s="453" t="s">
        <v>811</v>
      </c>
      <c r="C150" s="512">
        <v>0</v>
      </c>
      <c r="D150" s="512">
        <v>83964.703000000009</v>
      </c>
      <c r="E150" s="512">
        <v>22773.207000000002</v>
      </c>
      <c r="F150" s="512">
        <v>16621.762999999999</v>
      </c>
      <c r="G150" s="512">
        <v>4763.2980000000007</v>
      </c>
      <c r="H150" s="512">
        <v>797134.03399999999</v>
      </c>
      <c r="I150" s="512">
        <v>66140.945999999982</v>
      </c>
      <c r="J150" s="512">
        <v>991397.951</v>
      </c>
      <c r="K150" s="512">
        <v>70679.687616191994</v>
      </c>
      <c r="L150" s="512">
        <v>12934.713988976378</v>
      </c>
      <c r="M150" s="512">
        <v>7948.7669249999999</v>
      </c>
      <c r="N150" s="512">
        <v>105424.40290182046</v>
      </c>
      <c r="O150" s="512">
        <v>118359.11689079684</v>
      </c>
      <c r="P150" s="512">
        <v>75810.091716930008</v>
      </c>
      <c r="Q150" s="512">
        <v>272797.66314891889</v>
      </c>
    </row>
    <row r="153" spans="1:18" x14ac:dyDescent="0.3">
      <c r="D153" s="492">
        <v>83964.702999999994</v>
      </c>
      <c r="E153" s="492">
        <v>22773.207000000006</v>
      </c>
      <c r="F153" s="492">
        <v>16621.763000000003</v>
      </c>
      <c r="G153" s="492">
        <v>4763.2979999999989</v>
      </c>
      <c r="H153" s="492">
        <v>797134.03399999975</v>
      </c>
      <c r="I153" s="492">
        <v>66140.945999999996</v>
      </c>
      <c r="J153" s="492">
        <v>991397.95099999977</v>
      </c>
      <c r="K153" s="492">
        <v>70679.687616191994</v>
      </c>
      <c r="L153" s="492">
        <v>12934.713988976378</v>
      </c>
      <c r="M153" s="492">
        <v>7948.7669249999999</v>
      </c>
      <c r="N153" s="492">
        <v>105424.40290182045</v>
      </c>
      <c r="P153" s="492">
        <v>75810.091716930008</v>
      </c>
      <c r="Q153" s="501">
        <v>272797.66314891877</v>
      </c>
    </row>
    <row r="155" spans="1:18" x14ac:dyDescent="0.3">
      <c r="D155" s="492">
        <v>0</v>
      </c>
      <c r="E155" s="492">
        <v>0</v>
      </c>
      <c r="F155" s="501">
        <v>0</v>
      </c>
      <c r="G155" s="492">
        <v>0</v>
      </c>
      <c r="H155" s="492">
        <v>0</v>
      </c>
      <c r="I155" s="492">
        <v>0</v>
      </c>
      <c r="J155" s="492">
        <v>0</v>
      </c>
      <c r="K155" s="492">
        <v>0</v>
      </c>
      <c r="L155" s="492">
        <v>0</v>
      </c>
      <c r="M155" s="492">
        <v>0</v>
      </c>
      <c r="N155" s="492">
        <v>0</v>
      </c>
      <c r="P155" s="492">
        <v>0</v>
      </c>
      <c r="Q155" s="501">
        <v>0</v>
      </c>
    </row>
  </sheetData>
  <mergeCells count="4">
    <mergeCell ref="A1:Q1"/>
    <mergeCell ref="A2:J2"/>
    <mergeCell ref="D4:J4"/>
    <mergeCell ref="K4:Q4"/>
  </mergeCells>
  <phoneticPr fontId="33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/>
  </sheetPr>
  <dimension ref="A1:T82"/>
  <sheetViews>
    <sheetView topLeftCell="B13" zoomScaleNormal="100" workbookViewId="0">
      <selection activeCell="W27" sqref="W27"/>
    </sheetView>
  </sheetViews>
  <sheetFormatPr defaultColWidth="9.33203125" defaultRowHeight="15.6" x14ac:dyDescent="0.3"/>
  <cols>
    <col min="1" max="1" width="6.33203125" style="102" customWidth="1"/>
    <col min="2" max="2" width="30.33203125" style="120" bestFit="1" customWidth="1"/>
    <col min="3" max="4" width="9" style="120" customWidth="1"/>
    <col min="5" max="5" width="9.44140625" style="120" customWidth="1"/>
    <col min="6" max="6" width="8.77734375" style="120" customWidth="1"/>
    <col min="7" max="7" width="8.6640625" style="120" customWidth="1"/>
    <col min="8" max="8" width="8.77734375" style="120" customWidth="1"/>
    <col min="9" max="9" width="8.109375" style="120" customWidth="1"/>
    <col min="10" max="14" width="9.44140625" style="120" customWidth="1"/>
    <col min="15" max="15" width="12.6640625" style="102" customWidth="1"/>
    <col min="16" max="16" width="0" style="120" hidden="1" customWidth="1"/>
    <col min="17" max="17" width="10.109375" style="488" bestFit="1" customWidth="1"/>
    <col min="18" max="16384" width="9.33203125" style="120"/>
  </cols>
  <sheetData>
    <row r="1" spans="1:17" ht="31.5" customHeight="1" x14ac:dyDescent="0.3">
      <c r="A1" s="1434" t="s">
        <v>1166</v>
      </c>
      <c r="B1" s="1435"/>
      <c r="C1" s="1435"/>
      <c r="D1" s="1435"/>
      <c r="E1" s="1435"/>
      <c r="F1" s="1435"/>
      <c r="G1" s="1435"/>
      <c r="H1" s="1435"/>
      <c r="I1" s="1435"/>
      <c r="J1" s="1435"/>
      <c r="K1" s="1435"/>
      <c r="L1" s="1435"/>
      <c r="M1" s="1435"/>
      <c r="N1" s="1435"/>
      <c r="O1" s="1435"/>
    </row>
    <row r="2" spans="1:17" ht="16.2" thickBot="1" x14ac:dyDescent="0.35">
      <c r="O2" s="5" t="s">
        <v>923</v>
      </c>
      <c r="P2" s="120">
        <f>90200/99604</f>
        <v>0.90558612103931568</v>
      </c>
    </row>
    <row r="3" spans="1:17" s="102" customFormat="1" ht="29.25" customHeight="1" thickBot="1" x14ac:dyDescent="0.35">
      <c r="A3" s="99" t="s">
        <v>883</v>
      </c>
      <c r="B3" s="100" t="s">
        <v>12</v>
      </c>
      <c r="C3" s="100" t="s">
        <v>21</v>
      </c>
      <c r="D3" s="100" t="s">
        <v>22</v>
      </c>
      <c r="E3" s="100" t="s">
        <v>23</v>
      </c>
      <c r="F3" s="100" t="s">
        <v>24</v>
      </c>
      <c r="G3" s="100" t="s">
        <v>25</v>
      </c>
      <c r="H3" s="100" t="s">
        <v>26</v>
      </c>
      <c r="I3" s="100" t="s">
        <v>27</v>
      </c>
      <c r="J3" s="100" t="s">
        <v>28</v>
      </c>
      <c r="K3" s="100" t="s">
        <v>29</v>
      </c>
      <c r="L3" s="100" t="s">
        <v>30</v>
      </c>
      <c r="M3" s="100" t="s">
        <v>31</v>
      </c>
      <c r="N3" s="100" t="s">
        <v>32</v>
      </c>
      <c r="O3" s="101" t="s">
        <v>920</v>
      </c>
      <c r="Q3" s="489"/>
    </row>
    <row r="4" spans="1:17" s="104" customFormat="1" ht="15" customHeight="1" thickBot="1" x14ac:dyDescent="0.3">
      <c r="A4" s="103" t="s">
        <v>885</v>
      </c>
      <c r="B4" s="1431" t="s">
        <v>926</v>
      </c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2"/>
      <c r="O4" s="1433"/>
      <c r="Q4" s="490"/>
    </row>
    <row r="5" spans="1:17" s="104" customFormat="1" ht="15" customHeight="1" x14ac:dyDescent="0.25">
      <c r="A5" s="105" t="s">
        <v>886</v>
      </c>
      <c r="B5" s="106" t="s">
        <v>142</v>
      </c>
      <c r="C5" s="107">
        <v>5835</v>
      </c>
      <c r="D5" s="107">
        <v>2470</v>
      </c>
      <c r="E5" s="107">
        <v>32315</v>
      </c>
      <c r="F5" s="107">
        <v>3860</v>
      </c>
      <c r="G5" s="107">
        <v>6629</v>
      </c>
      <c r="H5" s="107">
        <v>5321</v>
      </c>
      <c r="I5" s="107">
        <v>4793</v>
      </c>
      <c r="J5" s="107">
        <v>4500</v>
      </c>
      <c r="K5" s="107">
        <v>32714</v>
      </c>
      <c r="L5" s="107">
        <v>4340</v>
      </c>
      <c r="M5" s="107">
        <v>7017</v>
      </c>
      <c r="N5" s="107">
        <v>2506</v>
      </c>
      <c r="O5" s="108">
        <f>SUM(C5:N5)</f>
        <v>112300</v>
      </c>
      <c r="P5" s="104" t="e">
        <f>'1.1.sz.mell.'!#REF!</f>
        <v>#REF!</v>
      </c>
      <c r="Q5" s="490"/>
    </row>
    <row r="6" spans="1:17" s="112" customFormat="1" ht="14.1" customHeight="1" x14ac:dyDescent="0.25">
      <c r="A6" s="109" t="s">
        <v>887</v>
      </c>
      <c r="B6" s="296" t="s">
        <v>927</v>
      </c>
      <c r="C6" s="110">
        <v>810</v>
      </c>
      <c r="D6" s="110">
        <v>1021</v>
      </c>
      <c r="E6" s="110">
        <v>1525</v>
      </c>
      <c r="F6" s="110">
        <v>3272</v>
      </c>
      <c r="G6" s="110">
        <v>1066</v>
      </c>
      <c r="H6" s="110">
        <v>1805</v>
      </c>
      <c r="I6" s="110">
        <v>2339</v>
      </c>
      <c r="J6" s="110">
        <v>288</v>
      </c>
      <c r="K6" s="110">
        <v>1526</v>
      </c>
      <c r="L6" s="110">
        <v>3314</v>
      </c>
      <c r="M6" s="110">
        <v>802</v>
      </c>
      <c r="N6" s="110">
        <v>1516</v>
      </c>
      <c r="O6" s="793">
        <f t="shared" ref="O6:O27" si="0">SUM(C6:N6)</f>
        <v>19284</v>
      </c>
      <c r="P6" s="112" t="e">
        <f>'1.1.sz.mell.'!#REF!</f>
        <v>#REF!</v>
      </c>
      <c r="Q6" s="491"/>
    </row>
    <row r="7" spans="1:17" s="112" customFormat="1" x14ac:dyDescent="0.25">
      <c r="A7" s="109" t="s">
        <v>888</v>
      </c>
      <c r="B7" s="297" t="s">
        <v>0</v>
      </c>
      <c r="C7" s="113">
        <v>180</v>
      </c>
      <c r="D7" s="113">
        <v>280</v>
      </c>
      <c r="E7" s="113">
        <v>2600</v>
      </c>
      <c r="F7" s="113">
        <v>570</v>
      </c>
      <c r="G7" s="113">
        <v>390</v>
      </c>
      <c r="H7" s="113">
        <v>395</v>
      </c>
      <c r="I7" s="113">
        <v>300</v>
      </c>
      <c r="J7" s="113">
        <v>425</v>
      </c>
      <c r="K7" s="113">
        <v>2320</v>
      </c>
      <c r="L7" s="113">
        <v>486</v>
      </c>
      <c r="M7" s="113">
        <v>381</v>
      </c>
      <c r="N7" s="113">
        <v>173</v>
      </c>
      <c r="O7" s="790">
        <f t="shared" si="0"/>
        <v>8500</v>
      </c>
      <c r="P7" s="112" t="e">
        <f>'1.1.sz.mell.'!#REF!</f>
        <v>#REF!</v>
      </c>
      <c r="Q7" s="491"/>
    </row>
    <row r="8" spans="1:17" s="112" customFormat="1" ht="14.1" customHeight="1" x14ac:dyDescent="0.25">
      <c r="A8" s="109" t="s">
        <v>889</v>
      </c>
      <c r="B8" s="296" t="s">
        <v>873</v>
      </c>
      <c r="C8" s="110">
        <v>17590</v>
      </c>
      <c r="D8" s="110">
        <v>17590</v>
      </c>
      <c r="E8" s="110">
        <v>17590</v>
      </c>
      <c r="F8" s="110">
        <v>17590</v>
      </c>
      <c r="G8" s="110">
        <v>17590</v>
      </c>
      <c r="H8" s="110">
        <v>17590</v>
      </c>
      <c r="I8" s="110">
        <v>17590</v>
      </c>
      <c r="J8" s="110">
        <v>17590</v>
      </c>
      <c r="K8" s="110">
        <v>17590</v>
      </c>
      <c r="L8" s="110">
        <v>17590</v>
      </c>
      <c r="M8" s="110">
        <v>17590</v>
      </c>
      <c r="N8" s="110">
        <v>17588</v>
      </c>
      <c r="O8" s="793">
        <f t="shared" si="0"/>
        <v>211078</v>
      </c>
      <c r="P8" s="112" t="e">
        <f>'1.1.sz.mell.'!#REF!</f>
        <v>#REF!</v>
      </c>
      <c r="Q8" s="491"/>
    </row>
    <row r="9" spans="1:17" s="112" customFormat="1" ht="14.1" customHeight="1" x14ac:dyDescent="0.25">
      <c r="A9" s="109" t="s">
        <v>890</v>
      </c>
      <c r="B9" s="296" t="s">
        <v>874</v>
      </c>
      <c r="C9" s="110">
        <v>904</v>
      </c>
      <c r="D9" s="110">
        <v>904</v>
      </c>
      <c r="E9" s="110">
        <v>904</v>
      </c>
      <c r="F9" s="110">
        <v>904</v>
      </c>
      <c r="G9" s="110">
        <v>904</v>
      </c>
      <c r="H9" s="110">
        <f>14000+904</f>
        <v>14904</v>
      </c>
      <c r="I9" s="110">
        <v>467</v>
      </c>
      <c r="J9" s="110">
        <v>467</v>
      </c>
      <c r="K9" s="110">
        <v>467</v>
      </c>
      <c r="L9" s="110">
        <v>467</v>
      </c>
      <c r="M9" s="110">
        <v>468</v>
      </c>
      <c r="N9" s="110">
        <v>468</v>
      </c>
      <c r="O9" s="793">
        <f t="shared" si="0"/>
        <v>22228</v>
      </c>
      <c r="P9" s="112" t="e">
        <f>'1.1.sz.mell.'!#REF!</f>
        <v>#REF!</v>
      </c>
      <c r="Q9" s="491"/>
    </row>
    <row r="10" spans="1:17" s="112" customFormat="1" ht="14.1" customHeight="1" x14ac:dyDescent="0.25">
      <c r="A10" s="109" t="s">
        <v>891</v>
      </c>
      <c r="B10" s="296" t="s">
        <v>875</v>
      </c>
      <c r="C10" s="110"/>
      <c r="D10" s="110"/>
      <c r="E10" s="110"/>
      <c r="F10" s="110"/>
      <c r="G10" s="110">
        <v>1500</v>
      </c>
      <c r="H10" s="110"/>
      <c r="I10" s="110"/>
      <c r="J10" s="110"/>
      <c r="K10" s="110"/>
      <c r="L10" s="110"/>
      <c r="M10" s="110"/>
      <c r="N10" s="110"/>
      <c r="O10" s="793">
        <f t="shared" si="0"/>
        <v>1500</v>
      </c>
      <c r="P10" s="112" t="e">
        <f>'1.1.sz.mell.'!#REF!</f>
        <v>#REF!</v>
      </c>
      <c r="Q10" s="491"/>
    </row>
    <row r="11" spans="1:17" s="112" customFormat="1" ht="14.1" customHeight="1" x14ac:dyDescent="0.25">
      <c r="A11" s="109" t="s">
        <v>892</v>
      </c>
      <c r="B11" s="296" t="s">
        <v>876</v>
      </c>
      <c r="C11" s="110">
        <v>35</v>
      </c>
      <c r="D11" s="110">
        <v>34</v>
      </c>
      <c r="E11" s="110">
        <v>34</v>
      </c>
      <c r="F11" s="110">
        <v>34</v>
      </c>
      <c r="G11" s="110">
        <v>35</v>
      </c>
      <c r="H11" s="110">
        <v>35</v>
      </c>
      <c r="I11" s="110">
        <v>34</v>
      </c>
      <c r="J11" s="110">
        <v>35</v>
      </c>
      <c r="K11" s="110">
        <v>34</v>
      </c>
      <c r="L11" s="110">
        <v>34</v>
      </c>
      <c r="M11" s="110">
        <v>35</v>
      </c>
      <c r="N11" s="110">
        <v>35</v>
      </c>
      <c r="O11" s="793">
        <f t="shared" si="0"/>
        <v>414</v>
      </c>
      <c r="P11" s="112" t="e">
        <f>'1.1.sz.mell.'!#REF!</f>
        <v>#REF!</v>
      </c>
      <c r="Q11" s="491"/>
    </row>
    <row r="12" spans="1:17" s="112" customFormat="1" x14ac:dyDescent="0.25">
      <c r="A12" s="109" t="s">
        <v>893</v>
      </c>
      <c r="B12" s="298" t="s">
        <v>877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>
        <f t="shared" si="0"/>
        <v>0</v>
      </c>
      <c r="Q12" s="491"/>
    </row>
    <row r="13" spans="1:17" s="112" customFormat="1" ht="14.1" customHeight="1" thickBot="1" x14ac:dyDescent="0.3">
      <c r="A13" s="109" t="s">
        <v>894</v>
      </c>
      <c r="B13" s="296" t="s">
        <v>878</v>
      </c>
      <c r="C13" s="110"/>
      <c r="D13" s="110">
        <v>39200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1">
        <f t="shared" si="0"/>
        <v>39200</v>
      </c>
      <c r="Q13" s="491"/>
    </row>
    <row r="14" spans="1:17" s="104" customFormat="1" ht="15.9" customHeight="1" thickBot="1" x14ac:dyDescent="0.3">
      <c r="A14" s="103" t="s">
        <v>895</v>
      </c>
      <c r="B14" s="41" t="s">
        <v>68</v>
      </c>
      <c r="C14" s="114">
        <f t="shared" ref="C14:N14" si="1">SUM(C5:C13)</f>
        <v>25354</v>
      </c>
      <c r="D14" s="114">
        <f t="shared" si="1"/>
        <v>61499</v>
      </c>
      <c r="E14" s="114">
        <f t="shared" si="1"/>
        <v>54968</v>
      </c>
      <c r="F14" s="114">
        <f t="shared" si="1"/>
        <v>26230</v>
      </c>
      <c r="G14" s="114">
        <f t="shared" si="1"/>
        <v>28114</v>
      </c>
      <c r="H14" s="114">
        <f t="shared" si="1"/>
        <v>40050</v>
      </c>
      <c r="I14" s="114">
        <f t="shared" si="1"/>
        <v>25523</v>
      </c>
      <c r="J14" s="114">
        <f t="shared" si="1"/>
        <v>23305</v>
      </c>
      <c r="K14" s="114">
        <f t="shared" si="1"/>
        <v>54651</v>
      </c>
      <c r="L14" s="114">
        <f t="shared" si="1"/>
        <v>26231</v>
      </c>
      <c r="M14" s="114">
        <f t="shared" si="1"/>
        <v>26293</v>
      </c>
      <c r="N14" s="114">
        <f t="shared" si="1"/>
        <v>22286</v>
      </c>
      <c r="O14" s="115">
        <f>SUM(C14:N14)</f>
        <v>414504</v>
      </c>
      <c r="P14" s="104" t="e">
        <f>SUM(P5:P13)</f>
        <v>#REF!</v>
      </c>
      <c r="Q14" s="490"/>
    </row>
    <row r="15" spans="1:17" s="104" customFormat="1" ht="15" customHeight="1" thickBot="1" x14ac:dyDescent="0.3">
      <c r="A15" s="103" t="s">
        <v>896</v>
      </c>
      <c r="B15" s="1431" t="s">
        <v>1</v>
      </c>
      <c r="C15" s="1432"/>
      <c r="D15" s="1432"/>
      <c r="E15" s="1432"/>
      <c r="F15" s="1432"/>
      <c r="G15" s="1432"/>
      <c r="H15" s="1432"/>
      <c r="I15" s="1432"/>
      <c r="J15" s="1432"/>
      <c r="K15" s="1432"/>
      <c r="L15" s="1432"/>
      <c r="M15" s="1432"/>
      <c r="N15" s="1432"/>
      <c r="O15" s="1433"/>
      <c r="Q15" s="490"/>
    </row>
    <row r="16" spans="1:17" s="112" customFormat="1" ht="14.1" customHeight="1" x14ac:dyDescent="0.25">
      <c r="A16" s="116" t="s">
        <v>897</v>
      </c>
      <c r="B16" s="788" t="s">
        <v>13</v>
      </c>
      <c r="C16" s="789">
        <v>10840</v>
      </c>
      <c r="D16" s="789">
        <v>13135</v>
      </c>
      <c r="E16" s="789">
        <v>13135</v>
      </c>
      <c r="F16" s="789">
        <v>13135</v>
      </c>
      <c r="G16" s="789">
        <v>13135</v>
      </c>
      <c r="H16" s="789">
        <v>13135</v>
      </c>
      <c r="I16" s="789">
        <v>13135</v>
      </c>
      <c r="J16" s="789">
        <v>13135</v>
      </c>
      <c r="K16" s="789">
        <v>13135</v>
      </c>
      <c r="L16" s="789">
        <v>13135</v>
      </c>
      <c r="M16" s="789">
        <v>13133</v>
      </c>
      <c r="N16" s="789">
        <v>13133</v>
      </c>
      <c r="O16" s="790">
        <f t="shared" si="0"/>
        <v>155321</v>
      </c>
      <c r="P16" s="112" t="e">
        <f>'1.1.sz.mell.'!#REF!</f>
        <v>#REF!</v>
      </c>
      <c r="Q16" s="491"/>
    </row>
    <row r="17" spans="1:20" s="112" customFormat="1" ht="27" customHeight="1" x14ac:dyDescent="0.25">
      <c r="A17" s="109" t="s">
        <v>898</v>
      </c>
      <c r="B17" s="791" t="s">
        <v>164</v>
      </c>
      <c r="C17" s="792">
        <f>C16*0.22</f>
        <v>2384.8000000000002</v>
      </c>
      <c r="D17" s="792">
        <v>2896</v>
      </c>
      <c r="E17" s="792">
        <v>2896</v>
      </c>
      <c r="F17" s="792">
        <v>2896</v>
      </c>
      <c r="G17" s="792">
        <v>2896</v>
      </c>
      <c r="H17" s="792">
        <v>2896</v>
      </c>
      <c r="I17" s="792">
        <v>2896</v>
      </c>
      <c r="J17" s="792">
        <v>2896</v>
      </c>
      <c r="K17" s="792">
        <v>2896</v>
      </c>
      <c r="L17" s="792">
        <v>2896</v>
      </c>
      <c r="M17" s="792">
        <v>2897</v>
      </c>
      <c r="N17" s="792">
        <v>2897</v>
      </c>
      <c r="O17" s="793">
        <f t="shared" si="0"/>
        <v>34242.800000000003</v>
      </c>
      <c r="P17" s="112" t="e">
        <f>'1.1.sz.mell.'!#REF!</f>
        <v>#REF!</v>
      </c>
      <c r="Q17" s="491"/>
    </row>
    <row r="18" spans="1:20" s="112" customFormat="1" ht="14.1" customHeight="1" x14ac:dyDescent="0.25">
      <c r="A18" s="109" t="s">
        <v>899</v>
      </c>
      <c r="B18" s="296" t="s">
        <v>88</v>
      </c>
      <c r="C18" s="110">
        <v>10310</v>
      </c>
      <c r="D18" s="110">
        <v>13220</v>
      </c>
      <c r="E18" s="110">
        <v>12096</v>
      </c>
      <c r="F18" s="110">
        <v>13950</v>
      </c>
      <c r="G18" s="110">
        <v>11757</v>
      </c>
      <c r="H18" s="110">
        <v>13420</v>
      </c>
      <c r="I18" s="110">
        <v>11714</v>
      </c>
      <c r="J18" s="110">
        <v>10285</v>
      </c>
      <c r="K18" s="110">
        <v>10957</v>
      </c>
      <c r="L18" s="110">
        <v>10220</v>
      </c>
      <c r="M18" s="110">
        <v>13570</v>
      </c>
      <c r="N18" s="110">
        <v>11532</v>
      </c>
      <c r="O18" s="111">
        <f t="shared" si="0"/>
        <v>143031</v>
      </c>
      <c r="P18" s="112" t="e">
        <f>'1.1.sz.mell.'!#REF!</f>
        <v>#REF!</v>
      </c>
      <c r="Q18" s="491"/>
      <c r="T18" s="924"/>
    </row>
    <row r="19" spans="1:20" s="112" customFormat="1" ht="14.1" customHeight="1" x14ac:dyDescent="0.25">
      <c r="A19" s="109" t="s">
        <v>900</v>
      </c>
      <c r="B19" s="296" t="s">
        <v>165</v>
      </c>
      <c r="C19" s="110">
        <v>1465</v>
      </c>
      <c r="D19" s="110">
        <v>1465</v>
      </c>
      <c r="E19" s="110">
        <v>1466</v>
      </c>
      <c r="F19" s="110">
        <v>1466</v>
      </c>
      <c r="G19" s="110">
        <v>1466</v>
      </c>
      <c r="H19" s="110">
        <v>1466</v>
      </c>
      <c r="I19" s="110">
        <v>1466</v>
      </c>
      <c r="J19" s="110">
        <v>1466</v>
      </c>
      <c r="K19" s="110">
        <v>1466</v>
      </c>
      <c r="L19" s="110">
        <v>1465</v>
      </c>
      <c r="M19" s="110">
        <v>1465</v>
      </c>
      <c r="N19" s="110">
        <v>1465</v>
      </c>
      <c r="O19" s="111">
        <f>SUM(C19:N19)</f>
        <v>17587</v>
      </c>
      <c r="P19" s="112" t="e">
        <f>'1.1.sz.mell.'!#REF!</f>
        <v>#REF!</v>
      </c>
      <c r="Q19" s="491"/>
    </row>
    <row r="20" spans="1:20" s="112" customFormat="1" ht="14.1" customHeight="1" x14ac:dyDescent="0.25">
      <c r="A20" s="109" t="s">
        <v>901</v>
      </c>
      <c r="B20" s="296" t="s">
        <v>879</v>
      </c>
      <c r="C20" s="110">
        <f>250+104</f>
        <v>354</v>
      </c>
      <c r="D20" s="110">
        <v>104</v>
      </c>
      <c r="E20" s="110">
        <f>480+240+250+104</f>
        <v>1074</v>
      </c>
      <c r="F20" s="110">
        <f>500+104</f>
        <v>604</v>
      </c>
      <c r="G20" s="110">
        <v>104</v>
      </c>
      <c r="H20" s="110">
        <v>104</v>
      </c>
      <c r="I20" s="110">
        <v>104</v>
      </c>
      <c r="J20" s="110">
        <f>250+104</f>
        <v>354</v>
      </c>
      <c r="K20" s="110">
        <f>500+104</f>
        <v>604</v>
      </c>
      <c r="L20" s="110">
        <v>104</v>
      </c>
      <c r="M20" s="110">
        <v>105</v>
      </c>
      <c r="N20" s="110">
        <v>105</v>
      </c>
      <c r="O20" s="111">
        <f t="shared" si="0"/>
        <v>3720</v>
      </c>
      <c r="P20" s="112" t="e">
        <f>'1.1.sz.mell.'!#REF!</f>
        <v>#REF!</v>
      </c>
      <c r="Q20" s="491"/>
    </row>
    <row r="21" spans="1:20" s="112" customFormat="1" ht="14.1" customHeight="1" x14ac:dyDescent="0.25">
      <c r="A21" s="109" t="s">
        <v>902</v>
      </c>
      <c r="B21" s="296" t="s">
        <v>279</v>
      </c>
      <c r="C21" s="110"/>
      <c r="D21" s="110"/>
      <c r="E21" s="110">
        <v>3288</v>
      </c>
      <c r="F21" s="110">
        <v>3287</v>
      </c>
      <c r="G21" s="110">
        <v>3287</v>
      </c>
      <c r="H21" s="110">
        <v>3287</v>
      </c>
      <c r="I21" s="110">
        <v>3288</v>
      </c>
      <c r="J21" s="110">
        <v>3287</v>
      </c>
      <c r="K21" s="110">
        <v>3287</v>
      </c>
      <c r="L21" s="110">
        <v>3287</v>
      </c>
      <c r="M21" s="110">
        <v>3288</v>
      </c>
      <c r="N21" s="110"/>
      <c r="O21" s="111">
        <f t="shared" si="0"/>
        <v>29586</v>
      </c>
      <c r="P21" s="112" t="e">
        <f>'1.1.sz.mell.'!#REF!</f>
        <v>#REF!</v>
      </c>
      <c r="Q21" s="491"/>
    </row>
    <row r="22" spans="1:20" s="112" customFormat="1" x14ac:dyDescent="0.25">
      <c r="A22" s="109" t="s">
        <v>903</v>
      </c>
      <c r="B22" s="298" t="s">
        <v>168</v>
      </c>
      <c r="C22" s="110"/>
      <c r="D22" s="110"/>
      <c r="E22" s="110"/>
      <c r="F22" s="110"/>
      <c r="G22" s="110">
        <v>2912</v>
      </c>
      <c r="H22" s="110">
        <v>2913</v>
      </c>
      <c r="I22" s="110">
        <v>2913</v>
      </c>
      <c r="J22" s="110">
        <v>2912</v>
      </c>
      <c r="K22" s="110"/>
      <c r="L22" s="110"/>
      <c r="M22" s="110"/>
      <c r="N22" s="110"/>
      <c r="O22" s="111">
        <f t="shared" si="0"/>
        <v>11650</v>
      </c>
      <c r="Q22" s="491"/>
    </row>
    <row r="23" spans="1:20" s="112" customFormat="1" ht="14.1" customHeight="1" x14ac:dyDescent="0.25">
      <c r="A23" s="109" t="s">
        <v>904</v>
      </c>
      <c r="B23" s="296" t="s">
        <v>310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1">
        <f t="shared" si="0"/>
        <v>0</v>
      </c>
      <c r="Q23" s="491"/>
    </row>
    <row r="24" spans="1:20" s="112" customFormat="1" ht="14.1" customHeight="1" x14ac:dyDescent="0.25">
      <c r="A24" s="109" t="s">
        <v>905</v>
      </c>
      <c r="B24" s="296" t="s">
        <v>917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>
        <v>19366</v>
      </c>
      <c r="N24" s="110"/>
      <c r="O24" s="111">
        <f t="shared" si="0"/>
        <v>19366</v>
      </c>
      <c r="P24" s="112" t="e">
        <f>'1.1.sz.mell.'!#REF!</f>
        <v>#REF!</v>
      </c>
      <c r="Q24" s="491"/>
    </row>
    <row r="25" spans="1:20" s="112" customFormat="1" ht="13.5" customHeight="1" x14ac:dyDescent="0.25">
      <c r="A25" s="109" t="s">
        <v>906</v>
      </c>
      <c r="B25" s="296" t="s">
        <v>880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1">
        <f t="shared" si="0"/>
        <v>0</v>
      </c>
      <c r="Q25" s="491"/>
    </row>
    <row r="26" spans="1:20" s="112" customFormat="1" ht="14.1" customHeight="1" thickBot="1" x14ac:dyDescent="0.3">
      <c r="A26" s="109" t="s">
        <v>907</v>
      </c>
      <c r="B26" s="296" t="s">
        <v>881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1">
        <f t="shared" si="0"/>
        <v>0</v>
      </c>
      <c r="Q26" s="491"/>
    </row>
    <row r="27" spans="1:20" s="104" customFormat="1" ht="15.9" customHeight="1" thickBot="1" x14ac:dyDescent="0.3">
      <c r="A27" s="117" t="s">
        <v>908</v>
      </c>
      <c r="B27" s="41" t="s">
        <v>69</v>
      </c>
      <c r="C27" s="114">
        <f t="shared" ref="C27:N27" si="2">SUM(C16:C26)</f>
        <v>25353.8</v>
      </c>
      <c r="D27" s="114">
        <f t="shared" si="2"/>
        <v>30820</v>
      </c>
      <c r="E27" s="114">
        <f t="shared" si="2"/>
        <v>33955</v>
      </c>
      <c r="F27" s="114">
        <f t="shared" si="2"/>
        <v>35338</v>
      </c>
      <c r="G27" s="114">
        <f t="shared" si="2"/>
        <v>35557</v>
      </c>
      <c r="H27" s="114">
        <f t="shared" si="2"/>
        <v>37221</v>
      </c>
      <c r="I27" s="114">
        <f t="shared" si="2"/>
        <v>35516</v>
      </c>
      <c r="J27" s="114">
        <f t="shared" si="2"/>
        <v>34335</v>
      </c>
      <c r="K27" s="114">
        <f t="shared" si="2"/>
        <v>32345</v>
      </c>
      <c r="L27" s="114">
        <f t="shared" si="2"/>
        <v>31107</v>
      </c>
      <c r="M27" s="114">
        <f t="shared" si="2"/>
        <v>53824</v>
      </c>
      <c r="N27" s="114">
        <f t="shared" si="2"/>
        <v>29132</v>
      </c>
      <c r="O27" s="115">
        <f t="shared" si="0"/>
        <v>414503.8</v>
      </c>
      <c r="P27" s="104" t="e">
        <f>SUM(P16:P26)</f>
        <v>#REF!</v>
      </c>
      <c r="Q27" s="490"/>
    </row>
    <row r="28" spans="1:20" ht="16.2" thickBot="1" x14ac:dyDescent="0.35">
      <c r="A28" s="117" t="s">
        <v>909</v>
      </c>
      <c r="B28" s="300" t="s">
        <v>70</v>
      </c>
      <c r="C28" s="118">
        <f t="shared" ref="C28:O28" si="3">C14-C27</f>
        <v>0.2000000000007276</v>
      </c>
      <c r="D28" s="118">
        <f t="shared" si="3"/>
        <v>30679</v>
      </c>
      <c r="E28" s="118">
        <f t="shared" si="3"/>
        <v>21013</v>
      </c>
      <c r="F28" s="118">
        <f t="shared" si="3"/>
        <v>-9108</v>
      </c>
      <c r="G28" s="118">
        <f t="shared" si="3"/>
        <v>-7443</v>
      </c>
      <c r="H28" s="118">
        <f t="shared" si="3"/>
        <v>2829</v>
      </c>
      <c r="I28" s="118">
        <f t="shared" si="3"/>
        <v>-9993</v>
      </c>
      <c r="J28" s="118">
        <f t="shared" si="3"/>
        <v>-11030</v>
      </c>
      <c r="K28" s="118">
        <f t="shared" si="3"/>
        <v>22306</v>
      </c>
      <c r="L28" s="118">
        <f t="shared" si="3"/>
        <v>-4876</v>
      </c>
      <c r="M28" s="118">
        <f t="shared" si="3"/>
        <v>-27531</v>
      </c>
      <c r="N28" s="118">
        <f t="shared" si="3"/>
        <v>-6846</v>
      </c>
      <c r="O28" s="119">
        <f t="shared" si="3"/>
        <v>0.20000000001164153</v>
      </c>
    </row>
    <row r="29" spans="1:20" x14ac:dyDescent="0.3">
      <c r="A29" s="121"/>
    </row>
    <row r="30" spans="1:20" x14ac:dyDescent="0.3">
      <c r="O30" s="120"/>
    </row>
    <row r="31" spans="1:20" x14ac:dyDescent="0.3">
      <c r="O31" s="120"/>
    </row>
    <row r="32" spans="1:20" x14ac:dyDescent="0.3">
      <c r="O32" s="120"/>
    </row>
    <row r="33" spans="15:15" x14ac:dyDescent="0.3">
      <c r="O33" s="120"/>
    </row>
    <row r="34" spans="15:15" x14ac:dyDescent="0.3">
      <c r="O34" s="120"/>
    </row>
    <row r="35" spans="15:15" x14ac:dyDescent="0.3">
      <c r="O35" s="120"/>
    </row>
    <row r="36" spans="15:15" x14ac:dyDescent="0.3">
      <c r="O36" s="120"/>
    </row>
    <row r="37" spans="15:15" x14ac:dyDescent="0.3">
      <c r="O37" s="120"/>
    </row>
    <row r="38" spans="15:15" x14ac:dyDescent="0.3">
      <c r="O38" s="120"/>
    </row>
    <row r="39" spans="15:15" x14ac:dyDescent="0.3">
      <c r="O39" s="120"/>
    </row>
    <row r="40" spans="15:15" x14ac:dyDescent="0.3">
      <c r="O40" s="120"/>
    </row>
    <row r="41" spans="15:15" x14ac:dyDescent="0.3">
      <c r="O41" s="120"/>
    </row>
    <row r="42" spans="15:15" x14ac:dyDescent="0.3">
      <c r="O42" s="120"/>
    </row>
    <row r="43" spans="15:15" x14ac:dyDescent="0.3">
      <c r="O43" s="120"/>
    </row>
    <row r="44" spans="15:15" x14ac:dyDescent="0.3">
      <c r="O44" s="120"/>
    </row>
    <row r="45" spans="15:15" x14ac:dyDescent="0.3">
      <c r="O45" s="120"/>
    </row>
    <row r="46" spans="15:15" x14ac:dyDescent="0.3">
      <c r="O46" s="120"/>
    </row>
    <row r="47" spans="15:15" x14ac:dyDescent="0.3">
      <c r="O47" s="120"/>
    </row>
    <row r="48" spans="15:15" x14ac:dyDescent="0.3">
      <c r="O48" s="120"/>
    </row>
    <row r="49" spans="15:15" x14ac:dyDescent="0.3">
      <c r="O49" s="120"/>
    </row>
    <row r="50" spans="15:15" x14ac:dyDescent="0.3">
      <c r="O50" s="120"/>
    </row>
    <row r="51" spans="15:15" x14ac:dyDescent="0.3">
      <c r="O51" s="120"/>
    </row>
    <row r="52" spans="15:15" x14ac:dyDescent="0.3">
      <c r="O52" s="120"/>
    </row>
    <row r="53" spans="15:15" x14ac:dyDescent="0.3">
      <c r="O53" s="120"/>
    </row>
    <row r="54" spans="15:15" x14ac:dyDescent="0.3">
      <c r="O54" s="120"/>
    </row>
    <row r="55" spans="15:15" x14ac:dyDescent="0.3">
      <c r="O55" s="120"/>
    </row>
    <row r="56" spans="15:15" x14ac:dyDescent="0.3">
      <c r="O56" s="120"/>
    </row>
    <row r="57" spans="15:15" x14ac:dyDescent="0.3">
      <c r="O57" s="120"/>
    </row>
    <row r="58" spans="15:15" x14ac:dyDescent="0.3">
      <c r="O58" s="120"/>
    </row>
    <row r="59" spans="15:15" x14ac:dyDescent="0.3">
      <c r="O59" s="120"/>
    </row>
    <row r="60" spans="15:15" x14ac:dyDescent="0.3">
      <c r="O60" s="120"/>
    </row>
    <row r="61" spans="15:15" x14ac:dyDescent="0.3">
      <c r="O61" s="120"/>
    </row>
    <row r="62" spans="15:15" x14ac:dyDescent="0.3">
      <c r="O62" s="120"/>
    </row>
    <row r="63" spans="15:15" x14ac:dyDescent="0.3">
      <c r="O63" s="120"/>
    </row>
    <row r="64" spans="15:15" x14ac:dyDescent="0.3">
      <c r="O64" s="120"/>
    </row>
    <row r="65" spans="15:15" x14ac:dyDescent="0.3">
      <c r="O65" s="120"/>
    </row>
    <row r="66" spans="15:15" x14ac:dyDescent="0.3">
      <c r="O66" s="120"/>
    </row>
    <row r="67" spans="15:15" x14ac:dyDescent="0.3">
      <c r="O67" s="120"/>
    </row>
    <row r="68" spans="15:15" x14ac:dyDescent="0.3">
      <c r="O68" s="120"/>
    </row>
    <row r="69" spans="15:15" x14ac:dyDescent="0.3">
      <c r="O69" s="120"/>
    </row>
    <row r="70" spans="15:15" x14ac:dyDescent="0.3">
      <c r="O70" s="120"/>
    </row>
    <row r="71" spans="15:15" x14ac:dyDescent="0.3">
      <c r="O71" s="120"/>
    </row>
    <row r="72" spans="15:15" x14ac:dyDescent="0.3">
      <c r="O72" s="120"/>
    </row>
    <row r="73" spans="15:15" x14ac:dyDescent="0.3">
      <c r="O73" s="120"/>
    </row>
    <row r="74" spans="15:15" x14ac:dyDescent="0.3">
      <c r="O74" s="120"/>
    </row>
    <row r="75" spans="15:15" x14ac:dyDescent="0.3">
      <c r="O75" s="120"/>
    </row>
    <row r="76" spans="15:15" x14ac:dyDescent="0.3">
      <c r="O76" s="120"/>
    </row>
    <row r="77" spans="15:15" x14ac:dyDescent="0.3">
      <c r="O77" s="120"/>
    </row>
    <row r="78" spans="15:15" x14ac:dyDescent="0.3">
      <c r="O78" s="120"/>
    </row>
    <row r="79" spans="15:15" x14ac:dyDescent="0.3">
      <c r="O79" s="120"/>
    </row>
    <row r="80" spans="15:15" x14ac:dyDescent="0.3">
      <c r="O80" s="120"/>
    </row>
    <row r="81" spans="15:15" x14ac:dyDescent="0.3">
      <c r="O81" s="120"/>
    </row>
    <row r="82" spans="15:15" x14ac:dyDescent="0.3">
      <c r="O82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&amp;"Times New Roman CE,Dőlt"1. számú tájékoztató tábla</oddHeader>
  </headerFooter>
  <ignoredErrors>
    <ignoredError sqref="P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57"/>
  <sheetViews>
    <sheetView view="pageBreakPreview" topLeftCell="A13" zoomScaleNormal="100" zoomScaleSheetLayoutView="100" workbookViewId="0">
      <selection activeCell="E33" sqref="E33"/>
    </sheetView>
  </sheetViews>
  <sheetFormatPr defaultColWidth="9.33203125" defaultRowHeight="14.4" x14ac:dyDescent="0.3"/>
  <cols>
    <col min="1" max="1" width="34.77734375" style="957" bestFit="1" customWidth="1"/>
    <col min="2" max="2" width="34.109375" style="957" customWidth="1"/>
    <col min="3" max="3" width="13.6640625" style="957" customWidth="1"/>
    <col min="4" max="4" width="49.6640625" style="957" bestFit="1" customWidth="1"/>
    <col min="5" max="5" width="22.109375" style="959" bestFit="1" customWidth="1"/>
    <col min="6" max="16384" width="9.33203125" style="957"/>
  </cols>
  <sheetData>
    <row r="1" spans="1:5" x14ac:dyDescent="0.3">
      <c r="D1" s="1446" t="s">
        <v>1151</v>
      </c>
      <c r="E1" s="1446"/>
    </row>
    <row r="2" spans="1:5" x14ac:dyDescent="0.3">
      <c r="A2" s="1447" t="s">
        <v>1167</v>
      </c>
      <c r="B2" s="1447"/>
      <c r="C2" s="1447"/>
      <c r="D2" s="1447"/>
      <c r="E2" s="1447"/>
    </row>
    <row r="4" spans="1:5" x14ac:dyDescent="0.3">
      <c r="A4" s="958" t="s">
        <v>1125</v>
      </c>
    </row>
    <row r="5" spans="1:5" ht="15" thickBot="1" x14ac:dyDescent="0.35">
      <c r="A5" s="960" t="s">
        <v>1056</v>
      </c>
      <c r="B5" s="960" t="s">
        <v>950</v>
      </c>
      <c r="C5" s="960" t="s">
        <v>1057</v>
      </c>
      <c r="D5" s="960" t="s">
        <v>1058</v>
      </c>
      <c r="E5" s="961" t="s">
        <v>1059</v>
      </c>
    </row>
    <row r="6" spans="1:5" ht="15" thickBot="1" x14ac:dyDescent="0.35">
      <c r="A6" s="962" t="s">
        <v>885</v>
      </c>
      <c r="B6" s="963" t="s">
        <v>1090</v>
      </c>
      <c r="C6" s="963" t="s">
        <v>1060</v>
      </c>
      <c r="D6" s="964" t="s">
        <v>1092</v>
      </c>
      <c r="E6" s="990">
        <v>2000000</v>
      </c>
    </row>
    <row r="7" spans="1:5" x14ac:dyDescent="0.3">
      <c r="A7" s="965"/>
    </row>
    <row r="8" spans="1:5" x14ac:dyDescent="0.3">
      <c r="A8" s="966" t="s">
        <v>1061</v>
      </c>
    </row>
    <row r="9" spans="1:5" ht="15" thickBot="1" x14ac:dyDescent="0.35">
      <c r="A9" s="960" t="s">
        <v>1056</v>
      </c>
      <c r="B9" s="960" t="s">
        <v>950</v>
      </c>
      <c r="C9" s="960" t="s">
        <v>1057</v>
      </c>
      <c r="D9" s="960" t="s">
        <v>1058</v>
      </c>
      <c r="E9" s="961" t="s">
        <v>1059</v>
      </c>
    </row>
    <row r="10" spans="1:5" ht="15" thickBot="1" x14ac:dyDescent="0.35">
      <c r="A10" s="1436" t="s">
        <v>886</v>
      </c>
      <c r="B10" s="1436" t="s">
        <v>1126</v>
      </c>
      <c r="C10" s="1436" t="s">
        <v>1062</v>
      </c>
      <c r="D10" s="967" t="s">
        <v>1093</v>
      </c>
      <c r="E10" s="991">
        <v>100000</v>
      </c>
    </row>
    <row r="11" spans="1:5" ht="15" thickBot="1" x14ac:dyDescent="0.35">
      <c r="A11" s="1437"/>
      <c r="B11" s="1439"/>
      <c r="C11" s="1437"/>
      <c r="D11" s="967" t="s">
        <v>1063</v>
      </c>
      <c r="E11" s="991">
        <v>350000</v>
      </c>
    </row>
    <row r="12" spans="1:5" ht="15" thickBot="1" x14ac:dyDescent="0.35">
      <c r="A12" s="1437"/>
      <c r="B12" s="1439"/>
      <c r="C12" s="1437"/>
      <c r="D12" s="967" t="s">
        <v>1127</v>
      </c>
      <c r="E12" s="991">
        <v>800000</v>
      </c>
    </row>
    <row r="13" spans="1:5" ht="15" thickBot="1" x14ac:dyDescent="0.35">
      <c r="A13" s="1438"/>
      <c r="B13" s="1440"/>
      <c r="C13" s="1438"/>
      <c r="D13" s="967" t="s">
        <v>1128</v>
      </c>
      <c r="E13" s="991">
        <v>250000</v>
      </c>
    </row>
    <row r="14" spans="1:5" ht="15" thickBot="1" x14ac:dyDescent="0.35">
      <c r="A14" s="968" t="s">
        <v>887</v>
      </c>
      <c r="B14" s="962" t="s">
        <v>1129</v>
      </c>
      <c r="C14" s="963">
        <v>614</v>
      </c>
      <c r="D14" s="967" t="s">
        <v>1097</v>
      </c>
      <c r="E14" s="992">
        <v>50000</v>
      </c>
    </row>
    <row r="15" spans="1:5" ht="15" thickBot="1" x14ac:dyDescent="0.35">
      <c r="A15" s="1436" t="s">
        <v>888</v>
      </c>
      <c r="B15" s="1436" t="s">
        <v>1130</v>
      </c>
      <c r="C15" s="1436" t="s">
        <v>1064</v>
      </c>
      <c r="D15" s="967" t="s">
        <v>1098</v>
      </c>
      <c r="E15" s="991">
        <v>150000</v>
      </c>
    </row>
    <row r="16" spans="1:5" ht="15" thickBot="1" x14ac:dyDescent="0.35">
      <c r="A16" s="1437"/>
      <c r="B16" s="1439"/>
      <c r="C16" s="1437"/>
      <c r="D16" s="967" t="s">
        <v>1042</v>
      </c>
      <c r="E16" s="991">
        <v>800000</v>
      </c>
    </row>
    <row r="17" spans="1:5" ht="15" thickBot="1" x14ac:dyDescent="0.35">
      <c r="A17" s="1437"/>
      <c r="B17" s="1439"/>
      <c r="C17" s="1437"/>
      <c r="D17" s="967" t="s">
        <v>1099</v>
      </c>
      <c r="E17" s="991">
        <v>300000</v>
      </c>
    </row>
    <row r="18" spans="1:5" ht="15" thickBot="1" x14ac:dyDescent="0.35">
      <c r="A18" s="1437"/>
      <c r="B18" s="1439"/>
      <c r="C18" s="1437"/>
      <c r="D18" s="967" t="s">
        <v>1065</v>
      </c>
      <c r="E18" s="991">
        <v>400000</v>
      </c>
    </row>
    <row r="19" spans="1:5" ht="15" thickBot="1" x14ac:dyDescent="0.35">
      <c r="A19" s="1437"/>
      <c r="B19" s="1439"/>
      <c r="C19" s="1437"/>
      <c r="D19" s="1442" t="s">
        <v>1100</v>
      </c>
      <c r="E19" s="1444">
        <v>200000</v>
      </c>
    </row>
    <row r="20" spans="1:5" ht="0.75" customHeight="1" thickBot="1" x14ac:dyDescent="0.35">
      <c r="A20" s="1437"/>
      <c r="B20" s="1439"/>
      <c r="C20" s="1437"/>
      <c r="D20" s="1443"/>
      <c r="E20" s="1445"/>
    </row>
    <row r="21" spans="1:5" ht="0.75" hidden="1" customHeight="1" thickBot="1" x14ac:dyDescent="0.35">
      <c r="A21" s="1437"/>
      <c r="B21" s="1439"/>
      <c r="C21" s="1437"/>
      <c r="D21" s="967"/>
      <c r="E21" s="993"/>
    </row>
    <row r="22" spans="1:5" ht="15" thickBot="1" x14ac:dyDescent="0.35">
      <c r="A22" s="1438"/>
      <c r="B22" s="1440"/>
      <c r="C22" s="1441"/>
      <c r="D22" s="967" t="s">
        <v>1101</v>
      </c>
      <c r="E22" s="991">
        <v>50000</v>
      </c>
    </row>
    <row r="23" spans="1:5" ht="15.75" customHeight="1" x14ac:dyDescent="0.3">
      <c r="A23" s="1436" t="s">
        <v>889</v>
      </c>
      <c r="B23" s="969" t="s">
        <v>1105</v>
      </c>
      <c r="C23" s="1436"/>
      <c r="D23" s="1448" t="s">
        <v>964</v>
      </c>
      <c r="E23" s="1450">
        <v>1000000</v>
      </c>
    </row>
    <row r="24" spans="1:5" ht="15.75" customHeight="1" thickBot="1" x14ac:dyDescent="0.35">
      <c r="A24" s="1438"/>
      <c r="B24" s="970" t="s">
        <v>1131</v>
      </c>
      <c r="C24" s="1438"/>
      <c r="D24" s="1449"/>
      <c r="E24" s="1451"/>
    </row>
    <row r="25" spans="1:5" ht="15" thickBot="1" x14ac:dyDescent="0.35">
      <c r="A25" s="970" t="s">
        <v>890</v>
      </c>
      <c r="B25" s="971" t="s">
        <v>1043</v>
      </c>
      <c r="C25" s="972"/>
      <c r="D25" s="973" t="s">
        <v>1132</v>
      </c>
      <c r="E25" s="994">
        <v>3000000</v>
      </c>
    </row>
    <row r="26" spans="1:5" ht="16.5" customHeight="1" thickBot="1" x14ac:dyDescent="0.35">
      <c r="A26" s="1437" t="s">
        <v>891</v>
      </c>
      <c r="B26" s="974" t="s">
        <v>1066</v>
      </c>
      <c r="C26" s="1452"/>
      <c r="D26" s="967" t="s">
        <v>1133</v>
      </c>
      <c r="E26" s="991">
        <v>3000000</v>
      </c>
    </row>
    <row r="27" spans="1:5" ht="15" thickBot="1" x14ac:dyDescent="0.35">
      <c r="A27" s="1438"/>
      <c r="B27" s="974" t="s">
        <v>1134</v>
      </c>
      <c r="C27" s="1453"/>
      <c r="D27" s="967" t="s">
        <v>1108</v>
      </c>
      <c r="E27" s="991">
        <v>1000000</v>
      </c>
    </row>
    <row r="28" spans="1:5" ht="15" thickBot="1" x14ac:dyDescent="0.35">
      <c r="A28" s="970" t="s">
        <v>892</v>
      </c>
      <c r="B28" s="962" t="s">
        <v>1135</v>
      </c>
      <c r="C28" s="971" t="s">
        <v>1136</v>
      </c>
      <c r="D28" s="967" t="s">
        <v>1137</v>
      </c>
      <c r="E28" s="991">
        <v>3000000</v>
      </c>
    </row>
    <row r="29" spans="1:5" x14ac:dyDescent="0.3">
      <c r="A29" s="969" t="s">
        <v>893</v>
      </c>
      <c r="B29" s="975" t="s">
        <v>1138</v>
      </c>
      <c r="C29" s="969"/>
      <c r="D29" s="976" t="s">
        <v>1111</v>
      </c>
      <c r="E29" s="995">
        <v>2000000</v>
      </c>
    </row>
    <row r="30" spans="1:5" x14ac:dyDescent="0.3">
      <c r="A30" s="977" t="s">
        <v>894</v>
      </c>
      <c r="B30" s="978" t="s">
        <v>1139</v>
      </c>
      <c r="C30" s="977" t="s">
        <v>1140</v>
      </c>
      <c r="D30" s="979" t="s">
        <v>1141</v>
      </c>
      <c r="E30" s="996">
        <v>3000000</v>
      </c>
    </row>
    <row r="31" spans="1:5" x14ac:dyDescent="0.3">
      <c r="A31" s="977" t="s">
        <v>895</v>
      </c>
      <c r="B31" s="978" t="s">
        <v>1139</v>
      </c>
      <c r="C31" s="977" t="s">
        <v>1140</v>
      </c>
      <c r="D31" s="979" t="s">
        <v>1142</v>
      </c>
      <c r="E31" s="996">
        <v>4000000</v>
      </c>
    </row>
    <row r="32" spans="1:5" ht="15" thickBot="1" x14ac:dyDescent="0.35">
      <c r="A32" s="980" t="s">
        <v>896</v>
      </c>
      <c r="B32" s="981" t="s">
        <v>1114</v>
      </c>
      <c r="C32" s="982" t="s">
        <v>1143</v>
      </c>
      <c r="D32" s="983" t="s">
        <v>1144</v>
      </c>
      <c r="E32" s="997">
        <v>2286000</v>
      </c>
    </row>
    <row r="33" spans="1:5" ht="15" thickBot="1" x14ac:dyDescent="0.35">
      <c r="A33" s="962" t="s">
        <v>897</v>
      </c>
      <c r="B33" s="962" t="s">
        <v>1145</v>
      </c>
      <c r="C33" s="962" t="s">
        <v>1146</v>
      </c>
      <c r="D33" s="984" t="s">
        <v>1147</v>
      </c>
      <c r="E33" s="990">
        <v>2000000</v>
      </c>
    </row>
    <row r="34" spans="1:5" ht="15" thickBot="1" x14ac:dyDescent="0.35">
      <c r="A34" s="962" t="s">
        <v>898</v>
      </c>
      <c r="B34" s="962" t="s">
        <v>1116</v>
      </c>
      <c r="C34" s="962"/>
      <c r="D34" s="984" t="s">
        <v>1117</v>
      </c>
      <c r="E34" s="990">
        <v>500000</v>
      </c>
    </row>
    <row r="35" spans="1:5" ht="15" thickBot="1" x14ac:dyDescent="0.35">
      <c r="A35" s="985" t="s">
        <v>899</v>
      </c>
      <c r="B35" s="985" t="s">
        <v>1148</v>
      </c>
      <c r="C35" s="986"/>
      <c r="D35" s="967" t="s">
        <v>1119</v>
      </c>
      <c r="E35" s="990">
        <v>10000000</v>
      </c>
    </row>
    <row r="36" spans="1:5" ht="15" thickBot="1" x14ac:dyDescent="0.35">
      <c r="A36" s="962" t="s">
        <v>900</v>
      </c>
      <c r="B36" s="985" t="s">
        <v>1149</v>
      </c>
      <c r="C36" s="986"/>
      <c r="D36" s="984" t="s">
        <v>1120</v>
      </c>
      <c r="E36" s="998">
        <v>1000000</v>
      </c>
    </row>
    <row r="37" spans="1:5" ht="15" thickBot="1" x14ac:dyDescent="0.35">
      <c r="A37" s="1007" t="s">
        <v>1150</v>
      </c>
      <c r="B37" s="1008"/>
      <c r="C37" s="1009"/>
      <c r="D37" s="1009"/>
      <c r="E37" s="1010">
        <f>SUM(E6:E36)</f>
        <v>41236000</v>
      </c>
    </row>
    <row r="38" spans="1:5" x14ac:dyDescent="0.3">
      <c r="A38" s="987"/>
      <c r="B38" s="988"/>
    </row>
    <row r="39" spans="1:5" x14ac:dyDescent="0.3">
      <c r="A39" s="987"/>
      <c r="B39" s="988"/>
    </row>
    <row r="40" spans="1:5" x14ac:dyDescent="0.3">
      <c r="A40" s="987"/>
      <c r="B40" s="988"/>
    </row>
    <row r="41" spans="1:5" x14ac:dyDescent="0.3">
      <c r="A41" s="987"/>
      <c r="B41" s="988"/>
    </row>
    <row r="42" spans="1:5" x14ac:dyDescent="0.3">
      <c r="A42" s="987"/>
      <c r="B42" s="988"/>
    </row>
    <row r="43" spans="1:5" x14ac:dyDescent="0.3">
      <c r="A43" s="987"/>
      <c r="B43" s="988"/>
    </row>
    <row r="44" spans="1:5" x14ac:dyDescent="0.3">
      <c r="A44" s="987"/>
      <c r="B44" s="988"/>
    </row>
    <row r="45" spans="1:5" x14ac:dyDescent="0.3">
      <c r="A45" s="987"/>
      <c r="B45" s="988"/>
    </row>
    <row r="46" spans="1:5" x14ac:dyDescent="0.3">
      <c r="A46" s="987"/>
      <c r="B46" s="988"/>
    </row>
    <row r="47" spans="1:5" x14ac:dyDescent="0.3">
      <c r="A47" s="987"/>
      <c r="B47" s="988"/>
    </row>
    <row r="48" spans="1:5" x14ac:dyDescent="0.3">
      <c r="A48" s="987"/>
      <c r="B48" s="988"/>
    </row>
    <row r="49" spans="1:2" x14ac:dyDescent="0.3">
      <c r="A49" s="987"/>
      <c r="B49" s="988"/>
    </row>
    <row r="50" spans="1:2" x14ac:dyDescent="0.3">
      <c r="A50" s="987"/>
      <c r="B50" s="988"/>
    </row>
    <row r="51" spans="1:2" x14ac:dyDescent="0.3">
      <c r="A51" s="987"/>
      <c r="B51" s="988"/>
    </row>
    <row r="52" spans="1:2" x14ac:dyDescent="0.3">
      <c r="A52" s="987"/>
      <c r="B52" s="988"/>
    </row>
    <row r="53" spans="1:2" x14ac:dyDescent="0.3">
      <c r="A53" s="987"/>
      <c r="B53" s="988"/>
    </row>
    <row r="54" spans="1:2" x14ac:dyDescent="0.3">
      <c r="A54" s="987"/>
      <c r="B54" s="988"/>
    </row>
    <row r="55" spans="1:2" x14ac:dyDescent="0.3">
      <c r="A55" s="987"/>
      <c r="B55" s="988"/>
    </row>
    <row r="56" spans="1:2" x14ac:dyDescent="0.3">
      <c r="A56" s="987"/>
      <c r="B56" s="988"/>
    </row>
    <row r="57" spans="1:2" x14ac:dyDescent="0.3">
      <c r="A57" s="989"/>
      <c r="B57" s="989"/>
    </row>
  </sheetData>
  <mergeCells count="16">
    <mergeCell ref="A23:A24"/>
    <mergeCell ref="C23:C24"/>
    <mergeCell ref="D23:D24"/>
    <mergeCell ref="E23:E24"/>
    <mergeCell ref="A26:A27"/>
    <mergeCell ref="C26:C27"/>
    <mergeCell ref="D1:E1"/>
    <mergeCell ref="A10:A13"/>
    <mergeCell ref="B10:B13"/>
    <mergeCell ref="C10:C13"/>
    <mergeCell ref="A2:E2"/>
    <mergeCell ref="A15:A22"/>
    <mergeCell ref="B15:B22"/>
    <mergeCell ref="C15:C22"/>
    <mergeCell ref="D19:D20"/>
    <mergeCell ref="E19:E20"/>
  </mergeCells>
  <pageMargins left="0.7" right="0.7" top="0.75" bottom="0.75" header="0.3" footer="0.3"/>
  <pageSetup paperSize="9" scale="9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3.2" x14ac:dyDescent="0.25"/>
  <cols>
    <col min="1" max="1" width="5.77734375" style="92" customWidth="1"/>
    <col min="2" max="2" width="54.7773437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3">
      <c r="B1" s="1455" t="s">
        <v>871</v>
      </c>
      <c r="C1" s="1455"/>
      <c r="D1" s="1455"/>
    </row>
    <row r="2" spans="1:4" s="80" customFormat="1" ht="16.2" thickBot="1" x14ac:dyDescent="0.35">
      <c r="A2" s="79"/>
      <c r="B2" s="397"/>
      <c r="D2" s="46" t="s">
        <v>11</v>
      </c>
    </row>
    <row r="3" spans="1:4" s="82" customFormat="1" ht="48" customHeight="1" thickBot="1" x14ac:dyDescent="0.3">
      <c r="A3" s="81" t="s">
        <v>883</v>
      </c>
      <c r="B3" s="196" t="s">
        <v>884</v>
      </c>
      <c r="C3" s="196" t="s">
        <v>19</v>
      </c>
      <c r="D3" s="197" t="s">
        <v>20</v>
      </c>
    </row>
    <row r="4" spans="1:4" s="82" customFormat="1" ht="14.1" customHeight="1" thickBot="1" x14ac:dyDescent="0.3">
      <c r="A4" s="39">
        <v>1</v>
      </c>
      <c r="B4" s="199">
        <v>2</v>
      </c>
      <c r="C4" s="199">
        <v>3</v>
      </c>
      <c r="D4" s="200">
        <v>4</v>
      </c>
    </row>
    <row r="5" spans="1:4" ht="18" customHeight="1" x14ac:dyDescent="0.25">
      <c r="A5" s="134" t="s">
        <v>885</v>
      </c>
      <c r="B5" s="201" t="s">
        <v>119</v>
      </c>
      <c r="C5" s="132">
        <v>0</v>
      </c>
      <c r="D5" s="83"/>
    </row>
    <row r="6" spans="1:4" ht="18" customHeight="1" x14ac:dyDescent="0.25">
      <c r="A6" s="84" t="s">
        <v>886</v>
      </c>
      <c r="B6" s="202" t="s">
        <v>120</v>
      </c>
      <c r="C6" s="133">
        <v>0</v>
      </c>
      <c r="D6" s="86"/>
    </row>
    <row r="7" spans="1:4" ht="18" customHeight="1" x14ac:dyDescent="0.25">
      <c r="A7" s="84" t="s">
        <v>887</v>
      </c>
      <c r="B7" s="202" t="s">
        <v>79</v>
      </c>
      <c r="C7" s="133">
        <v>0</v>
      </c>
      <c r="D7" s="86"/>
    </row>
    <row r="8" spans="1:4" ht="18" customHeight="1" x14ac:dyDescent="0.25">
      <c r="A8" s="84" t="s">
        <v>888</v>
      </c>
      <c r="B8" s="202" t="s">
        <v>80</v>
      </c>
      <c r="C8" s="133">
        <v>0</v>
      </c>
      <c r="D8" s="86"/>
    </row>
    <row r="9" spans="1:4" ht="18" customHeight="1" x14ac:dyDescent="0.25">
      <c r="A9" s="84" t="s">
        <v>889</v>
      </c>
      <c r="B9" s="202" t="s">
        <v>111</v>
      </c>
      <c r="C9" s="133"/>
      <c r="D9" s="86"/>
    </row>
    <row r="10" spans="1:4" ht="18" customHeight="1" x14ac:dyDescent="0.25">
      <c r="A10" s="84" t="s">
        <v>890</v>
      </c>
      <c r="B10" s="202" t="s">
        <v>112</v>
      </c>
      <c r="C10" s="133">
        <f>3310+16057+292+154+109</f>
        <v>19922</v>
      </c>
      <c r="D10" s="86">
        <v>19922</v>
      </c>
    </row>
    <row r="11" spans="1:4" ht="18" customHeight="1" x14ac:dyDescent="0.25">
      <c r="A11" s="84" t="s">
        <v>891</v>
      </c>
      <c r="B11" s="203" t="s">
        <v>113</v>
      </c>
      <c r="C11" s="133"/>
      <c r="D11" s="86"/>
    </row>
    <row r="12" spans="1:4" ht="18" customHeight="1" x14ac:dyDescent="0.25">
      <c r="A12" s="84" t="s">
        <v>892</v>
      </c>
      <c r="B12" s="203" t="s">
        <v>114</v>
      </c>
      <c r="C12" s="133"/>
      <c r="D12" s="86"/>
    </row>
    <row r="13" spans="1:4" ht="18" customHeight="1" x14ac:dyDescent="0.25">
      <c r="A13" s="84" t="s">
        <v>893</v>
      </c>
      <c r="B13" s="203" t="s">
        <v>115</v>
      </c>
      <c r="C13" s="133"/>
      <c r="D13" s="86"/>
    </row>
    <row r="14" spans="1:4" ht="18" customHeight="1" x14ac:dyDescent="0.25">
      <c r="A14" s="84" t="s">
        <v>894</v>
      </c>
      <c r="B14" s="203" t="s">
        <v>116</v>
      </c>
      <c r="C14" s="133"/>
      <c r="D14" s="86"/>
    </row>
    <row r="15" spans="1:4" ht="18" customHeight="1" x14ac:dyDescent="0.25">
      <c r="A15" s="84" t="s">
        <v>895</v>
      </c>
      <c r="B15" s="203" t="s">
        <v>117</v>
      </c>
      <c r="C15" s="133"/>
      <c r="D15" s="86"/>
    </row>
    <row r="16" spans="1:4" ht="22.5" customHeight="1" x14ac:dyDescent="0.25">
      <c r="A16" s="84" t="s">
        <v>896</v>
      </c>
      <c r="B16" s="203" t="s">
        <v>118</v>
      </c>
      <c r="C16" s="133"/>
      <c r="D16" s="86"/>
    </row>
    <row r="17" spans="1:8" ht="18" customHeight="1" x14ac:dyDescent="0.25">
      <c r="A17" s="84" t="s">
        <v>897</v>
      </c>
      <c r="B17" s="202" t="s">
        <v>81</v>
      </c>
      <c r="C17" s="133"/>
      <c r="D17" s="86"/>
    </row>
    <row r="18" spans="1:8" ht="20.399999999999999" x14ac:dyDescent="0.25">
      <c r="A18" s="84" t="s">
        <v>898</v>
      </c>
      <c r="B18" s="202" t="s">
        <v>669</v>
      </c>
      <c r="C18" s="133">
        <f>SUM(C19:C29)</f>
        <v>1665.3000000000002</v>
      </c>
      <c r="D18" s="86">
        <f>SUM(D19:D29)</f>
        <v>1665.3000000000002</v>
      </c>
      <c r="F18" s="4" t="s">
        <v>670</v>
      </c>
      <c r="G18" s="4">
        <v>3640</v>
      </c>
      <c r="H18" s="4" t="s">
        <v>671</v>
      </c>
    </row>
    <row r="19" spans="1:8" ht="18" hidden="1" customHeight="1" x14ac:dyDescent="0.25">
      <c r="A19" s="84"/>
      <c r="B19" s="203" t="s">
        <v>658</v>
      </c>
      <c r="C19" s="133">
        <f>H19</f>
        <v>660.66</v>
      </c>
      <c r="D19" s="86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5">
      <c r="A20" s="84"/>
      <c r="B20" s="203" t="s">
        <v>659</v>
      </c>
      <c r="C20" s="133">
        <f t="shared" ref="C20:C29" si="0">H20</f>
        <v>305.76</v>
      </c>
      <c r="D20" s="86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5">
      <c r="A21" s="84"/>
      <c r="B21" s="203" t="s">
        <v>660</v>
      </c>
      <c r="C21" s="133">
        <f t="shared" si="0"/>
        <v>145.6</v>
      </c>
      <c r="D21" s="86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5">
      <c r="A22" s="84"/>
      <c r="B22" s="203" t="s">
        <v>661</v>
      </c>
      <c r="C22" s="133">
        <f t="shared" si="0"/>
        <v>72.8</v>
      </c>
      <c r="D22" s="86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5">
      <c r="A23" s="84"/>
      <c r="B23" s="203" t="s">
        <v>662</v>
      </c>
      <c r="C23" s="133">
        <f t="shared" si="0"/>
        <v>182</v>
      </c>
      <c r="D23" s="86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5">
      <c r="A24" s="84"/>
      <c r="B24" s="203" t="s">
        <v>663</v>
      </c>
      <c r="C24" s="133">
        <f t="shared" si="0"/>
        <v>141.96</v>
      </c>
      <c r="D24" s="86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5">
      <c r="A25" s="84"/>
      <c r="B25" s="203" t="s">
        <v>664</v>
      </c>
      <c r="C25" s="133">
        <f t="shared" si="0"/>
        <v>61.88</v>
      </c>
      <c r="D25" s="86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5">
      <c r="A26" s="84"/>
      <c r="B26" s="203" t="s">
        <v>665</v>
      </c>
      <c r="C26" s="133">
        <f t="shared" si="0"/>
        <v>36.4</v>
      </c>
      <c r="D26" s="86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5">
      <c r="A27" s="84"/>
      <c r="B27" s="203" t="s">
        <v>666</v>
      </c>
      <c r="C27" s="133">
        <f t="shared" si="0"/>
        <v>36.4</v>
      </c>
      <c r="D27" s="86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5">
      <c r="A28" s="84"/>
      <c r="B28" s="203" t="s">
        <v>667</v>
      </c>
      <c r="C28" s="133">
        <f t="shared" si="0"/>
        <v>7.28</v>
      </c>
      <c r="D28" s="86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5">
      <c r="A29" s="84"/>
      <c r="B29" s="203" t="s">
        <v>668</v>
      </c>
      <c r="C29" s="133">
        <f t="shared" si="0"/>
        <v>14.56</v>
      </c>
      <c r="D29" s="86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5">
      <c r="A30" s="84"/>
      <c r="B30" s="202"/>
      <c r="C30" s="133"/>
      <c r="D30" s="86"/>
    </row>
    <row r="31" spans="1:8" ht="18" customHeight="1" x14ac:dyDescent="0.25">
      <c r="A31" s="84" t="s">
        <v>899</v>
      </c>
      <c r="B31" s="202" t="s">
        <v>872</v>
      </c>
      <c r="C31" s="133"/>
      <c r="D31" s="86"/>
    </row>
    <row r="32" spans="1:8" ht="18" customHeight="1" x14ac:dyDescent="0.25">
      <c r="A32" s="84" t="s">
        <v>900</v>
      </c>
      <c r="B32" s="202" t="s">
        <v>82</v>
      </c>
      <c r="C32" s="133"/>
      <c r="D32" s="86"/>
    </row>
    <row r="33" spans="1:4" ht="18" customHeight="1" x14ac:dyDescent="0.25">
      <c r="A33" s="84" t="s">
        <v>901</v>
      </c>
      <c r="B33" s="202" t="s">
        <v>83</v>
      </c>
      <c r="C33" s="133"/>
      <c r="D33" s="86"/>
    </row>
    <row r="34" spans="1:4" ht="18" customHeight="1" x14ac:dyDescent="0.25">
      <c r="A34" s="84" t="s">
        <v>909</v>
      </c>
      <c r="B34" s="87"/>
      <c r="C34" s="85"/>
      <c r="D34" s="86"/>
    </row>
    <row r="35" spans="1:4" ht="18" customHeight="1" thickBot="1" x14ac:dyDescent="0.3">
      <c r="A35" s="135" t="s">
        <v>910</v>
      </c>
      <c r="B35" s="88"/>
      <c r="C35" s="89"/>
      <c r="D35" s="90"/>
    </row>
    <row r="36" spans="1:4" ht="18" customHeight="1" thickBot="1" x14ac:dyDescent="0.3">
      <c r="A36" s="40" t="s">
        <v>911</v>
      </c>
      <c r="B36" s="207" t="s">
        <v>920</v>
      </c>
      <c r="C36" s="208">
        <f>SUM(C5:C35)-C18</f>
        <v>21587.3</v>
      </c>
      <c r="D36" s="208">
        <f>SUM(D5:D35)-D18</f>
        <v>21587.3</v>
      </c>
    </row>
    <row r="37" spans="1:4" ht="8.25" customHeight="1" x14ac:dyDescent="0.25">
      <c r="A37" s="91"/>
      <c r="B37" s="1454"/>
      <c r="C37" s="1454"/>
      <c r="D37" s="1454"/>
    </row>
  </sheetData>
  <mergeCells count="2">
    <mergeCell ref="B37:D37"/>
    <mergeCell ref="B1:D1"/>
  </mergeCells>
  <phoneticPr fontId="33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5"/>
  <sheetViews>
    <sheetView view="pageBreakPreview" zoomScale="60" zoomScaleNormal="100" workbookViewId="0">
      <selection sqref="A1:E1"/>
    </sheetView>
  </sheetViews>
  <sheetFormatPr defaultRowHeight="13.2" x14ac:dyDescent="0.25"/>
  <cols>
    <col min="1" max="1" width="6.6640625" customWidth="1"/>
    <col min="2" max="2" width="38.6640625" customWidth="1"/>
    <col min="3" max="3" width="39.77734375" bestFit="1" customWidth="1"/>
    <col min="4" max="4" width="12" style="481" customWidth="1"/>
    <col min="5" max="5" width="14.33203125" bestFit="1" customWidth="1"/>
  </cols>
  <sheetData>
    <row r="1" spans="1:7" ht="13.8" x14ac:dyDescent="0.25">
      <c r="A1" s="1457" t="s">
        <v>953</v>
      </c>
      <c r="B1" s="1457"/>
      <c r="C1" s="1457"/>
      <c r="D1" s="1457"/>
      <c r="E1" s="1457"/>
    </row>
    <row r="2" spans="1:7" ht="35.25" customHeight="1" x14ac:dyDescent="0.3">
      <c r="A2" s="1456" t="s">
        <v>1152</v>
      </c>
      <c r="B2" s="1456"/>
      <c r="C2" s="1456"/>
      <c r="D2" s="1456"/>
      <c r="E2" s="1456"/>
    </row>
    <row r="3" spans="1:7" ht="17.25" customHeight="1" x14ac:dyDescent="0.3">
      <c r="A3" s="398"/>
      <c r="B3" s="398"/>
      <c r="C3" s="398"/>
    </row>
    <row r="4" spans="1:7" ht="13.8" thickBot="1" x14ac:dyDescent="0.3">
      <c r="A4" s="209"/>
      <c r="B4" s="209"/>
      <c r="C4" s="704"/>
      <c r="D4" s="1458" t="s">
        <v>923</v>
      </c>
      <c r="E4" s="1458"/>
    </row>
    <row r="5" spans="1:7" ht="42.75" customHeight="1" thickBot="1" x14ac:dyDescent="0.3">
      <c r="A5" s="399" t="s">
        <v>17</v>
      </c>
      <c r="B5" s="400" t="s">
        <v>84</v>
      </c>
      <c r="C5" s="400" t="s">
        <v>85</v>
      </c>
      <c r="D5" s="674" t="s">
        <v>1153</v>
      </c>
      <c r="E5" s="567" t="s">
        <v>1070</v>
      </c>
    </row>
    <row r="6" spans="1:7" ht="15.9" customHeight="1" thickBot="1" x14ac:dyDescent="0.3">
      <c r="A6" s="748" t="s">
        <v>885</v>
      </c>
      <c r="B6" s="749" t="s">
        <v>573</v>
      </c>
      <c r="C6" s="749" t="s">
        <v>574</v>
      </c>
      <c r="D6" s="750">
        <v>425</v>
      </c>
      <c r="E6" s="751">
        <v>500</v>
      </c>
    </row>
    <row r="7" spans="1:7" ht="15.9" customHeight="1" thickBot="1" x14ac:dyDescent="0.3">
      <c r="A7" s="1462" t="s">
        <v>967</v>
      </c>
      <c r="B7" s="1463"/>
      <c r="C7" s="1464"/>
      <c r="D7" s="753">
        <f>SUM(D6)</f>
        <v>425</v>
      </c>
      <c r="E7" s="753">
        <f>SUM(E6)</f>
        <v>500</v>
      </c>
    </row>
    <row r="8" spans="1:7" ht="15.9" customHeight="1" x14ac:dyDescent="0.25">
      <c r="A8" s="745" t="s">
        <v>886</v>
      </c>
      <c r="B8" s="746" t="s">
        <v>578</v>
      </c>
      <c r="C8" s="746" t="s">
        <v>575</v>
      </c>
      <c r="D8" s="752">
        <v>725</v>
      </c>
      <c r="E8" s="747">
        <v>750</v>
      </c>
      <c r="G8" s="481"/>
    </row>
    <row r="9" spans="1:7" ht="15.9" customHeight="1" x14ac:dyDescent="0.25">
      <c r="A9" s="745" t="s">
        <v>887</v>
      </c>
      <c r="B9" s="36" t="s">
        <v>576</v>
      </c>
      <c r="C9" s="36" t="s">
        <v>577</v>
      </c>
      <c r="D9" s="702">
        <v>480</v>
      </c>
      <c r="E9" s="568">
        <v>480</v>
      </c>
    </row>
    <row r="10" spans="1:7" s="703" customFormat="1" ht="15.9" customHeight="1" x14ac:dyDescent="0.25">
      <c r="A10" s="745" t="s">
        <v>888</v>
      </c>
      <c r="B10" s="780" t="s">
        <v>1067</v>
      </c>
      <c r="C10" s="780" t="s">
        <v>1068</v>
      </c>
      <c r="D10" s="781">
        <v>1000</v>
      </c>
      <c r="E10" s="782">
        <v>1000</v>
      </c>
    </row>
    <row r="11" spans="1:7" s="703" customFormat="1" ht="15.9" customHeight="1" x14ac:dyDescent="0.25">
      <c r="A11" s="745" t="s">
        <v>889</v>
      </c>
      <c r="B11" s="794" t="s">
        <v>1016</v>
      </c>
      <c r="C11" s="794" t="s">
        <v>1069</v>
      </c>
      <c r="D11" s="795">
        <v>250</v>
      </c>
      <c r="E11" s="796">
        <v>250</v>
      </c>
    </row>
    <row r="12" spans="1:7" s="703" customFormat="1" ht="15.9" customHeight="1" x14ac:dyDescent="0.25">
      <c r="A12" s="999" t="s">
        <v>890</v>
      </c>
      <c r="B12" s="794" t="s">
        <v>1035</v>
      </c>
      <c r="C12" s="794" t="s">
        <v>1036</v>
      </c>
      <c r="D12" s="795">
        <v>240</v>
      </c>
      <c r="E12" s="1000">
        <v>240</v>
      </c>
    </row>
    <row r="13" spans="1:7" s="703" customFormat="1" ht="15.9" customHeight="1" thickBot="1" x14ac:dyDescent="0.3">
      <c r="A13" s="1001" t="s">
        <v>891</v>
      </c>
      <c r="B13" s="784" t="s">
        <v>1154</v>
      </c>
      <c r="C13" s="784" t="s">
        <v>1155</v>
      </c>
      <c r="D13" s="783">
        <v>0</v>
      </c>
      <c r="E13" s="797">
        <v>500</v>
      </c>
    </row>
    <row r="14" spans="1:7" s="755" customFormat="1" ht="15.9" customHeight="1" thickBot="1" x14ac:dyDescent="0.3">
      <c r="A14" s="1462" t="s">
        <v>968</v>
      </c>
      <c r="B14" s="1463"/>
      <c r="C14" s="1464"/>
      <c r="D14" s="753">
        <f>SUM(D8:D13)</f>
        <v>2695</v>
      </c>
      <c r="E14" s="754">
        <f>SUM(E8:E13)</f>
        <v>3220</v>
      </c>
    </row>
    <row r="15" spans="1:7" ht="15.9" customHeight="1" thickBot="1" x14ac:dyDescent="0.3">
      <c r="A15" s="1459" t="s">
        <v>920</v>
      </c>
      <c r="B15" s="1460"/>
      <c r="C15" s="1461"/>
      <c r="D15" s="675">
        <f>D7+D14</f>
        <v>3120</v>
      </c>
      <c r="E15" s="569">
        <f>E7+E14</f>
        <v>3720</v>
      </c>
      <c r="F15" s="481"/>
    </row>
  </sheetData>
  <mergeCells count="6">
    <mergeCell ref="A2:E2"/>
    <mergeCell ref="A1:E1"/>
    <mergeCell ref="D4:E4"/>
    <mergeCell ref="A15:C15"/>
    <mergeCell ref="A7:C7"/>
    <mergeCell ref="A14:C14"/>
  </mergeCells>
  <phoneticPr fontId="33" type="noConversion"/>
  <conditionalFormatting sqref="D15">
    <cfRule type="cellIs" dxfId="1" priority="2" stopIfTrue="1" operator="equal">
      <formula>0</formula>
    </cfRule>
  </conditionalFormatting>
  <conditionalFormatting sqref="E15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8"/>
  <sheetViews>
    <sheetView view="pageBreakPreview" zoomScale="60" zoomScaleNormal="100" workbookViewId="0">
      <selection sqref="A1:E1"/>
    </sheetView>
  </sheetViews>
  <sheetFormatPr defaultColWidth="9.33203125" defaultRowHeight="15.6" x14ac:dyDescent="0.3"/>
  <cols>
    <col min="1" max="1" width="6.109375" style="102" customWidth="1"/>
    <col min="2" max="2" width="30.33203125" style="120" bestFit="1" customWidth="1"/>
    <col min="3" max="3" width="12" style="120" bestFit="1" customWidth="1"/>
    <col min="4" max="4" width="13.6640625" style="120" customWidth="1"/>
    <col min="5" max="5" width="12" style="120" bestFit="1" customWidth="1"/>
    <col min="6" max="16384" width="9.33203125" style="120"/>
  </cols>
  <sheetData>
    <row r="1" spans="1:5" x14ac:dyDescent="0.3">
      <c r="A1" s="1465" t="s">
        <v>952</v>
      </c>
      <c r="B1" s="1465"/>
      <c r="C1" s="1465"/>
      <c r="D1" s="1465"/>
      <c r="E1" s="1465"/>
    </row>
    <row r="2" spans="1:5" ht="27.75" customHeight="1" x14ac:dyDescent="0.3">
      <c r="A2" s="1434" t="s">
        <v>1156</v>
      </c>
      <c r="B2" s="1434"/>
      <c r="C2" s="1434"/>
      <c r="D2" s="1434"/>
      <c r="E2" s="1434"/>
    </row>
    <row r="3" spans="1:5" ht="16.2" thickBot="1" x14ac:dyDescent="0.35">
      <c r="D3" s="5"/>
      <c r="E3" s="5" t="s">
        <v>923</v>
      </c>
    </row>
    <row r="4" spans="1:5" s="102" customFormat="1" ht="33" customHeight="1" thickBot="1" x14ac:dyDescent="0.35">
      <c r="A4" s="99" t="s">
        <v>883</v>
      </c>
      <c r="B4" s="100" t="s">
        <v>12</v>
      </c>
      <c r="C4" s="847" t="s">
        <v>1070</v>
      </c>
      <c r="D4" s="847" t="s">
        <v>1071</v>
      </c>
      <c r="E4" s="848" t="s">
        <v>1157</v>
      </c>
    </row>
    <row r="5" spans="1:5" s="104" customFormat="1" ht="15" customHeight="1" thickBot="1" x14ac:dyDescent="0.3">
      <c r="A5" s="103" t="s">
        <v>885</v>
      </c>
      <c r="B5" s="1431" t="s">
        <v>926</v>
      </c>
      <c r="C5" s="1432"/>
      <c r="D5" s="1432"/>
      <c r="E5" s="1433"/>
    </row>
    <row r="6" spans="1:5" s="104" customFormat="1" ht="15" customHeight="1" x14ac:dyDescent="0.25">
      <c r="A6" s="105" t="s">
        <v>886</v>
      </c>
      <c r="B6" s="106" t="s">
        <v>142</v>
      </c>
      <c r="C6" s="107">
        <f>'1.1.sz.mell.'!C6</f>
        <v>112300</v>
      </c>
      <c r="D6" s="107">
        <v>98000</v>
      </c>
      <c r="E6" s="777">
        <v>98000</v>
      </c>
    </row>
    <row r="7" spans="1:5" s="112" customFormat="1" ht="14.1" customHeight="1" x14ac:dyDescent="0.25">
      <c r="A7" s="109" t="s">
        <v>887</v>
      </c>
      <c r="B7" s="296" t="s">
        <v>927</v>
      </c>
      <c r="C7" s="110">
        <f>'1.1.sz.mell.'!C11</f>
        <v>19284</v>
      </c>
      <c r="D7" s="110">
        <v>20000</v>
      </c>
      <c r="E7" s="778">
        <v>20000</v>
      </c>
    </row>
    <row r="8" spans="1:5" s="112" customFormat="1" x14ac:dyDescent="0.25">
      <c r="A8" s="109" t="s">
        <v>888</v>
      </c>
      <c r="B8" s="297" t="s">
        <v>0</v>
      </c>
      <c r="C8" s="113">
        <f>'1.1.sz.mell.'!C20</f>
        <v>8500</v>
      </c>
      <c r="D8" s="113">
        <v>8000</v>
      </c>
      <c r="E8" s="779">
        <v>8000</v>
      </c>
    </row>
    <row r="9" spans="1:5" s="112" customFormat="1" ht="14.1" customHeight="1" x14ac:dyDescent="0.25">
      <c r="A9" s="109" t="s">
        <v>889</v>
      </c>
      <c r="B9" s="296" t="s">
        <v>873</v>
      </c>
      <c r="C9" s="110">
        <f>'1.1.sz.mell.'!C21</f>
        <v>211078</v>
      </c>
      <c r="D9" s="110">
        <v>220000</v>
      </c>
      <c r="E9" s="778">
        <v>230000</v>
      </c>
    </row>
    <row r="10" spans="1:5" s="112" customFormat="1" ht="14.1" customHeight="1" x14ac:dyDescent="0.25">
      <c r="A10" s="109" t="s">
        <v>890</v>
      </c>
      <c r="B10" s="296" t="s">
        <v>874</v>
      </c>
      <c r="C10" s="110">
        <f>'1.1.sz.mell.'!C30</f>
        <v>22228</v>
      </c>
      <c r="D10" s="110">
        <v>6000</v>
      </c>
      <c r="E10" s="778">
        <v>6000</v>
      </c>
    </row>
    <row r="11" spans="1:5" s="112" customFormat="1" ht="14.1" customHeight="1" x14ac:dyDescent="0.25">
      <c r="A11" s="109" t="s">
        <v>891</v>
      </c>
      <c r="B11" s="296" t="s">
        <v>875</v>
      </c>
      <c r="C11" s="110">
        <f>'1.1.sz.mell.'!C43</f>
        <v>1500</v>
      </c>
      <c r="D11" s="110"/>
      <c r="E11" s="778"/>
    </row>
    <row r="12" spans="1:5" s="112" customFormat="1" ht="14.1" customHeight="1" x14ac:dyDescent="0.25">
      <c r="A12" s="109" t="s">
        <v>892</v>
      </c>
      <c r="B12" s="296" t="s">
        <v>876</v>
      </c>
      <c r="C12" s="110">
        <f>'1.1.sz.mell.'!C46</f>
        <v>414</v>
      </c>
      <c r="D12" s="110"/>
      <c r="E12" s="778"/>
    </row>
    <row r="13" spans="1:5" s="112" customFormat="1" x14ac:dyDescent="0.25">
      <c r="A13" s="109" t="s">
        <v>893</v>
      </c>
      <c r="B13" s="298" t="s">
        <v>877</v>
      </c>
      <c r="C13" s="110"/>
      <c r="D13" s="110"/>
      <c r="E13" s="778"/>
    </row>
    <row r="14" spans="1:5" s="112" customFormat="1" ht="14.1" customHeight="1" thickBot="1" x14ac:dyDescent="0.3">
      <c r="A14" s="109" t="s">
        <v>894</v>
      </c>
      <c r="B14" s="296" t="s">
        <v>878</v>
      </c>
      <c r="C14" s="110">
        <f>'1.1.sz.mell.'!C54</f>
        <v>39200</v>
      </c>
      <c r="D14" s="110"/>
      <c r="E14" s="778"/>
    </row>
    <row r="15" spans="1:5" s="104" customFormat="1" ht="15.9" customHeight="1" thickBot="1" x14ac:dyDescent="0.3">
      <c r="A15" s="103" t="s">
        <v>895</v>
      </c>
      <c r="B15" s="41" t="s">
        <v>68</v>
      </c>
      <c r="C15" s="114">
        <f>SUM(C6:C14)</f>
        <v>414504</v>
      </c>
      <c r="D15" s="114">
        <f>SUM(D6:D14)</f>
        <v>352000</v>
      </c>
      <c r="E15" s="115">
        <f>SUM(E6:E14)</f>
        <v>362000</v>
      </c>
    </row>
    <row r="16" spans="1:5" s="104" customFormat="1" ht="15" customHeight="1" thickBot="1" x14ac:dyDescent="0.3">
      <c r="A16" s="103" t="s">
        <v>896</v>
      </c>
      <c r="B16" s="1431" t="s">
        <v>1</v>
      </c>
      <c r="C16" s="1432"/>
      <c r="D16" s="1432"/>
      <c r="E16" s="1433"/>
    </row>
    <row r="17" spans="1:5" s="112" customFormat="1" ht="14.1" customHeight="1" x14ac:dyDescent="0.25">
      <c r="A17" s="116" t="s">
        <v>897</v>
      </c>
      <c r="B17" s="299" t="s">
        <v>13</v>
      </c>
      <c r="C17" s="113">
        <f>'1.1.sz.mell.'!C74</f>
        <v>155321</v>
      </c>
      <c r="D17" s="113">
        <v>155000</v>
      </c>
      <c r="E17" s="779">
        <v>158000</v>
      </c>
    </row>
    <row r="18" spans="1:5" s="112" customFormat="1" ht="20.399999999999999" x14ac:dyDescent="0.25">
      <c r="A18" s="109" t="s">
        <v>898</v>
      </c>
      <c r="B18" s="298" t="s">
        <v>164</v>
      </c>
      <c r="C18" s="110">
        <f>'1.1.sz.mell.'!C75</f>
        <v>34243</v>
      </c>
      <c r="D18" s="110">
        <f>D17*0.18</f>
        <v>27900</v>
      </c>
      <c r="E18" s="778">
        <f>E17*0.18</f>
        <v>28440</v>
      </c>
    </row>
    <row r="19" spans="1:5" s="112" customFormat="1" x14ac:dyDescent="0.25">
      <c r="A19" s="109" t="s">
        <v>899</v>
      </c>
      <c r="B19" s="296" t="s">
        <v>88</v>
      </c>
      <c r="C19" s="110">
        <f>'1.1.sz.mell.'!C76</f>
        <v>143031</v>
      </c>
      <c r="D19" s="110">
        <v>120000</v>
      </c>
      <c r="E19" s="778">
        <v>130000</v>
      </c>
    </row>
    <row r="20" spans="1:5" s="112" customFormat="1" x14ac:dyDescent="0.25">
      <c r="A20" s="109" t="s">
        <v>900</v>
      </c>
      <c r="B20" s="296" t="s">
        <v>165</v>
      </c>
      <c r="C20" s="110">
        <f>'1.1.sz.mell.'!C77</f>
        <v>17587</v>
      </c>
      <c r="D20" s="110">
        <v>19500</v>
      </c>
      <c r="E20" s="778">
        <v>19500</v>
      </c>
    </row>
    <row r="21" spans="1:5" s="112" customFormat="1" x14ac:dyDescent="0.25">
      <c r="A21" s="109" t="s">
        <v>901</v>
      </c>
      <c r="B21" s="296" t="s">
        <v>879</v>
      </c>
      <c r="C21" s="110">
        <f>'1.1.sz.mell.'!C78</f>
        <v>3720</v>
      </c>
      <c r="D21" s="110">
        <v>3000</v>
      </c>
      <c r="E21" s="778">
        <v>3000</v>
      </c>
    </row>
    <row r="22" spans="1:5" s="112" customFormat="1" x14ac:dyDescent="0.25">
      <c r="A22" s="109" t="s">
        <v>902</v>
      </c>
      <c r="B22" s="296" t="s">
        <v>279</v>
      </c>
      <c r="C22" s="110">
        <f>'1.1.sz.mell.'!C87</f>
        <v>29586</v>
      </c>
      <c r="D22" s="110">
        <v>20000</v>
      </c>
      <c r="E22" s="778">
        <v>20000</v>
      </c>
    </row>
    <row r="23" spans="1:5" s="112" customFormat="1" x14ac:dyDescent="0.25">
      <c r="A23" s="109" t="s">
        <v>903</v>
      </c>
      <c r="B23" s="298" t="s">
        <v>168</v>
      </c>
      <c r="C23" s="110">
        <f>'1.1.sz.mell.'!C88</f>
        <v>11650</v>
      </c>
      <c r="D23" s="110">
        <v>4840</v>
      </c>
      <c r="E23" s="778">
        <v>1250</v>
      </c>
    </row>
    <row r="24" spans="1:5" s="112" customFormat="1" x14ac:dyDescent="0.25">
      <c r="A24" s="109" t="s">
        <v>904</v>
      </c>
      <c r="B24" s="296" t="s">
        <v>310</v>
      </c>
      <c r="C24" s="110">
        <v>0</v>
      </c>
      <c r="D24" s="110"/>
      <c r="E24" s="778"/>
    </row>
    <row r="25" spans="1:5" s="112" customFormat="1" x14ac:dyDescent="0.25">
      <c r="A25" s="109" t="s">
        <v>905</v>
      </c>
      <c r="B25" s="296" t="s">
        <v>917</v>
      </c>
      <c r="C25" s="110">
        <f>'1.1.sz.mell.'!C97</f>
        <v>19366</v>
      </c>
      <c r="D25" s="110">
        <f>D15*0.005</f>
        <v>1760</v>
      </c>
      <c r="E25" s="778">
        <f>E15*0.005</f>
        <v>1810</v>
      </c>
    </row>
    <row r="26" spans="1:5" s="112" customFormat="1" x14ac:dyDescent="0.25">
      <c r="A26" s="109" t="s">
        <v>906</v>
      </c>
      <c r="B26" s="296" t="s">
        <v>880</v>
      </c>
      <c r="C26" s="110"/>
      <c r="D26" s="110"/>
      <c r="E26" s="778"/>
    </row>
    <row r="27" spans="1:5" s="112" customFormat="1" ht="16.2" thickBot="1" x14ac:dyDescent="0.3">
      <c r="A27" s="109" t="s">
        <v>907</v>
      </c>
      <c r="B27" s="296" t="s">
        <v>881</v>
      </c>
      <c r="C27" s="110"/>
      <c r="D27" s="110"/>
      <c r="E27" s="778"/>
    </row>
    <row r="28" spans="1:5" s="104" customFormat="1" ht="16.2" thickBot="1" x14ac:dyDescent="0.3">
      <c r="A28" s="117" t="s">
        <v>908</v>
      </c>
      <c r="B28" s="41" t="s">
        <v>69</v>
      </c>
      <c r="C28" s="114">
        <f>SUM(C17:C27)</f>
        <v>414504</v>
      </c>
      <c r="D28" s="114">
        <f>SUM(D17:D27)</f>
        <v>352000</v>
      </c>
      <c r="E28" s="115">
        <f>SUM(E17:E27)</f>
        <v>362000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300" r:id="rId1"/>
  <ignoredErrors>
    <ignoredError sqref="C6:C13 C24 C17:C23 C25:C27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16"/>
  <sheetViews>
    <sheetView view="pageBreakPreview" zoomScaleNormal="100" zoomScaleSheetLayoutView="100" workbookViewId="0">
      <selection sqref="A1:G1"/>
    </sheetView>
  </sheetViews>
  <sheetFormatPr defaultColWidth="9.33203125" defaultRowHeight="13.2" x14ac:dyDescent="0.25"/>
  <cols>
    <col min="1" max="1" width="3.77734375" style="849" bestFit="1" customWidth="1"/>
    <col min="2" max="2" width="2.33203125" style="849" bestFit="1" customWidth="1"/>
    <col min="3" max="3" width="4.44140625" style="920" customWidth="1"/>
    <col min="4" max="4" width="64.109375" style="849" customWidth="1"/>
    <col min="5" max="5" width="12.6640625" style="849" bestFit="1" customWidth="1"/>
    <col min="6" max="6" width="12.6640625" style="849" customWidth="1"/>
    <col min="7" max="7" width="14.6640625" style="849" customWidth="1"/>
    <col min="8" max="8" width="10.109375" style="849" bestFit="1" customWidth="1"/>
    <col min="9" max="10" width="9.33203125" style="849"/>
    <col min="11" max="11" width="9.33203125" style="849" customWidth="1"/>
    <col min="12" max="16384" width="9.33203125" style="849"/>
  </cols>
  <sheetData>
    <row r="1" spans="1:7" ht="13.8" x14ac:dyDescent="0.25">
      <c r="A1" s="1465" t="s">
        <v>1011</v>
      </c>
      <c r="B1" s="1465"/>
      <c r="C1" s="1465"/>
      <c r="D1" s="1465"/>
      <c r="E1" s="1465"/>
      <c r="F1" s="1465"/>
      <c r="G1" s="1465"/>
    </row>
    <row r="2" spans="1:7" ht="32.25" customHeight="1" x14ac:dyDescent="0.25">
      <c r="A2" s="1466" t="s">
        <v>954</v>
      </c>
      <c r="B2" s="1466"/>
      <c r="C2" s="1466"/>
      <c r="D2" s="1466"/>
      <c r="E2" s="1466"/>
      <c r="F2" s="1466"/>
      <c r="G2" s="1466"/>
    </row>
    <row r="3" spans="1:7" s="852" customFormat="1" ht="13.8" thickBot="1" x14ac:dyDescent="0.3">
      <c r="A3" s="850"/>
      <c r="B3" s="850"/>
      <c r="C3" s="851"/>
      <c r="D3" s="850"/>
    </row>
    <row r="4" spans="1:7" s="854" customFormat="1" ht="27" thickBot="1" x14ac:dyDescent="0.3">
      <c r="A4" s="1483" t="s">
        <v>919</v>
      </c>
      <c r="B4" s="1484"/>
      <c r="C4" s="1484"/>
      <c r="D4" s="1485"/>
      <c r="E4" s="853" t="s">
        <v>1019</v>
      </c>
      <c r="F4" s="853" t="s">
        <v>1072</v>
      </c>
      <c r="G4" s="1004" t="s">
        <v>1070</v>
      </c>
    </row>
    <row r="5" spans="1:7" ht="14.25" customHeight="1" x14ac:dyDescent="0.25">
      <c r="A5" s="1486" t="s">
        <v>579</v>
      </c>
      <c r="B5" s="1490">
        <v>1</v>
      </c>
      <c r="C5" s="1492" t="s">
        <v>580</v>
      </c>
      <c r="D5" s="1493"/>
      <c r="E5" s="855">
        <f>E6+E9+E10+E13+E14</f>
        <v>72143011</v>
      </c>
      <c r="F5" s="855">
        <f>F6+F9+F10+F13+F14+F17</f>
        <v>80935457</v>
      </c>
      <c r="G5" s="855">
        <f>G6+G9+G10+G13+G14+G17+G18+G15</f>
        <v>85032120</v>
      </c>
    </row>
    <row r="6" spans="1:7" ht="25.5" customHeight="1" x14ac:dyDescent="0.25">
      <c r="A6" s="1487"/>
      <c r="B6" s="1491"/>
      <c r="C6" s="856" t="s">
        <v>581</v>
      </c>
      <c r="D6" s="857" t="s">
        <v>582</v>
      </c>
      <c r="E6" s="1005">
        <v>40853600</v>
      </c>
      <c r="F6" s="1005">
        <v>41403200</v>
      </c>
      <c r="G6" s="864">
        <v>41861200</v>
      </c>
    </row>
    <row r="7" spans="1:7" ht="153" hidden="1" customHeight="1" x14ac:dyDescent="0.25">
      <c r="A7" s="1487"/>
      <c r="B7" s="1491"/>
      <c r="C7" s="856"/>
      <c r="D7" s="858" t="s">
        <v>583</v>
      </c>
      <c r="E7" s="1006"/>
      <c r="F7" s="1006"/>
      <c r="G7" s="864"/>
    </row>
    <row r="8" spans="1:7" ht="102" hidden="1" customHeight="1" x14ac:dyDescent="0.25">
      <c r="A8" s="1487"/>
      <c r="B8" s="1491"/>
      <c r="C8" s="856"/>
      <c r="D8" s="858" t="s">
        <v>584</v>
      </c>
      <c r="E8" s="1006"/>
      <c r="F8" s="1006"/>
      <c r="G8" s="864"/>
    </row>
    <row r="9" spans="1:7" x14ac:dyDescent="0.25">
      <c r="A9" s="1487"/>
      <c r="B9" s="1491"/>
      <c r="C9" s="856" t="s">
        <v>585</v>
      </c>
      <c r="D9" s="857" t="s">
        <v>586</v>
      </c>
      <c r="E9" s="1005">
        <v>23624650</v>
      </c>
      <c r="F9" s="1005">
        <v>18141770</v>
      </c>
      <c r="G9" s="864">
        <v>18943000</v>
      </c>
    </row>
    <row r="10" spans="1:7" x14ac:dyDescent="0.25">
      <c r="A10" s="1487"/>
      <c r="B10" s="1491"/>
      <c r="C10" s="856"/>
      <c r="D10" s="857" t="s">
        <v>955</v>
      </c>
      <c r="E10" s="1005"/>
      <c r="F10" s="1005"/>
      <c r="G10" s="864"/>
    </row>
    <row r="11" spans="1:7" ht="165.75" hidden="1" customHeight="1" x14ac:dyDescent="0.25">
      <c r="A11" s="1487"/>
      <c r="B11" s="1491"/>
      <c r="C11" s="859"/>
      <c r="D11" s="860" t="s">
        <v>588</v>
      </c>
      <c r="E11" s="861"/>
      <c r="F11" s="861"/>
      <c r="G11" s="864"/>
    </row>
    <row r="12" spans="1:7" ht="63.75" hidden="1" customHeight="1" x14ac:dyDescent="0.25">
      <c r="A12" s="1487"/>
      <c r="B12" s="1491"/>
      <c r="C12" s="859"/>
      <c r="D12" s="860" t="s">
        <v>589</v>
      </c>
      <c r="E12" s="861"/>
      <c r="F12" s="861"/>
      <c r="G12" s="864"/>
    </row>
    <row r="13" spans="1:7" x14ac:dyDescent="0.25">
      <c r="A13" s="1487"/>
      <c r="B13" s="1491"/>
      <c r="C13" s="862" t="s">
        <v>587</v>
      </c>
      <c r="D13" s="863" t="s">
        <v>591</v>
      </c>
      <c r="E13" s="864">
        <v>7654561</v>
      </c>
      <c r="F13" s="864">
        <v>9034200</v>
      </c>
      <c r="G13" s="864">
        <v>9131400</v>
      </c>
    </row>
    <row r="14" spans="1:7" x14ac:dyDescent="0.25">
      <c r="A14" s="1487"/>
      <c r="B14" s="865"/>
      <c r="C14" s="866" t="s">
        <v>590</v>
      </c>
      <c r="D14" s="867" t="s">
        <v>655</v>
      </c>
      <c r="E14" s="868">
        <v>10200</v>
      </c>
      <c r="F14" s="868">
        <v>10200</v>
      </c>
      <c r="G14" s="864">
        <v>10200</v>
      </c>
    </row>
    <row r="15" spans="1:7" x14ac:dyDescent="0.25">
      <c r="A15" s="1487"/>
      <c r="B15" s="865"/>
      <c r="C15" s="866" t="s">
        <v>605</v>
      </c>
      <c r="D15" s="867" t="s">
        <v>654</v>
      </c>
      <c r="E15" s="868">
        <v>0</v>
      </c>
      <c r="F15" s="868">
        <v>0</v>
      </c>
      <c r="G15" s="864">
        <v>46800</v>
      </c>
    </row>
    <row r="16" spans="1:7" x14ac:dyDescent="0.25">
      <c r="A16" s="1487"/>
      <c r="B16" s="869">
        <v>5</v>
      </c>
      <c r="C16" s="1494" t="s">
        <v>1026</v>
      </c>
      <c r="D16" s="1494"/>
      <c r="E16" s="864">
        <v>65532</v>
      </c>
      <c r="F16" s="864"/>
      <c r="G16" s="864"/>
    </row>
    <row r="17" spans="1:8" x14ac:dyDescent="0.25">
      <c r="A17" s="1488"/>
      <c r="B17" s="869"/>
      <c r="C17" s="1494" t="s">
        <v>1073</v>
      </c>
      <c r="D17" s="1494"/>
      <c r="E17" s="868">
        <v>0</v>
      </c>
      <c r="F17" s="868">
        <v>12346087</v>
      </c>
      <c r="G17" s="864">
        <v>13998520</v>
      </c>
    </row>
    <row r="18" spans="1:8" x14ac:dyDescent="0.25">
      <c r="A18" s="1488"/>
      <c r="B18" s="1002"/>
      <c r="C18" s="908" t="s">
        <v>1158</v>
      </c>
      <c r="D18" s="1003" t="s">
        <v>1159</v>
      </c>
      <c r="E18" s="868"/>
      <c r="F18" s="868"/>
      <c r="G18" s="864">
        <v>1041000</v>
      </c>
    </row>
    <row r="19" spans="1:8" ht="31.5" customHeight="1" thickBot="1" x14ac:dyDescent="0.3">
      <c r="A19" s="1489"/>
      <c r="B19" s="1502" t="s">
        <v>1014</v>
      </c>
      <c r="C19" s="1503"/>
      <c r="D19" s="1504"/>
      <c r="E19" s="870">
        <f>E5+E16</f>
        <v>72208543</v>
      </c>
      <c r="F19" s="870">
        <f>F5+F16</f>
        <v>80935457</v>
      </c>
      <c r="G19" s="870">
        <f>G5+G16</f>
        <v>85032120</v>
      </c>
      <c r="H19" s="871"/>
    </row>
    <row r="20" spans="1:8" x14ac:dyDescent="0.25">
      <c r="A20" s="1467" t="s">
        <v>592</v>
      </c>
      <c r="B20" s="1470">
        <v>1</v>
      </c>
      <c r="C20" s="1473" t="s">
        <v>937</v>
      </c>
      <c r="D20" s="1473"/>
      <c r="E20" s="872">
        <f>E21+E24+E27</f>
        <v>56898600</v>
      </c>
      <c r="F20" s="872">
        <f>F21+F24+F27</f>
        <v>60836670</v>
      </c>
      <c r="G20" s="872">
        <f>G21+G24+G27</f>
        <v>70221600</v>
      </c>
    </row>
    <row r="21" spans="1:8" x14ac:dyDescent="0.25">
      <c r="A21" s="1468"/>
      <c r="B21" s="1471"/>
      <c r="C21" s="862" t="s">
        <v>956</v>
      </c>
      <c r="D21" s="863" t="s">
        <v>593</v>
      </c>
      <c r="E21" s="864">
        <v>37694400</v>
      </c>
      <c r="F21" s="864">
        <f>31885287+15942643</f>
        <v>47827930</v>
      </c>
      <c r="G21" s="864">
        <v>50376600</v>
      </c>
      <c r="H21" s="871"/>
    </row>
    <row r="22" spans="1:8" s="876" customFormat="1" ht="12.75" hidden="1" customHeight="1" x14ac:dyDescent="0.25">
      <c r="A22" s="1468"/>
      <c r="B22" s="1471"/>
      <c r="C22" s="873"/>
      <c r="D22" s="874" t="s">
        <v>595</v>
      </c>
      <c r="E22" s="875"/>
      <c r="F22" s="875"/>
      <c r="G22" s="875"/>
      <c r="H22" s="871"/>
    </row>
    <row r="23" spans="1:8" s="876" customFormat="1" ht="12.75" hidden="1" customHeight="1" x14ac:dyDescent="0.25">
      <c r="A23" s="1468"/>
      <c r="B23" s="1471"/>
      <c r="C23" s="873"/>
      <c r="D23" s="874" t="s">
        <v>946</v>
      </c>
      <c r="E23" s="875"/>
      <c r="F23" s="875"/>
      <c r="G23" s="875"/>
      <c r="H23" s="871"/>
    </row>
    <row r="24" spans="1:8" x14ac:dyDescent="0.25">
      <c r="A24" s="1468"/>
      <c r="B24" s="1471"/>
      <c r="C24" s="862" t="s">
        <v>957</v>
      </c>
      <c r="D24" s="863" t="s">
        <v>940</v>
      </c>
      <c r="E24" s="864">
        <v>19204200</v>
      </c>
      <c r="F24" s="864">
        <f>8400000+4200000</f>
        <v>12600000</v>
      </c>
      <c r="G24" s="864">
        <v>19845000</v>
      </c>
      <c r="H24" s="871"/>
    </row>
    <row r="25" spans="1:8" s="876" customFormat="1" ht="12.75" hidden="1" customHeight="1" x14ac:dyDescent="0.25">
      <c r="A25" s="1468"/>
      <c r="B25" s="1471"/>
      <c r="C25" s="873"/>
      <c r="D25" s="874" t="s">
        <v>595</v>
      </c>
      <c r="E25" s="875"/>
      <c r="F25" s="875"/>
      <c r="G25" s="875"/>
      <c r="H25" s="871"/>
    </row>
    <row r="26" spans="1:8" s="876" customFormat="1" ht="12.75" hidden="1" customHeight="1" x14ac:dyDescent="0.25">
      <c r="A26" s="1468"/>
      <c r="B26" s="1471"/>
      <c r="C26" s="873"/>
      <c r="D26" s="874" t="s">
        <v>946</v>
      </c>
      <c r="E26" s="875"/>
      <c r="F26" s="875"/>
      <c r="G26" s="875"/>
      <c r="H26" s="871"/>
    </row>
    <row r="27" spans="1:8" s="877" customFormat="1" x14ac:dyDescent="0.25">
      <c r="A27" s="1468"/>
      <c r="B27" s="1472"/>
      <c r="C27" s="862" t="s">
        <v>958</v>
      </c>
      <c r="D27" s="863" t="s">
        <v>1074</v>
      </c>
      <c r="E27" s="864"/>
      <c r="F27" s="864">
        <v>408740</v>
      </c>
      <c r="G27" s="864"/>
      <c r="H27" s="871"/>
    </row>
    <row r="28" spans="1:8" ht="12.75" customHeight="1" x14ac:dyDescent="0.25">
      <c r="A28" s="1468"/>
      <c r="B28" s="1474">
        <v>2</v>
      </c>
      <c r="C28" s="878" t="s">
        <v>959</v>
      </c>
      <c r="D28" s="879" t="s">
        <v>938</v>
      </c>
      <c r="E28" s="870">
        <v>10251000</v>
      </c>
      <c r="F28" s="870">
        <v>9722300</v>
      </c>
      <c r="G28" s="870">
        <v>10212500</v>
      </c>
    </row>
    <row r="29" spans="1:8" s="882" customFormat="1" ht="12.75" hidden="1" customHeight="1" x14ac:dyDescent="0.25">
      <c r="A29" s="1468"/>
      <c r="B29" s="1474"/>
      <c r="C29" s="878"/>
      <c r="D29" s="880" t="s">
        <v>595</v>
      </c>
      <c r="E29" s="881"/>
      <c r="F29" s="881"/>
      <c r="G29" s="881"/>
    </row>
    <row r="30" spans="1:8" s="876" customFormat="1" ht="12.75" hidden="1" customHeight="1" x14ac:dyDescent="0.25">
      <c r="A30" s="1468"/>
      <c r="B30" s="1474"/>
      <c r="C30" s="878"/>
      <c r="D30" s="880" t="s">
        <v>946</v>
      </c>
      <c r="E30" s="881"/>
      <c r="F30" s="881"/>
      <c r="G30" s="881"/>
    </row>
    <row r="31" spans="1:8" s="876" customFormat="1" ht="12.75" customHeight="1" x14ac:dyDescent="0.25">
      <c r="A31" s="1468"/>
      <c r="B31" s="883">
        <v>4</v>
      </c>
      <c r="C31" s="878"/>
      <c r="D31" s="879" t="s">
        <v>1027</v>
      </c>
      <c r="E31" s="881"/>
      <c r="F31" s="881"/>
      <c r="G31" s="881"/>
    </row>
    <row r="32" spans="1:8" s="884" customFormat="1" x14ac:dyDescent="0.25">
      <c r="A32" s="1468"/>
      <c r="B32" s="883">
        <v>5</v>
      </c>
      <c r="C32" s="878" t="s">
        <v>956</v>
      </c>
      <c r="D32" s="879" t="s">
        <v>960</v>
      </c>
      <c r="E32" s="870"/>
      <c r="F32" s="870">
        <v>837800</v>
      </c>
      <c r="G32" s="870">
        <v>1570584</v>
      </c>
    </row>
    <row r="33" spans="1:7" x14ac:dyDescent="0.25">
      <c r="A33" s="1468"/>
      <c r="B33" s="1475">
        <v>3</v>
      </c>
      <c r="C33" s="1476" t="s">
        <v>939</v>
      </c>
      <c r="D33" s="1476"/>
      <c r="E33" s="864"/>
      <c r="F33" s="864"/>
      <c r="G33" s="864"/>
    </row>
    <row r="34" spans="1:7" ht="26.4" hidden="1" x14ac:dyDescent="0.25">
      <c r="A34" s="1468"/>
      <c r="B34" s="1471"/>
      <c r="C34" s="862" t="s">
        <v>581</v>
      </c>
      <c r="D34" s="863" t="s">
        <v>596</v>
      </c>
      <c r="E34" s="864">
        <v>0</v>
      </c>
      <c r="F34" s="864"/>
      <c r="G34" s="864"/>
    </row>
    <row r="35" spans="1:7" x14ac:dyDescent="0.25">
      <c r="A35" s="1468"/>
      <c r="B35" s="1472"/>
      <c r="C35" s="862" t="s">
        <v>585</v>
      </c>
      <c r="D35" s="863" t="s">
        <v>597</v>
      </c>
      <c r="E35" s="864"/>
      <c r="F35" s="864"/>
      <c r="G35" s="864"/>
    </row>
    <row r="36" spans="1:7" s="877" customFormat="1" ht="13.8" thickBot="1" x14ac:dyDescent="0.3">
      <c r="A36" s="1468"/>
      <c r="B36" s="1477">
        <v>4</v>
      </c>
      <c r="C36" s="1479" t="s">
        <v>949</v>
      </c>
      <c r="D36" s="1479"/>
      <c r="E36" s="885">
        <f>E37+E38</f>
        <v>0</v>
      </c>
      <c r="F36" s="885"/>
      <c r="G36" s="885"/>
    </row>
    <row r="37" spans="1:7" s="876" customFormat="1" ht="38.25" hidden="1" customHeight="1" x14ac:dyDescent="0.25">
      <c r="A37" s="1468"/>
      <c r="B37" s="1477"/>
      <c r="C37" s="886"/>
      <c r="D37" s="874" t="s">
        <v>594</v>
      </c>
      <c r="E37" s="875">
        <v>0</v>
      </c>
      <c r="F37" s="875"/>
      <c r="G37" s="875"/>
    </row>
    <row r="38" spans="1:7" s="876" customFormat="1" ht="39" hidden="1" customHeight="1" thickBot="1" x14ac:dyDescent="0.3">
      <c r="A38" s="1468"/>
      <c r="B38" s="1478"/>
      <c r="C38" s="887"/>
      <c r="D38" s="888" t="s">
        <v>595</v>
      </c>
      <c r="E38" s="889">
        <v>0</v>
      </c>
      <c r="F38" s="889"/>
      <c r="G38" s="889"/>
    </row>
    <row r="39" spans="1:7" ht="28.5" customHeight="1" thickBot="1" x14ac:dyDescent="0.3">
      <c r="A39" s="1469"/>
      <c r="B39" s="1480" t="s">
        <v>598</v>
      </c>
      <c r="C39" s="1481"/>
      <c r="D39" s="1482"/>
      <c r="E39" s="890">
        <f>E20+E28+E33+E36+E32</f>
        <v>67149600</v>
      </c>
      <c r="F39" s="890">
        <f>F20+F28+F33+F36+F32</f>
        <v>71396770</v>
      </c>
      <c r="G39" s="890">
        <f>G20+G28+G33+G36+G32</f>
        <v>82004684</v>
      </c>
    </row>
    <row r="40" spans="1:7" s="892" customFormat="1" x14ac:dyDescent="0.25">
      <c r="A40" s="1506" t="s">
        <v>599</v>
      </c>
      <c r="B40" s="891">
        <v>2</v>
      </c>
      <c r="C40" s="1519" t="s">
        <v>466</v>
      </c>
      <c r="D40" s="1520"/>
      <c r="E40" s="872">
        <v>19689566</v>
      </c>
      <c r="F40" s="872">
        <v>19559000</v>
      </c>
      <c r="G40" s="872">
        <v>19587000</v>
      </c>
    </row>
    <row r="41" spans="1:7" s="892" customFormat="1" x14ac:dyDescent="0.25">
      <c r="A41" s="1507"/>
      <c r="B41" s="1495">
        <v>3</v>
      </c>
      <c r="C41" s="1496" t="s">
        <v>600</v>
      </c>
      <c r="D41" s="1497"/>
      <c r="E41" s="870">
        <f>SUM(E42:E53)</f>
        <v>3000000</v>
      </c>
      <c r="F41" s="870">
        <f>SUM(F42:F53)</f>
        <v>3125000</v>
      </c>
      <c r="G41" s="870">
        <f>SUM(G42:G53)</f>
        <v>3400000</v>
      </c>
    </row>
    <row r="42" spans="1:7" x14ac:dyDescent="0.25">
      <c r="A42" s="1507"/>
      <c r="B42" s="1495"/>
      <c r="C42" s="862" t="s">
        <v>581</v>
      </c>
      <c r="D42" s="863" t="s">
        <v>601</v>
      </c>
      <c r="E42" s="864">
        <v>3000000</v>
      </c>
      <c r="F42" s="864">
        <v>3000000</v>
      </c>
      <c r="G42" s="864">
        <v>3400000</v>
      </c>
    </row>
    <row r="43" spans="1:7" x14ac:dyDescent="0.25">
      <c r="A43" s="1507"/>
      <c r="B43" s="1495"/>
      <c r="C43" s="862" t="s">
        <v>585</v>
      </c>
      <c r="D43" s="863" t="s">
        <v>602</v>
      </c>
      <c r="E43" s="864">
        <v>0</v>
      </c>
      <c r="F43" s="864">
        <v>0</v>
      </c>
      <c r="G43" s="864"/>
    </row>
    <row r="44" spans="1:7" x14ac:dyDescent="0.25">
      <c r="A44" s="1507"/>
      <c r="B44" s="1495"/>
      <c r="C44" s="862" t="s">
        <v>587</v>
      </c>
      <c r="D44" s="863" t="s">
        <v>603</v>
      </c>
      <c r="E44" s="864">
        <v>0</v>
      </c>
      <c r="F44" s="864">
        <v>0</v>
      </c>
      <c r="G44" s="864"/>
    </row>
    <row r="45" spans="1:7" x14ac:dyDescent="0.25">
      <c r="A45" s="1507"/>
      <c r="B45" s="1495"/>
      <c r="C45" s="862" t="s">
        <v>590</v>
      </c>
      <c r="D45" s="863" t="s">
        <v>604</v>
      </c>
      <c r="E45" s="864">
        <v>0</v>
      </c>
      <c r="F45" s="864">
        <v>125000</v>
      </c>
      <c r="G45" s="864"/>
    </row>
    <row r="46" spans="1:7" x14ac:dyDescent="0.25">
      <c r="A46" s="1507"/>
      <c r="B46" s="1495"/>
      <c r="C46" s="862" t="s">
        <v>605</v>
      </c>
      <c r="D46" s="863" t="s">
        <v>606</v>
      </c>
      <c r="E46" s="864">
        <v>0</v>
      </c>
      <c r="F46" s="864">
        <v>0</v>
      </c>
      <c r="G46" s="864"/>
    </row>
    <row r="47" spans="1:7" x14ac:dyDescent="0.25">
      <c r="A47" s="1507"/>
      <c r="B47" s="1495"/>
      <c r="C47" s="862" t="s">
        <v>607</v>
      </c>
      <c r="D47" s="863" t="s">
        <v>608</v>
      </c>
      <c r="E47" s="864">
        <v>0</v>
      </c>
      <c r="F47" s="864">
        <v>0</v>
      </c>
      <c r="G47" s="864"/>
    </row>
    <row r="48" spans="1:7" x14ac:dyDescent="0.25">
      <c r="A48" s="1507"/>
      <c r="B48" s="1495"/>
      <c r="C48" s="862" t="s">
        <v>609</v>
      </c>
      <c r="D48" s="863" t="s">
        <v>610</v>
      </c>
      <c r="E48" s="864">
        <v>0</v>
      </c>
      <c r="F48" s="864">
        <v>0</v>
      </c>
      <c r="G48" s="864"/>
    </row>
    <row r="49" spans="1:7" x14ac:dyDescent="0.25">
      <c r="A49" s="1507"/>
      <c r="B49" s="1495"/>
      <c r="C49" s="862" t="s">
        <v>611</v>
      </c>
      <c r="D49" s="863" t="s">
        <v>612</v>
      </c>
      <c r="E49" s="864">
        <v>0</v>
      </c>
      <c r="F49" s="864">
        <v>0</v>
      </c>
      <c r="G49" s="864"/>
    </row>
    <row r="50" spans="1:7" x14ac:dyDescent="0.25">
      <c r="A50" s="1507"/>
      <c r="B50" s="1495"/>
      <c r="C50" s="862" t="s">
        <v>613</v>
      </c>
      <c r="D50" s="863" t="s">
        <v>614</v>
      </c>
      <c r="E50" s="864">
        <v>0</v>
      </c>
      <c r="F50" s="864">
        <v>0</v>
      </c>
      <c r="G50" s="864"/>
    </row>
    <row r="51" spans="1:7" x14ac:dyDescent="0.25">
      <c r="A51" s="1507"/>
      <c r="B51" s="1495"/>
      <c r="C51" s="862" t="s">
        <v>615</v>
      </c>
      <c r="D51" s="863" t="s">
        <v>616</v>
      </c>
      <c r="E51" s="864">
        <v>0</v>
      </c>
      <c r="F51" s="864">
        <v>0</v>
      </c>
      <c r="G51" s="864"/>
    </row>
    <row r="52" spans="1:7" x14ac:dyDescent="0.25">
      <c r="A52" s="1507"/>
      <c r="B52" s="1495"/>
      <c r="C52" s="862" t="s">
        <v>617</v>
      </c>
      <c r="D52" s="863" t="s">
        <v>618</v>
      </c>
      <c r="E52" s="864">
        <v>0</v>
      </c>
      <c r="F52" s="864">
        <v>0</v>
      </c>
      <c r="G52" s="864"/>
    </row>
    <row r="53" spans="1:7" x14ac:dyDescent="0.25">
      <c r="A53" s="1507"/>
      <c r="B53" s="1495"/>
      <c r="C53" s="862" t="s">
        <v>619</v>
      </c>
      <c r="D53" s="863" t="s">
        <v>620</v>
      </c>
      <c r="E53" s="864">
        <v>0</v>
      </c>
      <c r="F53" s="864">
        <v>0</v>
      </c>
      <c r="G53" s="864"/>
    </row>
    <row r="54" spans="1:7" x14ac:dyDescent="0.25">
      <c r="A54" s="1507"/>
      <c r="B54" s="1498">
        <v>5</v>
      </c>
      <c r="C54" s="1500" t="s">
        <v>947</v>
      </c>
      <c r="D54" s="1501"/>
      <c r="E54" s="893">
        <v>12951936</v>
      </c>
      <c r="F54" s="893">
        <f>SUM(F55:F57)</f>
        <v>13409618</v>
      </c>
      <c r="G54" s="893">
        <f>SUM(G55:G57)</f>
        <v>16961673</v>
      </c>
    </row>
    <row r="55" spans="1:7" x14ac:dyDescent="0.25">
      <c r="A55" s="1507"/>
      <c r="B55" s="1499"/>
      <c r="C55" s="894" t="s">
        <v>581</v>
      </c>
      <c r="D55" s="895" t="s">
        <v>948</v>
      </c>
      <c r="E55" s="885">
        <v>7507200</v>
      </c>
      <c r="F55" s="885">
        <v>7017600</v>
      </c>
      <c r="G55" s="885">
        <v>9937000</v>
      </c>
    </row>
    <row r="56" spans="1:7" x14ac:dyDescent="0.25">
      <c r="A56" s="1507"/>
      <c r="B56" s="1499"/>
      <c r="C56" s="894" t="s">
        <v>585</v>
      </c>
      <c r="D56" s="895" t="s">
        <v>621</v>
      </c>
      <c r="E56" s="885">
        <v>4315566</v>
      </c>
      <c r="F56" s="885">
        <v>6090488</v>
      </c>
      <c r="G56" s="885">
        <v>6530483</v>
      </c>
    </row>
    <row r="57" spans="1:7" ht="13.8" thickBot="1" x14ac:dyDescent="0.3">
      <c r="A57" s="1518"/>
      <c r="B57" s="896"/>
      <c r="C57" s="897" t="s">
        <v>587</v>
      </c>
      <c r="D57" s="898" t="s">
        <v>1037</v>
      </c>
      <c r="E57" s="899">
        <v>1129170</v>
      </c>
      <c r="F57" s="899">
        <v>301530</v>
      </c>
      <c r="G57" s="899">
        <v>494190</v>
      </c>
    </row>
    <row r="58" spans="1:7" ht="37.950000000000003" customHeight="1" thickBot="1" x14ac:dyDescent="0.3">
      <c r="A58" s="1508"/>
      <c r="B58" s="1480" t="s">
        <v>962</v>
      </c>
      <c r="C58" s="1481"/>
      <c r="D58" s="1482"/>
      <c r="E58" s="890">
        <f>E40+E41+E54</f>
        <v>35641502</v>
      </c>
      <c r="F58" s="890">
        <f>F40+F41+F54</f>
        <v>36093618</v>
      </c>
      <c r="G58" s="890">
        <f>G40+G41+G54</f>
        <v>39948673</v>
      </c>
    </row>
    <row r="59" spans="1:7" x14ac:dyDescent="0.25">
      <c r="A59" s="1506" t="s">
        <v>622</v>
      </c>
      <c r="B59" s="1509">
        <v>1</v>
      </c>
      <c r="C59" s="1511" t="s">
        <v>624</v>
      </c>
      <c r="D59" s="1512"/>
      <c r="E59" s="900">
        <f>SUM(E60:E67)</f>
        <v>3769980</v>
      </c>
      <c r="F59" s="900">
        <f>SUM(F60:F67)</f>
        <v>3814440</v>
      </c>
      <c r="G59" s="900">
        <f>SUM(G60:G67)</f>
        <v>4092220</v>
      </c>
    </row>
    <row r="60" spans="1:7" ht="191.25" hidden="1" customHeight="1" x14ac:dyDescent="0.25">
      <c r="A60" s="1507"/>
      <c r="B60" s="1510"/>
      <c r="C60" s="894" t="s">
        <v>581</v>
      </c>
      <c r="D60" s="895" t="s">
        <v>625</v>
      </c>
      <c r="E60" s="885">
        <v>0</v>
      </c>
      <c r="F60" s="885"/>
      <c r="G60" s="885"/>
    </row>
    <row r="61" spans="1:7" ht="140.25" hidden="1" customHeight="1" x14ac:dyDescent="0.25">
      <c r="A61" s="1507"/>
      <c r="B61" s="1510"/>
      <c r="C61" s="894" t="s">
        <v>585</v>
      </c>
      <c r="D61" s="895" t="s">
        <v>626</v>
      </c>
      <c r="E61" s="885">
        <v>0</v>
      </c>
      <c r="F61" s="885"/>
      <c r="G61" s="885"/>
    </row>
    <row r="62" spans="1:7" ht="178.5" hidden="1" customHeight="1" x14ac:dyDescent="0.25">
      <c r="A62" s="1507"/>
      <c r="B62" s="1510"/>
      <c r="C62" s="894" t="s">
        <v>587</v>
      </c>
      <c r="D62" s="895" t="s">
        <v>627</v>
      </c>
      <c r="E62" s="885">
        <v>0</v>
      </c>
      <c r="F62" s="885"/>
      <c r="G62" s="885"/>
    </row>
    <row r="63" spans="1:7" ht="27" thickBot="1" x14ac:dyDescent="0.3">
      <c r="A63" s="1507"/>
      <c r="B63" s="1510"/>
      <c r="C63" s="894" t="s">
        <v>590</v>
      </c>
      <c r="D63" s="895" t="s">
        <v>628</v>
      </c>
      <c r="E63" s="885">
        <v>3769980</v>
      </c>
      <c r="F63" s="885">
        <v>3814440</v>
      </c>
      <c r="G63" s="885">
        <v>4092220</v>
      </c>
    </row>
    <row r="64" spans="1:7" ht="140.25" hidden="1" customHeight="1" x14ac:dyDescent="0.25">
      <c r="A64" s="1507"/>
      <c r="B64" s="1510"/>
      <c r="C64" s="894" t="s">
        <v>605</v>
      </c>
      <c r="D64" s="895" t="s">
        <v>629</v>
      </c>
      <c r="E64" s="885">
        <v>0</v>
      </c>
      <c r="F64" s="885"/>
      <c r="G64" s="885"/>
    </row>
    <row r="65" spans="1:7" ht="153" hidden="1" customHeight="1" x14ac:dyDescent="0.25">
      <c r="A65" s="1507"/>
      <c r="B65" s="1510"/>
      <c r="C65" s="894" t="s">
        <v>607</v>
      </c>
      <c r="D65" s="895" t="s">
        <v>630</v>
      </c>
      <c r="E65" s="885">
        <v>0</v>
      </c>
      <c r="F65" s="885"/>
      <c r="G65" s="885"/>
    </row>
    <row r="66" spans="1:7" ht="76.5" hidden="1" customHeight="1" x14ac:dyDescent="0.25">
      <c r="A66" s="1507"/>
      <c r="B66" s="1510"/>
      <c r="C66" s="894" t="s">
        <v>609</v>
      </c>
      <c r="D66" s="895" t="s">
        <v>631</v>
      </c>
      <c r="E66" s="885">
        <v>0</v>
      </c>
      <c r="F66" s="885"/>
      <c r="G66" s="885"/>
    </row>
    <row r="67" spans="1:7" ht="216.75" hidden="1" customHeight="1" x14ac:dyDescent="0.25">
      <c r="A67" s="1507"/>
      <c r="B67" s="1510"/>
      <c r="C67" s="894" t="s">
        <v>611</v>
      </c>
      <c r="D67" s="895" t="s">
        <v>632</v>
      </c>
      <c r="E67" s="885">
        <v>0</v>
      </c>
      <c r="F67" s="885"/>
      <c r="G67" s="885"/>
    </row>
    <row r="68" spans="1:7" ht="13.8" hidden="1" thickBot="1" x14ac:dyDescent="0.3">
      <c r="A68" s="1507"/>
      <c r="B68" s="1510">
        <v>2</v>
      </c>
      <c r="C68" s="1500" t="s">
        <v>633</v>
      </c>
      <c r="D68" s="1501"/>
      <c r="E68" s="893">
        <f>E69+E76+E81</f>
        <v>0</v>
      </c>
      <c r="F68" s="893"/>
      <c r="G68" s="893"/>
    </row>
    <row r="69" spans="1:7" ht="409.5" hidden="1" customHeight="1" x14ac:dyDescent="0.25">
      <c r="A69" s="1507"/>
      <c r="B69" s="1510"/>
      <c r="C69" s="894" t="s">
        <v>581</v>
      </c>
      <c r="D69" s="895" t="s">
        <v>634</v>
      </c>
      <c r="E69" s="885">
        <f>E70+E73</f>
        <v>0</v>
      </c>
      <c r="F69" s="885"/>
      <c r="G69" s="885"/>
    </row>
    <row r="70" spans="1:7" ht="216.75" hidden="1" customHeight="1" x14ac:dyDescent="0.25">
      <c r="A70" s="1507"/>
      <c r="B70" s="1510"/>
      <c r="C70" s="894"/>
      <c r="D70" s="901" t="s">
        <v>635</v>
      </c>
      <c r="E70" s="902">
        <f>E71+E72</f>
        <v>0</v>
      </c>
      <c r="F70" s="902"/>
      <c r="G70" s="902"/>
    </row>
    <row r="71" spans="1:7" ht="409.5" hidden="1" customHeight="1" x14ac:dyDescent="0.25">
      <c r="A71" s="1507"/>
      <c r="B71" s="1510"/>
      <c r="C71" s="894"/>
      <c r="D71" s="903" t="s">
        <v>636</v>
      </c>
      <c r="E71" s="902">
        <v>0</v>
      </c>
      <c r="F71" s="902"/>
      <c r="G71" s="902"/>
    </row>
    <row r="72" spans="1:7" ht="409.5" hidden="1" customHeight="1" x14ac:dyDescent="0.25">
      <c r="A72" s="1507"/>
      <c r="B72" s="1510"/>
      <c r="C72" s="894"/>
      <c r="D72" s="903" t="s">
        <v>637</v>
      </c>
      <c r="E72" s="902">
        <v>0</v>
      </c>
      <c r="F72" s="902"/>
      <c r="G72" s="902"/>
    </row>
    <row r="73" spans="1:7" ht="76.5" hidden="1" customHeight="1" x14ac:dyDescent="0.25">
      <c r="A73" s="1507"/>
      <c r="B73" s="1510"/>
      <c r="C73" s="894"/>
      <c r="D73" s="901" t="s">
        <v>638</v>
      </c>
      <c r="E73" s="902">
        <f>E74+E75</f>
        <v>0</v>
      </c>
      <c r="F73" s="902"/>
      <c r="G73" s="902"/>
    </row>
    <row r="74" spans="1:7" ht="216.75" hidden="1" customHeight="1" x14ac:dyDescent="0.25">
      <c r="A74" s="1507"/>
      <c r="B74" s="1510"/>
      <c r="C74" s="894"/>
      <c r="D74" s="903" t="s">
        <v>639</v>
      </c>
      <c r="E74" s="902">
        <v>0</v>
      </c>
      <c r="F74" s="902"/>
      <c r="G74" s="902"/>
    </row>
    <row r="75" spans="1:7" ht="318.75" hidden="1" customHeight="1" x14ac:dyDescent="0.25">
      <c r="A75" s="1507"/>
      <c r="B75" s="1510"/>
      <c r="C75" s="894"/>
      <c r="D75" s="903" t="s">
        <v>640</v>
      </c>
      <c r="E75" s="902">
        <v>0</v>
      </c>
      <c r="F75" s="902"/>
      <c r="G75" s="902"/>
    </row>
    <row r="76" spans="1:7" ht="216.75" hidden="1" customHeight="1" x14ac:dyDescent="0.25">
      <c r="A76" s="1507"/>
      <c r="B76" s="1510"/>
      <c r="C76" s="894" t="s">
        <v>585</v>
      </c>
      <c r="D76" s="895" t="s">
        <v>641</v>
      </c>
      <c r="E76" s="885">
        <f>SUM(E77:E80)</f>
        <v>0</v>
      </c>
      <c r="F76" s="885"/>
      <c r="G76" s="885"/>
    </row>
    <row r="77" spans="1:7" ht="318.75" hidden="1" customHeight="1" x14ac:dyDescent="0.25">
      <c r="A77" s="1507"/>
      <c r="B77" s="1510"/>
      <c r="C77" s="894"/>
      <c r="D77" s="901" t="s">
        <v>642</v>
      </c>
      <c r="E77" s="902">
        <v>0</v>
      </c>
      <c r="F77" s="902"/>
      <c r="G77" s="902"/>
    </row>
    <row r="78" spans="1:7" ht="76.5" hidden="1" customHeight="1" x14ac:dyDescent="0.25">
      <c r="A78" s="1507"/>
      <c r="B78" s="1510"/>
      <c r="C78" s="894"/>
      <c r="D78" s="901" t="s">
        <v>643</v>
      </c>
      <c r="E78" s="902">
        <v>0</v>
      </c>
      <c r="F78" s="902"/>
      <c r="G78" s="902"/>
    </row>
    <row r="79" spans="1:7" ht="76.5" hidden="1" customHeight="1" x14ac:dyDescent="0.25">
      <c r="A79" s="1507"/>
      <c r="B79" s="1510"/>
      <c r="C79" s="894"/>
      <c r="D79" s="901" t="s">
        <v>644</v>
      </c>
      <c r="E79" s="902">
        <v>0</v>
      </c>
      <c r="F79" s="902"/>
      <c r="G79" s="902"/>
    </row>
    <row r="80" spans="1:7" ht="369.75" hidden="1" customHeight="1" x14ac:dyDescent="0.25">
      <c r="A80" s="1507"/>
      <c r="B80" s="1510"/>
      <c r="C80" s="894"/>
      <c r="D80" s="901" t="s">
        <v>645</v>
      </c>
      <c r="E80" s="902">
        <v>0</v>
      </c>
      <c r="F80" s="902"/>
      <c r="G80" s="902"/>
    </row>
    <row r="81" spans="1:7" ht="369.75" hidden="1" customHeight="1" x14ac:dyDescent="0.25">
      <c r="A81" s="1507"/>
      <c r="B81" s="1510"/>
      <c r="C81" s="894" t="s">
        <v>587</v>
      </c>
      <c r="D81" s="895" t="s">
        <v>646</v>
      </c>
      <c r="E81" s="885">
        <f>E82+E85</f>
        <v>0</v>
      </c>
      <c r="F81" s="885"/>
      <c r="G81" s="885"/>
    </row>
    <row r="82" spans="1:7" ht="76.5" hidden="1" customHeight="1" x14ac:dyDescent="0.25">
      <c r="A82" s="1507"/>
      <c r="B82" s="1510"/>
      <c r="C82" s="894"/>
      <c r="D82" s="901" t="s">
        <v>647</v>
      </c>
      <c r="E82" s="902">
        <f>E83+E84</f>
        <v>0</v>
      </c>
      <c r="F82" s="902"/>
      <c r="G82" s="902"/>
    </row>
    <row r="83" spans="1:7" ht="382.5" hidden="1" customHeight="1" x14ac:dyDescent="0.25">
      <c r="A83" s="1507"/>
      <c r="B83" s="1510"/>
      <c r="C83" s="894"/>
      <c r="D83" s="903" t="s">
        <v>648</v>
      </c>
      <c r="E83" s="902">
        <v>0</v>
      </c>
      <c r="F83" s="902"/>
      <c r="G83" s="902"/>
    </row>
    <row r="84" spans="1:7" ht="382.5" hidden="1" customHeight="1" x14ac:dyDescent="0.25">
      <c r="A84" s="1507"/>
      <c r="B84" s="1510"/>
      <c r="C84" s="894"/>
      <c r="D84" s="903" t="s">
        <v>649</v>
      </c>
      <c r="E84" s="902">
        <v>0</v>
      </c>
      <c r="F84" s="902"/>
      <c r="G84" s="902"/>
    </row>
    <row r="85" spans="1:7" ht="230.25" hidden="1" customHeight="1" thickBot="1" x14ac:dyDescent="0.3">
      <c r="A85" s="1507"/>
      <c r="B85" s="1510"/>
      <c r="C85" s="894"/>
      <c r="D85" s="901" t="s">
        <v>650</v>
      </c>
      <c r="E85" s="902">
        <f>E86+E87</f>
        <v>0</v>
      </c>
      <c r="F85" s="902"/>
      <c r="G85" s="902"/>
    </row>
    <row r="86" spans="1:7" ht="178.5" hidden="1" customHeight="1" x14ac:dyDescent="0.25">
      <c r="A86" s="1507"/>
      <c r="B86" s="1510"/>
      <c r="C86" s="894"/>
      <c r="D86" s="903" t="s">
        <v>651</v>
      </c>
      <c r="E86" s="902">
        <v>0</v>
      </c>
      <c r="F86" s="902"/>
      <c r="G86" s="902"/>
    </row>
    <row r="87" spans="1:7" ht="14.25" hidden="1" customHeight="1" thickBot="1" x14ac:dyDescent="0.3">
      <c r="A87" s="1507"/>
      <c r="B87" s="1498"/>
      <c r="C87" s="904"/>
      <c r="D87" s="905" t="s">
        <v>652</v>
      </c>
      <c r="E87" s="906">
        <v>0</v>
      </c>
      <c r="F87" s="906"/>
      <c r="G87" s="906"/>
    </row>
    <row r="88" spans="1:7" ht="13.8" thickBot="1" x14ac:dyDescent="0.3">
      <c r="A88" s="1508"/>
      <c r="B88" s="1480" t="s">
        <v>653</v>
      </c>
      <c r="C88" s="1481"/>
      <c r="D88" s="1482"/>
      <c r="E88" s="890">
        <f>E59+E68</f>
        <v>3769980</v>
      </c>
      <c r="F88" s="890">
        <f>F59+F68</f>
        <v>3814440</v>
      </c>
      <c r="G88" s="890">
        <f>G59+G68</f>
        <v>4092220</v>
      </c>
    </row>
    <row r="89" spans="1:7" ht="13.8" thickBot="1" x14ac:dyDescent="0.3">
      <c r="A89" s="907"/>
      <c r="B89" s="908"/>
      <c r="C89" s="909"/>
      <c r="D89" s="908"/>
      <c r="E89" s="910"/>
      <c r="F89" s="853"/>
      <c r="G89" s="853"/>
    </row>
    <row r="90" spans="1:7" ht="13.5" customHeight="1" thickBot="1" x14ac:dyDescent="0.3">
      <c r="A90" s="1513" t="s">
        <v>656</v>
      </c>
      <c r="B90" s="1514"/>
      <c r="C90" s="1514"/>
      <c r="D90" s="1515"/>
      <c r="E90" s="911">
        <f>E88+E58+E39+E19</f>
        <v>178769625</v>
      </c>
      <c r="F90" s="911">
        <f>F88+F58+F39+F19</f>
        <v>192240285</v>
      </c>
      <c r="G90" s="911">
        <f>G88+G58+G39+G19</f>
        <v>211077697</v>
      </c>
    </row>
    <row r="91" spans="1:7" x14ac:dyDescent="0.25">
      <c r="A91" s="907"/>
      <c r="B91" s="908"/>
      <c r="C91" s="909"/>
      <c r="D91" s="908"/>
      <c r="E91" s="871"/>
    </row>
    <row r="92" spans="1:7" ht="46.5" customHeight="1" x14ac:dyDescent="0.25">
      <c r="A92" s="1517" t="s">
        <v>961</v>
      </c>
      <c r="B92" s="1517"/>
      <c r="C92" s="1517"/>
      <c r="D92" s="1517"/>
      <c r="E92" s="1517"/>
      <c r="F92" s="1517"/>
      <c r="G92" s="1517"/>
    </row>
    <row r="93" spans="1:7" ht="14.25" customHeight="1" thickBot="1" x14ac:dyDescent="0.3">
      <c r="A93" s="907"/>
      <c r="B93" s="907"/>
      <c r="C93" s="912"/>
      <c r="D93" s="913"/>
    </row>
    <row r="94" spans="1:7" ht="27" thickBot="1" x14ac:dyDescent="0.3">
      <c r="A94" s="1483" t="s">
        <v>12</v>
      </c>
      <c r="B94" s="1484"/>
      <c r="C94" s="1484"/>
      <c r="D94" s="1485"/>
      <c r="E94" s="853" t="s">
        <v>1019</v>
      </c>
      <c r="F94" s="853" t="s">
        <v>1160</v>
      </c>
      <c r="G94" s="853" t="s">
        <v>1161</v>
      </c>
    </row>
    <row r="95" spans="1:7" x14ac:dyDescent="0.25">
      <c r="A95" s="914">
        <v>15</v>
      </c>
      <c r="B95" s="1511" t="s">
        <v>654</v>
      </c>
      <c r="C95" s="1516"/>
      <c r="D95" s="1512"/>
      <c r="E95" s="900">
        <v>0</v>
      </c>
      <c r="F95" s="900">
        <v>0</v>
      </c>
      <c r="G95" s="900">
        <v>0</v>
      </c>
    </row>
    <row r="96" spans="1:7" x14ac:dyDescent="0.25">
      <c r="A96" s="915">
        <v>16</v>
      </c>
      <c r="B96" s="1500" t="s">
        <v>951</v>
      </c>
      <c r="C96" s="1505"/>
      <c r="D96" s="1501"/>
      <c r="E96" s="916">
        <v>0</v>
      </c>
      <c r="F96" s="916">
        <v>0</v>
      </c>
      <c r="G96" s="916">
        <v>0</v>
      </c>
    </row>
    <row r="97" spans="1:7" x14ac:dyDescent="0.25">
      <c r="A97" s="917">
        <v>17</v>
      </c>
      <c r="B97" s="1500" t="s">
        <v>655</v>
      </c>
      <c r="C97" s="1505"/>
      <c r="D97" s="1501"/>
      <c r="E97" s="870">
        <v>0</v>
      </c>
      <c r="F97" s="870">
        <v>0</v>
      </c>
      <c r="G97" s="870">
        <v>0</v>
      </c>
    </row>
    <row r="98" spans="1:7" x14ac:dyDescent="0.25">
      <c r="A98" s="917"/>
      <c r="B98" s="1500" t="s">
        <v>1017</v>
      </c>
      <c r="C98" s="1505"/>
      <c r="D98" s="1501"/>
      <c r="E98" s="870">
        <v>0</v>
      </c>
      <c r="F98" s="870">
        <v>0</v>
      </c>
      <c r="G98" s="870">
        <v>0</v>
      </c>
    </row>
    <row r="99" spans="1:7" ht="13.8" thickBot="1" x14ac:dyDescent="0.3">
      <c r="A99" s="918"/>
      <c r="B99" s="1523" t="s">
        <v>1018</v>
      </c>
      <c r="C99" s="1524"/>
      <c r="D99" s="1525"/>
      <c r="E99" s="919">
        <v>0</v>
      </c>
      <c r="F99" s="919">
        <v>0</v>
      </c>
      <c r="G99" s="919">
        <v>0</v>
      </c>
    </row>
    <row r="102" spans="1:7" ht="15.75" customHeight="1" x14ac:dyDescent="0.25">
      <c r="A102" s="1517" t="s">
        <v>1028</v>
      </c>
      <c r="B102" s="1517"/>
      <c r="C102" s="1517"/>
      <c r="D102" s="1517"/>
      <c r="E102" s="1517"/>
      <c r="F102" s="1517"/>
      <c r="G102" s="1517"/>
    </row>
    <row r="103" spans="1:7" ht="13.8" thickBot="1" x14ac:dyDescent="0.3"/>
    <row r="104" spans="1:7" ht="27" thickBot="1" x14ac:dyDescent="0.3">
      <c r="A104" s="1483" t="s">
        <v>12</v>
      </c>
      <c r="B104" s="1484"/>
      <c r="C104" s="1484"/>
      <c r="D104" s="1485"/>
      <c r="E104" s="853" t="s">
        <v>1019</v>
      </c>
      <c r="F104" s="853" t="s">
        <v>1160</v>
      </c>
      <c r="G104" s="853" t="s">
        <v>1161</v>
      </c>
    </row>
    <row r="105" spans="1:7" x14ac:dyDescent="0.25">
      <c r="A105" s="914"/>
      <c r="B105" s="1511" t="s">
        <v>1029</v>
      </c>
      <c r="C105" s="1516"/>
      <c r="D105" s="1512"/>
      <c r="E105" s="900">
        <v>0</v>
      </c>
      <c r="F105" s="900">
        <v>0</v>
      </c>
      <c r="G105" s="900">
        <v>0</v>
      </c>
    </row>
    <row r="106" spans="1:7" x14ac:dyDescent="0.25">
      <c r="A106" s="915"/>
      <c r="B106" s="1500" t="s">
        <v>1030</v>
      </c>
      <c r="C106" s="1505"/>
      <c r="D106" s="1501"/>
      <c r="E106" s="916">
        <v>0</v>
      </c>
      <c r="F106" s="916">
        <v>0</v>
      </c>
      <c r="G106" s="916">
        <v>0</v>
      </c>
    </row>
    <row r="107" spans="1:7" x14ac:dyDescent="0.25">
      <c r="A107" s="917"/>
      <c r="B107" s="1500" t="s">
        <v>1031</v>
      </c>
      <c r="C107" s="1505"/>
      <c r="D107" s="1501"/>
      <c r="E107" s="870">
        <v>0</v>
      </c>
      <c r="F107" s="870">
        <v>0</v>
      </c>
      <c r="G107" s="870">
        <v>0</v>
      </c>
    </row>
    <row r="108" spans="1:7" x14ac:dyDescent="0.25">
      <c r="A108" s="917"/>
      <c r="B108" s="1500" t="s">
        <v>1032</v>
      </c>
      <c r="C108" s="1505"/>
      <c r="D108" s="1501"/>
      <c r="E108" s="870">
        <v>0</v>
      </c>
      <c r="F108" s="870">
        <v>0</v>
      </c>
      <c r="G108" s="870">
        <v>0</v>
      </c>
    </row>
    <row r="109" spans="1:7" ht="13.5" customHeight="1" thickBot="1" x14ac:dyDescent="0.3">
      <c r="A109" s="918"/>
      <c r="B109" s="921" t="s">
        <v>1033</v>
      </c>
      <c r="C109" s="922"/>
      <c r="D109" s="923"/>
      <c r="E109" s="919">
        <v>0</v>
      </c>
      <c r="F109" s="919">
        <v>0</v>
      </c>
      <c r="G109" s="919">
        <v>0</v>
      </c>
    </row>
    <row r="112" spans="1:7" ht="15.75" customHeight="1" x14ac:dyDescent="0.25">
      <c r="A112" s="1517" t="s">
        <v>1034</v>
      </c>
      <c r="B112" s="1517"/>
      <c r="C112" s="1517"/>
      <c r="D112" s="1517"/>
      <c r="E112" s="1517"/>
      <c r="F112" s="1517"/>
      <c r="G112" s="1517"/>
    </row>
    <row r="113" spans="1:7" ht="13.8" thickBot="1" x14ac:dyDescent="0.3"/>
    <row r="114" spans="1:7" ht="27" thickBot="1" x14ac:dyDescent="0.3">
      <c r="A114" s="1483" t="s">
        <v>12</v>
      </c>
      <c r="B114" s="1484"/>
      <c r="C114" s="1484"/>
      <c r="D114" s="1485"/>
      <c r="E114" s="853" t="s">
        <v>1019</v>
      </c>
      <c r="F114" s="853" t="s">
        <v>1072</v>
      </c>
      <c r="G114" s="853" t="s">
        <v>1161</v>
      </c>
    </row>
    <row r="115" spans="1:7" x14ac:dyDescent="0.25">
      <c r="A115" s="914"/>
      <c r="B115" s="1511" t="s">
        <v>241</v>
      </c>
      <c r="C115" s="1516"/>
      <c r="D115" s="1512"/>
      <c r="E115" s="900">
        <v>0</v>
      </c>
      <c r="F115" s="900">
        <v>0</v>
      </c>
      <c r="G115" s="900">
        <v>0</v>
      </c>
    </row>
    <row r="116" spans="1:7" ht="13.8" thickBot="1" x14ac:dyDescent="0.3">
      <c r="A116" s="1508" t="s">
        <v>1033</v>
      </c>
      <c r="B116" s="1521"/>
      <c r="C116" s="1521"/>
      <c r="D116" s="1522"/>
      <c r="E116" s="919">
        <v>0</v>
      </c>
      <c r="F116" s="919">
        <v>0</v>
      </c>
      <c r="G116" s="919">
        <v>0</v>
      </c>
    </row>
  </sheetData>
  <mergeCells count="49">
    <mergeCell ref="A116:D116"/>
    <mergeCell ref="B98:D98"/>
    <mergeCell ref="B99:D99"/>
    <mergeCell ref="A104:D104"/>
    <mergeCell ref="B105:D105"/>
    <mergeCell ref="B106:D106"/>
    <mergeCell ref="B107:D107"/>
    <mergeCell ref="B108:D108"/>
    <mergeCell ref="A114:D114"/>
    <mergeCell ref="B115:D115"/>
    <mergeCell ref="A102:G102"/>
    <mergeCell ref="A112:G112"/>
    <mergeCell ref="C17:D17"/>
    <mergeCell ref="B19:D19"/>
    <mergeCell ref="B97:D97"/>
    <mergeCell ref="A59:A88"/>
    <mergeCell ref="B59:B67"/>
    <mergeCell ref="C59:D59"/>
    <mergeCell ref="B68:B87"/>
    <mergeCell ref="C68:D68"/>
    <mergeCell ref="B88:D88"/>
    <mergeCell ref="A90:D90"/>
    <mergeCell ref="A94:D94"/>
    <mergeCell ref="B95:D95"/>
    <mergeCell ref="B96:D96"/>
    <mergeCell ref="A92:G92"/>
    <mergeCell ref="A40:A58"/>
    <mergeCell ref="C40:D40"/>
    <mergeCell ref="B41:B53"/>
    <mergeCell ref="C41:D41"/>
    <mergeCell ref="B54:B56"/>
    <mergeCell ref="C54:D54"/>
    <mergeCell ref="B58:D58"/>
    <mergeCell ref="A2:G2"/>
    <mergeCell ref="A1:G1"/>
    <mergeCell ref="A20:A39"/>
    <mergeCell ref="B20:B27"/>
    <mergeCell ref="C20:D20"/>
    <mergeCell ref="B28:B30"/>
    <mergeCell ref="B33:B35"/>
    <mergeCell ref="C33:D33"/>
    <mergeCell ref="B36:B38"/>
    <mergeCell ref="C36:D36"/>
    <mergeCell ref="B39:D39"/>
    <mergeCell ref="A4:D4"/>
    <mergeCell ref="A5:A19"/>
    <mergeCell ref="B5:B13"/>
    <mergeCell ref="C5:D5"/>
    <mergeCell ref="C16:D1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5"/>
  </sheetPr>
  <dimension ref="A1:F142"/>
  <sheetViews>
    <sheetView view="pageLayout" zoomScaleNormal="120" zoomScaleSheetLayoutView="120" workbookViewId="0">
      <selection activeCell="E103" sqref="E103"/>
    </sheetView>
  </sheetViews>
  <sheetFormatPr defaultColWidth="9.33203125" defaultRowHeight="15.6" x14ac:dyDescent="0.3"/>
  <cols>
    <col min="1" max="1" width="9.6640625" style="417" bestFit="1" customWidth="1"/>
    <col min="2" max="2" width="84.77734375" style="417" customWidth="1"/>
    <col min="3" max="6" width="14.77734375" style="42" customWidth="1"/>
    <col min="7" max="16384" width="9.33203125" style="42"/>
  </cols>
  <sheetData>
    <row r="1" spans="1:6" ht="34.5" customHeight="1" x14ac:dyDescent="0.3">
      <c r="A1" s="1349" t="s">
        <v>882</v>
      </c>
      <c r="B1" s="1349"/>
      <c r="C1" s="1349"/>
      <c r="D1" s="1349"/>
      <c r="E1" s="1349"/>
      <c r="F1" s="1349"/>
    </row>
    <row r="2" spans="1:6" ht="15.9" customHeight="1" thickBot="1" x14ac:dyDescent="0.35">
      <c r="A2" s="1347" t="s">
        <v>99</v>
      </c>
      <c r="B2" s="1347"/>
      <c r="F2" s="329" t="s">
        <v>299</v>
      </c>
    </row>
    <row r="3" spans="1:6" ht="38.1" customHeight="1" thickBot="1" x14ac:dyDescent="0.35">
      <c r="A3" s="27" t="s">
        <v>17</v>
      </c>
      <c r="B3" s="28" t="s">
        <v>884</v>
      </c>
      <c r="C3" s="539" t="s">
        <v>1170</v>
      </c>
      <c r="D3" s="1136" t="s">
        <v>1171</v>
      </c>
      <c r="E3" s="1135" t="s">
        <v>1218</v>
      </c>
      <c r="F3" s="197" t="s">
        <v>1219</v>
      </c>
    </row>
    <row r="4" spans="1:6" s="43" customFormat="1" ht="12" customHeight="1" thickBot="1" x14ac:dyDescent="0.25">
      <c r="A4" s="37" t="s">
        <v>885</v>
      </c>
      <c r="B4" s="38" t="s">
        <v>886</v>
      </c>
      <c r="C4" s="38" t="s">
        <v>887</v>
      </c>
      <c r="D4" s="1137" t="s">
        <v>888</v>
      </c>
      <c r="E4" s="38" t="s">
        <v>889</v>
      </c>
      <c r="F4" s="38" t="s">
        <v>890</v>
      </c>
    </row>
    <row r="5" spans="1:6" s="1" customFormat="1" ht="12" customHeight="1" thickBot="1" x14ac:dyDescent="0.3">
      <c r="A5" s="25" t="s">
        <v>885</v>
      </c>
      <c r="B5" s="24" t="s">
        <v>125</v>
      </c>
      <c r="C5" s="814">
        <f>+C6+C11+C20</f>
        <v>140084</v>
      </c>
      <c r="D5" s="573">
        <f>+D6+D11+D20</f>
        <v>160012</v>
      </c>
      <c r="E5" s="573">
        <f>+E6+E11+E20</f>
        <v>160115</v>
      </c>
      <c r="F5" s="1216">
        <f>E5/D5</f>
        <v>1.0006437017223708</v>
      </c>
    </row>
    <row r="6" spans="1:6" s="1" customFormat="1" ht="12" customHeight="1" thickBot="1" x14ac:dyDescent="0.3">
      <c r="A6" s="23" t="s">
        <v>886</v>
      </c>
      <c r="B6" s="308" t="s">
        <v>374</v>
      </c>
      <c r="C6" s="575">
        <f>+C7+C8+C9+C10</f>
        <v>112300</v>
      </c>
      <c r="D6" s="580">
        <f>+D7+D8+D9+D10</f>
        <v>120825</v>
      </c>
      <c r="E6" s="580">
        <f>+E7+E8+E9+E10</f>
        <v>120007</v>
      </c>
      <c r="F6" s="1208">
        <f t="shared" ref="F6:F67" si="0">E6/D6</f>
        <v>0.9932298779226153</v>
      </c>
    </row>
    <row r="7" spans="1:6" s="1" customFormat="1" ht="12" customHeight="1" x14ac:dyDescent="0.25">
      <c r="A7" s="16" t="s">
        <v>63</v>
      </c>
      <c r="B7" s="401" t="s">
        <v>928</v>
      </c>
      <c r="C7" s="578">
        <f>'1.2.sz.mell. _köt'!C7+'1.4.sz.mell._állig'!E7+'1.3.sz.mell._önk'!C6</f>
        <v>107000</v>
      </c>
      <c r="D7" s="594">
        <f>'1.2.sz.mell. _köt'!D7+'1.4.sz.mell._állig'!F7+'1.3.sz.mell._önk'!D6</f>
        <v>115225</v>
      </c>
      <c r="E7" s="594">
        <f>'1.2.sz.mell. _köt'!E7+'1.4.sz.mell._állig'!G7+'1.3.sz.mell._önk'!E6</f>
        <v>115225</v>
      </c>
      <c r="F7" s="1244">
        <f t="shared" si="0"/>
        <v>1</v>
      </c>
    </row>
    <row r="8" spans="1:6" s="1" customFormat="1" ht="12" customHeight="1" x14ac:dyDescent="0.25">
      <c r="A8" s="16" t="s">
        <v>64</v>
      </c>
      <c r="B8" s="322" t="s">
        <v>33</v>
      </c>
      <c r="C8" s="578">
        <f>'1.2.sz.mell. _köt'!C8+'1.3.sz.mell._önk'!C8+'1.4.sz.mell._állig'!E8</f>
        <v>0</v>
      </c>
      <c r="D8" s="594">
        <f>'1.2.sz.mell. _köt'!D8+'1.3.sz.mell._önk'!D8+'1.4.sz.mell._állig'!F8</f>
        <v>0</v>
      </c>
      <c r="E8" s="594">
        <f>'1.2.sz.mell. _köt'!E8+'1.3.sz.mell._önk'!E8+'1.4.sz.mell._állig'!G8</f>
        <v>0</v>
      </c>
      <c r="F8" s="1244"/>
    </row>
    <row r="9" spans="1:6" s="1" customFormat="1" ht="12" customHeight="1" x14ac:dyDescent="0.25">
      <c r="A9" s="16" t="s">
        <v>65</v>
      </c>
      <c r="B9" s="322" t="s">
        <v>126</v>
      </c>
      <c r="C9" s="578">
        <f>'1.2.sz.mell. _köt'!C9+'1.3.sz.mell._önk'!C9+'1.4.sz.mell._állig'!E9</f>
        <v>3100</v>
      </c>
      <c r="D9" s="594">
        <f>'1.2.sz.mell. _köt'!D9+'1.3.sz.mell._önk'!D9+'1.4.sz.mell._állig'!F9</f>
        <v>3100</v>
      </c>
      <c r="E9" s="594">
        <f>'1.2.sz.mell. _köt'!E9+'1.3.sz.mell._önk'!E9+'1.4.sz.mell._állig'!G9</f>
        <v>2206</v>
      </c>
      <c r="F9" s="1244">
        <f t="shared" si="0"/>
        <v>0.7116129032258065</v>
      </c>
    </row>
    <row r="10" spans="1:6" s="1" customFormat="1" ht="12" customHeight="1" thickBot="1" x14ac:dyDescent="0.3">
      <c r="A10" s="16" t="s">
        <v>66</v>
      </c>
      <c r="B10" s="402" t="s">
        <v>127</v>
      </c>
      <c r="C10" s="578">
        <f>'1.2.sz.mell. _köt'!C10+'1.3.sz.mell._önk'!C10+'1.4.sz.mell._állig'!E10</f>
        <v>2200</v>
      </c>
      <c r="D10" s="594">
        <f>'1.2.sz.mell. _köt'!D10+'1.3.sz.mell._önk'!D10+'1.4.sz.mell._állig'!F10</f>
        <v>2500</v>
      </c>
      <c r="E10" s="594">
        <f>'1.2.sz.mell. _köt'!E10+'1.3.sz.mell._önk'!E10+'1.4.sz.mell._állig'!G10</f>
        <v>2576</v>
      </c>
      <c r="F10" s="1244">
        <f t="shared" si="0"/>
        <v>1.0304</v>
      </c>
    </row>
    <row r="11" spans="1:6" s="1" customFormat="1" ht="12" customHeight="1" thickBot="1" x14ac:dyDescent="0.3">
      <c r="A11" s="23" t="s">
        <v>887</v>
      </c>
      <c r="B11" s="24" t="s">
        <v>128</v>
      </c>
      <c r="C11" s="575">
        <f>+C12+C13+C14+C15+C16+C17+C18+C19</f>
        <v>19284</v>
      </c>
      <c r="D11" s="580">
        <f>+D12+D13+D14+D15+D16+D17+D18+D19</f>
        <v>30687</v>
      </c>
      <c r="E11" s="580">
        <f>+E12+E13+E14+E15+E16+E17+E18+E19</f>
        <v>30663</v>
      </c>
      <c r="F11" s="1208">
        <f t="shared" si="0"/>
        <v>0.99921790986411185</v>
      </c>
    </row>
    <row r="12" spans="1:6" s="1" customFormat="1" ht="12" customHeight="1" x14ac:dyDescent="0.25">
      <c r="A12" s="20" t="s">
        <v>37</v>
      </c>
      <c r="B12" s="12" t="s">
        <v>133</v>
      </c>
      <c r="C12" s="578">
        <f>'1.2.sz.mell. _köt'!C12+'1.3.sz.mell._önk'!C12+'1.4.sz.mell._állig'!E12</f>
        <v>1530</v>
      </c>
      <c r="D12" s="594">
        <f>'1.2.sz.mell. _köt'!D12+'1.3.sz.mell._önk'!D12+'1.4.sz.mell._állig'!F12</f>
        <v>7439</v>
      </c>
      <c r="E12" s="594">
        <f>'1.2.sz.mell. _köt'!E12+'1.3.sz.mell._önk'!E12+'1.4.sz.mell._állig'!G12</f>
        <v>7427</v>
      </c>
      <c r="F12" s="1244">
        <f t="shared" si="0"/>
        <v>0.9983868799569835</v>
      </c>
    </row>
    <row r="13" spans="1:6" s="1" customFormat="1" ht="12" customHeight="1" x14ac:dyDescent="0.25">
      <c r="A13" s="16" t="s">
        <v>38</v>
      </c>
      <c r="B13" s="9" t="s">
        <v>134</v>
      </c>
      <c r="C13" s="578">
        <f>'1.2.sz.mell. _köt'!C13+'1.3.sz.mell._önk'!C13+'1.4.sz.mell._állig'!E13</f>
        <v>100</v>
      </c>
      <c r="D13" s="594">
        <f>'1.2.sz.mell. _köt'!D13+'1.3.sz.mell._önk'!D13+'1.4.sz.mell._állig'!F13</f>
        <v>100</v>
      </c>
      <c r="E13" s="594">
        <f>'1.2.sz.mell. _köt'!E13+'1.3.sz.mell._önk'!E13+'1.4.sz.mell._állig'!G13</f>
        <v>637</v>
      </c>
      <c r="F13" s="1244">
        <f t="shared" si="0"/>
        <v>6.37</v>
      </c>
    </row>
    <row r="14" spans="1:6" s="1" customFormat="1" ht="12" customHeight="1" x14ac:dyDescent="0.25">
      <c r="A14" s="16" t="s">
        <v>39</v>
      </c>
      <c r="B14" s="9" t="s">
        <v>135</v>
      </c>
      <c r="C14" s="578">
        <f>'1.2.sz.mell. _köt'!C14+'1.3.sz.mell._önk'!C14+'1.4.sz.mell._állig'!E14</f>
        <v>15033</v>
      </c>
      <c r="D14" s="594">
        <f>'1.2.sz.mell. _köt'!D14+'1.3.sz.mell._önk'!D14+'1.4.sz.mell._állig'!F14</f>
        <v>16303</v>
      </c>
      <c r="E14" s="594">
        <f>'1.2.sz.mell. _köt'!E14+'1.3.sz.mell._önk'!E14+'1.4.sz.mell._állig'!G14</f>
        <v>16772</v>
      </c>
      <c r="F14" s="1244">
        <f t="shared" si="0"/>
        <v>1.0287677114641478</v>
      </c>
    </row>
    <row r="15" spans="1:6" s="1" customFormat="1" ht="12" customHeight="1" x14ac:dyDescent="0.25">
      <c r="A15" s="16" t="s">
        <v>40</v>
      </c>
      <c r="B15" s="9" t="s">
        <v>136</v>
      </c>
      <c r="C15" s="578">
        <f>'1.2.sz.mell. _köt'!C15+'1.3.sz.mell._önk'!C15+'1.4.sz.mell._állig'!E15</f>
        <v>0</v>
      </c>
      <c r="D15" s="594">
        <f>'1.2.sz.mell. _köt'!D15+'1.3.sz.mell._önk'!D15+'1.4.sz.mell._állig'!F15</f>
        <v>964</v>
      </c>
      <c r="E15" s="594">
        <f>'1.2.sz.mell. _köt'!E15+'1.3.sz.mell._önk'!E15+'1.4.sz.mell._állig'!G15</f>
        <v>964</v>
      </c>
      <c r="F15" s="1244">
        <f t="shared" si="0"/>
        <v>1</v>
      </c>
    </row>
    <row r="16" spans="1:6" s="1" customFormat="1" ht="12" customHeight="1" x14ac:dyDescent="0.25">
      <c r="A16" s="15" t="s">
        <v>129</v>
      </c>
      <c r="B16" s="8" t="s">
        <v>137</v>
      </c>
      <c r="C16" s="578">
        <f>'1.2.sz.mell. _köt'!C16+'1.3.sz.mell._önk'!C16+'1.4.sz.mell._állig'!E16</f>
        <v>1869</v>
      </c>
      <c r="D16" s="594">
        <f>'1.2.sz.mell. _köt'!D16+'1.3.sz.mell._önk'!D16+'1.4.sz.mell._állig'!F16</f>
        <v>1678</v>
      </c>
      <c r="E16" s="594">
        <f>'1.2.sz.mell. _köt'!E16+'1.3.sz.mell._önk'!E16+'1.4.sz.mell._állig'!G16</f>
        <v>1678</v>
      </c>
      <c r="F16" s="1244">
        <f t="shared" si="0"/>
        <v>1</v>
      </c>
    </row>
    <row r="17" spans="1:6" s="1" customFormat="1" ht="12" customHeight="1" x14ac:dyDescent="0.25">
      <c r="A17" s="16" t="s">
        <v>130</v>
      </c>
      <c r="B17" s="9" t="s">
        <v>239</v>
      </c>
      <c r="C17" s="578">
        <f>'1.2.sz.mell. _köt'!C17+'1.3.sz.mell._önk'!C17+'1.4.sz.mell._állig'!E17</f>
        <v>752</v>
      </c>
      <c r="D17" s="594">
        <f>'1.2.sz.mell. _köt'!D17+'1.3.sz.mell._önk'!D17+'1.4.sz.mell._állig'!F17</f>
        <v>887</v>
      </c>
      <c r="E17" s="594">
        <f>'1.2.sz.mell. _köt'!E17+'1.3.sz.mell._önk'!E17+'1.4.sz.mell._állig'!G17</f>
        <v>628</v>
      </c>
      <c r="F17" s="1244">
        <f t="shared" si="0"/>
        <v>0.70800450958286354</v>
      </c>
    </row>
    <row r="18" spans="1:6" s="1" customFormat="1" ht="12" customHeight="1" x14ac:dyDescent="0.25">
      <c r="A18" s="16" t="s">
        <v>131</v>
      </c>
      <c r="B18" s="9" t="s">
        <v>139</v>
      </c>
      <c r="C18" s="578">
        <f>'1.2.sz.mell. _köt'!C18+'1.3.sz.mell._önk'!C18+'1.4.sz.mell._állig'!E18</f>
        <v>0</v>
      </c>
      <c r="D18" s="594">
        <f>'1.2.sz.mell. _köt'!D18+'1.3.sz.mell._önk'!D18+'1.4.sz.mell._állig'!F18</f>
        <v>1</v>
      </c>
      <c r="E18" s="594">
        <f>'1.2.sz.mell. _köt'!E18+'1.3.sz.mell._önk'!E18+'1.4.sz.mell._állig'!G18</f>
        <v>1</v>
      </c>
      <c r="F18" s="1244">
        <f t="shared" si="0"/>
        <v>1</v>
      </c>
    </row>
    <row r="19" spans="1:6" s="1" customFormat="1" ht="12" customHeight="1" thickBot="1" x14ac:dyDescent="0.3">
      <c r="A19" s="17" t="s">
        <v>132</v>
      </c>
      <c r="B19" s="10" t="s">
        <v>140</v>
      </c>
      <c r="C19" s="578">
        <f>'1.2.sz.mell. _köt'!C19+'1.3.sz.mell._önk'!C19+'1.4.sz.mell._állig'!E19</f>
        <v>0</v>
      </c>
      <c r="D19" s="594">
        <f>'1.2.sz.mell. _köt'!D19+'1.3.sz.mell._önk'!D19+'1.4.sz.mell._állig'!F19</f>
        <v>3315</v>
      </c>
      <c r="E19" s="594">
        <f>'1.2.sz.mell. _köt'!E19+'1.3.sz.mell._önk'!E19+'1.4.sz.mell._állig'!G19</f>
        <v>2556</v>
      </c>
      <c r="F19" s="1244">
        <f t="shared" si="0"/>
        <v>0.77104072398190049</v>
      </c>
    </row>
    <row r="20" spans="1:6" s="1" customFormat="1" ht="12" customHeight="1" thickBot="1" x14ac:dyDescent="0.3">
      <c r="A20" s="23" t="s">
        <v>141</v>
      </c>
      <c r="B20" s="24" t="s">
        <v>240</v>
      </c>
      <c r="C20" s="1096">
        <f>'1.2.sz.mell. _köt'!C20+'1.3.sz.mell._önk'!C20+'1.4.sz.mell._állig'!E20</f>
        <v>8500</v>
      </c>
      <c r="D20" s="1138">
        <f>'1.2.sz.mell. _köt'!D20+'1.3.sz.mell._önk'!D20+'1.4.sz.mell._állig'!F20</f>
        <v>8500</v>
      </c>
      <c r="E20" s="1138">
        <f>'1.2.sz.mell. _köt'!E20+'1.3.sz.mell._önk'!E20+'1.4.sz.mell._állig'!G20</f>
        <v>9445</v>
      </c>
      <c r="F20" s="1283">
        <f t="shared" si="0"/>
        <v>1.1111764705882352</v>
      </c>
    </row>
    <row r="21" spans="1:6" s="1" customFormat="1" ht="12" customHeight="1" thickBot="1" x14ac:dyDescent="0.3">
      <c r="A21" s="23" t="s">
        <v>889</v>
      </c>
      <c r="B21" s="24" t="s">
        <v>143</v>
      </c>
      <c r="C21" s="575">
        <f>+C22+C23+C24+C25+C26+C27+C28+C29</f>
        <v>211078</v>
      </c>
      <c r="D21" s="580">
        <f>+D22+D23+D24+D25+D26+D27+D28+D29</f>
        <v>240429</v>
      </c>
      <c r="E21" s="580">
        <f>+E22+E23+E24+E25+E26+E27+E28+E29</f>
        <v>240429</v>
      </c>
      <c r="F21" s="1208">
        <f t="shared" si="0"/>
        <v>1</v>
      </c>
    </row>
    <row r="22" spans="1:6" s="1" customFormat="1" ht="12" customHeight="1" x14ac:dyDescent="0.25">
      <c r="A22" s="18" t="s">
        <v>41</v>
      </c>
      <c r="B22" s="11" t="s">
        <v>818</v>
      </c>
      <c r="C22" s="578">
        <f>'1.2.sz.mell. _köt'!C22+'1.3.sz.mell._önk'!C22+'1.4.sz.mell._állig'!E22</f>
        <v>211078</v>
      </c>
      <c r="D22" s="594">
        <f>'1.2.sz.mell. _köt'!D22+'1.3.sz.mell._önk'!D22+'1.4.sz.mell._állig'!F22</f>
        <v>216462</v>
      </c>
      <c r="E22" s="594">
        <f>'1.2.sz.mell. _köt'!E22+'1.3.sz.mell._önk'!E22+'1.4.sz.mell._állig'!G22</f>
        <v>216462</v>
      </c>
      <c r="F22" s="1244">
        <f t="shared" si="0"/>
        <v>1</v>
      </c>
    </row>
    <row r="23" spans="1:6" s="1" customFormat="1" ht="12" customHeight="1" x14ac:dyDescent="0.25">
      <c r="A23" s="16" t="s">
        <v>42</v>
      </c>
      <c r="B23" s="9" t="s">
        <v>149</v>
      </c>
      <c r="C23" s="578">
        <f>'1.2.sz.mell. _köt'!C23+'1.3.sz.mell._önk'!C23+'1.4.sz.mell._állig'!E23</f>
        <v>0</v>
      </c>
      <c r="D23" s="594">
        <f>'1.2.sz.mell. _köt'!D23+'1.3.sz.mell._önk'!D23+'1.4.sz.mell._állig'!F23</f>
        <v>0</v>
      </c>
      <c r="E23" s="594">
        <f>'1.2.sz.mell. _köt'!E23+'1.3.sz.mell._önk'!E23+'1.4.sz.mell._állig'!G23</f>
        <v>0</v>
      </c>
      <c r="F23" s="1244"/>
    </row>
    <row r="24" spans="1:6" s="1" customFormat="1" ht="12" customHeight="1" x14ac:dyDescent="0.25">
      <c r="A24" s="16" t="s">
        <v>43</v>
      </c>
      <c r="B24" s="9" t="s">
        <v>46</v>
      </c>
      <c r="C24" s="578">
        <f>'1.2.sz.mell. _köt'!C24+'1.3.sz.mell._önk'!C24+'1.4.sz.mell._állig'!E24</f>
        <v>0</v>
      </c>
      <c r="D24" s="594">
        <f>'1.2.sz.mell. _köt'!D24+'1.3.sz.mell._önk'!D24+'1.4.sz.mell._állig'!F24</f>
        <v>18032</v>
      </c>
      <c r="E24" s="594">
        <f>'1.2.sz.mell. _köt'!E24+'1.3.sz.mell._önk'!E24+'1.4.sz.mell._állig'!G24</f>
        <v>18032</v>
      </c>
      <c r="F24" s="1244">
        <f t="shared" si="0"/>
        <v>1</v>
      </c>
    </row>
    <row r="25" spans="1:6" s="1" customFormat="1" ht="12" customHeight="1" x14ac:dyDescent="0.25">
      <c r="A25" s="19" t="s">
        <v>144</v>
      </c>
      <c r="B25" s="9" t="s">
        <v>150</v>
      </c>
      <c r="C25" s="578">
        <f>'1.2.sz.mell. _köt'!C25+'1.3.sz.mell._önk'!C25+'1.4.sz.mell._állig'!E25</f>
        <v>0</v>
      </c>
      <c r="D25" s="594">
        <f>'1.2.sz.mell. _köt'!D25+'1.3.sz.mell._önk'!D25+'1.4.sz.mell._állig'!F25</f>
        <v>0</v>
      </c>
      <c r="E25" s="594">
        <f>'1.2.sz.mell. _köt'!E25+'1.3.sz.mell._önk'!E25+'1.4.sz.mell._állig'!G25</f>
        <v>0</v>
      </c>
      <c r="F25" s="1244"/>
    </row>
    <row r="26" spans="1:6" s="1" customFormat="1" ht="12" customHeight="1" x14ac:dyDescent="0.25">
      <c r="A26" s="19" t="s">
        <v>145</v>
      </c>
      <c r="B26" s="9" t="s">
        <v>151</v>
      </c>
      <c r="C26" s="578">
        <f>'1.2.sz.mell. _köt'!C26+'1.3.sz.mell._önk'!C26+'1.4.sz.mell._állig'!E26</f>
        <v>0</v>
      </c>
      <c r="D26" s="594">
        <f>'1.2.sz.mell. _köt'!D26+'1.3.sz.mell._önk'!D26+'1.4.sz.mell._állig'!F26</f>
        <v>0</v>
      </c>
      <c r="E26" s="594">
        <f>'1.2.sz.mell. _köt'!E26+'1.3.sz.mell._önk'!E26+'1.4.sz.mell._állig'!G26</f>
        <v>0</v>
      </c>
      <c r="F26" s="1244"/>
    </row>
    <row r="27" spans="1:6" s="1" customFormat="1" ht="12" customHeight="1" x14ac:dyDescent="0.25">
      <c r="A27" s="16" t="s">
        <v>146</v>
      </c>
      <c r="B27" s="9" t="s">
        <v>152</v>
      </c>
      <c r="C27" s="578">
        <f>'1.2.sz.mell. _köt'!C27+'1.3.sz.mell._önk'!C27+'1.4.sz.mell._állig'!E27</f>
        <v>0</v>
      </c>
      <c r="D27" s="594">
        <f>'1.2.sz.mell. _köt'!D27+'1.3.sz.mell._önk'!D27+'1.4.sz.mell._állig'!F27</f>
        <v>0</v>
      </c>
      <c r="E27" s="594">
        <f>'1.2.sz.mell. _köt'!E27+'1.3.sz.mell._önk'!E27+'1.4.sz.mell._állig'!G27</f>
        <v>0</v>
      </c>
      <c r="F27" s="1244"/>
    </row>
    <row r="28" spans="1:6" s="1" customFormat="1" ht="12" customHeight="1" x14ac:dyDescent="0.25">
      <c r="A28" s="16" t="s">
        <v>147</v>
      </c>
      <c r="B28" s="9" t="s">
        <v>241</v>
      </c>
      <c r="C28" s="578">
        <f>'1.2.sz.mell. _köt'!C28+'1.3.sz.mell._önk'!C28+'1.4.sz.mell._állig'!E28</f>
        <v>0</v>
      </c>
      <c r="D28" s="594">
        <f>'1.2.sz.mell. _köt'!D28+'1.3.sz.mell._önk'!D28+'1.4.sz.mell._állig'!F28</f>
        <v>5801</v>
      </c>
      <c r="E28" s="594">
        <f>'1.2.sz.mell. _köt'!E28+'1.3.sz.mell._önk'!E28+'1.4.sz.mell._állig'!G28</f>
        <v>5801</v>
      </c>
      <c r="F28" s="1244">
        <f t="shared" si="0"/>
        <v>1</v>
      </c>
    </row>
    <row r="29" spans="1:6" s="1" customFormat="1" ht="12" customHeight="1" thickBot="1" x14ac:dyDescent="0.3">
      <c r="A29" s="16" t="s">
        <v>148</v>
      </c>
      <c r="B29" s="14" t="s">
        <v>153</v>
      </c>
      <c r="C29" s="578">
        <f>'1.2.sz.mell. _köt'!C29+'1.3.sz.mell._önk'!C29+'1.4.sz.mell._állig'!E29</f>
        <v>0</v>
      </c>
      <c r="D29" s="594">
        <f>'1.2.sz.mell. _köt'!D29+'1.3.sz.mell._önk'!D29+'1.4.sz.mell._állig'!F29</f>
        <v>134</v>
      </c>
      <c r="E29" s="594">
        <f>'1.2.sz.mell. _köt'!E29+'1.3.sz.mell._önk'!E29+'1.4.sz.mell._állig'!G29</f>
        <v>134</v>
      </c>
      <c r="F29" s="1244">
        <f t="shared" si="0"/>
        <v>1</v>
      </c>
    </row>
    <row r="30" spans="1:6" s="1" customFormat="1" ht="12" customHeight="1" thickBot="1" x14ac:dyDescent="0.3">
      <c r="A30" s="301" t="s">
        <v>890</v>
      </c>
      <c r="B30" s="24" t="s">
        <v>375</v>
      </c>
      <c r="C30" s="575">
        <f>+C31+C37</f>
        <v>22228</v>
      </c>
      <c r="D30" s="580">
        <f>+D31+D37</f>
        <v>37260</v>
      </c>
      <c r="E30" s="580">
        <f>+E31+E37</f>
        <v>35770</v>
      </c>
      <c r="F30" s="1208">
        <f t="shared" si="0"/>
        <v>0.96001073537305426</v>
      </c>
    </row>
    <row r="31" spans="1:6" s="1" customFormat="1" ht="12" customHeight="1" x14ac:dyDescent="0.25">
      <c r="A31" s="302" t="s">
        <v>44</v>
      </c>
      <c r="B31" s="403" t="s">
        <v>376</v>
      </c>
      <c r="C31" s="581">
        <f>+C32+C33+C34+C35+C36</f>
        <v>8228</v>
      </c>
      <c r="D31" s="589">
        <f>+D32+D33+D34+D35+D36</f>
        <v>23260</v>
      </c>
      <c r="E31" s="589">
        <f>+E32+E33+E34+E35+E36</f>
        <v>22079</v>
      </c>
      <c r="F31" s="1263">
        <f t="shared" si="0"/>
        <v>0.94922613929492694</v>
      </c>
    </row>
    <row r="32" spans="1:6" s="1" customFormat="1" ht="12" customHeight="1" x14ac:dyDescent="0.25">
      <c r="A32" s="303" t="s">
        <v>47</v>
      </c>
      <c r="B32" s="309" t="s">
        <v>242</v>
      </c>
      <c r="C32" s="578">
        <f>'1.2.sz.mell. _köt'!C32+'1.3.sz.mell._önk'!C32+'1.4.sz.mell._állig'!E32</f>
        <v>5604</v>
      </c>
      <c r="D32" s="594">
        <f>'1.2.sz.mell. _köt'!D32+'1.3.sz.mell._önk'!D32+'1.4.sz.mell._állig'!F32</f>
        <v>5604</v>
      </c>
      <c r="E32" s="594">
        <f>'1.2.sz.mell. _köt'!E32+'1.3.sz.mell._önk'!E32+'1.4.sz.mell._állig'!G32</f>
        <v>5603</v>
      </c>
      <c r="F32" s="1244">
        <f t="shared" si="0"/>
        <v>0.9998215560314061</v>
      </c>
    </row>
    <row r="33" spans="1:6" s="1" customFormat="1" ht="12" customHeight="1" x14ac:dyDescent="0.25">
      <c r="A33" s="303" t="s">
        <v>48</v>
      </c>
      <c r="B33" s="309" t="s">
        <v>243</v>
      </c>
      <c r="C33" s="578">
        <f>'1.2.sz.mell. _köt'!C33+'1.3.sz.mell._önk'!C33+'1.4.sz.mell._állig'!E33</f>
        <v>0</v>
      </c>
      <c r="D33" s="594">
        <f>'1.2.sz.mell. _köt'!D33+'1.3.sz.mell._önk'!D33+'1.4.sz.mell._állig'!F33</f>
        <v>0</v>
      </c>
      <c r="E33" s="594">
        <f>'1.2.sz.mell. _köt'!E33+'1.3.sz.mell._önk'!E33+'1.4.sz.mell._állig'!G33</f>
        <v>0</v>
      </c>
      <c r="F33" s="1244"/>
    </row>
    <row r="34" spans="1:6" s="1" customFormat="1" ht="12" customHeight="1" x14ac:dyDescent="0.25">
      <c r="A34" s="303" t="s">
        <v>49</v>
      </c>
      <c r="B34" s="309" t="s">
        <v>244</v>
      </c>
      <c r="C34" s="578">
        <f>'1.2.sz.mell. _köt'!C34+'1.3.sz.mell._önk'!C34+'1.4.sz.mell._állig'!E34</f>
        <v>0</v>
      </c>
      <c r="D34" s="594">
        <f>'1.2.sz.mell. _köt'!D34+'1.3.sz.mell._önk'!D34+'1.4.sz.mell._állig'!F34</f>
        <v>0</v>
      </c>
      <c r="E34" s="594">
        <f>'1.2.sz.mell. _köt'!E34+'1.3.sz.mell._önk'!E34+'1.4.sz.mell._állig'!G34</f>
        <v>0</v>
      </c>
      <c r="F34" s="1244"/>
    </row>
    <row r="35" spans="1:6" s="1" customFormat="1" ht="12" customHeight="1" x14ac:dyDescent="0.25">
      <c r="A35" s="303" t="s">
        <v>50</v>
      </c>
      <c r="B35" s="309" t="s">
        <v>245</v>
      </c>
      <c r="C35" s="578">
        <f>'1.2.sz.mell. _köt'!C35+'1.3.sz.mell._önk'!C35+'1.4.sz.mell._állig'!E35</f>
        <v>0</v>
      </c>
      <c r="D35" s="594">
        <f>'1.2.sz.mell. _köt'!D35+'1.3.sz.mell._önk'!D35+'1.4.sz.mell._állig'!F35</f>
        <v>0</v>
      </c>
      <c r="E35" s="594">
        <f>'1.2.sz.mell. _köt'!E35+'1.3.sz.mell._önk'!E35+'1.4.sz.mell._állig'!G35</f>
        <v>0</v>
      </c>
      <c r="F35" s="1244"/>
    </row>
    <row r="36" spans="1:6" s="1" customFormat="1" ht="12" customHeight="1" x14ac:dyDescent="0.25">
      <c r="A36" s="303" t="s">
        <v>154</v>
      </c>
      <c r="B36" s="309" t="s">
        <v>377</v>
      </c>
      <c r="C36" s="578">
        <f>'1.2.sz.mell. _köt'!C36+'1.3.sz.mell._önk'!C36+'1.4.sz.mell._állig'!E36</f>
        <v>2624</v>
      </c>
      <c r="D36" s="594">
        <f>'1.2.sz.mell. _köt'!D36+'1.3.sz.mell._önk'!D36+'1.4.sz.mell._állig'!F36</f>
        <v>17656</v>
      </c>
      <c r="E36" s="594">
        <f>'1.2.sz.mell. _köt'!E36+'1.3.sz.mell._önk'!E36+'1.4.sz.mell._állig'!G36</f>
        <v>16476</v>
      </c>
      <c r="F36" s="1244">
        <f t="shared" si="0"/>
        <v>0.93316719528772085</v>
      </c>
    </row>
    <row r="37" spans="1:6" s="1" customFormat="1" ht="12" customHeight="1" x14ac:dyDescent="0.25">
      <c r="A37" s="303" t="s">
        <v>45</v>
      </c>
      <c r="B37" s="310" t="s">
        <v>378</v>
      </c>
      <c r="C37" s="583">
        <f>+C38+C39+C40+C41+C42</f>
        <v>14000</v>
      </c>
      <c r="D37" s="590">
        <f>+D38+D39+D40+D41+D42</f>
        <v>14000</v>
      </c>
      <c r="E37" s="590">
        <f>+E38+E39+E40+E41+E42</f>
        <v>13691</v>
      </c>
      <c r="F37" s="1264">
        <f t="shared" si="0"/>
        <v>0.97792857142857148</v>
      </c>
    </row>
    <row r="38" spans="1:6" s="1" customFormat="1" ht="12" customHeight="1" x14ac:dyDescent="0.25">
      <c r="A38" s="303" t="s">
        <v>53</v>
      </c>
      <c r="B38" s="309" t="s">
        <v>242</v>
      </c>
      <c r="C38" s="578">
        <f>'1.2.sz.mell. _köt'!C38+'1.3.sz.mell._önk'!C38+'1.4.sz.mell._állig'!E38</f>
        <v>0</v>
      </c>
      <c r="D38" s="594">
        <f>'1.2.sz.mell. _köt'!D38+'1.3.sz.mell._önk'!D38+'1.4.sz.mell._állig'!F38</f>
        <v>0</v>
      </c>
      <c r="E38" s="594">
        <f>'1.2.sz.mell. _köt'!E38+'1.3.sz.mell._önk'!E38+'1.4.sz.mell._állig'!G38</f>
        <v>0</v>
      </c>
      <c r="F38" s="1244"/>
    </row>
    <row r="39" spans="1:6" s="1" customFormat="1" ht="12" customHeight="1" x14ac:dyDescent="0.25">
      <c r="A39" s="303" t="s">
        <v>54</v>
      </c>
      <c r="B39" s="309" t="s">
        <v>243</v>
      </c>
      <c r="C39" s="578">
        <f>'1.2.sz.mell. _köt'!C39+'1.3.sz.mell._önk'!C39+'1.4.sz.mell._állig'!E39</f>
        <v>0</v>
      </c>
      <c r="D39" s="594">
        <f>'1.2.sz.mell. _köt'!D39+'1.3.sz.mell._önk'!D39+'1.4.sz.mell._állig'!F39</f>
        <v>0</v>
      </c>
      <c r="E39" s="594">
        <f>'1.2.sz.mell. _köt'!E39+'1.3.sz.mell._önk'!E39+'1.4.sz.mell._állig'!G39</f>
        <v>0</v>
      </c>
      <c r="F39" s="1244"/>
    </row>
    <row r="40" spans="1:6" s="1" customFormat="1" ht="12" customHeight="1" x14ac:dyDescent="0.25">
      <c r="A40" s="303" t="s">
        <v>55</v>
      </c>
      <c r="B40" s="309" t="s">
        <v>244</v>
      </c>
      <c r="C40" s="578">
        <f>'1.2.sz.mell. _köt'!C40+'1.3.sz.mell._önk'!C40+'1.4.sz.mell._állig'!E40</f>
        <v>14000</v>
      </c>
      <c r="D40" s="594">
        <f>'1.2.sz.mell. _köt'!D40+'1.3.sz.mell._önk'!D40+'1.4.sz.mell._állig'!F40</f>
        <v>14000</v>
      </c>
      <c r="E40" s="594">
        <f>'1.2.sz.mell. _köt'!E40+'1.3.sz.mell._önk'!E40+'1.4.sz.mell._állig'!G40</f>
        <v>13691</v>
      </c>
      <c r="F40" s="1244">
        <f t="shared" si="0"/>
        <v>0.97792857142857148</v>
      </c>
    </row>
    <row r="41" spans="1:6" s="1" customFormat="1" ht="12" customHeight="1" x14ac:dyDescent="0.25">
      <c r="A41" s="303" t="s">
        <v>56</v>
      </c>
      <c r="B41" s="311" t="s">
        <v>245</v>
      </c>
      <c r="C41" s="578">
        <f>'1.2.sz.mell. _köt'!C41+'1.3.sz.mell._önk'!C41+'1.4.sz.mell._állig'!E41</f>
        <v>0</v>
      </c>
      <c r="D41" s="594">
        <f>'1.2.sz.mell. _köt'!D41+'1.3.sz.mell._önk'!D41+'1.4.sz.mell._állig'!F41</f>
        <v>0</v>
      </c>
      <c r="E41" s="594">
        <f>'1.2.sz.mell. _köt'!E41+'1.3.sz.mell._önk'!E41+'1.4.sz.mell._állig'!G41</f>
        <v>0</v>
      </c>
      <c r="F41" s="1244"/>
    </row>
    <row r="42" spans="1:6" s="1" customFormat="1" ht="12" customHeight="1" thickBot="1" x14ac:dyDescent="0.3">
      <c r="A42" s="304" t="s">
        <v>155</v>
      </c>
      <c r="B42" s="312" t="s">
        <v>379</v>
      </c>
      <c r="C42" s="578">
        <f>'1.2.sz.mell. _köt'!C42+'1.3.sz.mell._önk'!C42+'1.4.sz.mell._állig'!E42</f>
        <v>0</v>
      </c>
      <c r="D42" s="594">
        <f>'1.2.sz.mell. _köt'!D42+'1.3.sz.mell._önk'!D42+'1.4.sz.mell._állig'!F42</f>
        <v>0</v>
      </c>
      <c r="E42" s="594">
        <f>'1.2.sz.mell. _köt'!E42+'1.3.sz.mell._önk'!E42+'1.4.sz.mell._állig'!G42</f>
        <v>0</v>
      </c>
      <c r="F42" s="1244"/>
    </row>
    <row r="43" spans="1:6" s="1" customFormat="1" ht="12" customHeight="1" thickBot="1" x14ac:dyDescent="0.3">
      <c r="A43" s="23" t="s">
        <v>156</v>
      </c>
      <c r="B43" s="404" t="s">
        <v>246</v>
      </c>
      <c r="C43" s="575">
        <f>+C44+C45</f>
        <v>1500</v>
      </c>
      <c r="D43" s="580">
        <f>+D44+D45</f>
        <v>1500</v>
      </c>
      <c r="E43" s="580">
        <f>+E44+E45</f>
        <v>2289</v>
      </c>
      <c r="F43" s="1208">
        <f t="shared" si="0"/>
        <v>1.526</v>
      </c>
    </row>
    <row r="44" spans="1:6" s="1" customFormat="1" ht="12" customHeight="1" x14ac:dyDescent="0.25">
      <c r="A44" s="18" t="s">
        <v>51</v>
      </c>
      <c r="B44" s="322" t="s">
        <v>247</v>
      </c>
      <c r="C44" s="578"/>
      <c r="D44" s="594"/>
      <c r="E44" s="594"/>
      <c r="F44" s="1244"/>
    </row>
    <row r="45" spans="1:6" s="1" customFormat="1" ht="12" customHeight="1" thickBot="1" x14ac:dyDescent="0.3">
      <c r="A45" s="15" t="s">
        <v>52</v>
      </c>
      <c r="B45" s="317" t="s">
        <v>251</v>
      </c>
      <c r="C45" s="578">
        <f>'8. sz. mell'!D48</f>
        <v>1500</v>
      </c>
      <c r="D45" s="594">
        <f>'8. sz. mell'!E48</f>
        <v>1500</v>
      </c>
      <c r="E45" s="594">
        <f>'8. sz. mell'!F48</f>
        <v>2289</v>
      </c>
      <c r="F45" s="1244">
        <f t="shared" si="0"/>
        <v>1.526</v>
      </c>
    </row>
    <row r="46" spans="1:6" s="1" customFormat="1" ht="12" customHeight="1" thickBot="1" x14ac:dyDescent="0.3">
      <c r="A46" s="23" t="s">
        <v>892</v>
      </c>
      <c r="B46" s="404" t="s">
        <v>250</v>
      </c>
      <c r="C46" s="575">
        <f>+C47+C48+C49</f>
        <v>414</v>
      </c>
      <c r="D46" s="580">
        <f>+D47+D48+D49</f>
        <v>414</v>
      </c>
      <c r="E46" s="580">
        <f>+E47+E48+E49</f>
        <v>484</v>
      </c>
      <c r="F46" s="1208">
        <f t="shared" si="0"/>
        <v>1.1690821256038648</v>
      </c>
    </row>
    <row r="47" spans="1:6" s="1" customFormat="1" ht="12" customHeight="1" x14ac:dyDescent="0.25">
      <c r="A47" s="18" t="s">
        <v>159</v>
      </c>
      <c r="B47" s="322" t="s">
        <v>157</v>
      </c>
      <c r="C47" s="578">
        <f>'8. sz. mell'!D50</f>
        <v>414</v>
      </c>
      <c r="D47" s="594">
        <f>'8. sz. mell'!E50</f>
        <v>414</v>
      </c>
      <c r="E47" s="594">
        <f>'8. sz. mell'!F50</f>
        <v>484</v>
      </c>
      <c r="F47" s="1244">
        <f t="shared" si="0"/>
        <v>1.1690821256038648</v>
      </c>
    </row>
    <row r="48" spans="1:6" s="1" customFormat="1" ht="12" customHeight="1" x14ac:dyDescent="0.25">
      <c r="A48" s="16" t="s">
        <v>160</v>
      </c>
      <c r="B48" s="309" t="s">
        <v>943</v>
      </c>
      <c r="C48" s="578">
        <f>'1.2.sz.mell. _köt'!C48+'1.3.sz.mell._önk'!C48+'1.4.sz.mell._állig'!E48</f>
        <v>0</v>
      </c>
      <c r="D48" s="594">
        <f>'1.2.sz.mell. _köt'!D48+'1.3.sz.mell._önk'!D48+'1.4.sz.mell._állig'!F48</f>
        <v>0</v>
      </c>
      <c r="E48" s="594">
        <f>'1.2.sz.mell. _köt'!E48+'1.3.sz.mell._önk'!E48+'1.4.sz.mell._állig'!G48</f>
        <v>0</v>
      </c>
      <c r="F48" s="1244"/>
    </row>
    <row r="49" spans="1:6" s="1" customFormat="1" ht="12" customHeight="1" thickBot="1" x14ac:dyDescent="0.3">
      <c r="A49" s="15" t="s">
        <v>308</v>
      </c>
      <c r="B49" s="317" t="s">
        <v>248</v>
      </c>
      <c r="C49" s="578"/>
      <c r="D49" s="594"/>
      <c r="E49" s="594"/>
      <c r="F49" s="1244"/>
    </row>
    <row r="50" spans="1:6" s="1" customFormat="1" ht="17.25" customHeight="1" thickBot="1" x14ac:dyDescent="0.3">
      <c r="A50" s="23" t="s">
        <v>161</v>
      </c>
      <c r="B50" s="405" t="s">
        <v>249</v>
      </c>
      <c r="C50" s="1096"/>
      <c r="D50" s="1138"/>
      <c r="E50" s="1138"/>
      <c r="F50" s="1283"/>
    </row>
    <row r="51" spans="1:6" s="1" customFormat="1" ht="12" customHeight="1" thickBot="1" x14ac:dyDescent="0.3">
      <c r="A51" s="23" t="s">
        <v>894</v>
      </c>
      <c r="B51" s="26" t="s">
        <v>162</v>
      </c>
      <c r="C51" s="1074">
        <f>+C6+C11+C20+C21+C30+C43+C46+C50</f>
        <v>375304</v>
      </c>
      <c r="D51" s="585">
        <f>+D6+D11+D20+D21+D30+D43+D46+D50</f>
        <v>439615</v>
      </c>
      <c r="E51" s="585">
        <f>+E6+E11+E20+E21+E30+E43+E46+E50</f>
        <v>439087</v>
      </c>
      <c r="F51" s="1269">
        <f t="shared" si="0"/>
        <v>0.99879894908044542</v>
      </c>
    </row>
    <row r="52" spans="1:6" s="1" customFormat="1" ht="12" customHeight="1" thickBot="1" x14ac:dyDescent="0.3">
      <c r="A52" s="313" t="s">
        <v>895</v>
      </c>
      <c r="B52" s="308" t="s">
        <v>252</v>
      </c>
      <c r="C52" s="820">
        <f>C53+C59</f>
        <v>39200</v>
      </c>
      <c r="D52" s="587">
        <f>D53+D59</f>
        <v>206137</v>
      </c>
      <c r="E52" s="587">
        <f>E53+E59</f>
        <v>206137</v>
      </c>
      <c r="F52" s="1260">
        <f t="shared" si="0"/>
        <v>1</v>
      </c>
    </row>
    <row r="53" spans="1:6" s="1" customFormat="1" ht="12" customHeight="1" x14ac:dyDescent="0.25">
      <c r="A53" s="406" t="s">
        <v>92</v>
      </c>
      <c r="B53" s="403" t="s">
        <v>337</v>
      </c>
      <c r="C53" s="581">
        <f>C54+C59</f>
        <v>39200</v>
      </c>
      <c r="D53" s="589">
        <f>D54+D59</f>
        <v>206137</v>
      </c>
      <c r="E53" s="589">
        <f>E54+E59</f>
        <v>206137</v>
      </c>
      <c r="F53" s="1263">
        <f t="shared" si="0"/>
        <v>1</v>
      </c>
    </row>
    <row r="54" spans="1:6" s="1" customFormat="1" ht="12" customHeight="1" x14ac:dyDescent="0.25">
      <c r="A54" s="314" t="s">
        <v>268</v>
      </c>
      <c r="B54" s="309" t="s">
        <v>254</v>
      </c>
      <c r="C54" s="578">
        <f>'8. sz. mell'!D56</f>
        <v>39200</v>
      </c>
      <c r="D54" s="594">
        <f>'1.2.sz.mell. _köt'!D54</f>
        <v>206137</v>
      </c>
      <c r="E54" s="594">
        <f>'1.2.sz.mell. _köt'!E54</f>
        <v>206137</v>
      </c>
      <c r="F54" s="1244">
        <f t="shared" si="0"/>
        <v>1</v>
      </c>
    </row>
    <row r="55" spans="1:6" s="1" customFormat="1" ht="12" customHeight="1" x14ac:dyDescent="0.25">
      <c r="A55" s="314" t="s">
        <v>269</v>
      </c>
      <c r="B55" s="309" t="s">
        <v>255</v>
      </c>
      <c r="C55" s="578"/>
      <c r="D55" s="594"/>
      <c r="E55" s="594"/>
      <c r="F55" s="1244"/>
    </row>
    <row r="56" spans="1:6" s="1" customFormat="1" ht="12" customHeight="1" x14ac:dyDescent="0.25">
      <c r="A56" s="314" t="s">
        <v>270</v>
      </c>
      <c r="B56" s="309" t="s">
        <v>256</v>
      </c>
      <c r="C56" s="578"/>
      <c r="D56" s="594"/>
      <c r="E56" s="594"/>
      <c r="F56" s="1244"/>
    </row>
    <row r="57" spans="1:6" s="1" customFormat="1" ht="12" customHeight="1" x14ac:dyDescent="0.25">
      <c r="A57" s="314" t="s">
        <v>271</v>
      </c>
      <c r="B57" s="309" t="s">
        <v>257</v>
      </c>
      <c r="C57" s="578"/>
      <c r="D57" s="594"/>
      <c r="E57" s="594"/>
      <c r="F57" s="1244"/>
    </row>
    <row r="58" spans="1:6" s="1" customFormat="1" ht="12" customHeight="1" x14ac:dyDescent="0.25">
      <c r="A58" s="314" t="s">
        <v>272</v>
      </c>
      <c r="B58" s="309" t="s">
        <v>258</v>
      </c>
      <c r="C58" s="578"/>
      <c r="D58" s="594"/>
      <c r="E58" s="594"/>
      <c r="F58" s="1244"/>
    </row>
    <row r="59" spans="1:6" s="1" customFormat="1" ht="12" customHeight="1" x14ac:dyDescent="0.25">
      <c r="A59" s="315" t="s">
        <v>93</v>
      </c>
      <c r="B59" s="310" t="s">
        <v>336</v>
      </c>
      <c r="C59" s="583"/>
      <c r="D59" s="590"/>
      <c r="E59" s="590"/>
      <c r="F59" s="1264"/>
    </row>
    <row r="60" spans="1:6" s="1" customFormat="1" ht="12" customHeight="1" x14ac:dyDescent="0.25">
      <c r="A60" s="314" t="s">
        <v>273</v>
      </c>
      <c r="B60" s="309" t="s">
        <v>260</v>
      </c>
      <c r="C60" s="578"/>
      <c r="D60" s="594"/>
      <c r="E60" s="594"/>
      <c r="F60" s="1244"/>
    </row>
    <row r="61" spans="1:6" s="1" customFormat="1" ht="12" customHeight="1" x14ac:dyDescent="0.25">
      <c r="A61" s="314" t="s">
        <v>274</v>
      </c>
      <c r="B61" s="309" t="s">
        <v>261</v>
      </c>
      <c r="C61" s="578"/>
      <c r="D61" s="594"/>
      <c r="E61" s="594"/>
      <c r="F61" s="1244"/>
    </row>
    <row r="62" spans="1:6" s="1" customFormat="1" ht="12" customHeight="1" x14ac:dyDescent="0.25">
      <c r="A62" s="314" t="s">
        <v>275</v>
      </c>
      <c r="B62" s="309" t="s">
        <v>262</v>
      </c>
      <c r="C62" s="578"/>
      <c r="D62" s="594"/>
      <c r="E62" s="594"/>
      <c r="F62" s="1244"/>
    </row>
    <row r="63" spans="1:6" s="1" customFormat="1" ht="12" customHeight="1" x14ac:dyDescent="0.25">
      <c r="A63" s="314" t="s">
        <v>276</v>
      </c>
      <c r="B63" s="309" t="s">
        <v>263</v>
      </c>
      <c r="C63" s="578"/>
      <c r="D63" s="594"/>
      <c r="E63" s="594"/>
      <c r="F63" s="1244"/>
    </row>
    <row r="64" spans="1:6" s="1" customFormat="1" ht="12" customHeight="1" thickBot="1" x14ac:dyDescent="0.3">
      <c r="A64" s="316" t="s">
        <v>277</v>
      </c>
      <c r="B64" s="317" t="s">
        <v>264</v>
      </c>
      <c r="C64" s="578"/>
      <c r="D64" s="594"/>
      <c r="E64" s="594"/>
      <c r="F64" s="1244"/>
    </row>
    <row r="65" spans="1:6" s="1" customFormat="1" ht="12" customHeight="1" thickBot="1" x14ac:dyDescent="0.3">
      <c r="A65" s="318" t="s">
        <v>896</v>
      </c>
      <c r="B65" s="407" t="s">
        <v>334</v>
      </c>
      <c r="C65" s="820">
        <f>+C51+C52</f>
        <v>414504</v>
      </c>
      <c r="D65" s="587">
        <f>+D51+D52</f>
        <v>645752</v>
      </c>
      <c r="E65" s="587">
        <f>+E51+E52</f>
        <v>645224</v>
      </c>
      <c r="F65" s="1260">
        <f t="shared" si="0"/>
        <v>0.99918234864158373</v>
      </c>
    </row>
    <row r="66" spans="1:6" s="1" customFormat="1" ht="13.5" customHeight="1" thickBot="1" x14ac:dyDescent="0.3">
      <c r="A66" s="319" t="s">
        <v>897</v>
      </c>
      <c r="B66" s="408" t="s">
        <v>266</v>
      </c>
      <c r="C66" s="578"/>
      <c r="D66" s="594"/>
      <c r="E66" s="594">
        <f>'8. sz. mell'!F58</f>
        <v>8003</v>
      </c>
      <c r="F66" s="1244">
        <v>0</v>
      </c>
    </row>
    <row r="67" spans="1:6" s="1" customFormat="1" ht="12" customHeight="1" thickBot="1" x14ac:dyDescent="0.3">
      <c r="A67" s="318" t="s">
        <v>898</v>
      </c>
      <c r="B67" s="407" t="s">
        <v>335</v>
      </c>
      <c r="C67" s="820">
        <f>+C65+C66</f>
        <v>414504</v>
      </c>
      <c r="D67" s="587">
        <f>+D65+D66</f>
        <v>645752</v>
      </c>
      <c r="E67" s="587">
        <f>+E65+E66</f>
        <v>653227</v>
      </c>
      <c r="F67" s="1260">
        <f t="shared" si="0"/>
        <v>1.0115756513336389</v>
      </c>
    </row>
    <row r="68" spans="1:6" s="1" customFormat="1" ht="83.25" customHeight="1" x14ac:dyDescent="0.25">
      <c r="A68" s="6"/>
      <c r="B68" s="7"/>
      <c r="C68" s="591"/>
    </row>
    <row r="69" spans="1:6" ht="16.5" customHeight="1" x14ac:dyDescent="0.3">
      <c r="A69" s="1349" t="s">
        <v>914</v>
      </c>
      <c r="B69" s="1349"/>
      <c r="C69" s="1349"/>
      <c r="D69" s="1349"/>
      <c r="E69" s="1349"/>
      <c r="F69" s="1349"/>
    </row>
    <row r="70" spans="1:6" s="331" customFormat="1" ht="16.5" customHeight="1" thickBot="1" x14ac:dyDescent="0.35">
      <c r="A70" s="1348" t="s">
        <v>100</v>
      </c>
      <c r="B70" s="1348"/>
      <c r="F70" s="140" t="s">
        <v>299</v>
      </c>
    </row>
    <row r="71" spans="1:6" ht="38.1" customHeight="1" thickBot="1" x14ac:dyDescent="0.35">
      <c r="A71" s="27" t="s">
        <v>883</v>
      </c>
      <c r="B71" s="28" t="s">
        <v>915</v>
      </c>
      <c r="C71" s="539" t="s">
        <v>1170</v>
      </c>
      <c r="D71" s="1136" t="s">
        <v>1171</v>
      </c>
      <c r="E71" s="1135" t="s">
        <v>1218</v>
      </c>
      <c r="F71" s="197" t="s">
        <v>1219</v>
      </c>
    </row>
    <row r="72" spans="1:6" s="43" customFormat="1" ht="12" customHeight="1" thickBot="1" x14ac:dyDescent="0.25">
      <c r="A72" s="37">
        <v>1</v>
      </c>
      <c r="B72" s="38">
        <v>2</v>
      </c>
      <c r="C72" s="38">
        <v>3</v>
      </c>
      <c r="D72" s="38">
        <v>4</v>
      </c>
      <c r="E72" s="38">
        <v>5</v>
      </c>
      <c r="F72" s="38">
        <v>6</v>
      </c>
    </row>
    <row r="73" spans="1:6" ht="12" customHeight="1" thickBot="1" x14ac:dyDescent="0.35">
      <c r="A73" s="25" t="s">
        <v>885</v>
      </c>
      <c r="B73" s="35" t="s">
        <v>163</v>
      </c>
      <c r="C73" s="814">
        <f>+C74+C75+C76+C77+C78</f>
        <v>353902</v>
      </c>
      <c r="D73" s="573">
        <f>+D74+D75+D76+D77+D78</f>
        <v>359961</v>
      </c>
      <c r="E73" s="573">
        <f>+E74+E75+E76+E77+E78</f>
        <v>313106</v>
      </c>
      <c r="F73" s="1216">
        <f>E73/D73</f>
        <v>0.86983312081031006</v>
      </c>
    </row>
    <row r="74" spans="1:6" ht="12" customHeight="1" x14ac:dyDescent="0.3">
      <c r="A74" s="20" t="s">
        <v>57</v>
      </c>
      <c r="B74" s="12" t="s">
        <v>916</v>
      </c>
      <c r="C74" s="1071">
        <f>'1.2.sz.mell. _köt'!C74+'1.3.sz.mell._önk'!C74+'1.4.sz.mell._állig'!E74</f>
        <v>155321</v>
      </c>
      <c r="D74" s="592">
        <f>'1.2.sz.mell. _köt'!D74+'1.3.sz.mell._önk'!D74+'1.4.sz.mell._állig'!F74</f>
        <v>163595</v>
      </c>
      <c r="E74" s="592">
        <f>'1.2.sz.mell. _köt'!E74+'1.3.sz.mell._önk'!E74+'1.4.sz.mell._állig'!G74</f>
        <v>157106</v>
      </c>
      <c r="F74" s="1256">
        <f t="shared" ref="F74:F122" si="1">E74/D74</f>
        <v>0.96033497356276165</v>
      </c>
    </row>
    <row r="75" spans="1:6" ht="12" customHeight="1" x14ac:dyDescent="0.3">
      <c r="A75" s="16" t="s">
        <v>58</v>
      </c>
      <c r="B75" s="9" t="s">
        <v>164</v>
      </c>
      <c r="C75" s="578">
        <f>'1.2.sz.mell. _köt'!C75+'1.3.sz.mell._önk'!C75+'1.4.sz.mell._állig'!E75</f>
        <v>34243</v>
      </c>
      <c r="D75" s="594">
        <f>'1.2.sz.mell. _köt'!D75+'1.3.sz.mell._önk'!D75+'1.4.sz.mell._állig'!F75</f>
        <v>35801</v>
      </c>
      <c r="E75" s="594">
        <f>'1.2.sz.mell. _köt'!E75+'1.3.sz.mell._önk'!E75+'1.4.sz.mell._állig'!G75</f>
        <v>31972</v>
      </c>
      <c r="F75" s="1244">
        <f t="shared" si="1"/>
        <v>0.89304768023239578</v>
      </c>
    </row>
    <row r="76" spans="1:6" ht="12" customHeight="1" x14ac:dyDescent="0.3">
      <c r="A76" s="16" t="s">
        <v>59</v>
      </c>
      <c r="B76" s="9" t="s">
        <v>88</v>
      </c>
      <c r="C76" s="601">
        <f>'1.2.sz.mell. _köt'!C76+'1.3.sz.mell._önk'!C76+'1.4.sz.mell._állig'!E76</f>
        <v>143031</v>
      </c>
      <c r="D76" s="595">
        <f>'1.2.sz.mell. _köt'!D76+'1.3.sz.mell._önk'!D76+'1.4.sz.mell._állig'!F76</f>
        <v>100826</v>
      </c>
      <c r="E76" s="595">
        <f>'1.2.sz.mell. _köt'!E76+'1.3.sz.mell._önk'!E76+'1.4.sz.mell._állig'!G76</f>
        <v>88182</v>
      </c>
      <c r="F76" s="1257">
        <f t="shared" si="1"/>
        <v>0.87459583837502231</v>
      </c>
    </row>
    <row r="77" spans="1:6" ht="12" customHeight="1" x14ac:dyDescent="0.3">
      <c r="A77" s="16" t="s">
        <v>60</v>
      </c>
      <c r="B77" s="13" t="s">
        <v>165</v>
      </c>
      <c r="C77" s="601">
        <f>'1.2.sz.mell. _köt'!C77+'1.3.sz.mell._önk'!C77+'1.4.sz.mell._állig'!E77</f>
        <v>17587</v>
      </c>
      <c r="D77" s="595">
        <f>'1.2.sz.mell. _köt'!D77+'1.3.sz.mell._önk'!D77+'1.4.sz.mell._állig'!F77</f>
        <v>18693</v>
      </c>
      <c r="E77" s="595">
        <f>'1.2.sz.mell. _köt'!E77+'1.3.sz.mell._önk'!E77+'1.4.sz.mell._állig'!G77</f>
        <v>16450</v>
      </c>
      <c r="F77" s="1257">
        <f t="shared" si="1"/>
        <v>0.88000855935376876</v>
      </c>
    </row>
    <row r="78" spans="1:6" ht="12" customHeight="1" x14ac:dyDescent="0.3">
      <c r="A78" s="16" t="s">
        <v>71</v>
      </c>
      <c r="B78" s="22" t="s">
        <v>166</v>
      </c>
      <c r="C78" s="601">
        <f>'1.2.sz.mell. _köt'!C78+'1.3.sz.mell._önk'!C78+'1.4.sz.mell._állig'!E78</f>
        <v>3720</v>
      </c>
      <c r="D78" s="595">
        <f>'1.2.sz.mell. _köt'!D78+'1.3.sz.mell._önk'!D78+'1.4.sz.mell._állig'!F78</f>
        <v>41046</v>
      </c>
      <c r="E78" s="595">
        <f>'1.2.sz.mell. _köt'!E78+'1.3.sz.mell._önk'!E78+'1.4.sz.mell._állig'!G78</f>
        <v>19396</v>
      </c>
      <c r="F78" s="1257">
        <f t="shared" si="1"/>
        <v>0.47254300053598403</v>
      </c>
    </row>
    <row r="79" spans="1:6" ht="12" customHeight="1" x14ac:dyDescent="0.3">
      <c r="A79" s="16" t="s">
        <v>61</v>
      </c>
      <c r="B79" s="9" t="s">
        <v>188</v>
      </c>
      <c r="C79" s="601">
        <f>'1.2.sz.mell. _köt'!C79+'1.3.sz.mell._önk'!C79+'1.4.sz.mell._állig'!E79</f>
        <v>0</v>
      </c>
      <c r="D79" s="595">
        <f>'1.2.sz.mell. _köt'!D79+'1.3.sz.mell._önk'!D79+'1.4.sz.mell._állig'!F79</f>
        <v>0</v>
      </c>
      <c r="E79" s="595">
        <f>'1.2.sz.mell. _köt'!E79+'1.3.sz.mell._önk'!E79+'1.4.sz.mell._állig'!G79</f>
        <v>0</v>
      </c>
      <c r="F79" s="1257"/>
    </row>
    <row r="80" spans="1:6" ht="12" customHeight="1" x14ac:dyDescent="0.3">
      <c r="A80" s="16" t="s">
        <v>62</v>
      </c>
      <c r="B80" s="143" t="s">
        <v>189</v>
      </c>
      <c r="C80" s="601">
        <f>'1.2.sz.mell. _köt'!C80+'1.3.sz.mell._önk'!C80+'1.4.sz.mell._állig'!E80</f>
        <v>0</v>
      </c>
      <c r="D80" s="595">
        <f>'1.2.sz.mell. _köt'!D80+'1.3.sz.mell._önk'!D80+'1.4.sz.mell._állig'!F80</f>
        <v>0</v>
      </c>
      <c r="E80" s="595">
        <f>'1.2.sz.mell. _köt'!E80+'1.3.sz.mell._önk'!E80+'1.4.sz.mell._állig'!G80</f>
        <v>0</v>
      </c>
      <c r="F80" s="1257"/>
    </row>
    <row r="81" spans="1:6" ht="12" customHeight="1" x14ac:dyDescent="0.3">
      <c r="A81" s="16" t="s">
        <v>72</v>
      </c>
      <c r="B81" s="143" t="s">
        <v>278</v>
      </c>
      <c r="C81" s="601">
        <f>'1.2.sz.mell. _köt'!C81+'1.3.sz.mell._önk'!C81+'1.4.sz.mell._állig'!E81</f>
        <v>500</v>
      </c>
      <c r="D81" s="595">
        <f>'1.2.sz.mell. _köt'!D81+'1.3.sz.mell._önk'!D81+'1.4.sz.mell._állig'!F81</f>
        <v>500</v>
      </c>
      <c r="E81" s="595">
        <f>'1.2.sz.mell. _köt'!E81+'1.3.sz.mell._önk'!E81+'1.4.sz.mell._állig'!G81</f>
        <v>250</v>
      </c>
      <c r="F81" s="1257">
        <f t="shared" si="1"/>
        <v>0.5</v>
      </c>
    </row>
    <row r="82" spans="1:6" ht="12" customHeight="1" x14ac:dyDescent="0.3">
      <c r="A82" s="16" t="s">
        <v>73</v>
      </c>
      <c r="B82" s="144" t="s">
        <v>190</v>
      </c>
      <c r="C82" s="601">
        <f>'1.2.sz.mell. _köt'!C82+'1.3.sz.mell._önk'!C81+'1.3.sz.mell._önk'!C82</f>
        <v>3220</v>
      </c>
      <c r="D82" s="595">
        <f>'1.2.sz.mell. _köt'!D82+'1.3.sz.mell._önk'!D81</f>
        <v>14366</v>
      </c>
      <c r="E82" s="595">
        <f>'1.2.sz.mell. _köt'!E82+'1.3.sz.mell._önk'!E81</f>
        <v>11545</v>
      </c>
      <c r="F82" s="1257">
        <f t="shared" si="1"/>
        <v>0.80363357928442158</v>
      </c>
    </row>
    <row r="83" spans="1:6" ht="12" customHeight="1" x14ac:dyDescent="0.3">
      <c r="A83" s="15" t="s">
        <v>74</v>
      </c>
      <c r="B83" s="145" t="s">
        <v>191</v>
      </c>
      <c r="C83" s="601"/>
      <c r="D83" s="595">
        <f>'1.2.sz.mell. _köt'!D83</f>
        <v>1737</v>
      </c>
      <c r="E83" s="595">
        <f>'1.2.sz.mell. _köt'!E83</f>
        <v>1737</v>
      </c>
      <c r="F83" s="1257">
        <f t="shared" si="1"/>
        <v>1</v>
      </c>
    </row>
    <row r="84" spans="1:6" ht="12" customHeight="1" x14ac:dyDescent="0.3">
      <c r="A84" s="16" t="s">
        <v>75</v>
      </c>
      <c r="B84" s="145" t="s">
        <v>192</v>
      </c>
      <c r="C84" s="601">
        <f>'1.2.sz.mell. _köt'!C84+'1.3.sz.mell._önk'!C84+'1.4.sz.mell._állig'!E84</f>
        <v>0</v>
      </c>
      <c r="D84" s="595">
        <f>'1.2.sz.mell. _köt'!D84+'1.3.sz.mell._önk'!D84+'1.4.sz.mell._állig'!F84</f>
        <v>0</v>
      </c>
      <c r="E84" s="595">
        <f>'1.2.sz.mell. _köt'!E84+'1.3.sz.mell._önk'!E84+'1.4.sz.mell._állig'!G84</f>
        <v>0</v>
      </c>
      <c r="F84" s="1257"/>
    </row>
    <row r="85" spans="1:6" ht="12" customHeight="1" thickBot="1" x14ac:dyDescent="0.35">
      <c r="A85" s="21" t="s">
        <v>77</v>
      </c>
      <c r="B85" s="146" t="s">
        <v>193</v>
      </c>
      <c r="C85" s="1097">
        <f>'1.2.sz.mell. _köt'!C85+'1.3.sz.mell._önk'!C85+'1.4.sz.mell._állig'!E85</f>
        <v>0</v>
      </c>
      <c r="D85" s="597">
        <f>'1.2.sz.mell. _köt'!D85+'1.3.sz.mell._önk'!D85+'1.4.sz.mell._állig'!F85+'8. sz. mell'!E77</f>
        <v>28407</v>
      </c>
      <c r="E85" s="597">
        <f>'1.2.sz.mell. _köt'!E85+'1.3.sz.mell._önk'!E85+'1.4.sz.mell._állig'!G85+'8. sz. mell'!F77</f>
        <v>9928</v>
      </c>
      <c r="F85" s="1284">
        <f t="shared" si="1"/>
        <v>0.34949132256134052</v>
      </c>
    </row>
    <row r="86" spans="1:6" ht="12" customHeight="1" thickBot="1" x14ac:dyDescent="0.35">
      <c r="A86" s="23" t="s">
        <v>886</v>
      </c>
      <c r="B86" s="34" t="s">
        <v>309</v>
      </c>
      <c r="C86" s="575">
        <f>+C87+C88+C89</f>
        <v>41236</v>
      </c>
      <c r="D86" s="580">
        <f>+D87+D88+D89</f>
        <v>187772.17800000001</v>
      </c>
      <c r="E86" s="580">
        <f>+E87+E88+E89</f>
        <v>54774.964</v>
      </c>
      <c r="F86" s="1208">
        <f t="shared" si="1"/>
        <v>0.29170969087869875</v>
      </c>
    </row>
    <row r="87" spans="1:6" ht="12" customHeight="1" x14ac:dyDescent="0.3">
      <c r="A87" s="18" t="s">
        <v>63</v>
      </c>
      <c r="B87" s="9" t="s">
        <v>279</v>
      </c>
      <c r="C87" s="633">
        <f>'1.2.sz.mell. _köt'!C87+'1.3.sz.mell._önk'!C87+'1.4.sz.mell._állig'!E87</f>
        <v>29586</v>
      </c>
      <c r="D87" s="599">
        <f>'1.2.sz.mell. _köt'!D87+'1.3.sz.mell._önk'!D87+'1.4.sz.mell._állig'!F87</f>
        <v>170319.17800000001</v>
      </c>
      <c r="E87" s="599">
        <f>'1.2.sz.mell. _köt'!E87+'1.3.sz.mell._önk'!E87+'1.4.sz.mell._állig'!G87</f>
        <v>47976.906000000003</v>
      </c>
      <c r="F87" s="1245">
        <f t="shared" si="1"/>
        <v>0.28168821951453993</v>
      </c>
    </row>
    <row r="88" spans="1:6" ht="12" customHeight="1" x14ac:dyDescent="0.3">
      <c r="A88" s="18" t="s">
        <v>64</v>
      </c>
      <c r="B88" s="14" t="s">
        <v>168</v>
      </c>
      <c r="C88" s="578">
        <f>'1.2.sz.mell. _köt'!C88+'1.3.sz.mell._önk'!C88+'1.4.sz.mell._állig'!E88</f>
        <v>11650</v>
      </c>
      <c r="D88" s="594">
        <f>'1.2.sz.mell. _köt'!D88+'1.3.sz.mell._önk'!D88+'1.4.sz.mell._állig'!F88</f>
        <v>17453</v>
      </c>
      <c r="E88" s="594">
        <f>'1.2.sz.mell. _köt'!E88+'1.3.sz.mell._önk'!E88+'1.4.sz.mell._állig'!G88</f>
        <v>6798.058</v>
      </c>
      <c r="F88" s="1244">
        <f t="shared" si="1"/>
        <v>0.3895065604767089</v>
      </c>
    </row>
    <row r="89" spans="1:6" ht="12" customHeight="1" x14ac:dyDescent="0.3">
      <c r="A89" s="18" t="s">
        <v>65</v>
      </c>
      <c r="B89" s="309" t="s">
        <v>310</v>
      </c>
      <c r="C89" s="578"/>
      <c r="D89" s="594"/>
      <c r="E89" s="594"/>
      <c r="F89" s="1244"/>
    </row>
    <row r="90" spans="1:6" ht="12" customHeight="1" x14ac:dyDescent="0.3">
      <c r="A90" s="18" t="s">
        <v>66</v>
      </c>
      <c r="B90" s="309" t="s">
        <v>380</v>
      </c>
      <c r="C90" s="578"/>
      <c r="D90" s="594"/>
      <c r="E90" s="594"/>
      <c r="F90" s="1244"/>
    </row>
    <row r="91" spans="1:6" ht="12" customHeight="1" x14ac:dyDescent="0.3">
      <c r="A91" s="18" t="s">
        <v>67</v>
      </c>
      <c r="B91" s="309" t="s">
        <v>311</v>
      </c>
      <c r="C91" s="578"/>
      <c r="D91" s="594"/>
      <c r="E91" s="594"/>
      <c r="F91" s="1244"/>
    </row>
    <row r="92" spans="1:6" x14ac:dyDescent="0.3">
      <c r="A92" s="18" t="s">
        <v>76</v>
      </c>
      <c r="B92" s="309" t="s">
        <v>312</v>
      </c>
      <c r="C92" s="578"/>
      <c r="D92" s="594"/>
      <c r="E92" s="594"/>
      <c r="F92" s="1244"/>
    </row>
    <row r="93" spans="1:6" ht="12" customHeight="1" x14ac:dyDescent="0.3">
      <c r="A93" s="18" t="s">
        <v>78</v>
      </c>
      <c r="B93" s="409" t="s">
        <v>283</v>
      </c>
      <c r="C93" s="578"/>
      <c r="D93" s="594"/>
      <c r="E93" s="594"/>
      <c r="F93" s="1244"/>
    </row>
    <row r="94" spans="1:6" ht="12" customHeight="1" x14ac:dyDescent="0.3">
      <c r="A94" s="18" t="s">
        <v>169</v>
      </c>
      <c r="B94" s="409" t="s">
        <v>284</v>
      </c>
      <c r="C94" s="578"/>
      <c r="D94" s="594"/>
      <c r="E94" s="594"/>
      <c r="F94" s="1244"/>
    </row>
    <row r="95" spans="1:6" ht="12" customHeight="1" x14ac:dyDescent="0.3">
      <c r="A95" s="18" t="s">
        <v>170</v>
      </c>
      <c r="B95" s="409" t="s">
        <v>282</v>
      </c>
      <c r="C95" s="578"/>
      <c r="D95" s="594"/>
      <c r="E95" s="594"/>
      <c r="F95" s="1244"/>
    </row>
    <row r="96" spans="1:6" ht="24" customHeight="1" thickBot="1" x14ac:dyDescent="0.35">
      <c r="A96" s="15" t="s">
        <v>171</v>
      </c>
      <c r="B96" s="410" t="s">
        <v>281</v>
      </c>
      <c r="C96" s="601"/>
      <c r="D96" s="595"/>
      <c r="E96" s="595"/>
      <c r="F96" s="1257"/>
    </row>
    <row r="97" spans="1:6" ht="12" customHeight="1" thickBot="1" x14ac:dyDescent="0.35">
      <c r="A97" s="23" t="s">
        <v>887</v>
      </c>
      <c r="B97" s="125" t="s">
        <v>313</v>
      </c>
      <c r="C97" s="575">
        <f>+C98+C99</f>
        <v>19366</v>
      </c>
      <c r="D97" s="580">
        <f>+D98+D99</f>
        <v>90711</v>
      </c>
      <c r="E97" s="1280">
        <v>0</v>
      </c>
      <c r="F97" s="1208">
        <f t="shared" si="1"/>
        <v>0</v>
      </c>
    </row>
    <row r="98" spans="1:6" ht="12" customHeight="1" x14ac:dyDescent="0.3">
      <c r="A98" s="18" t="s">
        <v>37</v>
      </c>
      <c r="B98" s="11" t="s">
        <v>3</v>
      </c>
      <c r="C98" s="633">
        <f>'1.2.sz.mell. _köt'!C98</f>
        <v>19366</v>
      </c>
      <c r="D98" s="599">
        <f>'1.2.sz.mell. _köt'!D98</f>
        <v>29037</v>
      </c>
      <c r="E98" s="1281">
        <v>0</v>
      </c>
      <c r="F98" s="1245">
        <f t="shared" si="1"/>
        <v>0</v>
      </c>
    </row>
    <row r="99" spans="1:6" ht="12" customHeight="1" thickBot="1" x14ac:dyDescent="0.35">
      <c r="A99" s="19" t="s">
        <v>38</v>
      </c>
      <c r="B99" s="14" t="s">
        <v>4</v>
      </c>
      <c r="C99" s="601">
        <f>'1.2.sz.mell. _köt'!C99</f>
        <v>0</v>
      </c>
      <c r="D99" s="595">
        <f>'1.2.sz.mell. _köt'!D99</f>
        <v>61674</v>
      </c>
      <c r="E99" s="1282">
        <v>0</v>
      </c>
      <c r="F99" s="1257">
        <f t="shared" si="1"/>
        <v>0</v>
      </c>
    </row>
    <row r="100" spans="1:6" s="307" customFormat="1" ht="12" customHeight="1" thickBot="1" x14ac:dyDescent="0.3">
      <c r="A100" s="313" t="s">
        <v>888</v>
      </c>
      <c r="B100" s="308" t="s">
        <v>285</v>
      </c>
      <c r="C100" s="602"/>
      <c r="D100" s="639"/>
      <c r="E100" s="639"/>
      <c r="F100" s="1261"/>
    </row>
    <row r="101" spans="1:6" ht="12" customHeight="1" thickBot="1" x14ac:dyDescent="0.35">
      <c r="A101" s="305" t="s">
        <v>889</v>
      </c>
      <c r="B101" s="306" t="s">
        <v>105</v>
      </c>
      <c r="C101" s="814">
        <f>+C73+C86+C97+C100</f>
        <v>414504</v>
      </c>
      <c r="D101" s="573">
        <f>+D73+D86+D97+D100</f>
        <v>638444.17800000007</v>
      </c>
      <c r="E101" s="573">
        <f>+E73+E86+E97+E100</f>
        <v>367880.96399999998</v>
      </c>
      <c r="F101" s="1216">
        <f t="shared" si="1"/>
        <v>0.5762147681453208</v>
      </c>
    </row>
    <row r="102" spans="1:6" ht="12" customHeight="1" thickBot="1" x14ac:dyDescent="0.35">
      <c r="A102" s="313" t="s">
        <v>890</v>
      </c>
      <c r="B102" s="308" t="s">
        <v>381</v>
      </c>
      <c r="C102" s="575"/>
      <c r="D102" s="580">
        <v>7308</v>
      </c>
      <c r="E102" s="580">
        <v>7308</v>
      </c>
      <c r="F102" s="1208">
        <f t="shared" si="1"/>
        <v>1</v>
      </c>
    </row>
    <row r="103" spans="1:6" ht="12" customHeight="1" thickBot="1" x14ac:dyDescent="0.35">
      <c r="A103" s="328" t="s">
        <v>44</v>
      </c>
      <c r="B103" s="411" t="s">
        <v>382</v>
      </c>
      <c r="C103" s="1098"/>
      <c r="D103" s="1139">
        <f>D110</f>
        <v>7308</v>
      </c>
      <c r="E103" s="1139">
        <f>E110</f>
        <v>7308</v>
      </c>
      <c r="F103" s="1285">
        <f t="shared" si="1"/>
        <v>1</v>
      </c>
    </row>
    <row r="104" spans="1:6" ht="12" customHeight="1" x14ac:dyDescent="0.3">
      <c r="A104" s="321" t="s">
        <v>47</v>
      </c>
      <c r="B104" s="322" t="s">
        <v>286</v>
      </c>
      <c r="C104" s="815"/>
      <c r="D104" s="604"/>
      <c r="E104" s="604"/>
      <c r="F104" s="1286"/>
    </row>
    <row r="105" spans="1:6" ht="12" customHeight="1" x14ac:dyDescent="0.3">
      <c r="A105" s="314" t="s">
        <v>48</v>
      </c>
      <c r="B105" s="309" t="s">
        <v>287</v>
      </c>
      <c r="C105" s="816"/>
      <c r="D105" s="606"/>
      <c r="E105" s="606"/>
      <c r="F105" s="1287"/>
    </row>
    <row r="106" spans="1:6" ht="12" customHeight="1" x14ac:dyDescent="0.3">
      <c r="A106" s="314" t="s">
        <v>49</v>
      </c>
      <c r="B106" s="309" t="s">
        <v>288</v>
      </c>
      <c r="C106" s="816"/>
      <c r="D106" s="606"/>
      <c r="E106" s="606"/>
      <c r="F106" s="1287"/>
    </row>
    <row r="107" spans="1:6" ht="12" customHeight="1" x14ac:dyDescent="0.3">
      <c r="A107" s="314" t="s">
        <v>50</v>
      </c>
      <c r="B107" s="309" t="s">
        <v>289</v>
      </c>
      <c r="C107" s="816"/>
      <c r="D107" s="606"/>
      <c r="E107" s="606"/>
      <c r="F107" s="1287"/>
    </row>
    <row r="108" spans="1:6" ht="12" customHeight="1" x14ac:dyDescent="0.3">
      <c r="A108" s="314" t="s">
        <v>154</v>
      </c>
      <c r="B108" s="309" t="s">
        <v>290</v>
      </c>
      <c r="C108" s="816"/>
      <c r="D108" s="606"/>
      <c r="E108" s="606"/>
      <c r="F108" s="1287"/>
    </row>
    <row r="109" spans="1:6" ht="12" customHeight="1" x14ac:dyDescent="0.3">
      <c r="A109" s="314" t="s">
        <v>172</v>
      </c>
      <c r="B109" s="309" t="s">
        <v>291</v>
      </c>
      <c r="C109" s="816"/>
      <c r="D109" s="606"/>
      <c r="E109" s="606"/>
      <c r="F109" s="1287"/>
    </row>
    <row r="110" spans="1:6" ht="12" customHeight="1" thickBot="1" x14ac:dyDescent="0.35">
      <c r="A110" s="323" t="s">
        <v>173</v>
      </c>
      <c r="B110" s="324" t="s">
        <v>1164</v>
      </c>
      <c r="C110" s="817"/>
      <c r="D110" s="608">
        <f>'1.2.sz.mell. _köt'!D110</f>
        <v>7308</v>
      </c>
      <c r="E110" s="608">
        <f>'1.2.sz.mell. _köt'!E110</f>
        <v>7308</v>
      </c>
      <c r="F110" s="1288">
        <f t="shared" si="1"/>
        <v>1</v>
      </c>
    </row>
    <row r="111" spans="1:6" ht="12" customHeight="1" thickBot="1" x14ac:dyDescent="0.35">
      <c r="A111" s="328" t="s">
        <v>45</v>
      </c>
      <c r="B111" s="411" t="s">
        <v>383</v>
      </c>
      <c r="C111" s="1098"/>
      <c r="D111" s="1139"/>
      <c r="E111" s="1139"/>
      <c r="F111" s="1285"/>
    </row>
    <row r="112" spans="1:6" ht="12" customHeight="1" x14ac:dyDescent="0.3">
      <c r="A112" s="321" t="s">
        <v>53</v>
      </c>
      <c r="B112" s="322" t="s">
        <v>286</v>
      </c>
      <c r="C112" s="815"/>
      <c r="D112" s="604"/>
      <c r="E112" s="604"/>
      <c r="F112" s="1286"/>
    </row>
    <row r="113" spans="1:6" ht="12" customHeight="1" x14ac:dyDescent="0.3">
      <c r="A113" s="314" t="s">
        <v>54</v>
      </c>
      <c r="B113" s="309" t="s">
        <v>293</v>
      </c>
      <c r="C113" s="816"/>
      <c r="D113" s="606"/>
      <c r="E113" s="606"/>
      <c r="F113" s="1287"/>
    </row>
    <row r="114" spans="1:6" ht="12" customHeight="1" x14ac:dyDescent="0.3">
      <c r="A114" s="314" t="s">
        <v>55</v>
      </c>
      <c r="B114" s="309" t="s">
        <v>288</v>
      </c>
      <c r="C114" s="816"/>
      <c r="D114" s="606"/>
      <c r="E114" s="606"/>
      <c r="F114" s="1287"/>
    </row>
    <row r="115" spans="1:6" ht="12" customHeight="1" x14ac:dyDescent="0.3">
      <c r="A115" s="314" t="s">
        <v>56</v>
      </c>
      <c r="B115" s="309" t="s">
        <v>289</v>
      </c>
      <c r="C115" s="816"/>
      <c r="D115" s="606"/>
      <c r="E115" s="606"/>
      <c r="F115" s="1287"/>
    </row>
    <row r="116" spans="1:6" ht="12" customHeight="1" x14ac:dyDescent="0.3">
      <c r="A116" s="314" t="s">
        <v>155</v>
      </c>
      <c r="B116" s="309" t="s">
        <v>290</v>
      </c>
      <c r="C116" s="816"/>
      <c r="D116" s="606"/>
      <c r="E116" s="606"/>
      <c r="F116" s="1287"/>
    </row>
    <row r="117" spans="1:6" ht="12" customHeight="1" x14ac:dyDescent="0.3">
      <c r="A117" s="314" t="s">
        <v>174</v>
      </c>
      <c r="B117" s="309" t="s">
        <v>294</v>
      </c>
      <c r="C117" s="816"/>
      <c r="D117" s="606"/>
      <c r="E117" s="606"/>
      <c r="F117" s="1287"/>
    </row>
    <row r="118" spans="1:6" ht="12" customHeight="1" x14ac:dyDescent="0.3">
      <c r="A118" s="314" t="s">
        <v>175</v>
      </c>
      <c r="B118" s="309" t="s">
        <v>292</v>
      </c>
      <c r="C118" s="816"/>
      <c r="D118" s="606"/>
      <c r="E118" s="606"/>
      <c r="F118" s="1287"/>
    </row>
    <row r="119" spans="1:6" ht="12" customHeight="1" thickBot="1" x14ac:dyDescent="0.35">
      <c r="A119" s="323" t="s">
        <v>176</v>
      </c>
      <c r="B119" s="324" t="s">
        <v>384</v>
      </c>
      <c r="C119" s="817"/>
      <c r="D119" s="608"/>
      <c r="E119" s="608"/>
      <c r="F119" s="1288"/>
    </row>
    <row r="120" spans="1:6" ht="12" customHeight="1" thickBot="1" x14ac:dyDescent="0.35">
      <c r="A120" s="313" t="s">
        <v>891</v>
      </c>
      <c r="B120" s="407" t="s">
        <v>295</v>
      </c>
      <c r="C120" s="818">
        <f>+C101+C102</f>
        <v>414504</v>
      </c>
      <c r="D120" s="610">
        <f>+D101+D102</f>
        <v>645752.17800000007</v>
      </c>
      <c r="E120" s="610">
        <f>+E101+E102</f>
        <v>375188.96399999998</v>
      </c>
      <c r="F120" s="1258">
        <f t="shared" si="1"/>
        <v>0.58101076044686595</v>
      </c>
    </row>
    <row r="121" spans="1:6" ht="15" customHeight="1" thickBot="1" x14ac:dyDescent="0.35">
      <c r="A121" s="313" t="s">
        <v>892</v>
      </c>
      <c r="B121" s="407" t="s">
        <v>296</v>
      </c>
      <c r="C121" s="819"/>
      <c r="D121" s="612"/>
      <c r="E121" s="612"/>
      <c r="F121" s="1259"/>
    </row>
    <row r="122" spans="1:6" s="1" customFormat="1" ht="12.9" customHeight="1" thickBot="1" x14ac:dyDescent="0.3">
      <c r="A122" s="325" t="s">
        <v>893</v>
      </c>
      <c r="B122" s="408" t="s">
        <v>297</v>
      </c>
      <c r="C122" s="820">
        <f>+C120+C121</f>
        <v>414504</v>
      </c>
      <c r="D122" s="587">
        <f>+D120+D121</f>
        <v>645752.17800000007</v>
      </c>
      <c r="E122" s="587">
        <f>+E120+E121</f>
        <v>375188.96399999998</v>
      </c>
      <c r="F122" s="1260">
        <f t="shared" si="1"/>
        <v>0.58101076044686595</v>
      </c>
    </row>
    <row r="123" spans="1:6" ht="19.5" customHeight="1" x14ac:dyDescent="0.3">
      <c r="A123" s="412"/>
      <c r="B123" s="412"/>
      <c r="C123" s="614"/>
      <c r="D123" s="724"/>
    </row>
    <row r="124" spans="1:6" x14ac:dyDescent="0.3">
      <c r="A124" s="1351" t="s">
        <v>108</v>
      </c>
      <c r="B124" s="1351"/>
      <c r="C124" s="1351"/>
      <c r="D124" s="1351"/>
      <c r="E124" s="1351"/>
      <c r="F124" s="1351"/>
    </row>
    <row r="125" spans="1:6" ht="15" customHeight="1" thickBot="1" x14ac:dyDescent="0.35">
      <c r="A125" s="1347" t="s">
        <v>101</v>
      </c>
      <c r="B125" s="1347"/>
      <c r="C125" s="329"/>
    </row>
    <row r="126" spans="1:6" ht="13.5" customHeight="1" thickBot="1" x14ac:dyDescent="0.35">
      <c r="A126" s="23">
        <v>1</v>
      </c>
      <c r="B126" s="34" t="s">
        <v>183</v>
      </c>
      <c r="C126" s="615">
        <f>+C51-C101</f>
        <v>-39200</v>
      </c>
      <c r="D126" s="615">
        <f t="shared" ref="D126:E126" si="2">+D51-D101</f>
        <v>-198829.17800000007</v>
      </c>
      <c r="E126" s="615">
        <f t="shared" si="2"/>
        <v>71206.036000000022</v>
      </c>
      <c r="F126" s="1070"/>
    </row>
    <row r="127" spans="1:6" ht="7.5" customHeight="1" x14ac:dyDescent="0.3">
      <c r="A127" s="412"/>
      <c r="B127" s="412"/>
      <c r="C127" s="614"/>
    </row>
    <row r="128" spans="1:6" x14ac:dyDescent="0.3">
      <c r="A128" s="1350" t="s">
        <v>298</v>
      </c>
      <c r="B128" s="1350"/>
      <c r="C128" s="1350"/>
      <c r="D128" s="1350"/>
      <c r="E128" s="1350"/>
      <c r="F128" s="1350"/>
    </row>
    <row r="129" spans="1:6" ht="12.75" customHeight="1" thickBot="1" x14ac:dyDescent="0.35">
      <c r="A129" s="1347" t="s">
        <v>102</v>
      </c>
      <c r="B129" s="1347"/>
      <c r="C129" s="330"/>
    </row>
    <row r="130" spans="1:6" ht="13.5" customHeight="1" thickBot="1" x14ac:dyDescent="0.35">
      <c r="A130" s="313" t="s">
        <v>885</v>
      </c>
      <c r="B130" s="326" t="s">
        <v>979</v>
      </c>
      <c r="C130" s="616"/>
      <c r="D130" s="1070"/>
      <c r="E130" s="1070"/>
      <c r="F130" s="1070"/>
    </row>
    <row r="131" spans="1:6" ht="13.5" customHeight="1" thickBot="1" x14ac:dyDescent="0.35">
      <c r="A131" s="313" t="s">
        <v>886</v>
      </c>
      <c r="B131" s="326" t="s">
        <v>980</v>
      </c>
      <c r="C131" s="616">
        <f>IF('2.2.sz.mell  '!C36&lt;&gt;"-",'2.2.sz.mell  '!C36,0)</f>
        <v>0</v>
      </c>
      <c r="D131" s="1070"/>
      <c r="E131" s="1070"/>
      <c r="F131" s="1070"/>
    </row>
    <row r="132" spans="1:6" ht="13.5" customHeight="1" thickBot="1" x14ac:dyDescent="0.35">
      <c r="A132" s="313" t="s">
        <v>887</v>
      </c>
      <c r="B132" s="326" t="s">
        <v>981</v>
      </c>
      <c r="C132" s="616"/>
      <c r="D132" s="1070"/>
      <c r="E132" s="1070"/>
      <c r="F132" s="1070"/>
    </row>
    <row r="133" spans="1:6" ht="7.5" customHeight="1" x14ac:dyDescent="0.3">
      <c r="A133" s="413"/>
      <c r="B133" s="414"/>
      <c r="C133" s="571"/>
    </row>
    <row r="134" spans="1:6" x14ac:dyDescent="0.3">
      <c r="A134" s="1350" t="s">
        <v>300</v>
      </c>
      <c r="B134" s="1350"/>
      <c r="C134" s="1350"/>
      <c r="D134" s="1350"/>
      <c r="E134" s="1350"/>
      <c r="F134" s="1350"/>
    </row>
    <row r="135" spans="1:6" ht="12.75" customHeight="1" thickBot="1" x14ac:dyDescent="0.35">
      <c r="A135" s="1347" t="s">
        <v>301</v>
      </c>
      <c r="B135" s="1347"/>
      <c r="C135" s="330"/>
    </row>
    <row r="136" spans="1:6" ht="12.75" customHeight="1" thickBot="1" x14ac:dyDescent="0.35">
      <c r="A136" s="313" t="s">
        <v>885</v>
      </c>
      <c r="B136" s="326" t="s">
        <v>385</v>
      </c>
      <c r="C136" s="722">
        <f t="shared" ref="C136:E136" si="3">+C137-C140</f>
        <v>39200</v>
      </c>
      <c r="D136" s="722">
        <f t="shared" si="3"/>
        <v>206137</v>
      </c>
      <c r="E136" s="722">
        <f t="shared" si="3"/>
        <v>206137</v>
      </c>
      <c r="F136" s="1070"/>
    </row>
    <row r="137" spans="1:6" ht="12.75" customHeight="1" thickBot="1" x14ac:dyDescent="0.35">
      <c r="A137" s="327" t="s">
        <v>57</v>
      </c>
      <c r="B137" s="415" t="s">
        <v>302</v>
      </c>
      <c r="C137" s="723">
        <f t="shared" ref="C137:E137" si="4">+C52</f>
        <v>39200</v>
      </c>
      <c r="D137" s="723">
        <f t="shared" si="4"/>
        <v>206137</v>
      </c>
      <c r="E137" s="723">
        <f t="shared" si="4"/>
        <v>206137</v>
      </c>
      <c r="F137" s="1070"/>
    </row>
    <row r="138" spans="1:6" s="486" customFormat="1" ht="12.75" customHeight="1" thickBot="1" x14ac:dyDescent="0.25">
      <c r="A138" s="485" t="s">
        <v>184</v>
      </c>
      <c r="B138" s="416" t="s">
        <v>303</v>
      </c>
      <c r="C138" s="618"/>
      <c r="D138" s="1099"/>
      <c r="E138" s="1099"/>
      <c r="F138" s="1099"/>
    </row>
    <row r="139" spans="1:6" s="486" customFormat="1" ht="12.75" customHeight="1" thickBot="1" x14ac:dyDescent="0.25">
      <c r="A139" s="485" t="s">
        <v>185</v>
      </c>
      <c r="B139" s="416" t="s">
        <v>304</v>
      </c>
      <c r="C139" s="619"/>
      <c r="D139" s="1099"/>
      <c r="E139" s="1099"/>
      <c r="F139" s="1099"/>
    </row>
    <row r="140" spans="1:6" ht="12.75" customHeight="1" thickBot="1" x14ac:dyDescent="0.35">
      <c r="A140" s="327" t="s">
        <v>58</v>
      </c>
      <c r="B140" s="415" t="s">
        <v>305</v>
      </c>
      <c r="C140" s="617"/>
      <c r="D140" s="1070"/>
      <c r="E140" s="1070"/>
      <c r="F140" s="1070"/>
    </row>
    <row r="141" spans="1:6" s="486" customFormat="1" ht="12.75" customHeight="1" thickBot="1" x14ac:dyDescent="0.25">
      <c r="A141" s="485" t="s">
        <v>186</v>
      </c>
      <c r="B141" s="416" t="s">
        <v>306</v>
      </c>
      <c r="C141" s="620"/>
      <c r="D141" s="1099"/>
      <c r="E141" s="1099"/>
      <c r="F141" s="1099"/>
    </row>
    <row r="142" spans="1:6" s="486" customFormat="1" ht="12.75" customHeight="1" thickBot="1" x14ac:dyDescent="0.25">
      <c r="A142" s="485" t="s">
        <v>187</v>
      </c>
      <c r="B142" s="416" t="s">
        <v>307</v>
      </c>
      <c r="C142" s="620"/>
      <c r="D142" s="1099"/>
      <c r="E142" s="1099"/>
      <c r="F142" s="1099"/>
    </row>
  </sheetData>
  <mergeCells count="10">
    <mergeCell ref="A1:F1"/>
    <mergeCell ref="A69:F69"/>
    <mergeCell ref="A134:F134"/>
    <mergeCell ref="A128:F128"/>
    <mergeCell ref="A124:F124"/>
    <mergeCell ref="A135:B135"/>
    <mergeCell ref="A129:B129"/>
    <mergeCell ref="A2:B2"/>
    <mergeCell ref="A70:B70"/>
    <mergeCell ref="A125:B125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67" fitToHeight="2" orientation="portrait" r:id="rId1"/>
  <headerFooter alignWithMargins="0">
    <oddHeader>&amp;C&amp;"Times New Roman CE,Félkövér"&amp;12
Csobánka Község Önkormányzat
2018. ÉVI KÖLTSÉGVETÉSÉNEK ÖSSZEVONT MÉRLEGE&amp;R&amp;"Times New Roman CE,Félkövér dőlt"&amp;11 &amp;"Times New Roman CE,Félkövér"1.1. melléklet az 5/2019. (IV. 26.) önkormányzati rendelethez</oddHeader>
  </headerFooter>
  <rowBreaks count="1" manualBreakCount="1">
    <brk id="6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27"/>
  <sheetViews>
    <sheetView view="pageLayout" zoomScaleNormal="120" zoomScaleSheetLayoutView="100" workbookViewId="0">
      <selection activeCell="B105" sqref="B105"/>
    </sheetView>
  </sheetViews>
  <sheetFormatPr defaultColWidth="7" defaultRowHeight="15.6" x14ac:dyDescent="0.3"/>
  <cols>
    <col min="1" max="1" width="9" style="417" customWidth="1"/>
    <col min="2" max="2" width="84.77734375" style="417" customWidth="1"/>
    <col min="3" max="6" width="14.77734375" style="42" customWidth="1"/>
    <col min="7" max="16384" width="7" style="42"/>
  </cols>
  <sheetData>
    <row r="1" spans="1:6" ht="15.9" customHeight="1" x14ac:dyDescent="0.3">
      <c r="A1" s="1349" t="s">
        <v>882</v>
      </c>
      <c r="B1" s="1349"/>
      <c r="C1" s="1349"/>
      <c r="D1" s="1349"/>
      <c r="E1" s="1349"/>
      <c r="F1" s="1349"/>
    </row>
    <row r="2" spans="1:6" ht="15.9" customHeight="1" thickBot="1" x14ac:dyDescent="0.35">
      <c r="A2" s="1347" t="s">
        <v>99</v>
      </c>
      <c r="B2" s="1347"/>
      <c r="F2" s="329" t="s">
        <v>299</v>
      </c>
    </row>
    <row r="3" spans="1:6" ht="38.1" customHeight="1" thickBot="1" x14ac:dyDescent="0.35">
      <c r="A3" s="27" t="s">
        <v>17</v>
      </c>
      <c r="B3" s="28" t="s">
        <v>884</v>
      </c>
      <c r="C3" s="539" t="s">
        <v>1170</v>
      </c>
      <c r="D3" s="1136" t="s">
        <v>1171</v>
      </c>
      <c r="E3" s="1135" t="s">
        <v>1218</v>
      </c>
      <c r="F3" s="197" t="s">
        <v>1219</v>
      </c>
    </row>
    <row r="4" spans="1:6" s="43" customFormat="1" ht="12" customHeight="1" thickBot="1" x14ac:dyDescent="0.25">
      <c r="A4" s="37" t="s">
        <v>885</v>
      </c>
      <c r="B4" s="38" t="s">
        <v>886</v>
      </c>
      <c r="C4" s="38" t="s">
        <v>887</v>
      </c>
      <c r="D4" s="38" t="s">
        <v>888</v>
      </c>
      <c r="E4" s="38" t="s">
        <v>889</v>
      </c>
      <c r="F4" s="38" t="s">
        <v>890</v>
      </c>
    </row>
    <row r="5" spans="1:6" s="1" customFormat="1" ht="12" customHeight="1" thickBot="1" x14ac:dyDescent="0.3">
      <c r="A5" s="25" t="s">
        <v>885</v>
      </c>
      <c r="B5" s="24" t="s">
        <v>125</v>
      </c>
      <c r="C5" s="573">
        <f>+C6+C11+C20</f>
        <v>136729</v>
      </c>
      <c r="D5" s="573">
        <f>+D6+D11+D20</f>
        <v>156657</v>
      </c>
      <c r="E5" s="573">
        <f>+E6+E11+E20</f>
        <v>156845</v>
      </c>
      <c r="F5" s="1216">
        <f>E5/D5</f>
        <v>1.0012000740471221</v>
      </c>
    </row>
    <row r="6" spans="1:6" s="1" customFormat="1" ht="12" customHeight="1" thickBot="1" x14ac:dyDescent="0.3">
      <c r="A6" s="23" t="s">
        <v>886</v>
      </c>
      <c r="B6" s="691" t="s">
        <v>374</v>
      </c>
      <c r="C6" s="580">
        <f>+C7+C8+C9+C10</f>
        <v>108945</v>
      </c>
      <c r="D6" s="580">
        <f>+D7+D8+D9+D10</f>
        <v>117470</v>
      </c>
      <c r="E6" s="580">
        <f>+E7+E8+E9+E10</f>
        <v>116737</v>
      </c>
      <c r="F6" s="1208">
        <f t="shared" ref="F6:F67" si="0">E6/D6</f>
        <v>0.99376010896399081</v>
      </c>
    </row>
    <row r="7" spans="1:6" s="1" customFormat="1" ht="12" customHeight="1" x14ac:dyDescent="0.25">
      <c r="A7" s="16" t="s">
        <v>63</v>
      </c>
      <c r="B7" s="705" t="s">
        <v>928</v>
      </c>
      <c r="C7" s="578">
        <f>'8. sz. mell'!D10-'1.3.sz.mell._önk'!C7</f>
        <v>103645</v>
      </c>
      <c r="D7" s="594">
        <f>'8. sz. mell'!E10-'1.3.sz.mell._önk'!D7</f>
        <v>111870</v>
      </c>
      <c r="E7" s="594">
        <f>'8. sz. mell'!F10-'1.3.sz.mell._önk'!E7</f>
        <v>111955</v>
      </c>
      <c r="F7" s="1244">
        <f t="shared" si="0"/>
        <v>1.0007598104943238</v>
      </c>
    </row>
    <row r="8" spans="1:6" s="1" customFormat="1" ht="12" customHeight="1" x14ac:dyDescent="0.25">
      <c r="A8" s="16" t="s">
        <v>64</v>
      </c>
      <c r="B8" s="695" t="s">
        <v>33</v>
      </c>
      <c r="C8" s="578"/>
      <c r="D8" s="594"/>
      <c r="E8" s="594"/>
      <c r="F8" s="1244"/>
    </row>
    <row r="9" spans="1:6" s="1" customFormat="1" ht="12" customHeight="1" x14ac:dyDescent="0.25">
      <c r="A9" s="16" t="s">
        <v>65</v>
      </c>
      <c r="B9" s="695" t="s">
        <v>126</v>
      </c>
      <c r="C9" s="578">
        <f>'8. sz. mell'!D12</f>
        <v>3100</v>
      </c>
      <c r="D9" s="594">
        <f>'8. sz. mell'!E12</f>
        <v>3100</v>
      </c>
      <c r="E9" s="594">
        <f>'8. sz. mell'!F12</f>
        <v>2206</v>
      </c>
      <c r="F9" s="1244">
        <f t="shared" si="0"/>
        <v>0.7116129032258065</v>
      </c>
    </row>
    <row r="10" spans="1:6" s="1" customFormat="1" ht="12" customHeight="1" thickBot="1" x14ac:dyDescent="0.3">
      <c r="A10" s="16" t="s">
        <v>66</v>
      </c>
      <c r="B10" s="706" t="s">
        <v>127</v>
      </c>
      <c r="C10" s="578">
        <f>'8. sz. mell'!D13</f>
        <v>2200</v>
      </c>
      <c r="D10" s="594">
        <f>'8. sz. mell'!E13</f>
        <v>2500</v>
      </c>
      <c r="E10" s="594">
        <f>'8. sz. mell'!F13</f>
        <v>2576</v>
      </c>
      <c r="F10" s="1244">
        <f t="shared" si="0"/>
        <v>1.0304</v>
      </c>
    </row>
    <row r="11" spans="1:6" s="1" customFormat="1" ht="12" customHeight="1" thickBot="1" x14ac:dyDescent="0.3">
      <c r="A11" s="23" t="s">
        <v>887</v>
      </c>
      <c r="B11" s="24" t="s">
        <v>128</v>
      </c>
      <c r="C11" s="575">
        <f>+C12+C13+C14+C15+C16+C17+C18+C19</f>
        <v>19284</v>
      </c>
      <c r="D11" s="580">
        <f>+D12+D13+D14+D15+D16+D17+D18+D19</f>
        <v>30687</v>
      </c>
      <c r="E11" s="580">
        <f>+E12+E13+E14+E15+E16+E17+E18+E19</f>
        <v>30663</v>
      </c>
      <c r="F11" s="1208">
        <f t="shared" si="0"/>
        <v>0.99921790986411185</v>
      </c>
    </row>
    <row r="12" spans="1:6" s="1" customFormat="1" ht="12" customHeight="1" x14ac:dyDescent="0.25">
      <c r="A12" s="20" t="s">
        <v>37</v>
      </c>
      <c r="B12" s="12" t="s">
        <v>133</v>
      </c>
      <c r="C12" s="578">
        <f>'8. sz. mell'!D15+'9. sz. mell.'!D8+'10. sz. mell.'!D8</f>
        <v>1530</v>
      </c>
      <c r="D12" s="594">
        <f>'8. sz. mell'!E15+'9. sz. mell.'!E8+'10. sz. mell.'!E8</f>
        <v>7439</v>
      </c>
      <c r="E12" s="594">
        <f>'8. sz. mell'!F15+'9. sz. mell.'!F8+'10. sz. mell.'!F8</f>
        <v>7427</v>
      </c>
      <c r="F12" s="1244">
        <f t="shared" si="0"/>
        <v>0.9983868799569835</v>
      </c>
    </row>
    <row r="13" spans="1:6" s="1" customFormat="1" ht="12" customHeight="1" x14ac:dyDescent="0.25">
      <c r="A13" s="16" t="s">
        <v>38</v>
      </c>
      <c r="B13" s="9" t="s">
        <v>134</v>
      </c>
      <c r="C13" s="578">
        <f>'8. sz. mell'!D16+'9. sz. mell.'!D9+'10. sz. mell.'!D9</f>
        <v>100</v>
      </c>
      <c r="D13" s="594">
        <f>'8. sz. mell'!E16+'9. sz. mell.'!E9+'10. sz. mell.'!E9</f>
        <v>100</v>
      </c>
      <c r="E13" s="594">
        <f>'8. sz. mell'!F16+'9. sz. mell.'!F9+'10. sz. mell.'!F9</f>
        <v>637</v>
      </c>
      <c r="F13" s="1244">
        <f t="shared" si="0"/>
        <v>6.37</v>
      </c>
    </row>
    <row r="14" spans="1:6" s="1" customFormat="1" ht="12" customHeight="1" x14ac:dyDescent="0.25">
      <c r="A14" s="16" t="s">
        <v>39</v>
      </c>
      <c r="B14" s="9" t="s">
        <v>135</v>
      </c>
      <c r="C14" s="578">
        <f>'8. sz. mell'!D17+'9. sz. mell.'!D10+'10. sz. mell.'!D10</f>
        <v>15033</v>
      </c>
      <c r="D14" s="594">
        <f>'8. sz. mell'!E17+'9. sz. mell.'!E10+'10. sz. mell.'!E10</f>
        <v>16303</v>
      </c>
      <c r="E14" s="594">
        <f>'8. sz. mell'!F17+'9. sz. mell.'!F10+'10. sz. mell.'!F10</f>
        <v>16772</v>
      </c>
      <c r="F14" s="1244">
        <f t="shared" si="0"/>
        <v>1.0287677114641478</v>
      </c>
    </row>
    <row r="15" spans="1:6" s="1" customFormat="1" ht="12" customHeight="1" x14ac:dyDescent="0.25">
      <c r="A15" s="16" t="s">
        <v>40</v>
      </c>
      <c r="B15" s="9" t="s">
        <v>136</v>
      </c>
      <c r="C15" s="578">
        <f>'8. sz. mell'!D18+'9. sz. mell.'!D11+'10. sz. mell.'!D11</f>
        <v>0</v>
      </c>
      <c r="D15" s="594">
        <f>'8. sz. mell'!E18+'9. sz. mell.'!E11+'10. sz. mell.'!E11</f>
        <v>964</v>
      </c>
      <c r="E15" s="594">
        <f>'8. sz. mell'!F18+'9. sz. mell.'!F11+'10. sz. mell.'!F11</f>
        <v>964</v>
      </c>
      <c r="F15" s="1244">
        <f t="shared" si="0"/>
        <v>1</v>
      </c>
    </row>
    <row r="16" spans="1:6" s="1" customFormat="1" ht="12" customHeight="1" x14ac:dyDescent="0.25">
      <c r="A16" s="15" t="s">
        <v>129</v>
      </c>
      <c r="B16" s="8" t="s">
        <v>137</v>
      </c>
      <c r="C16" s="578">
        <f>'8. sz. mell'!D19+'9. sz. mell.'!D12+'10. sz. mell.'!D12</f>
        <v>1869</v>
      </c>
      <c r="D16" s="594">
        <f>'8. sz. mell'!E19+'9. sz. mell.'!E12+'10. sz. mell.'!E12</f>
        <v>1678</v>
      </c>
      <c r="E16" s="594">
        <f>'8. sz. mell'!F19+'9. sz. mell.'!F12+'10. sz. mell.'!F12</f>
        <v>1678</v>
      </c>
      <c r="F16" s="1244">
        <f t="shared" si="0"/>
        <v>1</v>
      </c>
    </row>
    <row r="17" spans="1:6" s="1" customFormat="1" ht="12" customHeight="1" x14ac:dyDescent="0.25">
      <c r="A17" s="16" t="s">
        <v>130</v>
      </c>
      <c r="B17" s="9" t="s">
        <v>239</v>
      </c>
      <c r="C17" s="578">
        <f>'8. sz. mell'!D20+'9. sz. mell.'!D13+'10. sz. mell.'!D13</f>
        <v>752</v>
      </c>
      <c r="D17" s="594">
        <f>'8. sz. mell'!E20+'9. sz. mell.'!E13+'10. sz. mell.'!E13</f>
        <v>887</v>
      </c>
      <c r="E17" s="594">
        <f>'8. sz. mell'!F20+'9. sz. mell.'!F13+'10. sz. mell.'!F13</f>
        <v>628</v>
      </c>
      <c r="F17" s="1244">
        <f t="shared" si="0"/>
        <v>0.70800450958286354</v>
      </c>
    </row>
    <row r="18" spans="1:6" s="1" customFormat="1" ht="12" customHeight="1" x14ac:dyDescent="0.25">
      <c r="A18" s="16" t="s">
        <v>131</v>
      </c>
      <c r="B18" s="9" t="s">
        <v>139</v>
      </c>
      <c r="C18" s="578">
        <f>'8. sz. mell'!D21+'9. sz. mell.'!D14+'10. sz. mell.'!D14</f>
        <v>0</v>
      </c>
      <c r="D18" s="594">
        <f>'8. sz. mell'!E21+'9. sz. mell.'!E14+'10. sz. mell.'!E14</f>
        <v>1</v>
      </c>
      <c r="E18" s="594">
        <f>'8. sz. mell'!F21+'9. sz. mell.'!F14+'10. sz. mell.'!F14</f>
        <v>1</v>
      </c>
      <c r="F18" s="1244">
        <f t="shared" si="0"/>
        <v>1</v>
      </c>
    </row>
    <row r="19" spans="1:6" s="1" customFormat="1" ht="12" customHeight="1" thickBot="1" x14ac:dyDescent="0.3">
      <c r="A19" s="17" t="s">
        <v>132</v>
      </c>
      <c r="B19" s="10" t="s">
        <v>140</v>
      </c>
      <c r="C19" s="601">
        <f>'8. sz. mell'!D22+'9. sz. mell.'!D15+'10. sz. mell.'!D15</f>
        <v>0</v>
      </c>
      <c r="D19" s="595">
        <f>'8. sz. mell'!E22+'9. sz. mell.'!E16+'10. sz. mell.'!E16</f>
        <v>3315</v>
      </c>
      <c r="E19" s="595">
        <f>'8. sz. mell'!F22+'9. sz. mell.'!F16+'10. sz. mell.'!F16</f>
        <v>2556</v>
      </c>
      <c r="F19" s="1257">
        <f t="shared" si="0"/>
        <v>0.77104072398190049</v>
      </c>
    </row>
    <row r="20" spans="1:6" s="1" customFormat="1" ht="12" customHeight="1" thickBot="1" x14ac:dyDescent="0.3">
      <c r="A20" s="23" t="s">
        <v>141</v>
      </c>
      <c r="B20" s="24" t="s">
        <v>945</v>
      </c>
      <c r="C20" s="639">
        <f>'8. sz. mell'!D23</f>
        <v>8500</v>
      </c>
      <c r="D20" s="639">
        <f>'8. sz. mell'!E23</f>
        <v>8500</v>
      </c>
      <c r="E20" s="639">
        <f>'8. sz. mell'!F23</f>
        <v>9445</v>
      </c>
      <c r="F20" s="1261">
        <f t="shared" si="0"/>
        <v>1.1111764705882352</v>
      </c>
    </row>
    <row r="21" spans="1:6" s="1" customFormat="1" ht="12" customHeight="1" thickBot="1" x14ac:dyDescent="0.3">
      <c r="A21" s="23" t="s">
        <v>889</v>
      </c>
      <c r="B21" s="24" t="s">
        <v>143</v>
      </c>
      <c r="C21" s="575">
        <f>+C22+C23+C24+C25+C26+C27+C28+C29</f>
        <v>211078</v>
      </c>
      <c r="D21" s="580">
        <f>+D22+D23+D24+D25+D26+D27+D28+D29</f>
        <v>240429</v>
      </c>
      <c r="E21" s="580">
        <f>+E22+E23+E24+E25+E26+E27+E28+E29</f>
        <v>240429</v>
      </c>
      <c r="F21" s="1208">
        <f t="shared" si="0"/>
        <v>1</v>
      </c>
    </row>
    <row r="22" spans="1:6" s="1" customFormat="1" ht="12" customHeight="1" x14ac:dyDescent="0.25">
      <c r="A22" s="18" t="s">
        <v>41</v>
      </c>
      <c r="B22" s="11" t="s">
        <v>818</v>
      </c>
      <c r="C22" s="633">
        <f>'8. sz. mell'!D25</f>
        <v>211078</v>
      </c>
      <c r="D22" s="599">
        <f>'8. sz. mell'!E25</f>
        <v>216462</v>
      </c>
      <c r="E22" s="599">
        <f>'8. sz. mell'!F25</f>
        <v>216462</v>
      </c>
      <c r="F22" s="1245">
        <f t="shared" si="0"/>
        <v>1</v>
      </c>
    </row>
    <row r="23" spans="1:6" s="1" customFormat="1" ht="12" customHeight="1" x14ac:dyDescent="0.25">
      <c r="A23" s="16" t="s">
        <v>42</v>
      </c>
      <c r="B23" s="9" t="s">
        <v>149</v>
      </c>
      <c r="C23" s="578"/>
      <c r="D23" s="594"/>
      <c r="E23" s="594"/>
      <c r="F23" s="1244"/>
    </row>
    <row r="24" spans="1:6" s="1" customFormat="1" ht="12" customHeight="1" x14ac:dyDescent="0.25">
      <c r="A24" s="16" t="s">
        <v>43</v>
      </c>
      <c r="B24" s="9" t="s">
        <v>46</v>
      </c>
      <c r="C24" s="578"/>
      <c r="D24" s="594">
        <f>'8. sz. mell'!E27</f>
        <v>18032</v>
      </c>
      <c r="E24" s="594">
        <f>'8. sz. mell'!F27</f>
        <v>18032</v>
      </c>
      <c r="F24" s="1244">
        <f t="shared" si="0"/>
        <v>1</v>
      </c>
    </row>
    <row r="25" spans="1:6" s="1" customFormat="1" ht="12" customHeight="1" x14ac:dyDescent="0.25">
      <c r="A25" s="19" t="s">
        <v>144</v>
      </c>
      <c r="B25" s="9" t="s">
        <v>931</v>
      </c>
      <c r="C25" s="601"/>
      <c r="D25" s="595"/>
      <c r="E25" s="595"/>
      <c r="F25" s="1257"/>
    </row>
    <row r="26" spans="1:6" s="1" customFormat="1" ht="12" customHeight="1" x14ac:dyDescent="0.25">
      <c r="A26" s="19" t="s">
        <v>145</v>
      </c>
      <c r="B26" s="9" t="s">
        <v>151</v>
      </c>
      <c r="C26" s="601"/>
      <c r="D26" s="595"/>
      <c r="E26" s="595"/>
      <c r="F26" s="1257"/>
    </row>
    <row r="27" spans="1:6" s="1" customFormat="1" ht="12" customHeight="1" x14ac:dyDescent="0.25">
      <c r="A27" s="16" t="s">
        <v>146</v>
      </c>
      <c r="B27" s="9" t="s">
        <v>152</v>
      </c>
      <c r="C27" s="578"/>
      <c r="D27" s="594"/>
      <c r="E27" s="594"/>
      <c r="F27" s="1244"/>
    </row>
    <row r="28" spans="1:6" s="1" customFormat="1" ht="12" customHeight="1" x14ac:dyDescent="0.25">
      <c r="A28" s="16" t="s">
        <v>147</v>
      </c>
      <c r="B28" s="9" t="s">
        <v>1012</v>
      </c>
      <c r="C28" s="630"/>
      <c r="D28" s="628">
        <f>'8. sz. mell'!E31</f>
        <v>5801</v>
      </c>
      <c r="E28" s="628">
        <f>'8. sz. mell'!F31</f>
        <v>5801</v>
      </c>
      <c r="F28" s="1262">
        <f t="shared" si="0"/>
        <v>1</v>
      </c>
    </row>
    <row r="29" spans="1:6" s="1" customFormat="1" ht="12" customHeight="1" thickBot="1" x14ac:dyDescent="0.3">
      <c r="A29" s="16" t="s">
        <v>148</v>
      </c>
      <c r="B29" s="14" t="s">
        <v>153</v>
      </c>
      <c r="C29" s="630"/>
      <c r="D29" s="628">
        <f>'8. sz. mell'!E32</f>
        <v>134</v>
      </c>
      <c r="E29" s="628">
        <f>'8. sz. mell'!F32</f>
        <v>134</v>
      </c>
      <c r="F29" s="1262">
        <f t="shared" si="0"/>
        <v>1</v>
      </c>
    </row>
    <row r="30" spans="1:6" s="1" customFormat="1" ht="12" customHeight="1" thickBot="1" x14ac:dyDescent="0.3">
      <c r="A30" s="301" t="s">
        <v>890</v>
      </c>
      <c r="B30" s="24" t="s">
        <v>375</v>
      </c>
      <c r="C30" s="575">
        <f>+C31+C37</f>
        <v>22228</v>
      </c>
      <c r="D30" s="580">
        <f>+D31+D37</f>
        <v>37260</v>
      </c>
      <c r="E30" s="580">
        <f>+E31+E37</f>
        <v>35770</v>
      </c>
      <c r="F30" s="1208">
        <f t="shared" si="0"/>
        <v>0.96001073537305426</v>
      </c>
    </row>
    <row r="31" spans="1:6" s="1" customFormat="1" ht="12" customHeight="1" x14ac:dyDescent="0.25">
      <c r="A31" s="302" t="s">
        <v>44</v>
      </c>
      <c r="B31" s="708" t="s">
        <v>376</v>
      </c>
      <c r="C31" s="581">
        <f>+C32+C33+C34+C35+C36</f>
        <v>8228</v>
      </c>
      <c r="D31" s="589">
        <f>+D32+D33+D34+D35+D36</f>
        <v>23260</v>
      </c>
      <c r="E31" s="589">
        <f>+E32+E33+E34+E35+E36</f>
        <v>22079</v>
      </c>
      <c r="F31" s="1263">
        <f t="shared" si="0"/>
        <v>0.94922613929492694</v>
      </c>
    </row>
    <row r="32" spans="1:6" s="1" customFormat="1" ht="12" customHeight="1" x14ac:dyDescent="0.25">
      <c r="A32" s="303" t="s">
        <v>47</v>
      </c>
      <c r="B32" s="687" t="s">
        <v>242</v>
      </c>
      <c r="C32" s="630">
        <f>'8. sz. mell'!D35</f>
        <v>5604</v>
      </c>
      <c r="D32" s="628">
        <f>'8. sz. mell'!E35</f>
        <v>5604</v>
      </c>
      <c r="E32" s="628">
        <f>'8. sz. mell'!F35</f>
        <v>5603</v>
      </c>
      <c r="F32" s="1262">
        <f t="shared" si="0"/>
        <v>0.9998215560314061</v>
      </c>
    </row>
    <row r="33" spans="1:6" s="1" customFormat="1" ht="12" customHeight="1" x14ac:dyDescent="0.25">
      <c r="A33" s="303" t="s">
        <v>48</v>
      </c>
      <c r="B33" s="687" t="s">
        <v>243</v>
      </c>
      <c r="C33" s="630">
        <f>'8. sz. mell'!D36</f>
        <v>0</v>
      </c>
      <c r="D33" s="628">
        <f>'8. sz. mell'!E36</f>
        <v>0</v>
      </c>
      <c r="E33" s="628">
        <f>'8. sz. mell'!F36</f>
        <v>0</v>
      </c>
      <c r="F33" s="1262"/>
    </row>
    <row r="34" spans="1:6" s="1" customFormat="1" ht="12" customHeight="1" x14ac:dyDescent="0.25">
      <c r="A34" s="303" t="s">
        <v>49</v>
      </c>
      <c r="B34" s="687" t="s">
        <v>244</v>
      </c>
      <c r="C34" s="630">
        <f>'8. sz. mell'!D37</f>
        <v>0</v>
      </c>
      <c r="D34" s="628">
        <f>'8. sz. mell'!E37</f>
        <v>0</v>
      </c>
      <c r="E34" s="628">
        <f>'8. sz. mell'!F37</f>
        <v>0</v>
      </c>
      <c r="F34" s="1262"/>
    </row>
    <row r="35" spans="1:6" s="1" customFormat="1" ht="12" customHeight="1" x14ac:dyDescent="0.25">
      <c r="A35" s="303" t="s">
        <v>50</v>
      </c>
      <c r="B35" s="687" t="s">
        <v>245</v>
      </c>
      <c r="C35" s="630">
        <f>'8. sz. mell'!D38</f>
        <v>0</v>
      </c>
      <c r="D35" s="628">
        <f>'8. sz. mell'!E38</f>
        <v>0</v>
      </c>
      <c r="E35" s="628">
        <f>'8. sz. mell'!F38</f>
        <v>0</v>
      </c>
      <c r="F35" s="1262"/>
    </row>
    <row r="36" spans="1:6" s="1" customFormat="1" ht="12" customHeight="1" x14ac:dyDescent="0.25">
      <c r="A36" s="303" t="s">
        <v>154</v>
      </c>
      <c r="B36" s="687" t="s">
        <v>377</v>
      </c>
      <c r="C36" s="630">
        <f>'8. sz. mell'!D39</f>
        <v>2624</v>
      </c>
      <c r="D36" s="628">
        <f>'8. sz. mell'!E39+'9. sz. mell.'!E18</f>
        <v>17656</v>
      </c>
      <c r="E36" s="628">
        <f>'8. sz. mell'!F39+'9. sz. mell.'!F18</f>
        <v>16476</v>
      </c>
      <c r="F36" s="1262">
        <f t="shared" si="0"/>
        <v>0.93316719528772085</v>
      </c>
    </row>
    <row r="37" spans="1:6" s="1" customFormat="1" ht="12" customHeight="1" x14ac:dyDescent="0.25">
      <c r="A37" s="303" t="s">
        <v>45</v>
      </c>
      <c r="B37" s="709" t="s">
        <v>378</v>
      </c>
      <c r="C37" s="583">
        <f>+C38+C39+C40+C41+C42</f>
        <v>14000</v>
      </c>
      <c r="D37" s="590">
        <f>+D38+D39+D40+D41+D42</f>
        <v>14000</v>
      </c>
      <c r="E37" s="590">
        <f>+E38+E39+E40+E41+E42</f>
        <v>13691</v>
      </c>
      <c r="F37" s="1264">
        <f t="shared" si="0"/>
        <v>0.97792857142857148</v>
      </c>
    </row>
    <row r="38" spans="1:6" s="1" customFormat="1" ht="12" customHeight="1" x14ac:dyDescent="0.25">
      <c r="A38" s="303" t="s">
        <v>53</v>
      </c>
      <c r="B38" s="687" t="s">
        <v>242</v>
      </c>
      <c r="C38" s="630"/>
      <c r="D38" s="628"/>
      <c r="E38" s="628"/>
      <c r="F38" s="1262"/>
    </row>
    <row r="39" spans="1:6" s="1" customFormat="1" ht="12" customHeight="1" x14ac:dyDescent="0.25">
      <c r="A39" s="303" t="s">
        <v>54</v>
      </c>
      <c r="B39" s="687" t="s">
        <v>243</v>
      </c>
      <c r="C39" s="630"/>
      <c r="D39" s="628"/>
      <c r="E39" s="628"/>
      <c r="F39" s="1262"/>
    </row>
    <row r="40" spans="1:6" s="1" customFormat="1" ht="12" customHeight="1" x14ac:dyDescent="0.25">
      <c r="A40" s="303" t="s">
        <v>55</v>
      </c>
      <c r="B40" s="687" t="s">
        <v>244</v>
      </c>
      <c r="C40" s="630">
        <f>'8. sz. mell'!D43</f>
        <v>14000</v>
      </c>
      <c r="D40" s="628">
        <f>'8. sz. mell'!E43</f>
        <v>14000</v>
      </c>
      <c r="E40" s="628">
        <f>'8. sz. mell'!F43</f>
        <v>13691</v>
      </c>
      <c r="F40" s="1262">
        <f t="shared" si="0"/>
        <v>0.97792857142857148</v>
      </c>
    </row>
    <row r="41" spans="1:6" s="1" customFormat="1" ht="12" customHeight="1" x14ac:dyDescent="0.25">
      <c r="A41" s="303" t="s">
        <v>56</v>
      </c>
      <c r="B41" s="710" t="s">
        <v>245</v>
      </c>
      <c r="C41" s="630">
        <f>'8. sz. mell'!D44</f>
        <v>0</v>
      </c>
      <c r="D41" s="628">
        <f>'8. sz. mell'!E44</f>
        <v>0</v>
      </c>
      <c r="E41" s="628">
        <f>'8. sz. mell'!F44</f>
        <v>0</v>
      </c>
      <c r="F41" s="1262"/>
    </row>
    <row r="42" spans="1:6" s="1" customFormat="1" ht="12" customHeight="1" thickBot="1" x14ac:dyDescent="0.3">
      <c r="A42" s="304" t="s">
        <v>155</v>
      </c>
      <c r="B42" s="711" t="s">
        <v>1013</v>
      </c>
      <c r="C42" s="631"/>
      <c r="D42" s="1140"/>
      <c r="E42" s="1140"/>
      <c r="F42" s="1265"/>
    </row>
    <row r="43" spans="1:6" s="1" customFormat="1" ht="12" customHeight="1" thickBot="1" x14ac:dyDescent="0.3">
      <c r="A43" s="23" t="s">
        <v>156</v>
      </c>
      <c r="B43" s="712" t="s">
        <v>246</v>
      </c>
      <c r="C43" s="575">
        <f>+C44+C45</f>
        <v>1500</v>
      </c>
      <c r="D43" s="580">
        <f>+D44+D45</f>
        <v>1500</v>
      </c>
      <c r="E43" s="580">
        <f>+E44+E45</f>
        <v>2289</v>
      </c>
      <c r="F43" s="1208">
        <f t="shared" si="0"/>
        <v>1.526</v>
      </c>
    </row>
    <row r="44" spans="1:6" s="1" customFormat="1" ht="12" customHeight="1" x14ac:dyDescent="0.25">
      <c r="A44" s="18" t="s">
        <v>51</v>
      </c>
      <c r="B44" s="695" t="s">
        <v>247</v>
      </c>
      <c r="C44" s="633">
        <f>'8. sz. mell'!D47</f>
        <v>0</v>
      </c>
      <c r="D44" s="599">
        <f>'8. sz. mell'!E47</f>
        <v>0</v>
      </c>
      <c r="E44" s="599">
        <f>'8. sz. mell'!F47</f>
        <v>0</v>
      </c>
      <c r="F44" s="1245"/>
    </row>
    <row r="45" spans="1:6" s="1" customFormat="1" ht="12" customHeight="1" thickBot="1" x14ac:dyDescent="0.3">
      <c r="A45" s="15" t="s">
        <v>52</v>
      </c>
      <c r="B45" s="713" t="s">
        <v>251</v>
      </c>
      <c r="C45" s="634">
        <f>'8. sz. mell'!D48</f>
        <v>1500</v>
      </c>
      <c r="D45" s="622">
        <f>'8. sz. mell'!E48</f>
        <v>1500</v>
      </c>
      <c r="E45" s="622">
        <f>'8. sz. mell'!F48</f>
        <v>2289</v>
      </c>
      <c r="F45" s="1266">
        <f t="shared" si="0"/>
        <v>1.526</v>
      </c>
    </row>
    <row r="46" spans="1:6" s="1" customFormat="1" ht="12" customHeight="1" thickBot="1" x14ac:dyDescent="0.3">
      <c r="A46" s="23" t="s">
        <v>892</v>
      </c>
      <c r="B46" s="712" t="s">
        <v>250</v>
      </c>
      <c r="C46" s="575">
        <f>+C47+C48+C49</f>
        <v>414</v>
      </c>
      <c r="D46" s="580">
        <f>+D47+D48+D49</f>
        <v>414</v>
      </c>
      <c r="E46" s="580">
        <f>+E47+E48+E49</f>
        <v>484</v>
      </c>
      <c r="F46" s="1208">
        <f t="shared" si="0"/>
        <v>1.1690821256038648</v>
      </c>
    </row>
    <row r="47" spans="1:6" s="1" customFormat="1" ht="12" customHeight="1" x14ac:dyDescent="0.25">
      <c r="A47" s="18" t="s">
        <v>159</v>
      </c>
      <c r="B47" s="695" t="s">
        <v>157</v>
      </c>
      <c r="C47" s="635">
        <f>'8. sz. mell'!D50</f>
        <v>414</v>
      </c>
      <c r="D47" s="1141">
        <f>'8. sz. mell'!E50</f>
        <v>414</v>
      </c>
      <c r="E47" s="1141">
        <f>'8. sz. mell'!F50</f>
        <v>484</v>
      </c>
      <c r="F47" s="1267">
        <f t="shared" si="0"/>
        <v>1.1690821256038648</v>
      </c>
    </row>
    <row r="48" spans="1:6" s="1" customFormat="1" ht="12" customHeight="1" x14ac:dyDescent="0.25">
      <c r="A48" s="16" t="s">
        <v>160</v>
      </c>
      <c r="B48" s="687" t="s">
        <v>943</v>
      </c>
      <c r="C48" s="630">
        <f>'8. sz. mell'!D51</f>
        <v>0</v>
      </c>
      <c r="D48" s="628">
        <f>'8. sz. mell'!E51</f>
        <v>0</v>
      </c>
      <c r="E48" s="628">
        <f>'8. sz. mell'!F51</f>
        <v>0</v>
      </c>
      <c r="F48" s="1262"/>
    </row>
    <row r="49" spans="1:6" s="1" customFormat="1" ht="12" customHeight="1" thickBot="1" x14ac:dyDescent="0.3">
      <c r="A49" s="15" t="s">
        <v>308</v>
      </c>
      <c r="B49" s="713" t="s">
        <v>248</v>
      </c>
      <c r="C49" s="637"/>
      <c r="D49" s="1142"/>
      <c r="E49" s="1142"/>
      <c r="F49" s="1268"/>
    </row>
    <row r="50" spans="1:6" s="1" customFormat="1" ht="17.25" customHeight="1" thickBot="1" x14ac:dyDescent="0.3">
      <c r="A50" s="23" t="s">
        <v>161</v>
      </c>
      <c r="B50" s="714" t="s">
        <v>249</v>
      </c>
      <c r="C50" s="602"/>
      <c r="D50" s="639"/>
      <c r="E50" s="639"/>
      <c r="F50" s="1261"/>
    </row>
    <row r="51" spans="1:6" s="1" customFormat="1" ht="12" customHeight="1" thickBot="1" x14ac:dyDescent="0.3">
      <c r="A51" s="23" t="s">
        <v>894</v>
      </c>
      <c r="B51" s="26" t="s">
        <v>162</v>
      </c>
      <c r="C51" s="1074">
        <f>+C6+C11+C20+C21+C30+C43+C46+C50</f>
        <v>371949</v>
      </c>
      <c r="D51" s="585">
        <f>+D6+D11+D20+D21+D30+D43+D46+D50</f>
        <v>436260</v>
      </c>
      <c r="E51" s="585">
        <f>+E6+E11+E20+E21+E30+E43+E46+E50</f>
        <v>435817</v>
      </c>
      <c r="F51" s="1269">
        <f t="shared" si="0"/>
        <v>0.99898455049740975</v>
      </c>
    </row>
    <row r="52" spans="1:6" s="1" customFormat="1" ht="12" customHeight="1" thickBot="1" x14ac:dyDescent="0.3">
      <c r="A52" s="690" t="s">
        <v>895</v>
      </c>
      <c r="B52" s="691" t="s">
        <v>252</v>
      </c>
      <c r="C52" s="820">
        <f>C59+C53</f>
        <v>39200</v>
      </c>
      <c r="D52" s="587">
        <f>D59+D53</f>
        <v>206137</v>
      </c>
      <c r="E52" s="587">
        <f>E59+E53</f>
        <v>206137</v>
      </c>
      <c r="F52" s="1260">
        <f t="shared" si="0"/>
        <v>1</v>
      </c>
    </row>
    <row r="53" spans="1:6" s="1" customFormat="1" ht="12" customHeight="1" x14ac:dyDescent="0.25">
      <c r="A53" s="715" t="s">
        <v>92</v>
      </c>
      <c r="B53" s="708" t="s">
        <v>253</v>
      </c>
      <c r="C53" s="581">
        <f>SUM(C54:C58)</f>
        <v>39200</v>
      </c>
      <c r="D53" s="589">
        <f>SUM(D54:D58)</f>
        <v>206137</v>
      </c>
      <c r="E53" s="589">
        <f>SUM(E54:E58)</f>
        <v>206137</v>
      </c>
      <c r="F53" s="1263">
        <f t="shared" si="0"/>
        <v>1</v>
      </c>
    </row>
    <row r="54" spans="1:6" s="1" customFormat="1" ht="12" customHeight="1" x14ac:dyDescent="0.25">
      <c r="A54" s="696" t="s">
        <v>268</v>
      </c>
      <c r="B54" s="687" t="s">
        <v>254</v>
      </c>
      <c r="C54" s="630">
        <f>'8. sz. mell'!D56</f>
        <v>39200</v>
      </c>
      <c r="D54" s="628">
        <f>'8. sz. mell'!E56+'9. sz. mell.'!E28+'10. sz. mell.'!E28</f>
        <v>206137</v>
      </c>
      <c r="E54" s="628">
        <f>'8. sz. mell'!F56+'9. sz. mell.'!F28+'10. sz. mell.'!F28</f>
        <v>206137</v>
      </c>
      <c r="F54" s="1262">
        <f t="shared" si="0"/>
        <v>1</v>
      </c>
    </row>
    <row r="55" spans="1:6" s="1" customFormat="1" ht="12" customHeight="1" x14ac:dyDescent="0.25">
      <c r="A55" s="696" t="s">
        <v>269</v>
      </c>
      <c r="B55" s="687" t="s">
        <v>255</v>
      </c>
      <c r="C55" s="630"/>
      <c r="D55" s="628"/>
      <c r="E55" s="628"/>
      <c r="F55" s="1262"/>
    </row>
    <row r="56" spans="1:6" s="1" customFormat="1" ht="12" customHeight="1" x14ac:dyDescent="0.25">
      <c r="A56" s="696" t="s">
        <v>270</v>
      </c>
      <c r="B56" s="687" t="s">
        <v>256</v>
      </c>
      <c r="C56" s="630"/>
      <c r="D56" s="628"/>
      <c r="E56" s="628"/>
      <c r="F56" s="1262"/>
    </row>
    <row r="57" spans="1:6" s="1" customFormat="1" ht="12" customHeight="1" x14ac:dyDescent="0.25">
      <c r="A57" s="696" t="s">
        <v>271</v>
      </c>
      <c r="B57" s="687" t="s">
        <v>257</v>
      </c>
      <c r="C57" s="630"/>
      <c r="D57" s="628"/>
      <c r="E57" s="628"/>
      <c r="F57" s="1262"/>
    </row>
    <row r="58" spans="1:6" s="1" customFormat="1" ht="12" customHeight="1" x14ac:dyDescent="0.25">
      <c r="A58" s="696" t="s">
        <v>272</v>
      </c>
      <c r="B58" s="687" t="s">
        <v>258</v>
      </c>
      <c r="C58" s="630"/>
      <c r="D58" s="628"/>
      <c r="E58" s="628"/>
      <c r="F58" s="1262"/>
    </row>
    <row r="59" spans="1:6" s="1" customFormat="1" ht="12" customHeight="1" x14ac:dyDescent="0.25">
      <c r="A59" s="716" t="s">
        <v>93</v>
      </c>
      <c r="B59" s="709" t="s">
        <v>259</v>
      </c>
      <c r="C59" s="583"/>
      <c r="D59" s="590"/>
      <c r="E59" s="590"/>
      <c r="F59" s="1264"/>
    </row>
    <row r="60" spans="1:6" s="1" customFormat="1" ht="12" customHeight="1" x14ac:dyDescent="0.25">
      <c r="A60" s="696" t="s">
        <v>273</v>
      </c>
      <c r="B60" s="687" t="s">
        <v>944</v>
      </c>
      <c r="C60" s="630"/>
      <c r="D60" s="628"/>
      <c r="E60" s="628"/>
      <c r="F60" s="1262"/>
    </row>
    <row r="61" spans="1:6" s="1" customFormat="1" ht="12" customHeight="1" x14ac:dyDescent="0.25">
      <c r="A61" s="696" t="s">
        <v>274</v>
      </c>
      <c r="B61" s="687" t="s">
        <v>261</v>
      </c>
      <c r="C61" s="630"/>
      <c r="D61" s="628"/>
      <c r="E61" s="628"/>
      <c r="F61" s="1262"/>
    </row>
    <row r="62" spans="1:6" s="1" customFormat="1" ht="12" customHeight="1" x14ac:dyDescent="0.25">
      <c r="A62" s="696" t="s">
        <v>275</v>
      </c>
      <c r="B62" s="687" t="s">
        <v>262</v>
      </c>
      <c r="C62" s="630"/>
      <c r="D62" s="628"/>
      <c r="E62" s="628"/>
      <c r="F62" s="1262"/>
    </row>
    <row r="63" spans="1:6" s="1" customFormat="1" ht="12" customHeight="1" x14ac:dyDescent="0.25">
      <c r="A63" s="696" t="s">
        <v>276</v>
      </c>
      <c r="B63" s="687" t="s">
        <v>263</v>
      </c>
      <c r="C63" s="630"/>
      <c r="D63" s="628"/>
      <c r="E63" s="628"/>
      <c r="F63" s="1262"/>
    </row>
    <row r="64" spans="1:6" s="1" customFormat="1" ht="12" customHeight="1" thickBot="1" x14ac:dyDescent="0.3">
      <c r="A64" s="717" t="s">
        <v>277</v>
      </c>
      <c r="B64" s="713" t="s">
        <v>264</v>
      </c>
      <c r="C64" s="1075"/>
      <c r="D64" s="640"/>
      <c r="E64" s="640"/>
      <c r="F64" s="1270"/>
    </row>
    <row r="65" spans="1:9" s="1" customFormat="1" ht="12" customHeight="1" thickBot="1" x14ac:dyDescent="0.3">
      <c r="A65" s="718" t="s">
        <v>896</v>
      </c>
      <c r="B65" s="699" t="s">
        <v>265</v>
      </c>
      <c r="C65" s="820">
        <f>+C51+C52</f>
        <v>411149</v>
      </c>
      <c r="D65" s="587">
        <f>+D51+D52</f>
        <v>642397</v>
      </c>
      <c r="E65" s="587">
        <f>+E51+E52</f>
        <v>641954</v>
      </c>
      <c r="F65" s="1260">
        <f t="shared" si="0"/>
        <v>0.99931039528515853</v>
      </c>
      <c r="H65" s="676"/>
      <c r="I65" s="676"/>
    </row>
    <row r="66" spans="1:9" s="1" customFormat="1" ht="13.5" customHeight="1" thickBot="1" x14ac:dyDescent="0.3">
      <c r="A66" s="719" t="s">
        <v>897</v>
      </c>
      <c r="B66" s="701" t="s">
        <v>266</v>
      </c>
      <c r="C66" s="1076"/>
      <c r="D66" s="642"/>
      <c r="E66" s="642"/>
      <c r="F66" s="1271"/>
      <c r="I66" s="676"/>
    </row>
    <row r="67" spans="1:9" s="1" customFormat="1" ht="12" customHeight="1" thickBot="1" x14ac:dyDescent="0.3">
      <c r="A67" s="718" t="s">
        <v>898</v>
      </c>
      <c r="B67" s="699" t="s">
        <v>267</v>
      </c>
      <c r="C67" s="820">
        <f>+C65+C66</f>
        <v>411149</v>
      </c>
      <c r="D67" s="587">
        <f>+D65+D66</f>
        <v>642397</v>
      </c>
      <c r="E67" s="587">
        <f>+E65+E66</f>
        <v>641954</v>
      </c>
      <c r="F67" s="1260">
        <f t="shared" si="0"/>
        <v>0.99931039528515853</v>
      </c>
    </row>
    <row r="68" spans="1:9" s="1" customFormat="1" ht="12.9" customHeight="1" x14ac:dyDescent="0.25">
      <c r="A68" s="6"/>
      <c r="B68" s="7"/>
      <c r="C68" s="591"/>
    </row>
    <row r="69" spans="1:9" ht="16.5" customHeight="1" x14ac:dyDescent="0.3">
      <c r="A69" s="1349" t="s">
        <v>914</v>
      </c>
      <c r="B69" s="1349"/>
      <c r="C69" s="1349"/>
      <c r="D69" s="1349"/>
      <c r="E69" s="1349"/>
      <c r="F69" s="1349"/>
    </row>
    <row r="70" spans="1:9" s="331" customFormat="1" ht="16.5" customHeight="1" thickBot="1" x14ac:dyDescent="0.35">
      <c r="A70" s="1348" t="s">
        <v>100</v>
      </c>
      <c r="B70" s="1348"/>
      <c r="C70" s="329"/>
    </row>
    <row r="71" spans="1:9" ht="38.1" customHeight="1" thickBot="1" x14ac:dyDescent="0.35">
      <c r="A71" s="27" t="s">
        <v>883</v>
      </c>
      <c r="B71" s="28" t="s">
        <v>915</v>
      </c>
      <c r="C71" s="539" t="s">
        <v>1170</v>
      </c>
      <c r="D71" s="1136" t="s">
        <v>1171</v>
      </c>
      <c r="E71" s="1135" t="s">
        <v>1218</v>
      </c>
      <c r="F71" s="197" t="s">
        <v>1219</v>
      </c>
    </row>
    <row r="72" spans="1:9" s="43" customFormat="1" ht="12" customHeight="1" thickBot="1" x14ac:dyDescent="0.25">
      <c r="A72" s="37" t="s">
        <v>885</v>
      </c>
      <c r="B72" s="38" t="s">
        <v>886</v>
      </c>
      <c r="C72" s="38" t="s">
        <v>887</v>
      </c>
      <c r="D72" s="38" t="s">
        <v>888</v>
      </c>
      <c r="E72" s="38" t="s">
        <v>889</v>
      </c>
      <c r="F72" s="38" t="s">
        <v>890</v>
      </c>
    </row>
    <row r="73" spans="1:9" ht="12" customHeight="1" thickBot="1" x14ac:dyDescent="0.35">
      <c r="A73" s="25" t="s">
        <v>885</v>
      </c>
      <c r="B73" s="35" t="s">
        <v>163</v>
      </c>
      <c r="C73" s="814">
        <f>+C74+C75+C76+C77+C78</f>
        <v>350547</v>
      </c>
      <c r="D73" s="573">
        <f>+D74+D75+D76+D77+D78</f>
        <v>356606</v>
      </c>
      <c r="E73" s="573">
        <f>+E74+E75+E76+E77+E78</f>
        <v>309836</v>
      </c>
      <c r="F73" s="1216">
        <f>E73/D73</f>
        <v>0.86884685058580058</v>
      </c>
    </row>
    <row r="74" spans="1:9" ht="12" customHeight="1" x14ac:dyDescent="0.3">
      <c r="A74" s="20" t="s">
        <v>57</v>
      </c>
      <c r="B74" s="12" t="s">
        <v>916</v>
      </c>
      <c r="C74" s="592">
        <f>'8. sz. mell'!D65+'9. sz. mell.'!D37+'10. sz. mell.'!D36</f>
        <v>155321</v>
      </c>
      <c r="D74" s="592">
        <f>'8. sz. mell'!E65+'9. sz. mell.'!E37+'10. sz. mell.'!E36</f>
        <v>163595</v>
      </c>
      <c r="E74" s="592">
        <f>'8. sz. mell'!F65+'9. sz. mell.'!F37+'10. sz. mell.'!F36</f>
        <v>157106</v>
      </c>
      <c r="F74" s="1256">
        <f t="shared" ref="F74:F122" si="1">E74/D74</f>
        <v>0.96033497356276165</v>
      </c>
    </row>
    <row r="75" spans="1:9" ht="12" customHeight="1" x14ac:dyDescent="0.3">
      <c r="A75" s="16" t="s">
        <v>58</v>
      </c>
      <c r="B75" s="9" t="s">
        <v>164</v>
      </c>
      <c r="C75" s="594">
        <f>'8. sz. mell'!D66+'9. sz. mell.'!D38+'10. sz. mell.'!D37</f>
        <v>34243</v>
      </c>
      <c r="D75" s="594">
        <f>'8. sz. mell'!E66+'9. sz. mell.'!E38+'10. sz. mell.'!E37</f>
        <v>35801</v>
      </c>
      <c r="E75" s="594">
        <f>'8. sz. mell'!F66+'9. sz. mell.'!F38+'10. sz. mell.'!F37</f>
        <v>31972</v>
      </c>
      <c r="F75" s="1244">
        <f t="shared" si="1"/>
        <v>0.89304768023239578</v>
      </c>
    </row>
    <row r="76" spans="1:9" ht="12" customHeight="1" x14ac:dyDescent="0.3">
      <c r="A76" s="16" t="s">
        <v>59</v>
      </c>
      <c r="B76" s="9" t="s">
        <v>88</v>
      </c>
      <c r="C76" s="594">
        <f>'8. sz. mell'!D67+'9. sz. mell.'!D39+'10. sz. mell.'!D38-'1.3.sz.mell._önk'!C76</f>
        <v>140676</v>
      </c>
      <c r="D76" s="594">
        <f>'8. sz. mell'!E67+'9. sz. mell.'!E39+'10. sz. mell.'!E38-'1.3.sz.mell._önk'!D76</f>
        <v>98471</v>
      </c>
      <c r="E76" s="594">
        <f>'8. sz. mell'!F67+'9. sz. mell.'!F39+'10. sz. mell.'!F38-'1.3.sz.mell._önk'!E76</f>
        <v>85812</v>
      </c>
      <c r="F76" s="1244">
        <f t="shared" si="1"/>
        <v>0.87144438464116336</v>
      </c>
    </row>
    <row r="77" spans="1:9" ht="12" customHeight="1" x14ac:dyDescent="0.3">
      <c r="A77" s="16" t="s">
        <v>60</v>
      </c>
      <c r="B77" s="13" t="s">
        <v>165</v>
      </c>
      <c r="C77" s="594">
        <f>'8. sz. mell'!D68+'9. sz. mell.'!D40+'10. sz. mell.'!D39</f>
        <v>17587</v>
      </c>
      <c r="D77" s="594">
        <f>'8. sz. mell'!E68+'9. sz. mell.'!E40+'10. sz. mell.'!E39</f>
        <v>18693</v>
      </c>
      <c r="E77" s="594">
        <f>'8. sz. mell'!F68+'9. sz. mell.'!F40+'10. sz. mell.'!F39</f>
        <v>16450</v>
      </c>
      <c r="F77" s="1244">
        <f t="shared" si="1"/>
        <v>0.88000855935376876</v>
      </c>
    </row>
    <row r="78" spans="1:9" ht="12" customHeight="1" x14ac:dyDescent="0.3">
      <c r="A78" s="16" t="s">
        <v>71</v>
      </c>
      <c r="B78" s="22" t="s">
        <v>166</v>
      </c>
      <c r="C78" s="595">
        <f>SUM(C79:C85)</f>
        <v>2720</v>
      </c>
      <c r="D78" s="595">
        <f>SUM(D79:D85)</f>
        <v>40046</v>
      </c>
      <c r="E78" s="595">
        <f>SUM(E79:E85)</f>
        <v>18496</v>
      </c>
      <c r="F78" s="1257">
        <f t="shared" si="1"/>
        <v>0.46186885082155521</v>
      </c>
    </row>
    <row r="79" spans="1:9" ht="12" customHeight="1" x14ac:dyDescent="0.3">
      <c r="A79" s="16" t="s">
        <v>61</v>
      </c>
      <c r="B79" s="9" t="s">
        <v>188</v>
      </c>
      <c r="C79" s="601">
        <f>'8. sz. mell'!D70</f>
        <v>0</v>
      </c>
      <c r="D79" s="595">
        <f>'8. sz. mell'!E70</f>
        <v>0</v>
      </c>
      <c r="E79" s="595">
        <f>'8. sz. mell'!F70</f>
        <v>0</v>
      </c>
      <c r="F79" s="1257"/>
    </row>
    <row r="80" spans="1:9" ht="12" customHeight="1" x14ac:dyDescent="0.3">
      <c r="A80" s="16" t="s">
        <v>62</v>
      </c>
      <c r="B80" s="143" t="s">
        <v>189</v>
      </c>
      <c r="C80" s="601">
        <f>'8. sz. mell'!D71</f>
        <v>0</v>
      </c>
      <c r="D80" s="595">
        <f>'8. sz. mell'!E71</f>
        <v>0</v>
      </c>
      <c r="E80" s="595">
        <f>'8. sz. mell'!F71</f>
        <v>0</v>
      </c>
      <c r="F80" s="1257"/>
    </row>
    <row r="81" spans="1:6" ht="12" customHeight="1" x14ac:dyDescent="0.3">
      <c r="A81" s="16" t="s">
        <v>72</v>
      </c>
      <c r="B81" s="143" t="s">
        <v>278</v>
      </c>
      <c r="C81" s="601">
        <f>'8. sz. mell'!D72</f>
        <v>500</v>
      </c>
      <c r="D81" s="595">
        <f>'8. sz. mell'!E72</f>
        <v>500</v>
      </c>
      <c r="E81" s="595">
        <f>'8. sz. mell'!F72</f>
        <v>250</v>
      </c>
      <c r="F81" s="1257">
        <f t="shared" si="1"/>
        <v>0.5</v>
      </c>
    </row>
    <row r="82" spans="1:6" ht="12" customHeight="1" x14ac:dyDescent="0.3">
      <c r="A82" s="16" t="s">
        <v>73</v>
      </c>
      <c r="B82" s="144" t="s">
        <v>190</v>
      </c>
      <c r="C82" s="601">
        <f>'8. sz. mell'!D73</f>
        <v>2220</v>
      </c>
      <c r="D82" s="595">
        <f>'8. sz. mell'!E73</f>
        <v>14366</v>
      </c>
      <c r="E82" s="595">
        <f>'8. sz. mell'!F73</f>
        <v>11545</v>
      </c>
      <c r="F82" s="1257">
        <f t="shared" si="1"/>
        <v>0.80363357928442158</v>
      </c>
    </row>
    <row r="83" spans="1:6" ht="12" customHeight="1" x14ac:dyDescent="0.3">
      <c r="A83" s="15" t="s">
        <v>74</v>
      </c>
      <c r="B83" s="145" t="s">
        <v>191</v>
      </c>
      <c r="C83" s="601"/>
      <c r="D83" s="595">
        <f>'8. sz. mell'!E75</f>
        <v>1737</v>
      </c>
      <c r="E83" s="595">
        <f>'8. sz. mell'!F75</f>
        <v>1737</v>
      </c>
      <c r="F83" s="1257">
        <f t="shared" si="1"/>
        <v>1</v>
      </c>
    </row>
    <row r="84" spans="1:6" ht="12" customHeight="1" x14ac:dyDescent="0.3">
      <c r="A84" s="16" t="s">
        <v>75</v>
      </c>
      <c r="B84" s="145" t="s">
        <v>192</v>
      </c>
      <c r="C84" s="601">
        <f>'8. sz. mell'!D75</f>
        <v>0</v>
      </c>
      <c r="D84" s="595"/>
      <c r="E84" s="595"/>
      <c r="F84" s="1257"/>
    </row>
    <row r="85" spans="1:6" ht="12" customHeight="1" thickBot="1" x14ac:dyDescent="0.35">
      <c r="A85" s="21" t="s">
        <v>77</v>
      </c>
      <c r="B85" s="146" t="s">
        <v>1015</v>
      </c>
      <c r="C85" s="601">
        <f>'8. sz. mell'!D77</f>
        <v>0</v>
      </c>
      <c r="D85" s="595">
        <f>'9. sz. mell.'!E42+'10. sz. mell.'!E41+'8. sz. mell'!E77</f>
        <v>23443</v>
      </c>
      <c r="E85" s="595">
        <f>'9. sz. mell.'!F42+'10. sz. mell.'!F41+'8. sz. mell'!F77</f>
        <v>4964</v>
      </c>
      <c r="F85" s="1257">
        <f t="shared" si="1"/>
        <v>0.21174764321972445</v>
      </c>
    </row>
    <row r="86" spans="1:6" ht="12" customHeight="1" thickBot="1" x14ac:dyDescent="0.35">
      <c r="A86" s="23" t="s">
        <v>886</v>
      </c>
      <c r="B86" s="34" t="s">
        <v>309</v>
      </c>
      <c r="C86" s="575">
        <f>+C87+C88+C89</f>
        <v>41236</v>
      </c>
      <c r="D86" s="580">
        <f>+D87+D88+D89</f>
        <v>187772.17800000001</v>
      </c>
      <c r="E86" s="580">
        <f>+E87+E88+E89</f>
        <v>54774.964</v>
      </c>
      <c r="F86" s="1208">
        <f t="shared" si="1"/>
        <v>0.29170969087869875</v>
      </c>
    </row>
    <row r="87" spans="1:6" ht="12" customHeight="1" x14ac:dyDescent="0.3">
      <c r="A87" s="18" t="s">
        <v>63</v>
      </c>
      <c r="B87" s="9" t="s">
        <v>279</v>
      </c>
      <c r="C87" s="633">
        <f>'8. sz. mell'!D79</f>
        <v>29586</v>
      </c>
      <c r="D87" s="599">
        <f>'8. sz. mell'!E79+'10. sz. mell.'!E43+'9. sz. mell.'!E44</f>
        <v>170319.17800000001</v>
      </c>
      <c r="E87" s="599">
        <f>'8. sz. mell'!F79+'10. sz. mell.'!F43+'9. sz. mell.'!F44</f>
        <v>47976.906000000003</v>
      </c>
      <c r="F87" s="1245">
        <f t="shared" si="1"/>
        <v>0.28168821951453993</v>
      </c>
    </row>
    <row r="88" spans="1:6" ht="12" customHeight="1" x14ac:dyDescent="0.3">
      <c r="A88" s="18" t="s">
        <v>64</v>
      </c>
      <c r="B88" s="14" t="s">
        <v>168</v>
      </c>
      <c r="C88" s="633">
        <f>'8. sz. mell'!D80</f>
        <v>11650</v>
      </c>
      <c r="D88" s="599">
        <f>'8. sz. mell'!E80</f>
        <v>17453</v>
      </c>
      <c r="E88" s="599">
        <f>'8. sz. mell'!F80</f>
        <v>6798.058</v>
      </c>
      <c r="F88" s="1245">
        <f t="shared" si="1"/>
        <v>0.3895065604767089</v>
      </c>
    </row>
    <row r="89" spans="1:6" ht="12" customHeight="1" x14ac:dyDescent="0.3">
      <c r="A89" s="18" t="s">
        <v>65</v>
      </c>
      <c r="B89" s="687" t="s">
        <v>310</v>
      </c>
      <c r="C89" s="633">
        <f>'8. sz. mell'!D81</f>
        <v>0</v>
      </c>
      <c r="D89" s="599">
        <f>'8. sz. mell'!E81</f>
        <v>0</v>
      </c>
      <c r="E89" s="599">
        <f>'8. sz. mell'!F81</f>
        <v>0</v>
      </c>
      <c r="F89" s="1245"/>
    </row>
    <row r="90" spans="1:6" ht="12" customHeight="1" x14ac:dyDescent="0.3">
      <c r="A90" s="18" t="s">
        <v>66</v>
      </c>
      <c r="B90" s="687" t="s">
        <v>380</v>
      </c>
      <c r="C90" s="633">
        <f>'8. sz. mell'!D82</f>
        <v>0</v>
      </c>
      <c r="D90" s="599">
        <f>'8. sz. mell'!E82</f>
        <v>0</v>
      </c>
      <c r="E90" s="599">
        <f>'8. sz. mell'!F82</f>
        <v>0</v>
      </c>
      <c r="F90" s="1245"/>
    </row>
    <row r="91" spans="1:6" ht="12" customHeight="1" x14ac:dyDescent="0.3">
      <c r="A91" s="18" t="s">
        <v>67</v>
      </c>
      <c r="B91" s="687" t="s">
        <v>311</v>
      </c>
      <c r="C91" s="633">
        <f>'8. sz. mell'!D83</f>
        <v>0</v>
      </c>
      <c r="D91" s="599">
        <f>'8. sz. mell'!E83</f>
        <v>0</v>
      </c>
      <c r="E91" s="599">
        <f>'8. sz. mell'!F83</f>
        <v>0</v>
      </c>
      <c r="F91" s="1245"/>
    </row>
    <row r="92" spans="1:6" x14ac:dyDescent="0.3">
      <c r="A92" s="18" t="s">
        <v>76</v>
      </c>
      <c r="B92" s="687" t="s">
        <v>312</v>
      </c>
      <c r="C92" s="633">
        <f>'8. sz. mell'!D84</f>
        <v>0</v>
      </c>
      <c r="D92" s="599">
        <f>'8. sz. mell'!E84</f>
        <v>0</v>
      </c>
      <c r="E92" s="599">
        <f>'8. sz. mell'!F84</f>
        <v>0</v>
      </c>
      <c r="F92" s="1245"/>
    </row>
    <row r="93" spans="1:6" ht="12" customHeight="1" x14ac:dyDescent="0.3">
      <c r="A93" s="18" t="s">
        <v>78</v>
      </c>
      <c r="B93" s="688" t="s">
        <v>283</v>
      </c>
      <c r="C93" s="633">
        <f>'8. sz. mell'!D85</f>
        <v>0</v>
      </c>
      <c r="D93" s="599">
        <f>'8. sz. mell'!E85</f>
        <v>0</v>
      </c>
      <c r="E93" s="599">
        <f>'8. sz. mell'!F85</f>
        <v>0</v>
      </c>
      <c r="F93" s="1245"/>
    </row>
    <row r="94" spans="1:6" ht="12" customHeight="1" x14ac:dyDescent="0.3">
      <c r="A94" s="18" t="s">
        <v>169</v>
      </c>
      <c r="B94" s="688" t="s">
        <v>284</v>
      </c>
      <c r="C94" s="633">
        <f>'8. sz. mell'!D86</f>
        <v>0</v>
      </c>
      <c r="D94" s="599">
        <f>'8. sz. mell'!E86</f>
        <v>0</v>
      </c>
      <c r="E94" s="599">
        <f>'8. sz. mell'!F86</f>
        <v>0</v>
      </c>
      <c r="F94" s="1245"/>
    </row>
    <row r="95" spans="1:6" ht="12" customHeight="1" x14ac:dyDescent="0.3">
      <c r="A95" s="18" t="s">
        <v>170</v>
      </c>
      <c r="B95" s="688" t="s">
        <v>282</v>
      </c>
      <c r="C95" s="633">
        <f>'8. sz. mell'!D87</f>
        <v>0</v>
      </c>
      <c r="D95" s="599">
        <f>'8. sz. mell'!E87</f>
        <v>0</v>
      </c>
      <c r="E95" s="599">
        <f>'8. sz. mell'!F87</f>
        <v>0</v>
      </c>
      <c r="F95" s="1245"/>
    </row>
    <row r="96" spans="1:6" ht="24" customHeight="1" thickBot="1" x14ac:dyDescent="0.35">
      <c r="A96" s="15" t="s">
        <v>171</v>
      </c>
      <c r="B96" s="689" t="s">
        <v>281</v>
      </c>
      <c r="C96" s="601"/>
      <c r="D96" s="595"/>
      <c r="E96" s="595"/>
      <c r="F96" s="1257"/>
    </row>
    <row r="97" spans="1:6" ht="12" customHeight="1" thickBot="1" x14ac:dyDescent="0.35">
      <c r="A97" s="23" t="s">
        <v>887</v>
      </c>
      <c r="B97" s="125" t="s">
        <v>313</v>
      </c>
      <c r="C97" s="575">
        <f>+C98+C99</f>
        <v>19366</v>
      </c>
      <c r="D97" s="580">
        <f>+D98+D99</f>
        <v>90711</v>
      </c>
      <c r="E97" s="1280">
        <v>0</v>
      </c>
      <c r="F97" s="1208">
        <f t="shared" si="1"/>
        <v>0</v>
      </c>
    </row>
    <row r="98" spans="1:6" ht="12" customHeight="1" x14ac:dyDescent="0.3">
      <c r="A98" s="18" t="s">
        <v>37</v>
      </c>
      <c r="B98" s="11" t="s">
        <v>3</v>
      </c>
      <c r="C98" s="633">
        <f>'8. sz. mell'!D90</f>
        <v>19366</v>
      </c>
      <c r="D98" s="599">
        <f>'8. sz. mell'!E90</f>
        <v>29037</v>
      </c>
      <c r="E98" s="1281">
        <v>0</v>
      </c>
      <c r="F98" s="1245">
        <f t="shared" si="1"/>
        <v>0</v>
      </c>
    </row>
    <row r="99" spans="1:6" ht="12" customHeight="1" thickBot="1" x14ac:dyDescent="0.35">
      <c r="A99" s="19" t="s">
        <v>38</v>
      </c>
      <c r="B99" s="14" t="s">
        <v>4</v>
      </c>
      <c r="C99" s="601">
        <f>'8. sz. mell'!D91</f>
        <v>0</v>
      </c>
      <c r="D99" s="595">
        <f>'8. sz. mell'!E91</f>
        <v>61674</v>
      </c>
      <c r="E99" s="1282">
        <v>0</v>
      </c>
      <c r="F99" s="1257">
        <f t="shared" si="1"/>
        <v>0</v>
      </c>
    </row>
    <row r="100" spans="1:6" s="307" customFormat="1" ht="12" customHeight="1" thickBot="1" x14ac:dyDescent="0.3">
      <c r="A100" s="690" t="s">
        <v>888</v>
      </c>
      <c r="B100" s="691" t="s">
        <v>285</v>
      </c>
      <c r="C100" s="602"/>
      <c r="D100" s="639"/>
      <c r="E100" s="639"/>
      <c r="F100" s="1261"/>
    </row>
    <row r="101" spans="1:6" ht="12" customHeight="1" thickBot="1" x14ac:dyDescent="0.35">
      <c r="A101" s="305" t="s">
        <v>889</v>
      </c>
      <c r="B101" s="306" t="s">
        <v>105</v>
      </c>
      <c r="C101" s="814">
        <f>+C73+C86+C97+C100</f>
        <v>411149</v>
      </c>
      <c r="D101" s="573">
        <f>+D73+D86+D97+D100</f>
        <v>635089.17800000007</v>
      </c>
      <c r="E101" s="573">
        <f>+E73+E86+E97+E100</f>
        <v>364610.96399999998</v>
      </c>
      <c r="F101" s="1216">
        <f t="shared" si="1"/>
        <v>0.5741098677641141</v>
      </c>
    </row>
    <row r="102" spans="1:6" ht="12" customHeight="1" thickBot="1" x14ac:dyDescent="0.35">
      <c r="A102" s="690" t="s">
        <v>890</v>
      </c>
      <c r="B102" s="691" t="s">
        <v>381</v>
      </c>
      <c r="C102" s="575">
        <f>+C103+C111</f>
        <v>0</v>
      </c>
      <c r="D102" s="580">
        <f>+D103+D111</f>
        <v>7308</v>
      </c>
      <c r="E102" s="580">
        <f>+E103+E111</f>
        <v>7308</v>
      </c>
      <c r="F102" s="1208">
        <f t="shared" si="1"/>
        <v>1</v>
      </c>
    </row>
    <row r="103" spans="1:6" ht="12" customHeight="1" thickBot="1" x14ac:dyDescent="0.35">
      <c r="A103" s="692" t="s">
        <v>44</v>
      </c>
      <c r="B103" s="693" t="s">
        <v>386</v>
      </c>
      <c r="C103" s="1090">
        <f>+C104+C105+C106+C107+C108+C109+C110</f>
        <v>0</v>
      </c>
      <c r="D103" s="1143">
        <f>+D104+D105+D106+D107+D108+D109+D110</f>
        <v>7308</v>
      </c>
      <c r="E103" s="1143">
        <f>+E104+E105+E106+E107+E108+E109+E110</f>
        <v>7308</v>
      </c>
      <c r="F103" s="1272">
        <f t="shared" si="1"/>
        <v>1</v>
      </c>
    </row>
    <row r="104" spans="1:6" ht="12" customHeight="1" x14ac:dyDescent="0.3">
      <c r="A104" s="694" t="s">
        <v>47</v>
      </c>
      <c r="B104" s="695" t="s">
        <v>286</v>
      </c>
      <c r="C104" s="1091"/>
      <c r="D104" s="1144"/>
      <c r="E104" s="1150"/>
      <c r="F104" s="1273"/>
    </row>
    <row r="105" spans="1:6" ht="12" customHeight="1" x14ac:dyDescent="0.3">
      <c r="A105" s="696" t="s">
        <v>48</v>
      </c>
      <c r="B105" s="687" t="s">
        <v>287</v>
      </c>
      <c r="C105" s="1092"/>
      <c r="D105" s="1145"/>
      <c r="E105" s="1151"/>
      <c r="F105" s="1274"/>
    </row>
    <row r="106" spans="1:6" ht="12" customHeight="1" x14ac:dyDescent="0.3">
      <c r="A106" s="696" t="s">
        <v>49</v>
      </c>
      <c r="B106" s="687" t="s">
        <v>288</v>
      </c>
      <c r="C106" s="1092"/>
      <c r="D106" s="1145"/>
      <c r="E106" s="1151"/>
      <c r="F106" s="1274"/>
    </row>
    <row r="107" spans="1:6" ht="12" customHeight="1" x14ac:dyDescent="0.3">
      <c r="A107" s="696" t="s">
        <v>50</v>
      </c>
      <c r="B107" s="687" t="s">
        <v>289</v>
      </c>
      <c r="C107" s="1092"/>
      <c r="D107" s="1145"/>
      <c r="E107" s="1151"/>
      <c r="F107" s="1274"/>
    </row>
    <row r="108" spans="1:6" ht="12" customHeight="1" x14ac:dyDescent="0.3">
      <c r="A108" s="696" t="s">
        <v>154</v>
      </c>
      <c r="B108" s="687" t="s">
        <v>290</v>
      </c>
      <c r="C108" s="1092"/>
      <c r="D108" s="1145"/>
      <c r="E108" s="1151"/>
      <c r="F108" s="1274"/>
    </row>
    <row r="109" spans="1:6" ht="12" customHeight="1" x14ac:dyDescent="0.3">
      <c r="A109" s="696" t="s">
        <v>172</v>
      </c>
      <c r="B109" s="687" t="s">
        <v>291</v>
      </c>
      <c r="C109" s="1092"/>
      <c r="D109" s="1145"/>
      <c r="E109" s="1151"/>
      <c r="F109" s="1274"/>
    </row>
    <row r="110" spans="1:6" ht="12" customHeight="1" thickBot="1" x14ac:dyDescent="0.35">
      <c r="A110" s="697" t="s">
        <v>173</v>
      </c>
      <c r="B110" s="698" t="s">
        <v>1162</v>
      </c>
      <c r="C110" s="1093"/>
      <c r="D110" s="1146">
        <f>'8. sz. mell'!E96</f>
        <v>7308</v>
      </c>
      <c r="E110" s="1146">
        <f>'8. sz. mell'!F96</f>
        <v>7308</v>
      </c>
      <c r="F110" s="1275">
        <f t="shared" si="1"/>
        <v>1</v>
      </c>
    </row>
    <row r="111" spans="1:6" ht="12" customHeight="1" thickBot="1" x14ac:dyDescent="0.35">
      <c r="A111" s="692" t="s">
        <v>45</v>
      </c>
      <c r="B111" s="693" t="s">
        <v>387</v>
      </c>
      <c r="C111" s="1090">
        <f>+C112+C113+C114+C115+C116+C117+C118+C119</f>
        <v>0</v>
      </c>
      <c r="D111" s="1143">
        <f>+D112+D113+D114+D115+D116+D117+D118+D119</f>
        <v>0</v>
      </c>
      <c r="E111" s="1143">
        <f>+E112+E113+E114+E115+E116+E117+E118+E119</f>
        <v>0</v>
      </c>
      <c r="F111" s="1272"/>
    </row>
    <row r="112" spans="1:6" ht="12" customHeight="1" x14ac:dyDescent="0.3">
      <c r="A112" s="694" t="s">
        <v>53</v>
      </c>
      <c r="B112" s="695" t="s">
        <v>286</v>
      </c>
      <c r="C112" s="1091"/>
      <c r="D112" s="1144"/>
      <c r="E112" s="1144"/>
      <c r="F112" s="1276"/>
    </row>
    <row r="113" spans="1:9" ht="12" customHeight="1" x14ac:dyDescent="0.3">
      <c r="A113" s="696" t="s">
        <v>54</v>
      </c>
      <c r="B113" s="687" t="s">
        <v>293</v>
      </c>
      <c r="C113" s="1092"/>
      <c r="D113" s="1145"/>
      <c r="E113" s="1145"/>
      <c r="F113" s="1277"/>
    </row>
    <row r="114" spans="1:9" ht="12" customHeight="1" x14ac:dyDescent="0.3">
      <c r="A114" s="696" t="s">
        <v>55</v>
      </c>
      <c r="B114" s="687" t="s">
        <v>288</v>
      </c>
      <c r="C114" s="1092"/>
      <c r="D114" s="1145"/>
      <c r="E114" s="1145"/>
      <c r="F114" s="1277"/>
    </row>
    <row r="115" spans="1:9" ht="12" customHeight="1" x14ac:dyDescent="0.3">
      <c r="A115" s="696" t="s">
        <v>56</v>
      </c>
      <c r="B115" s="687" t="s">
        <v>289</v>
      </c>
      <c r="C115" s="1092"/>
      <c r="D115" s="1145"/>
      <c r="E115" s="1145"/>
      <c r="F115" s="1277"/>
    </row>
    <row r="116" spans="1:9" ht="12" customHeight="1" x14ac:dyDescent="0.3">
      <c r="A116" s="696" t="s">
        <v>155</v>
      </c>
      <c r="B116" s="687" t="s">
        <v>290</v>
      </c>
      <c r="C116" s="1092"/>
      <c r="D116" s="1145"/>
      <c r="E116" s="1145"/>
      <c r="F116" s="1277"/>
    </row>
    <row r="117" spans="1:9" ht="12" customHeight="1" x14ac:dyDescent="0.3">
      <c r="A117" s="696" t="s">
        <v>174</v>
      </c>
      <c r="B117" s="687" t="s">
        <v>294</v>
      </c>
      <c r="C117" s="1092"/>
      <c r="D117" s="1145"/>
      <c r="E117" s="1145"/>
      <c r="F117" s="1277"/>
    </row>
    <row r="118" spans="1:9" ht="12" customHeight="1" x14ac:dyDescent="0.3">
      <c r="A118" s="696" t="s">
        <v>175</v>
      </c>
      <c r="B118" s="687" t="s">
        <v>292</v>
      </c>
      <c r="C118" s="1092"/>
      <c r="D118" s="1145"/>
      <c r="E118" s="1145"/>
      <c r="F118" s="1277"/>
    </row>
    <row r="119" spans="1:9" ht="12" customHeight="1" thickBot="1" x14ac:dyDescent="0.35">
      <c r="A119" s="697" t="s">
        <v>176</v>
      </c>
      <c r="B119" s="698" t="s">
        <v>384</v>
      </c>
      <c r="C119" s="1093"/>
      <c r="D119" s="1147"/>
      <c r="E119" s="1147"/>
      <c r="F119" s="1275"/>
    </row>
    <row r="120" spans="1:9" ht="12" customHeight="1" thickBot="1" x14ac:dyDescent="0.35">
      <c r="A120" s="690" t="s">
        <v>891</v>
      </c>
      <c r="B120" s="699" t="s">
        <v>295</v>
      </c>
      <c r="C120" s="1094">
        <f>+C101+C102</f>
        <v>411149</v>
      </c>
      <c r="D120" s="1148">
        <f>+D101+D102</f>
        <v>642397.17800000007</v>
      </c>
      <c r="E120" s="1148">
        <f>+E101+E102</f>
        <v>371918.96399999998</v>
      </c>
      <c r="F120" s="1278">
        <f t="shared" si="1"/>
        <v>0.57895485337888575</v>
      </c>
    </row>
    <row r="121" spans="1:9" ht="15" customHeight="1" thickBot="1" x14ac:dyDescent="0.35">
      <c r="A121" s="690" t="s">
        <v>892</v>
      </c>
      <c r="B121" s="699" t="s">
        <v>296</v>
      </c>
      <c r="C121" s="1095"/>
      <c r="D121" s="1149"/>
      <c r="E121" s="1149"/>
      <c r="F121" s="1279"/>
    </row>
    <row r="122" spans="1:9" s="1" customFormat="1" ht="12.9" customHeight="1" thickBot="1" x14ac:dyDescent="0.3">
      <c r="A122" s="700" t="s">
        <v>893</v>
      </c>
      <c r="B122" s="701" t="s">
        <v>297</v>
      </c>
      <c r="C122" s="820">
        <f>+C120+C121</f>
        <v>411149</v>
      </c>
      <c r="D122" s="587">
        <f>+D120+D121</f>
        <v>642397.17800000007</v>
      </c>
      <c r="E122" s="587">
        <f>+E120+E121</f>
        <v>371918.96399999998</v>
      </c>
      <c r="F122" s="1260">
        <f t="shared" si="1"/>
        <v>0.57895485337888575</v>
      </c>
      <c r="I122" s="676"/>
    </row>
    <row r="123" spans="1:9" ht="15.75" customHeight="1" x14ac:dyDescent="0.3">
      <c r="A123" s="412"/>
      <c r="B123" s="412"/>
      <c r="C123" s="614"/>
      <c r="D123" s="43"/>
    </row>
    <row r="124" spans="1:9" x14ac:dyDescent="0.3">
      <c r="A124" s="1351" t="s">
        <v>108</v>
      </c>
      <c r="B124" s="1351"/>
      <c r="C124" s="1351"/>
      <c r="D124" s="1351"/>
      <c r="E124" s="1351"/>
      <c r="F124" s="1351"/>
    </row>
    <row r="125" spans="1:9" ht="15" customHeight="1" thickBot="1" x14ac:dyDescent="0.35">
      <c r="A125" s="1347" t="s">
        <v>101</v>
      </c>
      <c r="B125" s="1347"/>
      <c r="C125" s="329"/>
    </row>
    <row r="126" spans="1:9" ht="13.5" customHeight="1" thickBot="1" x14ac:dyDescent="0.35">
      <c r="A126" s="23">
        <v>1</v>
      </c>
      <c r="B126" s="34" t="s">
        <v>183</v>
      </c>
      <c r="C126" s="580">
        <f>+C51-C101</f>
        <v>-39200</v>
      </c>
      <c r="D126" s="580">
        <f t="shared" ref="D126:F126" si="2">+D51-D101</f>
        <v>-198829.17800000007</v>
      </c>
      <c r="E126" s="580">
        <f t="shared" si="2"/>
        <v>71206.036000000022</v>
      </c>
      <c r="F126" s="580">
        <f t="shared" si="2"/>
        <v>0.42487468273329565</v>
      </c>
    </row>
    <row r="127" spans="1:9" ht="7.5" customHeight="1" x14ac:dyDescent="0.3">
      <c r="A127" s="412"/>
      <c r="B127" s="412"/>
    </row>
  </sheetData>
  <mergeCells count="6">
    <mergeCell ref="A1:F1"/>
    <mergeCell ref="A125:B125"/>
    <mergeCell ref="A2:B2"/>
    <mergeCell ref="A70:B70"/>
    <mergeCell ref="A124:F124"/>
    <mergeCell ref="A69:F69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67" fitToWidth="3" fitToHeight="2" orientation="portrait" r:id="rId1"/>
  <headerFooter alignWithMargins="0">
    <oddHeader>&amp;C&amp;"Times New Roman CE,Félkövér"&amp;12
Csobánka Község Önkormányzat
2018. ÉVI KÖLTSÉGVETÉS KÖTELEZŐ FELADATAINAK MÉRLEGE &amp;R&amp;"Times New Roman CE,Félkövér dőlt"&amp;11 &amp;"Times New Roman CE,Félkövér"1.2. melléklet az 5/2019. (IV. 26.)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27"/>
  <sheetViews>
    <sheetView view="pageLayout" zoomScaleNormal="120" zoomScaleSheetLayoutView="100" workbookViewId="0">
      <selection activeCell="F116" sqref="F116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6" width="14.77734375" style="42" customWidth="1"/>
    <col min="7" max="16384" width="9.33203125" style="42"/>
  </cols>
  <sheetData>
    <row r="1" spans="1:6" ht="15.9" customHeight="1" x14ac:dyDescent="0.3">
      <c r="A1" s="1349" t="s">
        <v>882</v>
      </c>
      <c r="B1" s="1349"/>
      <c r="C1" s="1349"/>
      <c r="D1" s="1349"/>
      <c r="E1" s="1349"/>
      <c r="F1" s="1349"/>
    </row>
    <row r="2" spans="1:6" ht="15.9" customHeight="1" thickBot="1" x14ac:dyDescent="0.35">
      <c r="A2" s="1347" t="s">
        <v>99</v>
      </c>
      <c r="B2" s="1347"/>
      <c r="F2" s="329" t="s">
        <v>299</v>
      </c>
    </row>
    <row r="3" spans="1:6" ht="38.1" customHeight="1" thickBot="1" x14ac:dyDescent="0.35">
      <c r="A3" s="27" t="s">
        <v>17</v>
      </c>
      <c r="B3" s="28" t="s">
        <v>884</v>
      </c>
      <c r="C3" s="539" t="s">
        <v>1170</v>
      </c>
      <c r="D3" s="1136" t="s">
        <v>1171</v>
      </c>
      <c r="E3" s="1135" t="s">
        <v>1218</v>
      </c>
      <c r="F3" s="197" t="s">
        <v>1219</v>
      </c>
    </row>
    <row r="4" spans="1:6" s="43" customFormat="1" ht="12" customHeight="1" thickBot="1" x14ac:dyDescent="0.25">
      <c r="A4" s="37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</row>
    <row r="5" spans="1:6" s="1" customFormat="1" ht="12" customHeight="1" thickBot="1" x14ac:dyDescent="0.3">
      <c r="A5" s="25" t="s">
        <v>885</v>
      </c>
      <c r="B5" s="24" t="s">
        <v>125</v>
      </c>
      <c r="C5" s="814">
        <f>+C6+C11+C20</f>
        <v>3355</v>
      </c>
      <c r="D5" s="573">
        <f>+D6+D11+D20</f>
        <v>3355</v>
      </c>
      <c r="E5" s="573">
        <f>+E6+E11+E20</f>
        <v>3270</v>
      </c>
      <c r="F5" s="1216">
        <f t="shared" ref="F5:F6" si="0">E5/D5</f>
        <v>0.97466467958271241</v>
      </c>
    </row>
    <row r="6" spans="1:6" s="1" customFormat="1" ht="12" customHeight="1" thickBot="1" x14ac:dyDescent="0.3">
      <c r="A6" s="23" t="s">
        <v>886</v>
      </c>
      <c r="B6" s="308" t="s">
        <v>374</v>
      </c>
      <c r="C6" s="575">
        <f>+C7+C8+C9+C10</f>
        <v>3355</v>
      </c>
      <c r="D6" s="580">
        <f>+D7+D8+D9+D10</f>
        <v>3355</v>
      </c>
      <c r="E6" s="580">
        <f>+E7+E8+E9+E10</f>
        <v>3270</v>
      </c>
      <c r="F6" s="1208">
        <f t="shared" si="0"/>
        <v>0.97466467958271241</v>
      </c>
    </row>
    <row r="7" spans="1:6" s="1" customFormat="1" ht="12" customHeight="1" x14ac:dyDescent="0.25">
      <c r="A7" s="16" t="s">
        <v>63</v>
      </c>
      <c r="B7" s="401" t="s">
        <v>928</v>
      </c>
      <c r="C7" s="578">
        <f>C120</f>
        <v>3355</v>
      </c>
      <c r="D7" s="594">
        <f>D120</f>
        <v>3355</v>
      </c>
      <c r="E7" s="594">
        <f>E120</f>
        <v>3270</v>
      </c>
      <c r="F7" s="1244">
        <f>E7/D7</f>
        <v>0.97466467958271241</v>
      </c>
    </row>
    <row r="8" spans="1:6" s="1" customFormat="1" ht="12" customHeight="1" x14ac:dyDescent="0.25">
      <c r="A8" s="16" t="s">
        <v>64</v>
      </c>
      <c r="B8" s="322" t="s">
        <v>33</v>
      </c>
      <c r="C8" s="578"/>
      <c r="D8" s="594"/>
      <c r="E8" s="579"/>
      <c r="F8" s="721"/>
    </row>
    <row r="9" spans="1:6" s="1" customFormat="1" ht="12" customHeight="1" x14ac:dyDescent="0.25">
      <c r="A9" s="16" t="s">
        <v>65</v>
      </c>
      <c r="B9" s="322" t="s">
        <v>126</v>
      </c>
      <c r="C9" s="578"/>
      <c r="D9" s="594"/>
      <c r="E9" s="579"/>
      <c r="F9" s="721"/>
    </row>
    <row r="10" spans="1:6" s="1" customFormat="1" ht="12" customHeight="1" thickBot="1" x14ac:dyDescent="0.3">
      <c r="A10" s="16" t="s">
        <v>66</v>
      </c>
      <c r="B10" s="402" t="s">
        <v>127</v>
      </c>
      <c r="C10" s="578"/>
      <c r="D10" s="594"/>
      <c r="E10" s="579"/>
      <c r="F10" s="721"/>
    </row>
    <row r="11" spans="1:6" s="1" customFormat="1" ht="12" customHeight="1" thickBot="1" x14ac:dyDescent="0.3">
      <c r="A11" s="23" t="s">
        <v>887</v>
      </c>
      <c r="B11" s="24" t="s">
        <v>128</v>
      </c>
      <c r="C11" s="575"/>
      <c r="D11" s="580"/>
      <c r="E11" s="576"/>
      <c r="F11" s="615"/>
    </row>
    <row r="12" spans="1:6" s="1" customFormat="1" ht="12" customHeight="1" x14ac:dyDescent="0.25">
      <c r="A12" s="20" t="s">
        <v>37</v>
      </c>
      <c r="B12" s="12" t="s">
        <v>133</v>
      </c>
      <c r="C12" s="1071"/>
      <c r="D12" s="592"/>
      <c r="E12" s="593"/>
      <c r="F12" s="720"/>
    </row>
    <row r="13" spans="1:6" s="1" customFormat="1" ht="12" customHeight="1" x14ac:dyDescent="0.25">
      <c r="A13" s="16" t="s">
        <v>38</v>
      </c>
      <c r="B13" s="9" t="s">
        <v>134</v>
      </c>
      <c r="C13" s="578"/>
      <c r="D13" s="594"/>
      <c r="E13" s="579"/>
      <c r="F13" s="721"/>
    </row>
    <row r="14" spans="1:6" s="1" customFormat="1" ht="12" customHeight="1" x14ac:dyDescent="0.25">
      <c r="A14" s="16" t="s">
        <v>39</v>
      </c>
      <c r="B14" s="9" t="s">
        <v>135</v>
      </c>
      <c r="C14" s="578"/>
      <c r="D14" s="594"/>
      <c r="E14" s="579"/>
      <c r="F14" s="721"/>
    </row>
    <row r="15" spans="1:6" s="1" customFormat="1" ht="12" customHeight="1" x14ac:dyDescent="0.25">
      <c r="A15" s="16" t="s">
        <v>40</v>
      </c>
      <c r="B15" s="9" t="s">
        <v>136</v>
      </c>
      <c r="C15" s="578"/>
      <c r="D15" s="594"/>
      <c r="E15" s="579"/>
      <c r="F15" s="721"/>
    </row>
    <row r="16" spans="1:6" s="1" customFormat="1" ht="12" customHeight="1" x14ac:dyDescent="0.25">
      <c r="A16" s="15" t="s">
        <v>129</v>
      </c>
      <c r="B16" s="8" t="s">
        <v>137</v>
      </c>
      <c r="C16" s="634"/>
      <c r="D16" s="622"/>
      <c r="E16" s="623"/>
      <c r="F16" s="1077"/>
    </row>
    <row r="17" spans="1:6" s="1" customFormat="1" ht="12" customHeight="1" x14ac:dyDescent="0.25">
      <c r="A17" s="16" t="s">
        <v>130</v>
      </c>
      <c r="B17" s="9" t="s">
        <v>239</v>
      </c>
      <c r="C17" s="578"/>
      <c r="D17" s="594"/>
      <c r="E17" s="579"/>
      <c r="F17" s="721"/>
    </row>
    <row r="18" spans="1:6" s="1" customFormat="1" ht="12" customHeight="1" x14ac:dyDescent="0.25">
      <c r="A18" s="16" t="s">
        <v>131</v>
      </c>
      <c r="B18" s="9" t="s">
        <v>139</v>
      </c>
      <c r="C18" s="578"/>
      <c r="D18" s="594"/>
      <c r="E18" s="579"/>
      <c r="F18" s="721"/>
    </row>
    <row r="19" spans="1:6" s="1" customFormat="1" ht="12" customHeight="1" thickBot="1" x14ac:dyDescent="0.3">
      <c r="A19" s="17" t="s">
        <v>132</v>
      </c>
      <c r="B19" s="10" t="s">
        <v>140</v>
      </c>
      <c r="C19" s="1072"/>
      <c r="D19" s="624"/>
      <c r="E19" s="625"/>
      <c r="F19" s="1078"/>
    </row>
    <row r="20" spans="1:6" s="1" customFormat="1" ht="12" customHeight="1" thickBot="1" x14ac:dyDescent="0.3">
      <c r="A20" s="23" t="s">
        <v>141</v>
      </c>
      <c r="B20" s="24" t="s">
        <v>240</v>
      </c>
      <c r="C20" s="1073"/>
      <c r="D20" s="626"/>
      <c r="E20" s="627"/>
      <c r="F20" s="1079"/>
    </row>
    <row r="21" spans="1:6" s="1" customFormat="1" ht="12" customHeight="1" thickBot="1" x14ac:dyDescent="0.3">
      <c r="A21" s="23" t="s">
        <v>889</v>
      </c>
      <c r="B21" s="24" t="s">
        <v>143</v>
      </c>
      <c r="C21" s="575"/>
      <c r="D21" s="580"/>
      <c r="E21" s="576"/>
      <c r="F21" s="615"/>
    </row>
    <row r="22" spans="1:6" s="1" customFormat="1" ht="12" customHeight="1" x14ac:dyDescent="0.25">
      <c r="A22" s="18" t="s">
        <v>41</v>
      </c>
      <c r="B22" s="11" t="s">
        <v>818</v>
      </c>
      <c r="C22" s="633"/>
      <c r="D22" s="599"/>
      <c r="E22" s="600"/>
      <c r="F22" s="823"/>
    </row>
    <row r="23" spans="1:6" s="1" customFormat="1" ht="12" customHeight="1" x14ac:dyDescent="0.25">
      <c r="A23" s="16" t="s">
        <v>42</v>
      </c>
      <c r="B23" s="9" t="s">
        <v>149</v>
      </c>
      <c r="C23" s="578"/>
      <c r="D23" s="594"/>
      <c r="E23" s="579"/>
      <c r="F23" s="721"/>
    </row>
    <row r="24" spans="1:6" s="1" customFormat="1" ht="12" customHeight="1" x14ac:dyDescent="0.25">
      <c r="A24" s="16" t="s">
        <v>43</v>
      </c>
      <c r="B24" s="9" t="s">
        <v>46</v>
      </c>
      <c r="C24" s="578"/>
      <c r="D24" s="594"/>
      <c r="E24" s="579"/>
      <c r="F24" s="721"/>
    </row>
    <row r="25" spans="1:6" s="1" customFormat="1" ht="12" customHeight="1" x14ac:dyDescent="0.25">
      <c r="A25" s="19" t="s">
        <v>144</v>
      </c>
      <c r="B25" s="9" t="s">
        <v>150</v>
      </c>
      <c r="C25" s="601"/>
      <c r="D25" s="595"/>
      <c r="E25" s="596"/>
      <c r="F25" s="821"/>
    </row>
    <row r="26" spans="1:6" s="1" customFormat="1" ht="12" customHeight="1" x14ac:dyDescent="0.25">
      <c r="A26" s="19" t="s">
        <v>145</v>
      </c>
      <c r="B26" s="9" t="s">
        <v>151</v>
      </c>
      <c r="C26" s="601"/>
      <c r="D26" s="595"/>
      <c r="E26" s="596"/>
      <c r="F26" s="821"/>
    </row>
    <row r="27" spans="1:6" s="1" customFormat="1" ht="12" customHeight="1" x14ac:dyDescent="0.25">
      <c r="A27" s="16" t="s">
        <v>146</v>
      </c>
      <c r="B27" s="9" t="s">
        <v>152</v>
      </c>
      <c r="C27" s="578"/>
      <c r="D27" s="594"/>
      <c r="E27" s="579"/>
      <c r="F27" s="721"/>
    </row>
    <row r="28" spans="1:6" s="1" customFormat="1" ht="12" customHeight="1" x14ac:dyDescent="0.25">
      <c r="A28" s="16" t="s">
        <v>147</v>
      </c>
      <c r="B28" s="9" t="s">
        <v>241</v>
      </c>
      <c r="C28" s="630"/>
      <c r="D28" s="628"/>
      <c r="E28" s="629"/>
      <c r="F28" s="1080"/>
    </row>
    <row r="29" spans="1:6" s="1" customFormat="1" ht="12" customHeight="1" thickBot="1" x14ac:dyDescent="0.3">
      <c r="A29" s="16" t="s">
        <v>148</v>
      </c>
      <c r="B29" s="14" t="s">
        <v>153</v>
      </c>
      <c r="C29" s="630"/>
      <c r="D29" s="628"/>
      <c r="E29" s="629"/>
      <c r="F29" s="1080"/>
    </row>
    <row r="30" spans="1:6" s="1" customFormat="1" ht="12" customHeight="1" thickBot="1" x14ac:dyDescent="0.3">
      <c r="A30" s="301" t="s">
        <v>890</v>
      </c>
      <c r="B30" s="24" t="s">
        <v>375</v>
      </c>
      <c r="C30" s="575"/>
      <c r="D30" s="580"/>
      <c r="E30" s="576"/>
      <c r="F30" s="615"/>
    </row>
    <row r="31" spans="1:6" s="1" customFormat="1" ht="12" customHeight="1" x14ac:dyDescent="0.25">
      <c r="A31" s="302" t="s">
        <v>44</v>
      </c>
      <c r="B31" s="403" t="s">
        <v>376</v>
      </c>
      <c r="C31" s="581"/>
      <c r="D31" s="589"/>
      <c r="E31" s="582"/>
      <c r="F31" s="1081"/>
    </row>
    <row r="32" spans="1:6" s="1" customFormat="1" ht="12" customHeight="1" x14ac:dyDescent="0.25">
      <c r="A32" s="303" t="s">
        <v>47</v>
      </c>
      <c r="B32" s="309" t="s">
        <v>242</v>
      </c>
      <c r="C32" s="630"/>
      <c r="D32" s="628"/>
      <c r="E32" s="629"/>
      <c r="F32" s="1080"/>
    </row>
    <row r="33" spans="1:6" s="1" customFormat="1" ht="12" customHeight="1" x14ac:dyDescent="0.25">
      <c r="A33" s="303" t="s">
        <v>48</v>
      </c>
      <c r="B33" s="309" t="s">
        <v>243</v>
      </c>
      <c r="C33" s="630"/>
      <c r="D33" s="628"/>
      <c r="E33" s="629"/>
      <c r="F33" s="1080"/>
    </row>
    <row r="34" spans="1:6" s="1" customFormat="1" ht="12" customHeight="1" x14ac:dyDescent="0.25">
      <c r="A34" s="303" t="s">
        <v>49</v>
      </c>
      <c r="B34" s="309" t="s">
        <v>244</v>
      </c>
      <c r="C34" s="630"/>
      <c r="D34" s="628"/>
      <c r="E34" s="629"/>
      <c r="F34" s="1080"/>
    </row>
    <row r="35" spans="1:6" s="1" customFormat="1" ht="12" customHeight="1" x14ac:dyDescent="0.25">
      <c r="A35" s="303" t="s">
        <v>50</v>
      </c>
      <c r="B35" s="309" t="s">
        <v>245</v>
      </c>
      <c r="C35" s="630"/>
      <c r="D35" s="628"/>
      <c r="E35" s="629"/>
      <c r="F35" s="1080"/>
    </row>
    <row r="36" spans="1:6" s="1" customFormat="1" ht="12" customHeight="1" x14ac:dyDescent="0.25">
      <c r="A36" s="303" t="s">
        <v>154</v>
      </c>
      <c r="B36" s="309" t="s">
        <v>377</v>
      </c>
      <c r="C36" s="630"/>
      <c r="D36" s="628"/>
      <c r="E36" s="629"/>
      <c r="F36" s="1080"/>
    </row>
    <row r="37" spans="1:6" s="1" customFormat="1" ht="12" customHeight="1" x14ac:dyDescent="0.25">
      <c r="A37" s="303" t="s">
        <v>45</v>
      </c>
      <c r="B37" s="310" t="s">
        <v>378</v>
      </c>
      <c r="C37" s="583"/>
      <c r="D37" s="590"/>
      <c r="E37" s="584"/>
      <c r="F37" s="1082"/>
    </row>
    <row r="38" spans="1:6" s="1" customFormat="1" ht="12" customHeight="1" x14ac:dyDescent="0.25">
      <c r="A38" s="303" t="s">
        <v>53</v>
      </c>
      <c r="B38" s="309" t="s">
        <v>242</v>
      </c>
      <c r="C38" s="630"/>
      <c r="D38" s="628"/>
      <c r="E38" s="629"/>
      <c r="F38" s="1080"/>
    </row>
    <row r="39" spans="1:6" s="1" customFormat="1" ht="12" customHeight="1" x14ac:dyDescent="0.25">
      <c r="A39" s="303" t="s">
        <v>54</v>
      </c>
      <c r="B39" s="309" t="s">
        <v>243</v>
      </c>
      <c r="C39" s="630"/>
      <c r="D39" s="628"/>
      <c r="E39" s="629"/>
      <c r="F39" s="1080"/>
    </row>
    <row r="40" spans="1:6" s="1" customFormat="1" ht="12" customHeight="1" x14ac:dyDescent="0.25">
      <c r="A40" s="303" t="s">
        <v>55</v>
      </c>
      <c r="B40" s="309" t="s">
        <v>244</v>
      </c>
      <c r="C40" s="630"/>
      <c r="D40" s="628"/>
      <c r="E40" s="629"/>
      <c r="F40" s="1080"/>
    </row>
    <row r="41" spans="1:6" s="1" customFormat="1" ht="12" customHeight="1" x14ac:dyDescent="0.25">
      <c r="A41" s="303" t="s">
        <v>56</v>
      </c>
      <c r="B41" s="311" t="s">
        <v>245</v>
      </c>
      <c r="C41" s="630"/>
      <c r="D41" s="628"/>
      <c r="E41" s="629"/>
      <c r="F41" s="1080"/>
    </row>
    <row r="42" spans="1:6" s="1" customFormat="1" ht="12" customHeight="1" thickBot="1" x14ac:dyDescent="0.3">
      <c r="A42" s="304" t="s">
        <v>155</v>
      </c>
      <c r="B42" s="312" t="s">
        <v>379</v>
      </c>
      <c r="C42" s="631"/>
      <c r="D42" s="1140"/>
      <c r="E42" s="632"/>
      <c r="F42" s="1083"/>
    </row>
    <row r="43" spans="1:6" s="1" customFormat="1" ht="12" customHeight="1" thickBot="1" x14ac:dyDescent="0.3">
      <c r="A43" s="23" t="s">
        <v>156</v>
      </c>
      <c r="B43" s="404" t="s">
        <v>246</v>
      </c>
      <c r="C43" s="575"/>
      <c r="D43" s="580"/>
      <c r="E43" s="576"/>
      <c r="F43" s="615"/>
    </row>
    <row r="44" spans="1:6" s="1" customFormat="1" ht="12" customHeight="1" x14ac:dyDescent="0.25">
      <c r="A44" s="18" t="s">
        <v>51</v>
      </c>
      <c r="B44" s="322" t="s">
        <v>247</v>
      </c>
      <c r="C44" s="633"/>
      <c r="D44" s="599"/>
      <c r="E44" s="600"/>
      <c r="F44" s="823"/>
    </row>
    <row r="45" spans="1:6" s="1" customFormat="1" ht="12" customHeight="1" thickBot="1" x14ac:dyDescent="0.3">
      <c r="A45" s="15" t="s">
        <v>52</v>
      </c>
      <c r="B45" s="317" t="s">
        <v>251</v>
      </c>
      <c r="C45" s="634"/>
      <c r="D45" s="622"/>
      <c r="E45" s="623"/>
      <c r="F45" s="1077"/>
    </row>
    <row r="46" spans="1:6" s="1" customFormat="1" ht="12" customHeight="1" thickBot="1" x14ac:dyDescent="0.3">
      <c r="A46" s="23" t="s">
        <v>892</v>
      </c>
      <c r="B46" s="404" t="s">
        <v>250</v>
      </c>
      <c r="C46" s="575"/>
      <c r="D46" s="580"/>
      <c r="E46" s="576"/>
      <c r="F46" s="615"/>
    </row>
    <row r="47" spans="1:6" s="1" customFormat="1" ht="12" customHeight="1" x14ac:dyDescent="0.25">
      <c r="A47" s="18" t="s">
        <v>159</v>
      </c>
      <c r="B47" s="322" t="s">
        <v>157</v>
      </c>
      <c r="C47" s="635"/>
      <c r="D47" s="1141"/>
      <c r="E47" s="636"/>
      <c r="F47" s="1084"/>
    </row>
    <row r="48" spans="1:6" s="1" customFormat="1" ht="12" customHeight="1" x14ac:dyDescent="0.25">
      <c r="A48" s="16" t="s">
        <v>160</v>
      </c>
      <c r="B48" s="309" t="s">
        <v>943</v>
      </c>
      <c r="C48" s="630"/>
      <c r="D48" s="628"/>
      <c r="E48" s="629"/>
      <c r="F48" s="1080"/>
    </row>
    <row r="49" spans="1:6" s="1" customFormat="1" ht="12" customHeight="1" thickBot="1" x14ac:dyDescent="0.3">
      <c r="A49" s="15" t="s">
        <v>308</v>
      </c>
      <c r="B49" s="317" t="s">
        <v>248</v>
      </c>
      <c r="C49" s="637"/>
      <c r="D49" s="1142"/>
      <c r="E49" s="638"/>
      <c r="F49" s="1085"/>
    </row>
    <row r="50" spans="1:6" s="1" customFormat="1" ht="17.25" customHeight="1" thickBot="1" x14ac:dyDescent="0.3">
      <c r="A50" s="23" t="s">
        <v>161</v>
      </c>
      <c r="B50" s="405" t="s">
        <v>249</v>
      </c>
      <c r="C50" s="602"/>
      <c r="D50" s="639"/>
      <c r="E50" s="603"/>
      <c r="F50" s="707"/>
    </row>
    <row r="51" spans="1:6" s="1" customFormat="1" ht="12" customHeight="1" thickBot="1" x14ac:dyDescent="0.3">
      <c r="A51" s="23" t="s">
        <v>894</v>
      </c>
      <c r="B51" s="26" t="s">
        <v>162</v>
      </c>
      <c r="C51" s="1074">
        <f>+C6+C11+C20+C21+C30+C43+C46+C50</f>
        <v>3355</v>
      </c>
      <c r="D51" s="585">
        <f>+D6+D11+D20+D21+D30+D43+D46+D50</f>
        <v>3355</v>
      </c>
      <c r="E51" s="585">
        <f>+E6+E11+E20+E21+E30+E43+E46+E50</f>
        <v>3270</v>
      </c>
      <c r="F51" s="1253">
        <f>E51/D51</f>
        <v>0.97466467958271241</v>
      </c>
    </row>
    <row r="52" spans="1:6" s="1" customFormat="1" ht="12" customHeight="1" thickBot="1" x14ac:dyDescent="0.3">
      <c r="A52" s="313" t="s">
        <v>895</v>
      </c>
      <c r="B52" s="308" t="s">
        <v>252</v>
      </c>
      <c r="C52" s="820"/>
      <c r="D52" s="587"/>
      <c r="E52" s="588"/>
      <c r="F52" s="1087"/>
    </row>
    <row r="53" spans="1:6" s="1" customFormat="1" ht="12" customHeight="1" x14ac:dyDescent="0.25">
      <c r="A53" s="406" t="s">
        <v>92</v>
      </c>
      <c r="B53" s="403" t="s">
        <v>253</v>
      </c>
      <c r="C53" s="581"/>
      <c r="D53" s="589"/>
      <c r="E53" s="582"/>
      <c r="F53" s="1081"/>
    </row>
    <row r="54" spans="1:6" s="1" customFormat="1" ht="12" customHeight="1" x14ac:dyDescent="0.25">
      <c r="A54" s="314" t="s">
        <v>268</v>
      </c>
      <c r="B54" s="309" t="s">
        <v>254</v>
      </c>
      <c r="C54" s="630"/>
      <c r="D54" s="628"/>
      <c r="E54" s="629"/>
      <c r="F54" s="1080"/>
    </row>
    <row r="55" spans="1:6" s="1" customFormat="1" ht="12" customHeight="1" x14ac:dyDescent="0.25">
      <c r="A55" s="314" t="s">
        <v>269</v>
      </c>
      <c r="B55" s="309" t="s">
        <v>255</v>
      </c>
      <c r="C55" s="630"/>
      <c r="D55" s="628"/>
      <c r="E55" s="629"/>
      <c r="F55" s="1080"/>
    </row>
    <row r="56" spans="1:6" s="1" customFormat="1" ht="12" customHeight="1" x14ac:dyDescent="0.25">
      <c r="A56" s="314" t="s">
        <v>270</v>
      </c>
      <c r="B56" s="309" t="s">
        <v>256</v>
      </c>
      <c r="C56" s="630"/>
      <c r="D56" s="628"/>
      <c r="E56" s="629"/>
      <c r="F56" s="1080"/>
    </row>
    <row r="57" spans="1:6" s="1" customFormat="1" ht="12" customHeight="1" x14ac:dyDescent="0.25">
      <c r="A57" s="314" t="s">
        <v>271</v>
      </c>
      <c r="B57" s="309" t="s">
        <v>257</v>
      </c>
      <c r="C57" s="630"/>
      <c r="D57" s="628"/>
      <c r="E57" s="629"/>
      <c r="F57" s="1080"/>
    </row>
    <row r="58" spans="1:6" s="1" customFormat="1" ht="12" customHeight="1" x14ac:dyDescent="0.25">
      <c r="A58" s="314" t="s">
        <v>272</v>
      </c>
      <c r="B58" s="309" t="s">
        <v>258</v>
      </c>
      <c r="C58" s="630"/>
      <c r="D58" s="628"/>
      <c r="E58" s="629"/>
      <c r="F58" s="1080"/>
    </row>
    <row r="59" spans="1:6" s="1" customFormat="1" ht="12" customHeight="1" x14ac:dyDescent="0.25">
      <c r="A59" s="315" t="s">
        <v>93</v>
      </c>
      <c r="B59" s="310" t="s">
        <v>259</v>
      </c>
      <c r="C59" s="583"/>
      <c r="D59" s="590"/>
      <c r="E59" s="584"/>
      <c r="F59" s="1082"/>
    </row>
    <row r="60" spans="1:6" s="1" customFormat="1" ht="12" customHeight="1" x14ac:dyDescent="0.25">
      <c r="A60" s="314" t="s">
        <v>273</v>
      </c>
      <c r="B60" s="309" t="s">
        <v>260</v>
      </c>
      <c r="C60" s="630"/>
      <c r="D60" s="628"/>
      <c r="E60" s="629"/>
      <c r="F60" s="1080"/>
    </row>
    <row r="61" spans="1:6" s="1" customFormat="1" ht="12" customHeight="1" x14ac:dyDescent="0.25">
      <c r="A61" s="314" t="s">
        <v>274</v>
      </c>
      <c r="B61" s="309" t="s">
        <v>261</v>
      </c>
      <c r="C61" s="630"/>
      <c r="D61" s="628"/>
      <c r="E61" s="629"/>
      <c r="F61" s="1080"/>
    </row>
    <row r="62" spans="1:6" s="1" customFormat="1" ht="12" customHeight="1" x14ac:dyDescent="0.25">
      <c r="A62" s="314" t="s">
        <v>275</v>
      </c>
      <c r="B62" s="309" t="s">
        <v>262</v>
      </c>
      <c r="C62" s="630"/>
      <c r="D62" s="628"/>
      <c r="E62" s="629"/>
      <c r="F62" s="1080"/>
    </row>
    <row r="63" spans="1:6" s="1" customFormat="1" ht="12" customHeight="1" x14ac:dyDescent="0.25">
      <c r="A63" s="314" t="s">
        <v>276</v>
      </c>
      <c r="B63" s="309" t="s">
        <v>263</v>
      </c>
      <c r="C63" s="630"/>
      <c r="D63" s="628"/>
      <c r="E63" s="629"/>
      <c r="F63" s="1080"/>
    </row>
    <row r="64" spans="1:6" s="1" customFormat="1" ht="12" customHeight="1" thickBot="1" x14ac:dyDescent="0.3">
      <c r="A64" s="316" t="s">
        <v>277</v>
      </c>
      <c r="B64" s="317" t="s">
        <v>264</v>
      </c>
      <c r="C64" s="1075"/>
      <c r="D64" s="640"/>
      <c r="E64" s="641"/>
      <c r="F64" s="1088"/>
    </row>
    <row r="65" spans="1:6" s="1" customFormat="1" ht="12" customHeight="1" thickBot="1" x14ac:dyDescent="0.3">
      <c r="A65" s="318" t="s">
        <v>896</v>
      </c>
      <c r="B65" s="407" t="s">
        <v>265</v>
      </c>
      <c r="C65" s="820">
        <f>+C51+C52</f>
        <v>3355</v>
      </c>
      <c r="D65" s="587">
        <f>+D51+D52</f>
        <v>3355</v>
      </c>
      <c r="E65" s="587">
        <f>+E51+E52</f>
        <v>3270</v>
      </c>
      <c r="F65" s="1254">
        <f>E65/D65</f>
        <v>0.97466467958271241</v>
      </c>
    </row>
    <row r="66" spans="1:6" s="1" customFormat="1" ht="13.5" customHeight="1" thickBot="1" x14ac:dyDescent="0.3">
      <c r="A66" s="319" t="s">
        <v>897</v>
      </c>
      <c r="B66" s="408" t="s">
        <v>266</v>
      </c>
      <c r="C66" s="1076"/>
      <c r="D66" s="642"/>
      <c r="E66" s="642"/>
      <c r="F66" s="1255"/>
    </row>
    <row r="67" spans="1:6" s="1" customFormat="1" ht="12" customHeight="1" thickBot="1" x14ac:dyDescent="0.3">
      <c r="A67" s="318" t="s">
        <v>898</v>
      </c>
      <c r="B67" s="407" t="s">
        <v>267</v>
      </c>
      <c r="C67" s="820">
        <f>+C65+C66</f>
        <v>3355</v>
      </c>
      <c r="D67" s="587">
        <f>+D65+D66</f>
        <v>3355</v>
      </c>
      <c r="E67" s="587">
        <f>+E65+E66</f>
        <v>3270</v>
      </c>
      <c r="F67" s="1254">
        <f>E67/D67</f>
        <v>0.97466467958271241</v>
      </c>
    </row>
    <row r="68" spans="1:6" s="1" customFormat="1" ht="12.9" customHeight="1" x14ac:dyDescent="0.25">
      <c r="A68" s="6"/>
      <c r="B68" s="7"/>
      <c r="C68" s="591"/>
    </row>
    <row r="69" spans="1:6" ht="16.5" customHeight="1" x14ac:dyDescent="0.3">
      <c r="A69" s="1349" t="s">
        <v>914</v>
      </c>
      <c r="B69" s="1349"/>
      <c r="C69" s="1349"/>
      <c r="D69" s="1349"/>
      <c r="E69" s="1349"/>
      <c r="F69" s="1349"/>
    </row>
    <row r="70" spans="1:6" s="331" customFormat="1" ht="16.5" customHeight="1" thickBot="1" x14ac:dyDescent="0.35">
      <c r="A70" s="1348" t="s">
        <v>100</v>
      </c>
      <c r="B70" s="1348"/>
      <c r="C70" s="329"/>
    </row>
    <row r="71" spans="1:6" ht="38.1" customHeight="1" thickBot="1" x14ac:dyDescent="0.35">
      <c r="A71" s="27" t="s">
        <v>883</v>
      </c>
      <c r="B71" s="28" t="s">
        <v>915</v>
      </c>
      <c r="C71" s="539" t="s">
        <v>1170</v>
      </c>
      <c r="D71" s="1136" t="s">
        <v>1171</v>
      </c>
      <c r="E71" s="1135" t="s">
        <v>1218</v>
      </c>
      <c r="F71" s="197" t="s">
        <v>1219</v>
      </c>
    </row>
    <row r="72" spans="1:6" s="43" customFormat="1" ht="12" customHeight="1" thickBot="1" x14ac:dyDescent="0.25">
      <c r="A72" s="37">
        <v>1</v>
      </c>
      <c r="B72" s="38">
        <v>2</v>
      </c>
      <c r="C72" s="38">
        <v>3</v>
      </c>
      <c r="D72" s="38">
        <v>4</v>
      </c>
      <c r="E72" s="38">
        <v>5</v>
      </c>
      <c r="F72" s="38">
        <v>6</v>
      </c>
    </row>
    <row r="73" spans="1:6" ht="12" customHeight="1" thickBot="1" x14ac:dyDescent="0.35">
      <c r="A73" s="25" t="s">
        <v>885</v>
      </c>
      <c r="B73" s="35" t="s">
        <v>163</v>
      </c>
      <c r="C73" s="575">
        <f>+C74+C75+C76+C77+C78</f>
        <v>3355</v>
      </c>
      <c r="D73" s="580">
        <f>+D74+D75+D76+D77+D78</f>
        <v>3355</v>
      </c>
      <c r="E73" s="580">
        <f>+E74+E75+E76+E77+E78</f>
        <v>3270</v>
      </c>
      <c r="F73" s="1208">
        <f>E73/D73</f>
        <v>0.97466467958271241</v>
      </c>
    </row>
    <row r="74" spans="1:6" ht="12" customHeight="1" x14ac:dyDescent="0.3">
      <c r="A74" s="20" t="s">
        <v>57</v>
      </c>
      <c r="B74" s="12" t="s">
        <v>916</v>
      </c>
      <c r="C74" s="592"/>
      <c r="D74" s="592"/>
      <c r="E74" s="592"/>
      <c r="F74" s="1256"/>
    </row>
    <row r="75" spans="1:6" ht="12" customHeight="1" x14ac:dyDescent="0.3">
      <c r="A75" s="16" t="s">
        <v>58</v>
      </c>
      <c r="B75" s="9" t="s">
        <v>164</v>
      </c>
      <c r="C75" s="595"/>
      <c r="D75" s="595"/>
      <c r="E75" s="595"/>
      <c r="F75" s="1257"/>
    </row>
    <row r="76" spans="1:6" ht="12" customHeight="1" x14ac:dyDescent="0.3">
      <c r="A76" s="16" t="s">
        <v>59</v>
      </c>
      <c r="B76" s="9" t="s">
        <v>88</v>
      </c>
      <c r="C76" s="594">
        <v>2355</v>
      </c>
      <c r="D76" s="594">
        <v>2355</v>
      </c>
      <c r="E76" s="594">
        <f>1015+1355</f>
        <v>2370</v>
      </c>
      <c r="F76" s="1244">
        <f t="shared" ref="F76:F82" si="1">E76/D76</f>
        <v>1.0063694267515924</v>
      </c>
    </row>
    <row r="77" spans="1:6" ht="12" customHeight="1" x14ac:dyDescent="0.3">
      <c r="A77" s="16" t="s">
        <v>60</v>
      </c>
      <c r="B77" s="13" t="s">
        <v>165</v>
      </c>
      <c r="C77" s="594"/>
      <c r="D77" s="594"/>
      <c r="E77" s="594"/>
      <c r="F77" s="1244"/>
    </row>
    <row r="78" spans="1:6" ht="12" customHeight="1" x14ac:dyDescent="0.3">
      <c r="A78" s="16" t="s">
        <v>71</v>
      </c>
      <c r="B78" s="22" t="s">
        <v>166</v>
      </c>
      <c r="C78" s="595">
        <f>SUM(C82)</f>
        <v>1000</v>
      </c>
      <c r="D78" s="595">
        <f>SUM(D82)</f>
        <v>1000</v>
      </c>
      <c r="E78" s="595">
        <f>SUM(E82)</f>
        <v>900</v>
      </c>
      <c r="F78" s="1257">
        <f t="shared" si="1"/>
        <v>0.9</v>
      </c>
    </row>
    <row r="79" spans="1:6" ht="12" customHeight="1" x14ac:dyDescent="0.3">
      <c r="A79" s="16" t="s">
        <v>61</v>
      </c>
      <c r="B79" s="9" t="s">
        <v>188</v>
      </c>
      <c r="C79" s="595"/>
      <c r="D79" s="595"/>
      <c r="E79" s="595"/>
      <c r="F79" s="1257"/>
    </row>
    <row r="80" spans="1:6" ht="12" customHeight="1" x14ac:dyDescent="0.3">
      <c r="A80" s="16" t="s">
        <v>62</v>
      </c>
      <c r="B80" s="143" t="s">
        <v>189</v>
      </c>
      <c r="C80" s="595"/>
      <c r="D80" s="595"/>
      <c r="E80" s="595"/>
      <c r="F80" s="1257"/>
    </row>
    <row r="81" spans="1:6" ht="12" customHeight="1" x14ac:dyDescent="0.3">
      <c r="A81" s="16" t="s">
        <v>72</v>
      </c>
      <c r="B81" s="143" t="s">
        <v>278</v>
      </c>
      <c r="C81" s="595"/>
      <c r="D81" s="595"/>
      <c r="E81" s="595"/>
      <c r="F81" s="1257"/>
    </row>
    <row r="82" spans="1:6" ht="12" customHeight="1" x14ac:dyDescent="0.3">
      <c r="A82" s="16" t="s">
        <v>73</v>
      </c>
      <c r="B82" s="144" t="s">
        <v>190</v>
      </c>
      <c r="C82" s="595">
        <v>1000</v>
      </c>
      <c r="D82" s="595">
        <v>1000</v>
      </c>
      <c r="E82" s="595">
        <v>900</v>
      </c>
      <c r="F82" s="1257">
        <f t="shared" si="1"/>
        <v>0.9</v>
      </c>
    </row>
    <row r="83" spans="1:6" ht="12" customHeight="1" x14ac:dyDescent="0.3">
      <c r="A83" s="15" t="s">
        <v>74</v>
      </c>
      <c r="B83" s="145" t="s">
        <v>191</v>
      </c>
      <c r="C83" s="595"/>
      <c r="D83" s="595"/>
      <c r="E83" s="596"/>
      <c r="F83" s="821"/>
    </row>
    <row r="84" spans="1:6" ht="12" customHeight="1" x14ac:dyDescent="0.3">
      <c r="A84" s="16" t="s">
        <v>75</v>
      </c>
      <c r="B84" s="145" t="s">
        <v>192</v>
      </c>
      <c r="C84" s="595"/>
      <c r="D84" s="595"/>
      <c r="E84" s="596"/>
      <c r="F84" s="821"/>
    </row>
    <row r="85" spans="1:6" ht="12" customHeight="1" thickBot="1" x14ac:dyDescent="0.35">
      <c r="A85" s="21" t="s">
        <v>77</v>
      </c>
      <c r="B85" s="146" t="s">
        <v>193</v>
      </c>
      <c r="C85" s="597"/>
      <c r="D85" s="597"/>
      <c r="E85" s="598"/>
      <c r="F85" s="822"/>
    </row>
    <row r="86" spans="1:6" ht="12" customHeight="1" thickBot="1" x14ac:dyDescent="0.35">
      <c r="A86" s="23" t="s">
        <v>886</v>
      </c>
      <c r="B86" s="34" t="s">
        <v>309</v>
      </c>
      <c r="C86" s="580"/>
      <c r="D86" s="580"/>
      <c r="E86" s="576"/>
      <c r="F86" s="615"/>
    </row>
    <row r="87" spans="1:6" ht="12" customHeight="1" x14ac:dyDescent="0.3">
      <c r="A87" s="18" t="s">
        <v>63</v>
      </c>
      <c r="B87" s="9" t="s">
        <v>279</v>
      </c>
      <c r="C87" s="599"/>
      <c r="D87" s="599"/>
      <c r="E87" s="600"/>
      <c r="F87" s="823"/>
    </row>
    <row r="88" spans="1:6" ht="12" customHeight="1" x14ac:dyDescent="0.3">
      <c r="A88" s="18" t="s">
        <v>64</v>
      </c>
      <c r="B88" s="14" t="s">
        <v>168</v>
      </c>
      <c r="C88" s="594"/>
      <c r="D88" s="594"/>
      <c r="E88" s="579"/>
      <c r="F88" s="721"/>
    </row>
    <row r="89" spans="1:6" ht="12" customHeight="1" x14ac:dyDescent="0.3">
      <c r="A89" s="18" t="s">
        <v>65</v>
      </c>
      <c r="B89" s="309" t="s">
        <v>310</v>
      </c>
      <c r="C89" s="594"/>
      <c r="D89" s="594"/>
      <c r="E89" s="579"/>
      <c r="F89" s="721"/>
    </row>
    <row r="90" spans="1:6" ht="12" customHeight="1" x14ac:dyDescent="0.3">
      <c r="A90" s="18" t="s">
        <v>66</v>
      </c>
      <c r="B90" s="309" t="s">
        <v>380</v>
      </c>
      <c r="C90" s="594"/>
      <c r="D90" s="594"/>
      <c r="E90" s="579"/>
      <c r="F90" s="721"/>
    </row>
    <row r="91" spans="1:6" ht="12" customHeight="1" x14ac:dyDescent="0.3">
      <c r="A91" s="18" t="s">
        <v>67</v>
      </c>
      <c r="B91" s="309" t="s">
        <v>311</v>
      </c>
      <c r="C91" s="594"/>
      <c r="D91" s="594"/>
      <c r="E91" s="579"/>
      <c r="F91" s="721"/>
    </row>
    <row r="92" spans="1:6" x14ac:dyDescent="0.3">
      <c r="A92" s="18" t="s">
        <v>76</v>
      </c>
      <c r="B92" s="309" t="s">
        <v>312</v>
      </c>
      <c r="C92" s="594"/>
      <c r="D92" s="594"/>
      <c r="E92" s="579"/>
      <c r="F92" s="721"/>
    </row>
    <row r="93" spans="1:6" ht="12" customHeight="1" x14ac:dyDescent="0.3">
      <c r="A93" s="18" t="s">
        <v>78</v>
      </c>
      <c r="B93" s="409" t="s">
        <v>283</v>
      </c>
      <c r="C93" s="594"/>
      <c r="D93" s="594"/>
      <c r="E93" s="579"/>
      <c r="F93" s="721"/>
    </row>
    <row r="94" spans="1:6" ht="12" customHeight="1" x14ac:dyDescent="0.3">
      <c r="A94" s="18" t="s">
        <v>169</v>
      </c>
      <c r="B94" s="409" t="s">
        <v>284</v>
      </c>
      <c r="C94" s="594"/>
      <c r="D94" s="594"/>
      <c r="E94" s="579"/>
      <c r="F94" s="721"/>
    </row>
    <row r="95" spans="1:6" ht="12" customHeight="1" x14ac:dyDescent="0.3">
      <c r="A95" s="18" t="s">
        <v>170</v>
      </c>
      <c r="B95" s="409" t="s">
        <v>282</v>
      </c>
      <c r="C95" s="594"/>
      <c r="D95" s="594"/>
      <c r="E95" s="579"/>
      <c r="F95" s="721"/>
    </row>
    <row r="96" spans="1:6" ht="24" customHeight="1" thickBot="1" x14ac:dyDescent="0.35">
      <c r="A96" s="15" t="s">
        <v>171</v>
      </c>
      <c r="B96" s="410" t="s">
        <v>281</v>
      </c>
      <c r="C96" s="595"/>
      <c r="D96" s="595"/>
      <c r="E96" s="596"/>
      <c r="F96" s="821"/>
    </row>
    <row r="97" spans="1:6" ht="12" customHeight="1" thickBot="1" x14ac:dyDescent="0.35">
      <c r="A97" s="23" t="s">
        <v>887</v>
      </c>
      <c r="B97" s="125" t="s">
        <v>313</v>
      </c>
      <c r="C97" s="580"/>
      <c r="D97" s="580"/>
      <c r="E97" s="576"/>
      <c r="F97" s="615"/>
    </row>
    <row r="98" spans="1:6" ht="12" customHeight="1" x14ac:dyDescent="0.3">
      <c r="A98" s="18" t="s">
        <v>37</v>
      </c>
      <c r="B98" s="11" t="s">
        <v>3</v>
      </c>
      <c r="C98" s="599"/>
      <c r="D98" s="599"/>
      <c r="E98" s="600"/>
      <c r="F98" s="823"/>
    </row>
    <row r="99" spans="1:6" ht="12" customHeight="1" thickBot="1" x14ac:dyDescent="0.35">
      <c r="A99" s="19" t="s">
        <v>38</v>
      </c>
      <c r="B99" s="14" t="s">
        <v>4</v>
      </c>
      <c r="C99" s="595"/>
      <c r="D99" s="595"/>
      <c r="E99" s="596"/>
      <c r="F99" s="821"/>
    </row>
    <row r="100" spans="1:6" s="307" customFormat="1" ht="12" customHeight="1" thickBot="1" x14ac:dyDescent="0.3">
      <c r="A100" s="313" t="s">
        <v>888</v>
      </c>
      <c r="B100" s="308" t="s">
        <v>285</v>
      </c>
      <c r="C100" s="639"/>
      <c r="D100" s="639"/>
      <c r="E100" s="603"/>
      <c r="F100" s="707"/>
    </row>
    <row r="101" spans="1:6" ht="12" customHeight="1" thickBot="1" x14ac:dyDescent="0.35">
      <c r="A101" s="305" t="s">
        <v>889</v>
      </c>
      <c r="B101" s="306" t="s">
        <v>105</v>
      </c>
      <c r="C101" s="575">
        <f>+C73+C86+C97+C100</f>
        <v>3355</v>
      </c>
      <c r="D101" s="580">
        <f>+D73+D86+D97+D100</f>
        <v>3355</v>
      </c>
      <c r="E101" s="580">
        <f>+E73+E86+E97+E100</f>
        <v>3270</v>
      </c>
      <c r="F101" s="1207">
        <f>E101/D101</f>
        <v>0.97466467958271241</v>
      </c>
    </row>
    <row r="102" spans="1:6" ht="12" customHeight="1" thickBot="1" x14ac:dyDescent="0.35">
      <c r="A102" s="313" t="s">
        <v>890</v>
      </c>
      <c r="B102" s="308" t="s">
        <v>381</v>
      </c>
      <c r="C102" s="580"/>
      <c r="D102" s="580"/>
      <c r="E102" s="576"/>
      <c r="F102" s="615"/>
    </row>
    <row r="103" spans="1:6" ht="12" customHeight="1" thickBot="1" x14ac:dyDescent="0.35">
      <c r="A103" s="320" t="s">
        <v>44</v>
      </c>
      <c r="B103" s="411" t="s">
        <v>386</v>
      </c>
      <c r="C103" s="580"/>
      <c r="D103" s="580"/>
      <c r="E103" s="576"/>
      <c r="F103" s="615"/>
    </row>
    <row r="104" spans="1:6" ht="12" customHeight="1" x14ac:dyDescent="0.3">
      <c r="A104" s="321" t="s">
        <v>47</v>
      </c>
      <c r="B104" s="322" t="s">
        <v>286</v>
      </c>
      <c r="C104" s="604"/>
      <c r="D104" s="604"/>
      <c r="E104" s="605"/>
      <c r="F104" s="824"/>
    </row>
    <row r="105" spans="1:6" ht="12" customHeight="1" x14ac:dyDescent="0.3">
      <c r="A105" s="314" t="s">
        <v>48</v>
      </c>
      <c r="B105" s="309" t="s">
        <v>287</v>
      </c>
      <c r="C105" s="606"/>
      <c r="D105" s="606"/>
      <c r="E105" s="607"/>
      <c r="F105" s="825"/>
    </row>
    <row r="106" spans="1:6" ht="12" customHeight="1" x14ac:dyDescent="0.3">
      <c r="A106" s="314" t="s">
        <v>49</v>
      </c>
      <c r="B106" s="309" t="s">
        <v>288</v>
      </c>
      <c r="C106" s="606"/>
      <c r="D106" s="606"/>
      <c r="E106" s="607"/>
      <c r="F106" s="825"/>
    </row>
    <row r="107" spans="1:6" ht="12" customHeight="1" x14ac:dyDescent="0.3">
      <c r="A107" s="314" t="s">
        <v>50</v>
      </c>
      <c r="B107" s="309" t="s">
        <v>289</v>
      </c>
      <c r="C107" s="606"/>
      <c r="D107" s="606"/>
      <c r="E107" s="607"/>
      <c r="F107" s="825"/>
    </row>
    <row r="108" spans="1:6" ht="12" customHeight="1" x14ac:dyDescent="0.3">
      <c r="A108" s="314" t="s">
        <v>154</v>
      </c>
      <c r="B108" s="309" t="s">
        <v>290</v>
      </c>
      <c r="C108" s="606"/>
      <c r="D108" s="606"/>
      <c r="E108" s="607"/>
      <c r="F108" s="825"/>
    </row>
    <row r="109" spans="1:6" ht="12" customHeight="1" x14ac:dyDescent="0.3">
      <c r="A109" s="314" t="s">
        <v>172</v>
      </c>
      <c r="B109" s="309" t="s">
        <v>291</v>
      </c>
      <c r="C109" s="606"/>
      <c r="D109" s="606"/>
      <c r="E109" s="607"/>
      <c r="F109" s="825"/>
    </row>
    <row r="110" spans="1:6" ht="12" customHeight="1" thickBot="1" x14ac:dyDescent="0.35">
      <c r="A110" s="323" t="s">
        <v>173</v>
      </c>
      <c r="B110" s="324" t="s">
        <v>292</v>
      </c>
      <c r="C110" s="608"/>
      <c r="D110" s="608"/>
      <c r="E110" s="609"/>
      <c r="F110" s="826"/>
    </row>
    <row r="111" spans="1:6" ht="12" customHeight="1" thickBot="1" x14ac:dyDescent="0.35">
      <c r="A111" s="320" t="s">
        <v>45</v>
      </c>
      <c r="B111" s="411" t="s">
        <v>387</v>
      </c>
      <c r="C111" s="580"/>
      <c r="D111" s="580"/>
      <c r="E111" s="576"/>
      <c r="F111" s="615"/>
    </row>
    <row r="112" spans="1:6" ht="12" customHeight="1" x14ac:dyDescent="0.3">
      <c r="A112" s="321" t="s">
        <v>53</v>
      </c>
      <c r="B112" s="322" t="s">
        <v>286</v>
      </c>
      <c r="C112" s="604"/>
      <c r="D112" s="604"/>
      <c r="E112" s="605"/>
      <c r="F112" s="824"/>
    </row>
    <row r="113" spans="1:6" ht="12" customHeight="1" x14ac:dyDescent="0.3">
      <c r="A113" s="314" t="s">
        <v>54</v>
      </c>
      <c r="B113" s="309" t="s">
        <v>293</v>
      </c>
      <c r="C113" s="606"/>
      <c r="D113" s="606"/>
      <c r="E113" s="607"/>
      <c r="F113" s="825"/>
    </row>
    <row r="114" spans="1:6" ht="12" customHeight="1" x14ac:dyDescent="0.3">
      <c r="A114" s="314" t="s">
        <v>55</v>
      </c>
      <c r="B114" s="309" t="s">
        <v>288</v>
      </c>
      <c r="C114" s="606"/>
      <c r="D114" s="606"/>
      <c r="E114" s="607"/>
      <c r="F114" s="825"/>
    </row>
    <row r="115" spans="1:6" ht="12" customHeight="1" x14ac:dyDescent="0.3">
      <c r="A115" s="314" t="s">
        <v>56</v>
      </c>
      <c r="B115" s="309" t="s">
        <v>289</v>
      </c>
      <c r="C115" s="606"/>
      <c r="D115" s="606"/>
      <c r="E115" s="607"/>
      <c r="F115" s="825"/>
    </row>
    <row r="116" spans="1:6" ht="12" customHeight="1" x14ac:dyDescent="0.3">
      <c r="A116" s="314" t="s">
        <v>155</v>
      </c>
      <c r="B116" s="309" t="s">
        <v>290</v>
      </c>
      <c r="C116" s="606"/>
      <c r="D116" s="606"/>
      <c r="E116" s="607"/>
      <c r="F116" s="825"/>
    </row>
    <row r="117" spans="1:6" ht="12" customHeight="1" x14ac:dyDescent="0.3">
      <c r="A117" s="314" t="s">
        <v>174</v>
      </c>
      <c r="B117" s="309" t="s">
        <v>294</v>
      </c>
      <c r="C117" s="606"/>
      <c r="D117" s="606"/>
      <c r="E117" s="607"/>
      <c r="F117" s="825"/>
    </row>
    <row r="118" spans="1:6" ht="12" customHeight="1" x14ac:dyDescent="0.3">
      <c r="A118" s="314" t="s">
        <v>175</v>
      </c>
      <c r="B118" s="309" t="s">
        <v>292</v>
      </c>
      <c r="C118" s="606"/>
      <c r="D118" s="606"/>
      <c r="E118" s="607"/>
      <c r="F118" s="825"/>
    </row>
    <row r="119" spans="1:6" ht="12" customHeight="1" thickBot="1" x14ac:dyDescent="0.35">
      <c r="A119" s="323" t="s">
        <v>176</v>
      </c>
      <c r="B119" s="324" t="s">
        <v>384</v>
      </c>
      <c r="C119" s="608"/>
      <c r="D119" s="608"/>
      <c r="E119" s="609"/>
      <c r="F119" s="826"/>
    </row>
    <row r="120" spans="1:6" ht="12" customHeight="1" thickBot="1" x14ac:dyDescent="0.35">
      <c r="A120" s="313" t="s">
        <v>891</v>
      </c>
      <c r="B120" s="407" t="s">
        <v>295</v>
      </c>
      <c r="C120" s="818">
        <f>+C101+C102</f>
        <v>3355</v>
      </c>
      <c r="D120" s="610">
        <f>+D101+D102</f>
        <v>3355</v>
      </c>
      <c r="E120" s="610">
        <f>+E101+E102</f>
        <v>3270</v>
      </c>
      <c r="F120" s="1258">
        <f>E120/D120</f>
        <v>0.97466467958271241</v>
      </c>
    </row>
    <row r="121" spans="1:6" ht="15" customHeight="1" thickBot="1" x14ac:dyDescent="0.35">
      <c r="A121" s="313" t="s">
        <v>892</v>
      </c>
      <c r="B121" s="407" t="s">
        <v>296</v>
      </c>
      <c r="C121" s="612"/>
      <c r="D121" s="612"/>
      <c r="E121" s="612"/>
      <c r="F121" s="1259"/>
    </row>
    <row r="122" spans="1:6" s="1" customFormat="1" ht="12.9" customHeight="1" thickBot="1" x14ac:dyDescent="0.3">
      <c r="A122" s="325" t="s">
        <v>893</v>
      </c>
      <c r="B122" s="408" t="s">
        <v>297</v>
      </c>
      <c r="C122" s="820">
        <f>+C120+C121</f>
        <v>3355</v>
      </c>
      <c r="D122" s="587">
        <f>+D120+D121</f>
        <v>3355</v>
      </c>
      <c r="E122" s="587">
        <f>+E120+E121</f>
        <v>3270</v>
      </c>
      <c r="F122" s="1260">
        <f t="shared" ref="F122" si="2">E122/D122</f>
        <v>0.97466467958271241</v>
      </c>
    </row>
    <row r="123" spans="1:6" ht="7.5" customHeight="1" x14ac:dyDescent="0.3">
      <c r="A123" s="412"/>
      <c r="B123" s="412"/>
      <c r="C123" s="614"/>
    </row>
    <row r="124" spans="1:6" x14ac:dyDescent="0.3">
      <c r="A124" s="1351" t="s">
        <v>108</v>
      </c>
      <c r="B124" s="1351"/>
      <c r="C124" s="1351"/>
      <c r="D124" s="1351"/>
      <c r="E124" s="1351"/>
      <c r="F124" s="1351"/>
    </row>
    <row r="125" spans="1:6" ht="15" customHeight="1" thickBot="1" x14ac:dyDescent="0.35">
      <c r="A125" s="1347" t="s">
        <v>101</v>
      </c>
      <c r="B125" s="1347"/>
      <c r="C125" s="329"/>
    </row>
    <row r="126" spans="1:6" ht="13.5" customHeight="1" thickBot="1" x14ac:dyDescent="0.35">
      <c r="A126" s="23">
        <v>1</v>
      </c>
      <c r="B126" s="34" t="s">
        <v>183</v>
      </c>
      <c r="C126" s="577">
        <f>+C51-C101</f>
        <v>0</v>
      </c>
      <c r="D126" s="1070"/>
      <c r="E126" s="1070"/>
      <c r="F126" s="1070"/>
    </row>
    <row r="127" spans="1:6" ht="7.5" customHeight="1" x14ac:dyDescent="0.3">
      <c r="A127" s="412"/>
      <c r="B127" s="412"/>
    </row>
  </sheetData>
  <mergeCells count="6">
    <mergeCell ref="A125:B125"/>
    <mergeCell ref="A2:B2"/>
    <mergeCell ref="A70:B70"/>
    <mergeCell ref="A1:F1"/>
    <mergeCell ref="A69:F69"/>
    <mergeCell ref="A124:F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59" fitToWidth="3" fitToHeight="2" orientation="portrait" r:id="rId1"/>
  <headerFooter alignWithMargins="0">
    <oddHeader>&amp;C&amp;"Times New Roman CE,Félkövér"&amp;12
Csobánka Község Önkormányzat
2018. ÉVI KÖLTSÉGVETÉS ÖNKÉNT VÁLLALT FELADATAINAK MÉRLEGE&amp;R&amp;"Times New Roman CE,Félkövér"&amp;11 1.3. melléklet az 5/2019. (IV. 26.)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127"/>
  <sheetViews>
    <sheetView view="pageLayout" zoomScaleNormal="120" zoomScaleSheetLayoutView="100" workbookViewId="0">
      <selection activeCell="E3" sqref="E3:F3"/>
    </sheetView>
  </sheetViews>
  <sheetFormatPr defaultColWidth="9.33203125" defaultRowHeight="15.6" x14ac:dyDescent="0.3"/>
  <cols>
    <col min="1" max="1" width="9" style="417" customWidth="1"/>
    <col min="2" max="2" width="84.77734375" style="417" customWidth="1"/>
    <col min="3" max="4" width="14.77734375" style="621" customWidth="1"/>
    <col min="5" max="6" width="14.77734375" style="42" customWidth="1"/>
    <col min="7" max="16384" width="9.33203125" style="42"/>
  </cols>
  <sheetData>
    <row r="1" spans="1:6" ht="15.9" customHeight="1" x14ac:dyDescent="0.3">
      <c r="A1" s="1349" t="s">
        <v>882</v>
      </c>
      <c r="B1" s="1349"/>
      <c r="C1" s="1349"/>
      <c r="D1" s="1349"/>
      <c r="E1" s="1349"/>
      <c r="F1" s="1349"/>
    </row>
    <row r="2" spans="1:6" ht="15.9" customHeight="1" thickBot="1" x14ac:dyDescent="0.35">
      <c r="A2" s="1347" t="s">
        <v>99</v>
      </c>
      <c r="B2" s="1347"/>
      <c r="C2" s="329"/>
      <c r="F2" s="329" t="s">
        <v>299</v>
      </c>
    </row>
    <row r="3" spans="1:6" ht="38.1" customHeight="1" thickBot="1" x14ac:dyDescent="0.35">
      <c r="A3" s="27" t="s">
        <v>17</v>
      </c>
      <c r="B3" s="28" t="s">
        <v>884</v>
      </c>
      <c r="C3" s="539" t="s">
        <v>1170</v>
      </c>
      <c r="D3" s="1136" t="s">
        <v>1171</v>
      </c>
      <c r="E3" s="1135" t="s">
        <v>1218</v>
      </c>
      <c r="F3" s="197" t="s">
        <v>1219</v>
      </c>
    </row>
    <row r="4" spans="1:6" s="43" customFormat="1" ht="12" customHeight="1" thickBot="1" x14ac:dyDescent="0.25">
      <c r="A4" s="37">
        <v>1</v>
      </c>
      <c r="B4" s="38">
        <v>2</v>
      </c>
      <c r="C4" s="38">
        <v>3</v>
      </c>
      <c r="D4" s="1137">
        <v>4</v>
      </c>
      <c r="E4" s="38">
        <v>5</v>
      </c>
      <c r="F4" s="1152">
        <v>6</v>
      </c>
    </row>
    <row r="5" spans="1:6" s="1" customFormat="1" ht="12" customHeight="1" thickBot="1" x14ac:dyDescent="0.3">
      <c r="A5" s="25" t="s">
        <v>885</v>
      </c>
      <c r="B5" s="24" t="s">
        <v>125</v>
      </c>
      <c r="C5" s="573">
        <f>+C6+C11+C20</f>
        <v>0</v>
      </c>
      <c r="D5" s="573">
        <f>+D6+D11+D20</f>
        <v>0</v>
      </c>
      <c r="E5" s="574"/>
      <c r="F5" s="798"/>
    </row>
    <row r="6" spans="1:6" s="1" customFormat="1" ht="12" customHeight="1" thickBot="1" x14ac:dyDescent="0.3">
      <c r="A6" s="23" t="s">
        <v>886</v>
      </c>
      <c r="B6" s="308" t="s">
        <v>374</v>
      </c>
      <c r="C6" s="575">
        <f>+C7+C8+C9+C10</f>
        <v>0</v>
      </c>
      <c r="D6" s="580">
        <f>+D7+D8+D9+D10</f>
        <v>0</v>
      </c>
      <c r="E6" s="576"/>
      <c r="F6" s="615"/>
    </row>
    <row r="7" spans="1:6" s="1" customFormat="1" ht="12" customHeight="1" x14ac:dyDescent="0.25">
      <c r="A7" s="16" t="s">
        <v>63</v>
      </c>
      <c r="B7" s="401" t="s">
        <v>928</v>
      </c>
      <c r="C7" s="578"/>
      <c r="D7" s="594"/>
      <c r="E7" s="579"/>
      <c r="F7" s="721"/>
    </row>
    <row r="8" spans="1:6" s="1" customFormat="1" ht="12" customHeight="1" x14ac:dyDescent="0.25">
      <c r="A8" s="16" t="s">
        <v>64</v>
      </c>
      <c r="B8" s="322" t="s">
        <v>33</v>
      </c>
      <c r="C8" s="578"/>
      <c r="D8" s="594"/>
      <c r="E8" s="579"/>
      <c r="F8" s="721"/>
    </row>
    <row r="9" spans="1:6" s="1" customFormat="1" ht="12" customHeight="1" x14ac:dyDescent="0.25">
      <c r="A9" s="16" t="s">
        <v>65</v>
      </c>
      <c r="B9" s="322" t="s">
        <v>126</v>
      </c>
      <c r="C9" s="578"/>
      <c r="D9" s="594"/>
      <c r="E9" s="579"/>
      <c r="F9" s="721"/>
    </row>
    <row r="10" spans="1:6" s="1" customFormat="1" ht="12" customHeight="1" thickBot="1" x14ac:dyDescent="0.3">
      <c r="A10" s="16" t="s">
        <v>66</v>
      </c>
      <c r="B10" s="402" t="s">
        <v>127</v>
      </c>
      <c r="C10" s="578"/>
      <c r="D10" s="594"/>
      <c r="E10" s="579"/>
      <c r="F10" s="721"/>
    </row>
    <row r="11" spans="1:6" s="1" customFormat="1" ht="12" customHeight="1" thickBot="1" x14ac:dyDescent="0.3">
      <c r="A11" s="23" t="s">
        <v>887</v>
      </c>
      <c r="B11" s="24" t="s">
        <v>128</v>
      </c>
      <c r="C11" s="580">
        <f>+C12+C13+C14+C15+C16+C17+C18+C19</f>
        <v>0</v>
      </c>
      <c r="D11" s="580">
        <f>+D12+D13+D14+D15+D16+D17+D18+D19</f>
        <v>0</v>
      </c>
      <c r="E11" s="576"/>
      <c r="F11" s="615"/>
    </row>
    <row r="12" spans="1:6" s="1" customFormat="1" ht="12" customHeight="1" x14ac:dyDescent="0.25">
      <c r="A12" s="20" t="s">
        <v>37</v>
      </c>
      <c r="B12" s="12" t="s">
        <v>133</v>
      </c>
      <c r="C12" s="592"/>
      <c r="D12" s="592"/>
      <c r="E12" s="593"/>
      <c r="F12" s="720"/>
    </row>
    <row r="13" spans="1:6" s="1" customFormat="1" ht="12" customHeight="1" x14ac:dyDescent="0.25">
      <c r="A13" s="16" t="s">
        <v>38</v>
      </c>
      <c r="B13" s="9" t="s">
        <v>134</v>
      </c>
      <c r="C13" s="594"/>
      <c r="D13" s="594"/>
      <c r="E13" s="579"/>
      <c r="F13" s="721"/>
    </row>
    <row r="14" spans="1:6" s="1" customFormat="1" ht="12" customHeight="1" x14ac:dyDescent="0.25">
      <c r="A14" s="16" t="s">
        <v>39</v>
      </c>
      <c r="B14" s="9" t="s">
        <v>135</v>
      </c>
      <c r="C14" s="594"/>
      <c r="D14" s="594"/>
      <c r="E14" s="579"/>
      <c r="F14" s="721"/>
    </row>
    <row r="15" spans="1:6" s="1" customFormat="1" ht="12" customHeight="1" x14ac:dyDescent="0.25">
      <c r="A15" s="16" t="s">
        <v>40</v>
      </c>
      <c r="B15" s="9" t="s">
        <v>136</v>
      </c>
      <c r="C15" s="594"/>
      <c r="D15" s="594"/>
      <c r="E15" s="579"/>
      <c r="F15" s="721"/>
    </row>
    <row r="16" spans="1:6" s="1" customFormat="1" ht="12" customHeight="1" x14ac:dyDescent="0.25">
      <c r="A16" s="15" t="s">
        <v>129</v>
      </c>
      <c r="B16" s="8" t="s">
        <v>137</v>
      </c>
      <c r="C16" s="622"/>
      <c r="D16" s="622"/>
      <c r="E16" s="623"/>
      <c r="F16" s="1077"/>
    </row>
    <row r="17" spans="1:6" s="1" customFormat="1" ht="12" customHeight="1" x14ac:dyDescent="0.25">
      <c r="A17" s="16" t="s">
        <v>130</v>
      </c>
      <c r="B17" s="9" t="s">
        <v>239</v>
      </c>
      <c r="C17" s="594"/>
      <c r="D17" s="594"/>
      <c r="E17" s="579"/>
      <c r="F17" s="721"/>
    </row>
    <row r="18" spans="1:6" s="1" customFormat="1" ht="12" customHeight="1" x14ac:dyDescent="0.25">
      <c r="A18" s="16" t="s">
        <v>131</v>
      </c>
      <c r="B18" s="9" t="s">
        <v>139</v>
      </c>
      <c r="C18" s="594"/>
      <c r="D18" s="594"/>
      <c r="E18" s="579"/>
      <c r="F18" s="721"/>
    </row>
    <row r="19" spans="1:6" s="1" customFormat="1" ht="12" customHeight="1" thickBot="1" x14ac:dyDescent="0.3">
      <c r="A19" s="17" t="s">
        <v>132</v>
      </c>
      <c r="B19" s="10" t="s">
        <v>140</v>
      </c>
      <c r="C19" s="624"/>
      <c r="D19" s="624"/>
      <c r="E19" s="625"/>
      <c r="F19" s="1078"/>
    </row>
    <row r="20" spans="1:6" s="1" customFormat="1" ht="12" customHeight="1" thickBot="1" x14ac:dyDescent="0.3">
      <c r="A20" s="23" t="s">
        <v>141</v>
      </c>
      <c r="B20" s="24" t="s">
        <v>240</v>
      </c>
      <c r="C20" s="626"/>
      <c r="D20" s="626"/>
      <c r="E20" s="627"/>
      <c r="F20" s="1079"/>
    </row>
    <row r="21" spans="1:6" s="1" customFormat="1" ht="12" customHeight="1" thickBot="1" x14ac:dyDescent="0.3">
      <c r="A21" s="23" t="s">
        <v>889</v>
      </c>
      <c r="B21" s="24" t="s">
        <v>143</v>
      </c>
      <c r="C21" s="580">
        <f>+C22+C23+C24+C25+C26+C27+C28+C29</f>
        <v>0</v>
      </c>
      <c r="D21" s="580">
        <f>+D22+D23+D24+D25+D26+D27+D28+D29</f>
        <v>0</v>
      </c>
      <c r="E21" s="576"/>
      <c r="F21" s="615"/>
    </row>
    <row r="22" spans="1:6" s="1" customFormat="1" ht="12" customHeight="1" x14ac:dyDescent="0.25">
      <c r="A22" s="18" t="s">
        <v>41</v>
      </c>
      <c r="B22" s="11" t="s">
        <v>818</v>
      </c>
      <c r="C22" s="599"/>
      <c r="D22" s="599"/>
      <c r="E22" s="600"/>
      <c r="F22" s="823"/>
    </row>
    <row r="23" spans="1:6" s="1" customFormat="1" ht="12" customHeight="1" x14ac:dyDescent="0.25">
      <c r="A23" s="16" t="s">
        <v>42</v>
      </c>
      <c r="B23" s="9" t="s">
        <v>149</v>
      </c>
      <c r="C23" s="594"/>
      <c r="D23" s="594"/>
      <c r="E23" s="579"/>
      <c r="F23" s="721"/>
    </row>
    <row r="24" spans="1:6" s="1" customFormat="1" ht="12" customHeight="1" x14ac:dyDescent="0.25">
      <c r="A24" s="16" t="s">
        <v>43</v>
      </c>
      <c r="B24" s="9" t="s">
        <v>46</v>
      </c>
      <c r="C24" s="594"/>
      <c r="D24" s="594"/>
      <c r="E24" s="579"/>
      <c r="F24" s="721"/>
    </row>
    <row r="25" spans="1:6" s="1" customFormat="1" ht="12" customHeight="1" x14ac:dyDescent="0.25">
      <c r="A25" s="19" t="s">
        <v>144</v>
      </c>
      <c r="B25" s="9" t="s">
        <v>150</v>
      </c>
      <c r="C25" s="595"/>
      <c r="D25" s="595"/>
      <c r="E25" s="596"/>
      <c r="F25" s="821"/>
    </row>
    <row r="26" spans="1:6" s="1" customFormat="1" ht="12" customHeight="1" x14ac:dyDescent="0.25">
      <c r="A26" s="19" t="s">
        <v>145</v>
      </c>
      <c r="B26" s="9" t="s">
        <v>151</v>
      </c>
      <c r="C26" s="595"/>
      <c r="D26" s="595"/>
      <c r="E26" s="596"/>
      <c r="F26" s="821"/>
    </row>
    <row r="27" spans="1:6" s="1" customFormat="1" ht="12" customHeight="1" x14ac:dyDescent="0.25">
      <c r="A27" s="16" t="s">
        <v>146</v>
      </c>
      <c r="B27" s="9" t="s">
        <v>152</v>
      </c>
      <c r="C27" s="594"/>
      <c r="D27" s="594"/>
      <c r="E27" s="579"/>
      <c r="F27" s="721"/>
    </row>
    <row r="28" spans="1:6" s="1" customFormat="1" ht="12" customHeight="1" x14ac:dyDescent="0.25">
      <c r="A28" s="16" t="s">
        <v>147</v>
      </c>
      <c r="B28" s="9" t="s">
        <v>241</v>
      </c>
      <c r="C28" s="628"/>
      <c r="D28" s="628"/>
      <c r="E28" s="629"/>
      <c r="F28" s="1080"/>
    </row>
    <row r="29" spans="1:6" s="1" customFormat="1" ht="12" customHeight="1" thickBot="1" x14ac:dyDescent="0.3">
      <c r="A29" s="16" t="s">
        <v>148</v>
      </c>
      <c r="B29" s="14" t="s">
        <v>153</v>
      </c>
      <c r="C29" s="628"/>
      <c r="D29" s="628"/>
      <c r="E29" s="629"/>
      <c r="F29" s="1080"/>
    </row>
    <row r="30" spans="1:6" s="1" customFormat="1" ht="12" customHeight="1" thickBot="1" x14ac:dyDescent="0.3">
      <c r="A30" s="301" t="s">
        <v>890</v>
      </c>
      <c r="B30" s="24" t="s">
        <v>375</v>
      </c>
      <c r="C30" s="575">
        <f>+C31+C37</f>
        <v>0</v>
      </c>
      <c r="D30" s="580">
        <f>+D31+D37</f>
        <v>0</v>
      </c>
      <c r="E30" s="576"/>
      <c r="F30" s="615"/>
    </row>
    <row r="31" spans="1:6" s="1" customFormat="1" ht="12" customHeight="1" x14ac:dyDescent="0.25">
      <c r="A31" s="302" t="s">
        <v>44</v>
      </c>
      <c r="B31" s="403" t="s">
        <v>376</v>
      </c>
      <c r="C31" s="581">
        <f>+C32+C33+C34+C35+C36</f>
        <v>0</v>
      </c>
      <c r="D31" s="589">
        <f>+D32+D33+D34+D35+D36</f>
        <v>0</v>
      </c>
      <c r="E31" s="582"/>
      <c r="F31" s="1081"/>
    </row>
    <row r="32" spans="1:6" s="1" customFormat="1" ht="12" customHeight="1" x14ac:dyDescent="0.25">
      <c r="A32" s="303" t="s">
        <v>47</v>
      </c>
      <c r="B32" s="309" t="s">
        <v>242</v>
      </c>
      <c r="C32" s="630"/>
      <c r="D32" s="628"/>
      <c r="E32" s="629"/>
      <c r="F32" s="1080"/>
    </row>
    <row r="33" spans="1:6" s="1" customFormat="1" ht="12" customHeight="1" x14ac:dyDescent="0.25">
      <c r="A33" s="303" t="s">
        <v>48</v>
      </c>
      <c r="B33" s="309" t="s">
        <v>243</v>
      </c>
      <c r="C33" s="630"/>
      <c r="D33" s="628"/>
      <c r="E33" s="629"/>
      <c r="F33" s="1080"/>
    </row>
    <row r="34" spans="1:6" s="1" customFormat="1" ht="12" customHeight="1" x14ac:dyDescent="0.25">
      <c r="A34" s="303" t="s">
        <v>49</v>
      </c>
      <c r="B34" s="309" t="s">
        <v>244</v>
      </c>
      <c r="C34" s="630"/>
      <c r="D34" s="628"/>
      <c r="E34" s="629"/>
      <c r="F34" s="1080"/>
    </row>
    <row r="35" spans="1:6" s="1" customFormat="1" ht="12" customHeight="1" x14ac:dyDescent="0.25">
      <c r="A35" s="303" t="s">
        <v>50</v>
      </c>
      <c r="B35" s="309" t="s">
        <v>245</v>
      </c>
      <c r="C35" s="630"/>
      <c r="D35" s="628"/>
      <c r="E35" s="629"/>
      <c r="F35" s="1080"/>
    </row>
    <row r="36" spans="1:6" s="1" customFormat="1" ht="12" customHeight="1" x14ac:dyDescent="0.25">
      <c r="A36" s="303" t="s">
        <v>154</v>
      </c>
      <c r="B36" s="309" t="s">
        <v>377</v>
      </c>
      <c r="C36" s="630"/>
      <c r="D36" s="628"/>
      <c r="E36" s="629"/>
      <c r="F36" s="1080"/>
    </row>
    <row r="37" spans="1:6" s="1" customFormat="1" ht="12" customHeight="1" x14ac:dyDescent="0.25">
      <c r="A37" s="303" t="s">
        <v>45</v>
      </c>
      <c r="B37" s="310" t="s">
        <v>378</v>
      </c>
      <c r="C37" s="583">
        <f>+C38+C39+C40+C41+C42</f>
        <v>0</v>
      </c>
      <c r="D37" s="590">
        <f>+D38+D39+D40+D41+D42</f>
        <v>0</v>
      </c>
      <c r="E37" s="584"/>
      <c r="F37" s="1082"/>
    </row>
    <row r="38" spans="1:6" s="1" customFormat="1" ht="12" customHeight="1" x14ac:dyDescent="0.25">
      <c r="A38" s="303" t="s">
        <v>53</v>
      </c>
      <c r="B38" s="309" t="s">
        <v>242</v>
      </c>
      <c r="C38" s="630"/>
      <c r="D38" s="628"/>
      <c r="E38" s="629"/>
      <c r="F38" s="1080"/>
    </row>
    <row r="39" spans="1:6" s="1" customFormat="1" ht="12" customHeight="1" x14ac:dyDescent="0.25">
      <c r="A39" s="303" t="s">
        <v>54</v>
      </c>
      <c r="B39" s="309" t="s">
        <v>243</v>
      </c>
      <c r="C39" s="630"/>
      <c r="D39" s="628"/>
      <c r="E39" s="629"/>
      <c r="F39" s="1080"/>
    </row>
    <row r="40" spans="1:6" s="1" customFormat="1" ht="12" customHeight="1" x14ac:dyDescent="0.25">
      <c r="A40" s="303" t="s">
        <v>55</v>
      </c>
      <c r="B40" s="309" t="s">
        <v>244</v>
      </c>
      <c r="C40" s="630"/>
      <c r="D40" s="628"/>
      <c r="E40" s="629"/>
      <c r="F40" s="1080"/>
    </row>
    <row r="41" spans="1:6" s="1" customFormat="1" ht="12" customHeight="1" x14ac:dyDescent="0.25">
      <c r="A41" s="303" t="s">
        <v>56</v>
      </c>
      <c r="B41" s="311" t="s">
        <v>245</v>
      </c>
      <c r="C41" s="630"/>
      <c r="D41" s="628"/>
      <c r="E41" s="629"/>
      <c r="F41" s="1080"/>
    </row>
    <row r="42" spans="1:6" s="1" customFormat="1" ht="12" customHeight="1" thickBot="1" x14ac:dyDescent="0.3">
      <c r="A42" s="304" t="s">
        <v>155</v>
      </c>
      <c r="B42" s="312" t="s">
        <v>379</v>
      </c>
      <c r="C42" s="631"/>
      <c r="D42" s="1140"/>
      <c r="E42" s="632"/>
      <c r="F42" s="1083"/>
    </row>
    <row r="43" spans="1:6" s="1" customFormat="1" ht="12" customHeight="1" thickBot="1" x14ac:dyDescent="0.3">
      <c r="A43" s="23" t="s">
        <v>156</v>
      </c>
      <c r="B43" s="404" t="s">
        <v>246</v>
      </c>
      <c r="C43" s="575">
        <f>+C44+C45</f>
        <v>0</v>
      </c>
      <c r="D43" s="580">
        <f>+D44+D45</f>
        <v>0</v>
      </c>
      <c r="E43" s="576"/>
      <c r="F43" s="615"/>
    </row>
    <row r="44" spans="1:6" s="1" customFormat="1" ht="12" customHeight="1" x14ac:dyDescent="0.25">
      <c r="A44" s="18" t="s">
        <v>51</v>
      </c>
      <c r="B44" s="322" t="s">
        <v>247</v>
      </c>
      <c r="C44" s="633"/>
      <c r="D44" s="599"/>
      <c r="E44" s="600"/>
      <c r="F44" s="823"/>
    </row>
    <row r="45" spans="1:6" s="1" customFormat="1" ht="12" customHeight="1" thickBot="1" x14ac:dyDescent="0.3">
      <c r="A45" s="15" t="s">
        <v>52</v>
      </c>
      <c r="B45" s="317" t="s">
        <v>251</v>
      </c>
      <c r="C45" s="634"/>
      <c r="D45" s="622"/>
      <c r="E45" s="623"/>
      <c r="F45" s="1077"/>
    </row>
    <row r="46" spans="1:6" s="1" customFormat="1" ht="12" customHeight="1" thickBot="1" x14ac:dyDescent="0.3">
      <c r="A46" s="23" t="s">
        <v>892</v>
      </c>
      <c r="B46" s="404" t="s">
        <v>250</v>
      </c>
      <c r="C46" s="575">
        <f>+C47+C48+C49</f>
        <v>0</v>
      </c>
      <c r="D46" s="580">
        <f>+D47+D48+D49</f>
        <v>0</v>
      </c>
      <c r="E46" s="576"/>
      <c r="F46" s="615"/>
    </row>
    <row r="47" spans="1:6" s="1" customFormat="1" ht="12" customHeight="1" x14ac:dyDescent="0.25">
      <c r="A47" s="18" t="s">
        <v>159</v>
      </c>
      <c r="B47" s="322" t="s">
        <v>157</v>
      </c>
      <c r="C47" s="635"/>
      <c r="D47" s="1141"/>
      <c r="E47" s="636"/>
      <c r="F47" s="1084"/>
    </row>
    <row r="48" spans="1:6" s="1" customFormat="1" ht="12" customHeight="1" x14ac:dyDescent="0.25">
      <c r="A48" s="16" t="s">
        <v>160</v>
      </c>
      <c r="B48" s="309" t="s">
        <v>943</v>
      </c>
      <c r="C48" s="628"/>
      <c r="D48" s="628"/>
      <c r="E48" s="629"/>
      <c r="F48" s="1080"/>
    </row>
    <row r="49" spans="1:6" s="1" customFormat="1" ht="12" customHeight="1" thickBot="1" x14ac:dyDescent="0.3">
      <c r="A49" s="15" t="s">
        <v>308</v>
      </c>
      <c r="B49" s="317" t="s">
        <v>248</v>
      </c>
      <c r="C49" s="637"/>
      <c r="D49" s="1142"/>
      <c r="E49" s="638"/>
      <c r="F49" s="1085"/>
    </row>
    <row r="50" spans="1:6" s="1" customFormat="1" ht="17.25" customHeight="1" thickBot="1" x14ac:dyDescent="0.3">
      <c r="A50" s="23" t="s">
        <v>161</v>
      </c>
      <c r="B50" s="405" t="s">
        <v>249</v>
      </c>
      <c r="C50" s="639"/>
      <c r="D50" s="639"/>
      <c r="E50" s="603"/>
      <c r="F50" s="707"/>
    </row>
    <row r="51" spans="1:6" s="1" customFormat="1" ht="12" customHeight="1" thickBot="1" x14ac:dyDescent="0.3">
      <c r="A51" s="23" t="s">
        <v>894</v>
      </c>
      <c r="B51" s="26" t="s">
        <v>162</v>
      </c>
      <c r="C51" s="585">
        <f>+C6+C11+C20+C21+C30+C43+C46+C50</f>
        <v>0</v>
      </c>
      <c r="D51" s="585"/>
      <c r="E51" s="586"/>
      <c r="F51" s="1086"/>
    </row>
    <row r="52" spans="1:6" s="1" customFormat="1" ht="12" customHeight="1" thickBot="1" x14ac:dyDescent="0.3">
      <c r="A52" s="313" t="s">
        <v>895</v>
      </c>
      <c r="B52" s="308" t="s">
        <v>252</v>
      </c>
      <c r="C52" s="587">
        <f>+C53+C59</f>
        <v>0</v>
      </c>
      <c r="D52" s="587">
        <f>+D53+D59</f>
        <v>0</v>
      </c>
      <c r="E52" s="588"/>
      <c r="F52" s="1087"/>
    </row>
    <row r="53" spans="1:6" s="1" customFormat="1" ht="12" customHeight="1" x14ac:dyDescent="0.25">
      <c r="A53" s="406" t="s">
        <v>92</v>
      </c>
      <c r="B53" s="403" t="s">
        <v>253</v>
      </c>
      <c r="C53" s="589">
        <f>+C54+C55+C56+C57+C58</f>
        <v>0</v>
      </c>
      <c r="D53" s="589">
        <f>+D54+D55+D56+D57+D58</f>
        <v>0</v>
      </c>
      <c r="E53" s="582"/>
      <c r="F53" s="1081"/>
    </row>
    <row r="54" spans="1:6" s="1" customFormat="1" ht="12" customHeight="1" x14ac:dyDescent="0.25">
      <c r="A54" s="314" t="s">
        <v>268</v>
      </c>
      <c r="B54" s="309" t="s">
        <v>254</v>
      </c>
      <c r="C54" s="628"/>
      <c r="D54" s="628"/>
      <c r="E54" s="629"/>
      <c r="F54" s="1080"/>
    </row>
    <row r="55" spans="1:6" s="1" customFormat="1" ht="12" customHeight="1" x14ac:dyDescent="0.25">
      <c r="A55" s="314" t="s">
        <v>269</v>
      </c>
      <c r="B55" s="309" t="s">
        <v>255</v>
      </c>
      <c r="C55" s="628"/>
      <c r="D55" s="628"/>
      <c r="E55" s="629"/>
      <c r="F55" s="1080"/>
    </row>
    <row r="56" spans="1:6" s="1" customFormat="1" ht="12" customHeight="1" x14ac:dyDescent="0.25">
      <c r="A56" s="314" t="s">
        <v>270</v>
      </c>
      <c r="B56" s="309" t="s">
        <v>256</v>
      </c>
      <c r="C56" s="628"/>
      <c r="D56" s="628"/>
      <c r="E56" s="629"/>
      <c r="F56" s="1080"/>
    </row>
    <row r="57" spans="1:6" s="1" customFormat="1" ht="12" customHeight="1" x14ac:dyDescent="0.25">
      <c r="A57" s="314" t="s">
        <v>271</v>
      </c>
      <c r="B57" s="309" t="s">
        <v>257</v>
      </c>
      <c r="C57" s="628"/>
      <c r="D57" s="628"/>
      <c r="E57" s="629"/>
      <c r="F57" s="1080"/>
    </row>
    <row r="58" spans="1:6" s="1" customFormat="1" ht="12" customHeight="1" x14ac:dyDescent="0.25">
      <c r="A58" s="314" t="s">
        <v>272</v>
      </c>
      <c r="B58" s="309" t="s">
        <v>258</v>
      </c>
      <c r="C58" s="628"/>
      <c r="D58" s="628"/>
      <c r="E58" s="629"/>
      <c r="F58" s="1080"/>
    </row>
    <row r="59" spans="1:6" s="1" customFormat="1" ht="12" customHeight="1" x14ac:dyDescent="0.25">
      <c r="A59" s="315" t="s">
        <v>93</v>
      </c>
      <c r="B59" s="310" t="s">
        <v>259</v>
      </c>
      <c r="C59" s="590">
        <f>+C60+C61+C62+C63+C64</f>
        <v>0</v>
      </c>
      <c r="D59" s="590">
        <f>+D60+D61+D62+D63+D64</f>
        <v>0</v>
      </c>
      <c r="E59" s="584"/>
      <c r="F59" s="1082"/>
    </row>
    <row r="60" spans="1:6" s="1" customFormat="1" ht="12" customHeight="1" x14ac:dyDescent="0.25">
      <c r="A60" s="314" t="s">
        <v>273</v>
      </c>
      <c r="B60" s="309" t="s">
        <v>260</v>
      </c>
      <c r="C60" s="628"/>
      <c r="D60" s="628"/>
      <c r="E60" s="629"/>
      <c r="F60" s="1080"/>
    </row>
    <row r="61" spans="1:6" s="1" customFormat="1" ht="12" customHeight="1" x14ac:dyDescent="0.25">
      <c r="A61" s="314" t="s">
        <v>274</v>
      </c>
      <c r="B61" s="309" t="s">
        <v>261</v>
      </c>
      <c r="C61" s="628"/>
      <c r="D61" s="628"/>
      <c r="E61" s="629"/>
      <c r="F61" s="1080"/>
    </row>
    <row r="62" spans="1:6" s="1" customFormat="1" ht="12" customHeight="1" x14ac:dyDescent="0.25">
      <c r="A62" s="314" t="s">
        <v>275</v>
      </c>
      <c r="B62" s="309" t="s">
        <v>262</v>
      </c>
      <c r="C62" s="628"/>
      <c r="D62" s="628"/>
      <c r="E62" s="629"/>
      <c r="F62" s="1080"/>
    </row>
    <row r="63" spans="1:6" s="1" customFormat="1" ht="12" customHeight="1" x14ac:dyDescent="0.25">
      <c r="A63" s="314" t="s">
        <v>276</v>
      </c>
      <c r="B63" s="309" t="s">
        <v>263</v>
      </c>
      <c r="C63" s="628"/>
      <c r="D63" s="628"/>
      <c r="E63" s="629"/>
      <c r="F63" s="1080"/>
    </row>
    <row r="64" spans="1:6" s="1" customFormat="1" ht="12" customHeight="1" thickBot="1" x14ac:dyDescent="0.3">
      <c r="A64" s="316" t="s">
        <v>277</v>
      </c>
      <c r="B64" s="317" t="s">
        <v>264</v>
      </c>
      <c r="C64" s="640"/>
      <c r="D64" s="640"/>
      <c r="E64" s="641"/>
      <c r="F64" s="1088"/>
    </row>
    <row r="65" spans="1:6" s="1" customFormat="1" ht="12" customHeight="1" thickBot="1" x14ac:dyDescent="0.3">
      <c r="A65" s="318" t="s">
        <v>896</v>
      </c>
      <c r="B65" s="407" t="s">
        <v>265</v>
      </c>
      <c r="C65" s="587">
        <f>+C51+C52</f>
        <v>0</v>
      </c>
      <c r="D65" s="587">
        <f>+D51+D52</f>
        <v>0</v>
      </c>
      <c r="E65" s="588"/>
      <c r="F65" s="1087"/>
    </row>
    <row r="66" spans="1:6" s="1" customFormat="1" ht="13.5" customHeight="1" thickBot="1" x14ac:dyDescent="0.3">
      <c r="A66" s="319" t="s">
        <v>897</v>
      </c>
      <c r="B66" s="408" t="s">
        <v>266</v>
      </c>
      <c r="C66" s="642"/>
      <c r="D66" s="642"/>
      <c r="E66" s="643"/>
      <c r="F66" s="1089"/>
    </row>
    <row r="67" spans="1:6" s="1" customFormat="1" ht="12" customHeight="1" thickBot="1" x14ac:dyDescent="0.3">
      <c r="A67" s="318" t="s">
        <v>898</v>
      </c>
      <c r="B67" s="407" t="s">
        <v>267</v>
      </c>
      <c r="C67" s="587">
        <f>+C65+C66</f>
        <v>0</v>
      </c>
      <c r="D67" s="587">
        <f>+D65+D66</f>
        <v>0</v>
      </c>
      <c r="E67" s="588"/>
      <c r="F67" s="1087"/>
    </row>
    <row r="68" spans="1:6" s="1" customFormat="1" ht="12.9" customHeight="1" x14ac:dyDescent="0.25">
      <c r="A68" s="6"/>
      <c r="B68" s="7"/>
      <c r="C68" s="591"/>
      <c r="D68" s="591"/>
    </row>
    <row r="69" spans="1:6" ht="16.5" customHeight="1" x14ac:dyDescent="0.3">
      <c r="A69" s="1349" t="s">
        <v>914</v>
      </c>
      <c r="B69" s="1349"/>
      <c r="C69" s="1349"/>
      <c r="D69" s="1349"/>
      <c r="E69" s="1349"/>
      <c r="F69" s="1349"/>
    </row>
    <row r="70" spans="1:6" s="331" customFormat="1" ht="16.5" customHeight="1" thickBot="1" x14ac:dyDescent="0.35">
      <c r="A70" s="1348" t="s">
        <v>100</v>
      </c>
      <c r="B70" s="1348"/>
      <c r="C70" s="140"/>
      <c r="D70" s="329"/>
    </row>
    <row r="71" spans="1:6" ht="38.1" customHeight="1" thickBot="1" x14ac:dyDescent="0.35">
      <c r="A71" s="27" t="s">
        <v>883</v>
      </c>
      <c r="B71" s="28" t="s">
        <v>915</v>
      </c>
      <c r="C71" s="539" t="s">
        <v>1170</v>
      </c>
      <c r="D71" s="1136" t="s">
        <v>1171</v>
      </c>
      <c r="E71" s="1135" t="s">
        <v>1218</v>
      </c>
      <c r="F71" s="197" t="s">
        <v>1219</v>
      </c>
    </row>
    <row r="72" spans="1:6" s="43" customFormat="1" ht="12" customHeight="1" thickBot="1" x14ac:dyDescent="0.25">
      <c r="A72" s="37">
        <v>1</v>
      </c>
      <c r="B72" s="38">
        <v>2</v>
      </c>
      <c r="C72" s="38">
        <v>3</v>
      </c>
      <c r="D72" s="1137">
        <v>4</v>
      </c>
      <c r="E72" s="38">
        <v>5</v>
      </c>
      <c r="F72" s="1152">
        <v>6</v>
      </c>
    </row>
    <row r="73" spans="1:6" ht="12" customHeight="1" thickBot="1" x14ac:dyDescent="0.35">
      <c r="A73" s="25" t="s">
        <v>885</v>
      </c>
      <c r="B73" s="35" t="s">
        <v>163</v>
      </c>
      <c r="C73" s="573">
        <f>+C74+C75+C76+C77+C78</f>
        <v>0</v>
      </c>
      <c r="D73" s="573">
        <f>+D74+D75+D76+D77+D78</f>
        <v>0</v>
      </c>
      <c r="E73" s="574"/>
      <c r="F73" s="798"/>
    </row>
    <row r="74" spans="1:6" ht="12" customHeight="1" x14ac:dyDescent="0.3">
      <c r="A74" s="20" t="s">
        <v>57</v>
      </c>
      <c r="B74" s="12" t="s">
        <v>916</v>
      </c>
      <c r="C74" s="592"/>
      <c r="D74" s="592"/>
      <c r="E74" s="593"/>
      <c r="F74" s="720"/>
    </row>
    <row r="75" spans="1:6" ht="12" customHeight="1" x14ac:dyDescent="0.3">
      <c r="A75" s="16" t="s">
        <v>58</v>
      </c>
      <c r="B75" s="9" t="s">
        <v>164</v>
      </c>
      <c r="C75" s="594"/>
      <c r="D75" s="594"/>
      <c r="E75" s="579"/>
      <c r="F75" s="721"/>
    </row>
    <row r="76" spans="1:6" ht="12" customHeight="1" x14ac:dyDescent="0.3">
      <c r="A76" s="16" t="s">
        <v>59</v>
      </c>
      <c r="B76" s="9" t="s">
        <v>88</v>
      </c>
      <c r="C76" s="595"/>
      <c r="D76" s="595"/>
      <c r="E76" s="596"/>
      <c r="F76" s="821"/>
    </row>
    <row r="77" spans="1:6" ht="12" customHeight="1" x14ac:dyDescent="0.3">
      <c r="A77" s="16" t="s">
        <v>60</v>
      </c>
      <c r="B77" s="13" t="s">
        <v>165</v>
      </c>
      <c r="C77" s="595"/>
      <c r="D77" s="595"/>
      <c r="E77" s="596"/>
      <c r="F77" s="821"/>
    </row>
    <row r="78" spans="1:6" ht="12" customHeight="1" x14ac:dyDescent="0.3">
      <c r="A78" s="16" t="s">
        <v>71</v>
      </c>
      <c r="B78" s="22" t="s">
        <v>166</v>
      </c>
      <c r="C78" s="595"/>
      <c r="D78" s="595"/>
      <c r="E78" s="596"/>
      <c r="F78" s="821"/>
    </row>
    <row r="79" spans="1:6" ht="12" customHeight="1" x14ac:dyDescent="0.3">
      <c r="A79" s="16" t="s">
        <v>61</v>
      </c>
      <c r="B79" s="9" t="s">
        <v>188</v>
      </c>
      <c r="C79" s="595"/>
      <c r="D79" s="595"/>
      <c r="E79" s="596"/>
      <c r="F79" s="821"/>
    </row>
    <row r="80" spans="1:6" ht="12" customHeight="1" x14ac:dyDescent="0.3">
      <c r="A80" s="16" t="s">
        <v>62</v>
      </c>
      <c r="B80" s="143" t="s">
        <v>189</v>
      </c>
      <c r="C80" s="595"/>
      <c r="D80" s="595"/>
      <c r="E80" s="596"/>
      <c r="F80" s="821"/>
    </row>
    <row r="81" spans="1:6" ht="12" customHeight="1" x14ac:dyDescent="0.3">
      <c r="A81" s="16" t="s">
        <v>72</v>
      </c>
      <c r="B81" s="143" t="s">
        <v>278</v>
      </c>
      <c r="C81" s="595"/>
      <c r="D81" s="595"/>
      <c r="E81" s="596"/>
      <c r="F81" s="821"/>
    </row>
    <row r="82" spans="1:6" ht="12" customHeight="1" x14ac:dyDescent="0.3">
      <c r="A82" s="16" t="s">
        <v>73</v>
      </c>
      <c r="B82" s="144" t="s">
        <v>190</v>
      </c>
      <c r="C82" s="595"/>
      <c r="D82" s="595"/>
      <c r="E82" s="596"/>
      <c r="F82" s="821"/>
    </row>
    <row r="83" spans="1:6" ht="12" customHeight="1" x14ac:dyDescent="0.3">
      <c r="A83" s="15" t="s">
        <v>74</v>
      </c>
      <c r="B83" s="145" t="s">
        <v>191</v>
      </c>
      <c r="C83" s="595"/>
      <c r="D83" s="595"/>
      <c r="E83" s="596"/>
      <c r="F83" s="821"/>
    </row>
    <row r="84" spans="1:6" ht="12" customHeight="1" x14ac:dyDescent="0.3">
      <c r="A84" s="16" t="s">
        <v>75</v>
      </c>
      <c r="B84" s="145" t="s">
        <v>192</v>
      </c>
      <c r="C84" s="595"/>
      <c r="D84" s="595"/>
      <c r="E84" s="596"/>
      <c r="F84" s="821"/>
    </row>
    <row r="85" spans="1:6" ht="12" customHeight="1" thickBot="1" x14ac:dyDescent="0.35">
      <c r="A85" s="21" t="s">
        <v>77</v>
      </c>
      <c r="B85" s="146" t="s">
        <v>193</v>
      </c>
      <c r="C85" s="597"/>
      <c r="D85" s="597"/>
      <c r="E85" s="598"/>
      <c r="F85" s="822"/>
    </row>
    <row r="86" spans="1:6" ht="12" customHeight="1" thickBot="1" x14ac:dyDescent="0.35">
      <c r="A86" s="23" t="s">
        <v>886</v>
      </c>
      <c r="B86" s="34" t="s">
        <v>309</v>
      </c>
      <c r="C86" s="580">
        <f>+C87+C88+C89</f>
        <v>0</v>
      </c>
      <c r="D86" s="580">
        <f>+D87+D88+D89</f>
        <v>0</v>
      </c>
      <c r="E86" s="576"/>
      <c r="F86" s="615"/>
    </row>
    <row r="87" spans="1:6" ht="12" customHeight="1" x14ac:dyDescent="0.3">
      <c r="A87" s="18" t="s">
        <v>63</v>
      </c>
      <c r="B87" s="9" t="s">
        <v>279</v>
      </c>
      <c r="C87" s="599"/>
      <c r="D87" s="599"/>
      <c r="E87" s="600"/>
      <c r="F87" s="823"/>
    </row>
    <row r="88" spans="1:6" ht="12" customHeight="1" x14ac:dyDescent="0.3">
      <c r="A88" s="18" t="s">
        <v>64</v>
      </c>
      <c r="B88" s="14" t="s">
        <v>168</v>
      </c>
      <c r="C88" s="594"/>
      <c r="D88" s="594"/>
      <c r="E88" s="579"/>
      <c r="F88" s="721"/>
    </row>
    <row r="89" spans="1:6" ht="12" customHeight="1" x14ac:dyDescent="0.3">
      <c r="A89" s="18" t="s">
        <v>65</v>
      </c>
      <c r="B89" s="309" t="s">
        <v>310</v>
      </c>
      <c r="C89" s="578"/>
      <c r="D89" s="594"/>
      <c r="E89" s="579"/>
      <c r="F89" s="721"/>
    </row>
    <row r="90" spans="1:6" ht="12" customHeight="1" x14ac:dyDescent="0.3">
      <c r="A90" s="18" t="s">
        <v>66</v>
      </c>
      <c r="B90" s="309" t="s">
        <v>380</v>
      </c>
      <c r="C90" s="578"/>
      <c r="D90" s="594"/>
      <c r="E90" s="579"/>
      <c r="F90" s="721"/>
    </row>
    <row r="91" spans="1:6" ht="12" customHeight="1" x14ac:dyDescent="0.3">
      <c r="A91" s="18" t="s">
        <v>67</v>
      </c>
      <c r="B91" s="309" t="s">
        <v>311</v>
      </c>
      <c r="C91" s="578"/>
      <c r="D91" s="594"/>
      <c r="E91" s="579"/>
      <c r="F91" s="721"/>
    </row>
    <row r="92" spans="1:6" x14ac:dyDescent="0.3">
      <c r="A92" s="18" t="s">
        <v>76</v>
      </c>
      <c r="B92" s="309" t="s">
        <v>312</v>
      </c>
      <c r="C92" s="578"/>
      <c r="D92" s="594"/>
      <c r="E92" s="579"/>
      <c r="F92" s="721"/>
    </row>
    <row r="93" spans="1:6" ht="12" customHeight="1" x14ac:dyDescent="0.3">
      <c r="A93" s="18" t="s">
        <v>78</v>
      </c>
      <c r="B93" s="409" t="s">
        <v>283</v>
      </c>
      <c r="C93" s="578"/>
      <c r="D93" s="594"/>
      <c r="E93" s="579"/>
      <c r="F93" s="721"/>
    </row>
    <row r="94" spans="1:6" ht="12" customHeight="1" x14ac:dyDescent="0.3">
      <c r="A94" s="18" t="s">
        <v>169</v>
      </c>
      <c r="B94" s="409" t="s">
        <v>284</v>
      </c>
      <c r="C94" s="578"/>
      <c r="D94" s="594"/>
      <c r="E94" s="579"/>
      <c r="F94" s="721"/>
    </row>
    <row r="95" spans="1:6" ht="12" customHeight="1" x14ac:dyDescent="0.3">
      <c r="A95" s="18" t="s">
        <v>170</v>
      </c>
      <c r="B95" s="409" t="s">
        <v>282</v>
      </c>
      <c r="C95" s="578"/>
      <c r="D95" s="594"/>
      <c r="E95" s="579"/>
      <c r="F95" s="721"/>
    </row>
    <row r="96" spans="1:6" ht="24" customHeight="1" thickBot="1" x14ac:dyDescent="0.35">
      <c r="A96" s="15" t="s">
        <v>171</v>
      </c>
      <c r="B96" s="410" t="s">
        <v>281</v>
      </c>
      <c r="C96" s="601"/>
      <c r="D96" s="595"/>
      <c r="E96" s="596"/>
      <c r="F96" s="821"/>
    </row>
    <row r="97" spans="1:6" ht="12" customHeight="1" thickBot="1" x14ac:dyDescent="0.35">
      <c r="A97" s="23" t="s">
        <v>887</v>
      </c>
      <c r="B97" s="125" t="s">
        <v>313</v>
      </c>
      <c r="C97" s="580">
        <f>+C98+C99</f>
        <v>0</v>
      </c>
      <c r="D97" s="580">
        <f>+D98+D99</f>
        <v>0</v>
      </c>
      <c r="E97" s="576"/>
      <c r="F97" s="615"/>
    </row>
    <row r="98" spans="1:6" ht="12" customHeight="1" x14ac:dyDescent="0.3">
      <c r="A98" s="18" t="s">
        <v>37</v>
      </c>
      <c r="B98" s="11" t="s">
        <v>3</v>
      </c>
      <c r="C98" s="599"/>
      <c r="D98" s="599"/>
      <c r="E98" s="600"/>
      <c r="F98" s="823"/>
    </row>
    <row r="99" spans="1:6" ht="12" customHeight="1" thickBot="1" x14ac:dyDescent="0.35">
      <c r="A99" s="19" t="s">
        <v>38</v>
      </c>
      <c r="B99" s="14" t="s">
        <v>4</v>
      </c>
      <c r="C99" s="595"/>
      <c r="D99" s="595"/>
      <c r="E99" s="596"/>
      <c r="F99" s="821"/>
    </row>
    <row r="100" spans="1:6" s="307" customFormat="1" ht="12" customHeight="1" thickBot="1" x14ac:dyDescent="0.3">
      <c r="A100" s="313" t="s">
        <v>888</v>
      </c>
      <c r="B100" s="308" t="s">
        <v>285</v>
      </c>
      <c r="C100" s="602"/>
      <c r="D100" s="639"/>
      <c r="E100" s="603"/>
      <c r="F100" s="707"/>
    </row>
    <row r="101" spans="1:6" ht="12" customHeight="1" thickBot="1" x14ac:dyDescent="0.35">
      <c r="A101" s="305" t="s">
        <v>889</v>
      </c>
      <c r="B101" s="306" t="s">
        <v>105</v>
      </c>
      <c r="C101" s="573">
        <f>+C73+C86+C97+C100</f>
        <v>0</v>
      </c>
      <c r="D101" s="573">
        <f>+D73+D86+D97+D100</f>
        <v>0</v>
      </c>
      <c r="E101" s="574"/>
      <c r="F101" s="798"/>
    </row>
    <row r="102" spans="1:6" ht="12" customHeight="1" thickBot="1" x14ac:dyDescent="0.35">
      <c r="A102" s="313" t="s">
        <v>890</v>
      </c>
      <c r="B102" s="308" t="s">
        <v>381</v>
      </c>
      <c r="C102" s="580">
        <f>+C103+C111</f>
        <v>0</v>
      </c>
      <c r="D102" s="580">
        <f>+D103+D111</f>
        <v>0</v>
      </c>
      <c r="E102" s="576"/>
      <c r="F102" s="615"/>
    </row>
    <row r="103" spans="1:6" ht="12" customHeight="1" thickBot="1" x14ac:dyDescent="0.35">
      <c r="A103" s="320" t="s">
        <v>44</v>
      </c>
      <c r="B103" s="411" t="s">
        <v>386</v>
      </c>
      <c r="C103" s="580">
        <f>+C104+C105+C106+C107+C108+C109+C110</f>
        <v>0</v>
      </c>
      <c r="D103" s="580">
        <f>+D104+D105+D106+D107+D108+D109+D110</f>
        <v>0</v>
      </c>
      <c r="E103" s="576"/>
      <c r="F103" s="615"/>
    </row>
    <row r="104" spans="1:6" ht="12" customHeight="1" x14ac:dyDescent="0.3">
      <c r="A104" s="321" t="s">
        <v>47</v>
      </c>
      <c r="B104" s="322" t="s">
        <v>286</v>
      </c>
      <c r="C104" s="604"/>
      <c r="D104" s="604"/>
      <c r="E104" s="605"/>
      <c r="F104" s="824"/>
    </row>
    <row r="105" spans="1:6" ht="12" customHeight="1" x14ac:dyDescent="0.3">
      <c r="A105" s="314" t="s">
        <v>48</v>
      </c>
      <c r="B105" s="309" t="s">
        <v>287</v>
      </c>
      <c r="C105" s="606"/>
      <c r="D105" s="606"/>
      <c r="E105" s="607"/>
      <c r="F105" s="825"/>
    </row>
    <row r="106" spans="1:6" ht="12" customHeight="1" x14ac:dyDescent="0.3">
      <c r="A106" s="314" t="s">
        <v>49</v>
      </c>
      <c r="B106" s="309" t="s">
        <v>288</v>
      </c>
      <c r="C106" s="606"/>
      <c r="D106" s="606"/>
      <c r="E106" s="607"/>
      <c r="F106" s="825"/>
    </row>
    <row r="107" spans="1:6" ht="12" customHeight="1" x14ac:dyDescent="0.3">
      <c r="A107" s="314" t="s">
        <v>50</v>
      </c>
      <c r="B107" s="309" t="s">
        <v>289</v>
      </c>
      <c r="C107" s="606"/>
      <c r="D107" s="606"/>
      <c r="E107" s="607"/>
      <c r="F107" s="825"/>
    </row>
    <row r="108" spans="1:6" ht="12" customHeight="1" x14ac:dyDescent="0.3">
      <c r="A108" s="314" t="s">
        <v>154</v>
      </c>
      <c r="B108" s="309" t="s">
        <v>290</v>
      </c>
      <c r="C108" s="606"/>
      <c r="D108" s="606"/>
      <c r="E108" s="607"/>
      <c r="F108" s="825"/>
    </row>
    <row r="109" spans="1:6" ht="12" customHeight="1" x14ac:dyDescent="0.3">
      <c r="A109" s="314" t="s">
        <v>172</v>
      </c>
      <c r="B109" s="309" t="s">
        <v>291</v>
      </c>
      <c r="C109" s="606"/>
      <c r="D109" s="606"/>
      <c r="E109" s="607"/>
      <c r="F109" s="825"/>
    </row>
    <row r="110" spans="1:6" ht="12" customHeight="1" thickBot="1" x14ac:dyDescent="0.35">
      <c r="A110" s="323" t="s">
        <v>173</v>
      </c>
      <c r="B110" s="324" t="s">
        <v>292</v>
      </c>
      <c r="C110" s="608"/>
      <c r="D110" s="608"/>
      <c r="E110" s="609"/>
      <c r="F110" s="826"/>
    </row>
    <row r="111" spans="1:6" ht="12" customHeight="1" thickBot="1" x14ac:dyDescent="0.35">
      <c r="A111" s="320" t="s">
        <v>45</v>
      </c>
      <c r="B111" s="411" t="s">
        <v>387</v>
      </c>
      <c r="C111" s="580">
        <f>+C112+C113+C114+C115+C116+C117+C118+C119</f>
        <v>0</v>
      </c>
      <c r="D111" s="580">
        <f>+D112+D113+D114+D115+D116+D117+D118+D119</f>
        <v>0</v>
      </c>
      <c r="E111" s="576"/>
      <c r="F111" s="615"/>
    </row>
    <row r="112" spans="1:6" ht="12" customHeight="1" x14ac:dyDescent="0.3">
      <c r="A112" s="321" t="s">
        <v>53</v>
      </c>
      <c r="B112" s="322" t="s">
        <v>286</v>
      </c>
      <c r="C112" s="604"/>
      <c r="D112" s="604"/>
      <c r="E112" s="605"/>
      <c r="F112" s="824"/>
    </row>
    <row r="113" spans="1:7" ht="12" customHeight="1" x14ac:dyDescent="0.3">
      <c r="A113" s="314" t="s">
        <v>54</v>
      </c>
      <c r="B113" s="309" t="s">
        <v>293</v>
      </c>
      <c r="C113" s="606"/>
      <c r="D113" s="606"/>
      <c r="E113" s="607"/>
      <c r="F113" s="825"/>
    </row>
    <row r="114" spans="1:7" ht="12" customHeight="1" x14ac:dyDescent="0.3">
      <c r="A114" s="314" t="s">
        <v>55</v>
      </c>
      <c r="B114" s="309" t="s">
        <v>288</v>
      </c>
      <c r="C114" s="606"/>
      <c r="D114" s="606"/>
      <c r="E114" s="607"/>
      <c r="F114" s="825"/>
    </row>
    <row r="115" spans="1:7" ht="12" customHeight="1" x14ac:dyDescent="0.3">
      <c r="A115" s="314" t="s">
        <v>56</v>
      </c>
      <c r="B115" s="309" t="s">
        <v>289</v>
      </c>
      <c r="C115" s="606"/>
      <c r="D115" s="606"/>
      <c r="E115" s="607"/>
      <c r="F115" s="825"/>
    </row>
    <row r="116" spans="1:7" ht="12" customHeight="1" x14ac:dyDescent="0.3">
      <c r="A116" s="314" t="s">
        <v>155</v>
      </c>
      <c r="B116" s="309" t="s">
        <v>290</v>
      </c>
      <c r="C116" s="606"/>
      <c r="D116" s="606"/>
      <c r="E116" s="607"/>
      <c r="F116" s="825"/>
    </row>
    <row r="117" spans="1:7" ht="12" customHeight="1" x14ac:dyDescent="0.3">
      <c r="A117" s="314" t="s">
        <v>174</v>
      </c>
      <c r="B117" s="309" t="s">
        <v>294</v>
      </c>
      <c r="C117" s="606"/>
      <c r="D117" s="606"/>
      <c r="E117" s="607"/>
      <c r="F117" s="825"/>
    </row>
    <row r="118" spans="1:7" ht="12" customHeight="1" x14ac:dyDescent="0.3">
      <c r="A118" s="314" t="s">
        <v>175</v>
      </c>
      <c r="B118" s="309" t="s">
        <v>292</v>
      </c>
      <c r="C118" s="606"/>
      <c r="D118" s="606"/>
      <c r="E118" s="607"/>
      <c r="F118" s="825"/>
    </row>
    <row r="119" spans="1:7" ht="12" customHeight="1" thickBot="1" x14ac:dyDescent="0.35">
      <c r="A119" s="323" t="s">
        <v>176</v>
      </c>
      <c r="B119" s="324" t="s">
        <v>384</v>
      </c>
      <c r="C119" s="608"/>
      <c r="D119" s="608"/>
      <c r="E119" s="609"/>
      <c r="F119" s="826"/>
    </row>
    <row r="120" spans="1:7" ht="12" customHeight="1" thickBot="1" x14ac:dyDescent="0.35">
      <c r="A120" s="313" t="s">
        <v>891</v>
      </c>
      <c r="B120" s="407" t="s">
        <v>295</v>
      </c>
      <c r="C120" s="610">
        <f>+C101+C102</f>
        <v>0</v>
      </c>
      <c r="D120" s="610">
        <f>+D101+D102</f>
        <v>0</v>
      </c>
      <c r="E120" s="611"/>
      <c r="F120" s="616"/>
    </row>
    <row r="121" spans="1:7" ht="15" customHeight="1" thickBot="1" x14ac:dyDescent="0.35">
      <c r="A121" s="313" t="s">
        <v>892</v>
      </c>
      <c r="B121" s="407" t="s">
        <v>296</v>
      </c>
      <c r="C121" s="612"/>
      <c r="D121" s="612"/>
      <c r="E121" s="613"/>
      <c r="F121" s="827"/>
      <c r="G121" s="126"/>
    </row>
    <row r="122" spans="1:7" s="1" customFormat="1" ht="12.9" customHeight="1" thickBot="1" x14ac:dyDescent="0.3">
      <c r="A122" s="325" t="s">
        <v>893</v>
      </c>
      <c r="B122" s="408" t="s">
        <v>297</v>
      </c>
      <c r="C122" s="587">
        <f>+C120+C121</f>
        <v>0</v>
      </c>
      <c r="D122" s="587">
        <f>+D120+D121</f>
        <v>0</v>
      </c>
      <c r="E122" s="588"/>
      <c r="F122" s="1087"/>
    </row>
    <row r="123" spans="1:7" ht="7.5" customHeight="1" x14ac:dyDescent="0.3">
      <c r="A123" s="412"/>
      <c r="B123" s="412"/>
      <c r="C123" s="614"/>
      <c r="D123" s="614"/>
    </row>
    <row r="124" spans="1:7" x14ac:dyDescent="0.3">
      <c r="A124" s="1351" t="s">
        <v>108</v>
      </c>
      <c r="B124" s="1351"/>
      <c r="C124" s="1351"/>
      <c r="D124" s="572"/>
    </row>
    <row r="125" spans="1:7" ht="15" customHeight="1" thickBot="1" x14ac:dyDescent="0.35">
      <c r="A125" s="1347" t="s">
        <v>101</v>
      </c>
      <c r="B125" s="1347"/>
      <c r="C125" s="329"/>
      <c r="D125" s="329"/>
    </row>
    <row r="126" spans="1:7" ht="13.5" customHeight="1" thickBot="1" x14ac:dyDescent="0.35">
      <c r="A126" s="23">
        <v>1</v>
      </c>
      <c r="B126" s="34" t="s">
        <v>183</v>
      </c>
      <c r="C126" s="580">
        <f>+C51-C101</f>
        <v>0</v>
      </c>
      <c r="D126" s="615">
        <f>+D51-D101</f>
        <v>0</v>
      </c>
      <c r="E126" s="615">
        <f t="shared" ref="E126:F126" si="0">+E51-E101</f>
        <v>0</v>
      </c>
      <c r="F126" s="615">
        <f t="shared" si="0"/>
        <v>0</v>
      </c>
    </row>
    <row r="127" spans="1:7" ht="7.5" customHeight="1" x14ac:dyDescent="0.3">
      <c r="A127" s="412"/>
      <c r="B127" s="412"/>
      <c r="C127" s="614"/>
      <c r="D127" s="614"/>
    </row>
  </sheetData>
  <mergeCells count="6">
    <mergeCell ref="A125:B125"/>
    <mergeCell ref="A2:B2"/>
    <mergeCell ref="A70:B70"/>
    <mergeCell ref="A124:C124"/>
    <mergeCell ref="A1:F1"/>
    <mergeCell ref="A69:F69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59" fitToWidth="3" fitToHeight="2" orientation="portrait" r:id="rId1"/>
  <headerFooter alignWithMargins="0">
    <oddHeader>&amp;C&amp;"Times New Roman CE,Félkövér"&amp;12
Csobánka Község Önkormányzat
 2018. ÉVI KÖLTSÉGVETÉS ÁLLAMI FELADATOK MÉRLEGE&amp;R&amp;"Times New Roman CE,Félkövér dőlt"&amp;11 &amp;"Times New Roman CE,Félkövér"1.4. melléklet az 5/2019. (IV. 26.)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32"/>
  <sheetViews>
    <sheetView view="pageLayout" zoomScaleNormal="100" zoomScaleSheetLayoutView="100" workbookViewId="0">
      <selection activeCell="J1" sqref="J1:J32"/>
    </sheetView>
  </sheetViews>
  <sheetFormatPr defaultColWidth="9.33203125" defaultRowHeight="13.2" x14ac:dyDescent="0.25"/>
  <cols>
    <col min="1" max="1" width="6.77734375" style="50" customWidth="1"/>
    <col min="2" max="2" width="50.77734375" style="193" customWidth="1"/>
    <col min="3" max="5" width="13.33203125" style="650" customWidth="1"/>
    <col min="6" max="6" width="50.77734375" style="50" customWidth="1"/>
    <col min="7" max="9" width="13.33203125" style="650" customWidth="1"/>
    <col min="10" max="10" width="15.6640625" style="50" customWidth="1"/>
    <col min="11" max="16384" width="9.33203125" style="50"/>
  </cols>
  <sheetData>
    <row r="1" spans="1:10" ht="39.75" customHeight="1" x14ac:dyDescent="0.25">
      <c r="B1" s="335" t="s">
        <v>109</v>
      </c>
      <c r="C1" s="644"/>
      <c r="D1" s="644"/>
      <c r="E1" s="644"/>
      <c r="F1" s="336"/>
      <c r="G1" s="644"/>
      <c r="H1" s="644"/>
      <c r="I1" s="644"/>
      <c r="J1" s="1354" t="s">
        <v>1318</v>
      </c>
    </row>
    <row r="2" spans="1:10" ht="14.4" thickBot="1" x14ac:dyDescent="0.3">
      <c r="G2" s="645"/>
      <c r="H2" s="645"/>
      <c r="I2" s="645"/>
      <c r="J2" s="1354"/>
    </row>
    <row r="3" spans="1:10" ht="18" customHeight="1" thickBot="1" x14ac:dyDescent="0.3">
      <c r="A3" s="1352" t="s">
        <v>17</v>
      </c>
      <c r="B3" s="337" t="s">
        <v>926</v>
      </c>
      <c r="C3" s="651"/>
      <c r="D3" s="1069"/>
      <c r="E3" s="1069"/>
      <c r="F3" s="1355" t="s">
        <v>1</v>
      </c>
      <c r="G3" s="1356"/>
      <c r="H3" s="1356"/>
      <c r="I3" s="1357"/>
      <c r="J3" s="1354"/>
    </row>
    <row r="4" spans="1:10" s="338" customFormat="1" ht="34.799999999999997" thickBot="1" x14ac:dyDescent="0.3">
      <c r="A4" s="1353"/>
      <c r="B4" s="194" t="s">
        <v>12</v>
      </c>
      <c r="C4" s="539" t="s">
        <v>1170</v>
      </c>
      <c r="D4" s="1136" t="s">
        <v>1171</v>
      </c>
      <c r="E4" s="1135" t="s">
        <v>1218</v>
      </c>
      <c r="F4" s="194" t="s">
        <v>12</v>
      </c>
      <c r="G4" s="539" t="s">
        <v>1170</v>
      </c>
      <c r="H4" s="1136" t="s">
        <v>1171</v>
      </c>
      <c r="I4" s="197" t="s">
        <v>1218</v>
      </c>
      <c r="J4" s="1354"/>
    </row>
    <row r="5" spans="1:10" s="341" customFormat="1" ht="12" customHeight="1" thickBot="1" x14ac:dyDescent="0.3">
      <c r="A5" s="339" t="s">
        <v>885</v>
      </c>
      <c r="B5" s="340" t="s">
        <v>886</v>
      </c>
      <c r="C5" s="1154" t="s">
        <v>887</v>
      </c>
      <c r="D5" s="1154" t="s">
        <v>888</v>
      </c>
      <c r="E5" s="1154" t="s">
        <v>889</v>
      </c>
      <c r="F5" s="340" t="s">
        <v>890</v>
      </c>
      <c r="G5" s="1154" t="s">
        <v>891</v>
      </c>
      <c r="H5" s="1154" t="s">
        <v>892</v>
      </c>
      <c r="I5" s="829" t="s">
        <v>893</v>
      </c>
      <c r="J5" s="1354"/>
    </row>
    <row r="6" spans="1:10" ht="12.9" customHeight="1" x14ac:dyDescent="0.25">
      <c r="A6" s="342" t="s">
        <v>885</v>
      </c>
      <c r="B6" s="343" t="s">
        <v>142</v>
      </c>
      <c r="C6" s="652">
        <f>'1.1.sz.mell.'!C6</f>
        <v>112300</v>
      </c>
      <c r="D6" s="652">
        <f>'1.1.sz.mell.'!D6</f>
        <v>120825</v>
      </c>
      <c r="E6" s="652">
        <f>'1.1.sz.mell.'!E6</f>
        <v>120007</v>
      </c>
      <c r="F6" s="343" t="s">
        <v>13</v>
      </c>
      <c r="G6" s="658">
        <f>'1.1.sz.mell.'!C74</f>
        <v>155321</v>
      </c>
      <c r="H6" s="658">
        <f>'1.1.sz.mell.'!D74</f>
        <v>163595</v>
      </c>
      <c r="I6" s="646">
        <f>'1.1.sz.mell.'!E74</f>
        <v>157106</v>
      </c>
      <c r="J6" s="1354"/>
    </row>
    <row r="7" spans="1:10" ht="12.9" customHeight="1" x14ac:dyDescent="0.25">
      <c r="A7" s="344" t="s">
        <v>886</v>
      </c>
      <c r="B7" s="345" t="s">
        <v>927</v>
      </c>
      <c r="C7" s="653">
        <f>'1.1.sz.mell.'!C11</f>
        <v>19284</v>
      </c>
      <c r="D7" s="653">
        <f>'1.1.sz.mell.'!D11</f>
        <v>30687</v>
      </c>
      <c r="E7" s="653">
        <f>'1.1.sz.mell.'!E11</f>
        <v>30663</v>
      </c>
      <c r="F7" s="345" t="s">
        <v>164</v>
      </c>
      <c r="G7" s="655">
        <f>'1.1.sz.mell.'!C75</f>
        <v>34243</v>
      </c>
      <c r="H7" s="655">
        <f>'1.1.sz.mell.'!D75</f>
        <v>35801</v>
      </c>
      <c r="I7" s="647">
        <f>'1.1.sz.mell.'!E75</f>
        <v>31972</v>
      </c>
      <c r="J7" s="1354"/>
    </row>
    <row r="8" spans="1:10" ht="12.9" customHeight="1" x14ac:dyDescent="0.25">
      <c r="A8" s="344" t="s">
        <v>887</v>
      </c>
      <c r="B8" s="345" t="s">
        <v>0</v>
      </c>
      <c r="C8" s="653">
        <f>'1.1.sz.mell.'!C20</f>
        <v>8500</v>
      </c>
      <c r="D8" s="653">
        <f>'1.1.sz.mell.'!D20</f>
        <v>8500</v>
      </c>
      <c r="E8" s="653">
        <f>'1.1.sz.mell.'!E20</f>
        <v>9445</v>
      </c>
      <c r="F8" s="345" t="s">
        <v>327</v>
      </c>
      <c r="G8" s="655">
        <f>'1.1.sz.mell.'!C76</f>
        <v>143031</v>
      </c>
      <c r="H8" s="655">
        <f>'1.1.sz.mell.'!D76</f>
        <v>100826</v>
      </c>
      <c r="I8" s="647">
        <f>'1.1.sz.mell.'!E76</f>
        <v>88182</v>
      </c>
      <c r="J8" s="1354"/>
    </row>
    <row r="9" spans="1:10" ht="12.9" customHeight="1" x14ac:dyDescent="0.25">
      <c r="A9" s="344" t="s">
        <v>888</v>
      </c>
      <c r="B9" s="346" t="s">
        <v>314</v>
      </c>
      <c r="C9" s="653">
        <f>'1.1.sz.mell.'!C21</f>
        <v>211078</v>
      </c>
      <c r="D9" s="653">
        <f>'1.1.sz.mell.'!D21</f>
        <v>240429</v>
      </c>
      <c r="E9" s="653">
        <f>'1.1.sz.mell.'!E21</f>
        <v>240429</v>
      </c>
      <c r="F9" s="345" t="s">
        <v>165</v>
      </c>
      <c r="G9" s="655">
        <f>'1.1.sz.mell.'!C77</f>
        <v>17587</v>
      </c>
      <c r="H9" s="655">
        <f>'1.1.sz.mell.'!D77</f>
        <v>18693</v>
      </c>
      <c r="I9" s="647">
        <f>'1.1.sz.mell.'!E77</f>
        <v>16450</v>
      </c>
      <c r="J9" s="1354"/>
    </row>
    <row r="10" spans="1:10" ht="12.9" customHeight="1" x14ac:dyDescent="0.25">
      <c r="A10" s="344" t="s">
        <v>889</v>
      </c>
      <c r="B10" s="345" t="s">
        <v>315</v>
      </c>
      <c r="C10" s="653">
        <f>'1.1.sz.mell.'!C31</f>
        <v>8228</v>
      </c>
      <c r="D10" s="653">
        <f>'1.1.sz.mell.'!D31</f>
        <v>23260</v>
      </c>
      <c r="E10" s="653">
        <f>'1.1.sz.mell.'!E31</f>
        <v>22079</v>
      </c>
      <c r="F10" s="345" t="s">
        <v>166</v>
      </c>
      <c r="G10" s="655">
        <f>'1.1.sz.mell.'!C78</f>
        <v>3720</v>
      </c>
      <c r="H10" s="655">
        <f>'1.1.sz.mell.'!D78</f>
        <v>41046</v>
      </c>
      <c r="I10" s="647">
        <f>'1.1.sz.mell.'!E78</f>
        <v>19396</v>
      </c>
      <c r="J10" s="1354"/>
    </row>
    <row r="11" spans="1:10" ht="12.9" customHeight="1" x14ac:dyDescent="0.25">
      <c r="A11" s="344" t="s">
        <v>890</v>
      </c>
      <c r="B11" s="345" t="s">
        <v>348</v>
      </c>
      <c r="C11" s="653"/>
      <c r="D11" s="653"/>
      <c r="E11" s="653"/>
      <c r="F11" s="345" t="s">
        <v>917</v>
      </c>
      <c r="G11" s="655">
        <f>'1.1.sz.mell.'!C98</f>
        <v>19366</v>
      </c>
      <c r="H11" s="655">
        <f>'1.1.sz.mell.'!D98</f>
        <v>29037</v>
      </c>
      <c r="I11" s="647">
        <f>'1.1.sz.mell.'!E98</f>
        <v>0</v>
      </c>
      <c r="J11" s="1354"/>
    </row>
    <row r="12" spans="1:10" ht="12.9" customHeight="1" x14ac:dyDescent="0.25">
      <c r="A12" s="344" t="s">
        <v>891</v>
      </c>
      <c r="B12" s="345" t="s">
        <v>316</v>
      </c>
      <c r="C12" s="653">
        <f>'1.2.sz.mell. _köt'!C44</f>
        <v>0</v>
      </c>
      <c r="D12" s="653">
        <f>'1.2.sz.mell. _köt'!D44</f>
        <v>0</v>
      </c>
      <c r="E12" s="654"/>
      <c r="F12" s="345" t="s">
        <v>880</v>
      </c>
      <c r="G12" s="655"/>
      <c r="H12" s="655"/>
      <c r="I12" s="647"/>
      <c r="J12" s="1354"/>
    </row>
    <row r="13" spans="1:10" ht="12.9" customHeight="1" x14ac:dyDescent="0.25">
      <c r="A13" s="344" t="s">
        <v>892</v>
      </c>
      <c r="B13" s="345" t="s">
        <v>317</v>
      </c>
      <c r="C13" s="653"/>
      <c r="D13" s="653"/>
      <c r="E13" s="654"/>
      <c r="F13" s="48"/>
      <c r="G13" s="655"/>
      <c r="H13" s="655"/>
      <c r="I13" s="647"/>
      <c r="J13" s="1354"/>
    </row>
    <row r="14" spans="1:10" ht="12.9" customHeight="1" x14ac:dyDescent="0.25">
      <c r="A14" s="344" t="s">
        <v>893</v>
      </c>
      <c r="B14" s="350" t="s">
        <v>318</v>
      </c>
      <c r="C14" s="653"/>
      <c r="D14" s="653"/>
      <c r="E14" s="654"/>
      <c r="F14" s="48"/>
      <c r="G14" s="655"/>
      <c r="H14" s="655"/>
      <c r="I14" s="647"/>
      <c r="J14" s="1354"/>
    </row>
    <row r="15" spans="1:10" ht="12.9" customHeight="1" x14ac:dyDescent="0.25">
      <c r="A15" s="344" t="s">
        <v>894</v>
      </c>
      <c r="B15" s="487" t="s">
        <v>572</v>
      </c>
      <c r="C15" s="653"/>
      <c r="D15" s="653"/>
      <c r="E15" s="654"/>
      <c r="F15" s="48"/>
      <c r="G15" s="655"/>
      <c r="H15" s="655"/>
      <c r="I15" s="647"/>
      <c r="J15" s="1354"/>
    </row>
    <row r="16" spans="1:10" ht="12.9" customHeight="1" x14ac:dyDescent="0.25">
      <c r="A16" s="344" t="s">
        <v>895</v>
      </c>
      <c r="B16" s="48"/>
      <c r="C16" s="653"/>
      <c r="D16" s="653"/>
      <c r="E16" s="654"/>
      <c r="F16" s="48"/>
      <c r="G16" s="655"/>
      <c r="H16" s="655"/>
      <c r="I16" s="647"/>
      <c r="J16" s="1354"/>
    </row>
    <row r="17" spans="1:10" ht="12.9" customHeight="1" thickBot="1" x14ac:dyDescent="0.3">
      <c r="A17" s="344" t="s">
        <v>896</v>
      </c>
      <c r="B17" s="51"/>
      <c r="C17" s="656"/>
      <c r="D17" s="656"/>
      <c r="E17" s="1153"/>
      <c r="F17" s="48"/>
      <c r="G17" s="659"/>
      <c r="H17" s="659"/>
      <c r="I17" s="787"/>
      <c r="J17" s="1354"/>
    </row>
    <row r="18" spans="1:10" ht="15.9" customHeight="1" thickBot="1" x14ac:dyDescent="0.3">
      <c r="A18" s="347" t="s">
        <v>897</v>
      </c>
      <c r="B18" s="127" t="s">
        <v>341</v>
      </c>
      <c r="C18" s="544">
        <f>+C6+C7+C8+C9+C10+C12+C13+C14+C15+C16+C17</f>
        <v>359390</v>
      </c>
      <c r="D18" s="544">
        <f>+D6+D7+D8+D9+D10+D12+D13+D14+D15+D16+D17</f>
        <v>423701</v>
      </c>
      <c r="E18" s="544">
        <f>+E6+E7+E8+E9+E10+E12+E13+E14+E15+E16+E17</f>
        <v>422623</v>
      </c>
      <c r="F18" s="127" t="s">
        <v>340</v>
      </c>
      <c r="G18" s="660">
        <f>SUM(G6:G17)</f>
        <v>373268</v>
      </c>
      <c r="H18" s="660">
        <f>SUM(H6:H17)</f>
        <v>388998</v>
      </c>
      <c r="I18" s="543">
        <f>SUM(I6:I17)</f>
        <v>313106</v>
      </c>
      <c r="J18" s="1354"/>
    </row>
    <row r="19" spans="1:10" ht="12.9" customHeight="1" x14ac:dyDescent="0.25">
      <c r="A19" s="348" t="s">
        <v>898</v>
      </c>
      <c r="B19" s="349" t="s">
        <v>319</v>
      </c>
      <c r="C19" s="800">
        <f>C20</f>
        <v>13878</v>
      </c>
      <c r="D19" s="800">
        <f>D20</f>
        <v>201</v>
      </c>
      <c r="E19" s="800">
        <f>E20</f>
        <v>167826</v>
      </c>
      <c r="F19" s="350" t="s">
        <v>177</v>
      </c>
      <c r="G19" s="661"/>
      <c r="H19" s="661"/>
      <c r="I19" s="648"/>
      <c r="J19" s="1354"/>
    </row>
    <row r="20" spans="1:10" ht="12.9" customHeight="1" x14ac:dyDescent="0.25">
      <c r="A20" s="351" t="s">
        <v>899</v>
      </c>
      <c r="B20" s="350" t="s">
        <v>254</v>
      </c>
      <c r="C20" s="654">
        <f>'1.1.sz.mell.'!C54-'2.2.sz.mell  '!C20</f>
        <v>13878</v>
      </c>
      <c r="D20" s="654">
        <v>201</v>
      </c>
      <c r="E20" s="654">
        <v>167826</v>
      </c>
      <c r="F20" s="350" t="s">
        <v>178</v>
      </c>
      <c r="G20" s="655"/>
      <c r="H20" s="655"/>
      <c r="I20" s="647"/>
      <c r="J20" s="1354"/>
    </row>
    <row r="21" spans="1:10" ht="12.9" customHeight="1" x14ac:dyDescent="0.25">
      <c r="A21" s="351" t="s">
        <v>900</v>
      </c>
      <c r="B21" s="350" t="s">
        <v>255</v>
      </c>
      <c r="C21" s="654"/>
      <c r="D21" s="654"/>
      <c r="E21" s="654"/>
      <c r="F21" s="350" t="s">
        <v>106</v>
      </c>
      <c r="G21" s="655"/>
      <c r="H21" s="655"/>
      <c r="I21" s="647"/>
      <c r="J21" s="1354"/>
    </row>
    <row r="22" spans="1:10" ht="12.9" customHeight="1" x14ac:dyDescent="0.25">
      <c r="A22" s="351" t="s">
        <v>901</v>
      </c>
      <c r="B22" s="350" t="s">
        <v>320</v>
      </c>
      <c r="C22" s="654"/>
      <c r="D22" s="654"/>
      <c r="E22" s="654"/>
      <c r="F22" s="350" t="s">
        <v>107</v>
      </c>
      <c r="G22" s="655"/>
      <c r="H22" s="655"/>
      <c r="I22" s="647"/>
      <c r="J22" s="1354"/>
    </row>
    <row r="23" spans="1:10" ht="12.9" customHeight="1" x14ac:dyDescent="0.25">
      <c r="A23" s="351" t="s">
        <v>902</v>
      </c>
      <c r="B23" s="350" t="s">
        <v>321</v>
      </c>
      <c r="C23" s="657"/>
      <c r="D23" s="657"/>
      <c r="E23" s="657"/>
      <c r="F23" s="349" t="s">
        <v>328</v>
      </c>
      <c r="G23" s="655"/>
      <c r="H23" s="655"/>
      <c r="I23" s="647"/>
      <c r="J23" s="1354"/>
    </row>
    <row r="24" spans="1:10" ht="12.9" customHeight="1" x14ac:dyDescent="0.25">
      <c r="A24" s="351" t="s">
        <v>903</v>
      </c>
      <c r="B24" s="350" t="s">
        <v>322</v>
      </c>
      <c r="C24" s="801"/>
      <c r="D24" s="801"/>
      <c r="E24" s="801"/>
      <c r="F24" s="350" t="s">
        <v>179</v>
      </c>
      <c r="G24" s="655"/>
      <c r="H24" s="655"/>
      <c r="I24" s="647"/>
      <c r="J24" s="1354"/>
    </row>
    <row r="25" spans="1:10" ht="12.9" customHeight="1" x14ac:dyDescent="0.25">
      <c r="A25" s="348" t="s">
        <v>904</v>
      </c>
      <c r="B25" s="349" t="s">
        <v>323</v>
      </c>
      <c r="C25" s="657"/>
      <c r="D25" s="657"/>
      <c r="E25" s="657"/>
      <c r="F25" s="343" t="s">
        <v>1165</v>
      </c>
      <c r="G25" s="661"/>
      <c r="H25" s="661">
        <f>'1.2.sz.mell. _köt'!D110</f>
        <v>7308</v>
      </c>
      <c r="I25" s="648">
        <f>'1.2.sz.mell. _köt'!E110</f>
        <v>7308</v>
      </c>
      <c r="J25" s="1354"/>
    </row>
    <row r="26" spans="1:10" ht="12.9" customHeight="1" thickBot="1" x14ac:dyDescent="0.3">
      <c r="A26" s="351" t="s">
        <v>905</v>
      </c>
      <c r="B26" s="350" t="s">
        <v>264</v>
      </c>
      <c r="C26" s="654"/>
      <c r="D26" s="654"/>
      <c r="E26" s="654"/>
      <c r="F26" s="48"/>
      <c r="G26" s="655"/>
      <c r="H26" s="655"/>
      <c r="I26" s="647"/>
      <c r="J26" s="1354"/>
    </row>
    <row r="27" spans="1:10" ht="13.8" thickBot="1" x14ac:dyDescent="0.3">
      <c r="A27" s="347" t="s">
        <v>906</v>
      </c>
      <c r="B27" s="127" t="s">
        <v>338</v>
      </c>
      <c r="C27" s="799">
        <f>C19</f>
        <v>13878</v>
      </c>
      <c r="D27" s="799">
        <f>D19</f>
        <v>201</v>
      </c>
      <c r="E27" s="799">
        <f>E19</f>
        <v>167826</v>
      </c>
      <c r="F27" s="127" t="s">
        <v>339</v>
      </c>
      <c r="G27" s="660"/>
      <c r="H27" s="660">
        <f>H25</f>
        <v>7308</v>
      </c>
      <c r="I27" s="543">
        <f>I25</f>
        <v>7308</v>
      </c>
      <c r="J27" s="1354"/>
    </row>
    <row r="28" spans="1:10" ht="13.8" thickBot="1" x14ac:dyDescent="0.3">
      <c r="A28" s="347" t="s">
        <v>907</v>
      </c>
      <c r="B28" s="352" t="s">
        <v>326</v>
      </c>
      <c r="C28" s="544">
        <f>+C18+C27</f>
        <v>373268</v>
      </c>
      <c r="D28" s="544">
        <f>+D18+D27</f>
        <v>423902</v>
      </c>
      <c r="E28" s="544">
        <f>+E18+E27</f>
        <v>590449</v>
      </c>
      <c r="F28" s="352" t="s">
        <v>329</v>
      </c>
      <c r="G28" s="660">
        <f>+G18+G27</f>
        <v>373268</v>
      </c>
      <c r="H28" s="660">
        <f>+H18+H27</f>
        <v>396306</v>
      </c>
      <c r="I28" s="543">
        <f>+I18+I27</f>
        <v>320414</v>
      </c>
      <c r="J28" s="1354"/>
    </row>
    <row r="29" spans="1:10" ht="18" customHeight="1" thickBot="1" x14ac:dyDescent="0.3">
      <c r="A29" s="347" t="s">
        <v>908</v>
      </c>
      <c r="B29" s="127" t="s">
        <v>324</v>
      </c>
      <c r="C29" s="802"/>
      <c r="D29" s="802"/>
      <c r="E29" s="802">
        <f>'1.1.sz.mell.'!E66</f>
        <v>8003</v>
      </c>
      <c r="F29" s="127" t="s">
        <v>330</v>
      </c>
      <c r="G29" s="662"/>
      <c r="H29" s="662"/>
      <c r="I29" s="649"/>
      <c r="J29" s="1354"/>
    </row>
    <row r="30" spans="1:10" ht="13.8" thickBot="1" x14ac:dyDescent="0.3">
      <c r="A30" s="347" t="s">
        <v>909</v>
      </c>
      <c r="B30" s="353" t="s">
        <v>325</v>
      </c>
      <c r="C30" s="544">
        <f>+C28+C29</f>
        <v>373268</v>
      </c>
      <c r="D30" s="544">
        <f>+D28+D29</f>
        <v>423902</v>
      </c>
      <c r="E30" s="544">
        <f>+E28+E29</f>
        <v>598452</v>
      </c>
      <c r="F30" s="353" t="s">
        <v>331</v>
      </c>
      <c r="G30" s="660">
        <f>+G28+G29</f>
        <v>373268</v>
      </c>
      <c r="H30" s="660">
        <f>+H28+H29</f>
        <v>396306</v>
      </c>
      <c r="I30" s="543">
        <f>+I28+I29</f>
        <v>320414</v>
      </c>
      <c r="J30" s="1354"/>
    </row>
    <row r="31" spans="1:10" ht="13.8" thickBot="1" x14ac:dyDescent="0.3">
      <c r="A31" s="347" t="s">
        <v>910</v>
      </c>
      <c r="B31" s="353" t="s">
        <v>122</v>
      </c>
      <c r="C31" s="799"/>
      <c r="D31" s="799"/>
      <c r="E31" s="799"/>
      <c r="F31" s="353" t="s">
        <v>123</v>
      </c>
      <c r="G31" s="660"/>
      <c r="H31" s="660"/>
      <c r="I31" s="543"/>
      <c r="J31" s="1354"/>
    </row>
    <row r="32" spans="1:10" ht="13.8" thickBot="1" x14ac:dyDescent="0.3">
      <c r="A32" s="347" t="s">
        <v>911</v>
      </c>
      <c r="B32" s="353" t="s">
        <v>332</v>
      </c>
      <c r="C32" s="799"/>
      <c r="D32" s="799"/>
      <c r="E32" s="799"/>
      <c r="F32" s="353" t="s">
        <v>333</v>
      </c>
      <c r="G32" s="660"/>
      <c r="H32" s="660"/>
      <c r="I32" s="543"/>
      <c r="J32" s="1354"/>
    </row>
  </sheetData>
  <mergeCells count="3">
    <mergeCell ref="A3:A4"/>
    <mergeCell ref="J1:J32"/>
    <mergeCell ref="F3:I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62" orientation="landscape" verticalDpi="300" r:id="rId1"/>
  <headerFooter alignWithMargins="0"/>
  <ignoredErrors>
    <ignoredError sqref="C6:C12 G6:G1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39"/>
  <sheetViews>
    <sheetView view="pageLayout" topLeftCell="B1" zoomScaleNormal="100" zoomScaleSheetLayoutView="115" workbookViewId="0">
      <selection activeCell="J1" sqref="J1:J36"/>
    </sheetView>
  </sheetViews>
  <sheetFormatPr defaultColWidth="9.33203125" defaultRowHeight="13.2" x14ac:dyDescent="0.25"/>
  <cols>
    <col min="1" max="1" width="6.77734375" style="50" customWidth="1"/>
    <col min="2" max="2" width="50.77734375" style="193" customWidth="1"/>
    <col min="3" max="5" width="13.33203125" style="650" customWidth="1"/>
    <col min="6" max="6" width="50.77734375" style="50" customWidth="1"/>
    <col min="7" max="9" width="13.33203125" style="650" customWidth="1"/>
    <col min="10" max="10" width="15.77734375" style="50" customWidth="1"/>
    <col min="11" max="16384" width="9.33203125" style="50"/>
  </cols>
  <sheetData>
    <row r="1" spans="1:10" ht="31.5" customHeight="1" x14ac:dyDescent="0.25">
      <c r="B1" s="335" t="s">
        <v>110</v>
      </c>
      <c r="C1" s="644"/>
      <c r="D1" s="644"/>
      <c r="E1" s="644"/>
      <c r="F1" s="336"/>
      <c r="G1" s="644"/>
      <c r="H1" s="644"/>
      <c r="I1" s="644"/>
      <c r="J1" s="1354" t="s">
        <v>1319</v>
      </c>
    </row>
    <row r="2" spans="1:10" ht="14.4" thickBot="1" x14ac:dyDescent="0.3">
      <c r="G2" s="645"/>
      <c r="H2" s="645"/>
      <c r="I2" s="645"/>
      <c r="J2" s="1354"/>
    </row>
    <row r="3" spans="1:10" ht="13.8" thickBot="1" x14ac:dyDescent="0.3">
      <c r="A3" s="1358" t="s">
        <v>17</v>
      </c>
      <c r="B3" s="337" t="s">
        <v>926</v>
      </c>
      <c r="C3" s="651"/>
      <c r="D3" s="651"/>
      <c r="E3" s="1069"/>
      <c r="F3" s="1355" t="s">
        <v>1</v>
      </c>
      <c r="G3" s="1356"/>
      <c r="H3" s="1356"/>
      <c r="I3" s="1357"/>
      <c r="J3" s="1354"/>
    </row>
    <row r="4" spans="1:10" s="338" customFormat="1" ht="34.799999999999997" thickBot="1" x14ac:dyDescent="0.3">
      <c r="A4" s="1359"/>
      <c r="B4" s="194" t="s">
        <v>12</v>
      </c>
      <c r="C4" s="539" t="s">
        <v>1170</v>
      </c>
      <c r="D4" s="1136" t="s">
        <v>1171</v>
      </c>
      <c r="E4" s="1135" t="s">
        <v>1218</v>
      </c>
      <c r="F4" s="194" t="s">
        <v>12</v>
      </c>
      <c r="G4" s="539" t="s">
        <v>1170</v>
      </c>
      <c r="H4" s="1136" t="s">
        <v>1171</v>
      </c>
      <c r="I4" s="197" t="s">
        <v>1218</v>
      </c>
      <c r="J4" s="1354"/>
    </row>
    <row r="5" spans="1:10" s="338" customFormat="1" ht="13.8" thickBot="1" x14ac:dyDescent="0.3">
      <c r="A5" s="339" t="s">
        <v>885</v>
      </c>
      <c r="B5" s="340" t="s">
        <v>886</v>
      </c>
      <c r="C5" s="828" t="s">
        <v>887</v>
      </c>
      <c r="D5" s="1067" t="s">
        <v>888</v>
      </c>
      <c r="E5" s="1154" t="s">
        <v>889</v>
      </c>
      <c r="F5" s="340" t="s">
        <v>891</v>
      </c>
      <c r="G5" s="1067" t="s">
        <v>892</v>
      </c>
      <c r="H5" s="1067" t="s">
        <v>893</v>
      </c>
      <c r="I5" s="829" t="s">
        <v>894</v>
      </c>
      <c r="J5" s="1354"/>
    </row>
    <row r="6" spans="1:10" x14ac:dyDescent="0.25">
      <c r="A6" s="342" t="s">
        <v>885</v>
      </c>
      <c r="B6" s="343" t="s">
        <v>368</v>
      </c>
      <c r="C6" s="805"/>
      <c r="D6" s="658"/>
      <c r="E6" s="652"/>
      <c r="F6" s="343" t="s">
        <v>279</v>
      </c>
      <c r="G6" s="805">
        <f>'1.1.sz.mell.'!C87</f>
        <v>29586</v>
      </c>
      <c r="H6" s="805">
        <f>'1.1.sz.mell.'!D87</f>
        <v>170319.17800000001</v>
      </c>
      <c r="I6" s="785">
        <f>'1.1.sz.mell.'!E87</f>
        <v>47976.906000000003</v>
      </c>
      <c r="J6" s="1354"/>
    </row>
    <row r="7" spans="1:10" x14ac:dyDescent="0.25">
      <c r="A7" s="344" t="s">
        <v>886</v>
      </c>
      <c r="B7" s="345" t="s">
        <v>342</v>
      </c>
      <c r="C7" s="655">
        <v>414</v>
      </c>
      <c r="D7" s="655">
        <f>'1.1.sz.mell.'!D47</f>
        <v>414</v>
      </c>
      <c r="E7" s="655">
        <f>'1.1.sz.mell.'!E47</f>
        <v>484</v>
      </c>
      <c r="F7" s="345" t="s">
        <v>168</v>
      </c>
      <c r="G7" s="655">
        <f>'1.1.sz.mell.'!C88</f>
        <v>11650</v>
      </c>
      <c r="H7" s="655">
        <f>'1.1.sz.mell.'!D88</f>
        <v>17453</v>
      </c>
      <c r="I7" s="647">
        <f>'1.1.sz.mell.'!E88</f>
        <v>6798.058</v>
      </c>
      <c r="J7" s="1354"/>
    </row>
    <row r="8" spans="1:10" x14ac:dyDescent="0.25">
      <c r="A8" s="344" t="s">
        <v>887</v>
      </c>
      <c r="B8" s="345" t="s">
        <v>104</v>
      </c>
      <c r="C8" s="655"/>
      <c r="D8" s="655"/>
      <c r="E8" s="655"/>
      <c r="F8" s="345" t="s">
        <v>310</v>
      </c>
      <c r="G8" s="655"/>
      <c r="H8" s="655"/>
      <c r="I8" s="647"/>
      <c r="J8" s="1354"/>
    </row>
    <row r="9" spans="1:10" x14ac:dyDescent="0.25">
      <c r="A9" s="344" t="s">
        <v>888</v>
      </c>
      <c r="B9" s="345" t="s">
        <v>151</v>
      </c>
      <c r="C9" s="655"/>
      <c r="D9" s="655"/>
      <c r="E9" s="655"/>
      <c r="F9" s="345" t="s">
        <v>349</v>
      </c>
      <c r="G9" s="655"/>
      <c r="H9" s="655"/>
      <c r="I9" s="647"/>
      <c r="J9" s="1354"/>
    </row>
    <row r="10" spans="1:10" x14ac:dyDescent="0.25">
      <c r="A10" s="344" t="s">
        <v>889</v>
      </c>
      <c r="B10" s="345" t="s">
        <v>241</v>
      </c>
      <c r="C10" s="655"/>
      <c r="D10" s="655"/>
      <c r="E10" s="655"/>
      <c r="F10" s="345" t="s">
        <v>350</v>
      </c>
      <c r="G10" s="655"/>
      <c r="H10" s="655"/>
      <c r="I10" s="647"/>
      <c r="J10" s="1354"/>
    </row>
    <row r="11" spans="1:10" x14ac:dyDescent="0.25">
      <c r="A11" s="344" t="s">
        <v>890</v>
      </c>
      <c r="B11" s="345" t="s">
        <v>343</v>
      </c>
      <c r="C11" s="655"/>
      <c r="D11" s="655"/>
      <c r="E11" s="655"/>
      <c r="F11" s="356" t="s">
        <v>351</v>
      </c>
      <c r="G11" s="655"/>
      <c r="H11" s="655"/>
      <c r="I11" s="647"/>
      <c r="J11" s="1354"/>
    </row>
    <row r="12" spans="1:10" x14ac:dyDescent="0.25">
      <c r="A12" s="344" t="s">
        <v>891</v>
      </c>
      <c r="B12" s="345" t="s">
        <v>344</v>
      </c>
      <c r="C12" s="655"/>
      <c r="D12" s="655"/>
      <c r="E12" s="655"/>
      <c r="F12" s="356" t="s">
        <v>283</v>
      </c>
      <c r="G12" s="655"/>
      <c r="H12" s="655"/>
      <c r="I12" s="647"/>
      <c r="J12" s="1354"/>
    </row>
    <row r="13" spans="1:10" x14ac:dyDescent="0.25">
      <c r="A13" s="344" t="s">
        <v>892</v>
      </c>
      <c r="B13" s="345" t="s">
        <v>347</v>
      </c>
      <c r="C13" s="655">
        <f>'1.1.sz.mell.'!C37</f>
        <v>14000</v>
      </c>
      <c r="D13" s="655">
        <f>'1.1.sz.mell.'!D40</f>
        <v>14000</v>
      </c>
      <c r="E13" s="655">
        <f>'1.1.sz.mell.'!E40</f>
        <v>13691</v>
      </c>
      <c r="F13" s="357" t="s">
        <v>284</v>
      </c>
      <c r="G13" s="655"/>
      <c r="H13" s="655"/>
      <c r="I13" s="647"/>
      <c r="J13" s="1354"/>
    </row>
    <row r="14" spans="1:10" ht="15" customHeight="1" x14ac:dyDescent="0.25">
      <c r="A14" s="344" t="s">
        <v>893</v>
      </c>
      <c r="B14" s="358" t="s">
        <v>366</v>
      </c>
      <c r="C14" s="655"/>
      <c r="D14" s="655"/>
      <c r="E14" s="655"/>
      <c r="F14" s="356" t="s">
        <v>352</v>
      </c>
      <c r="G14" s="655"/>
      <c r="H14" s="655"/>
      <c r="I14" s="647"/>
      <c r="J14" s="1354"/>
    </row>
    <row r="15" spans="1:10" ht="20.399999999999999" x14ac:dyDescent="0.25">
      <c r="A15" s="344" t="s">
        <v>894</v>
      </c>
      <c r="B15" s="345" t="s">
        <v>345</v>
      </c>
      <c r="C15" s="655">
        <f>'1.1.sz.mell.'!C45</f>
        <v>1500</v>
      </c>
      <c r="D15" s="655">
        <f>'1.1.sz.mell.'!D45</f>
        <v>1500</v>
      </c>
      <c r="E15" s="655">
        <f>'1.1.sz.mell.'!E45</f>
        <v>2289</v>
      </c>
      <c r="F15" s="356" t="s">
        <v>353</v>
      </c>
      <c r="G15" s="655"/>
      <c r="H15" s="655"/>
      <c r="I15" s="647"/>
      <c r="J15" s="1354"/>
    </row>
    <row r="16" spans="1:10" x14ac:dyDescent="0.25">
      <c r="A16" s="344" t="s">
        <v>895</v>
      </c>
      <c r="B16" s="345" t="s">
        <v>346</v>
      </c>
      <c r="C16" s="655"/>
      <c r="D16" s="655"/>
      <c r="E16" s="655"/>
      <c r="F16" s="345" t="s">
        <v>917</v>
      </c>
      <c r="G16" s="655">
        <f>'1.1.sz.mell.'!C99</f>
        <v>0</v>
      </c>
      <c r="H16" s="655">
        <f>'1.1.sz.mell.'!D99</f>
        <v>61674</v>
      </c>
      <c r="I16" s="647">
        <f>'1.1.sz.mell.'!E99</f>
        <v>0</v>
      </c>
      <c r="J16" s="1354"/>
    </row>
    <row r="17" spans="1:10" ht="13.8" thickBot="1" x14ac:dyDescent="0.3">
      <c r="A17" s="418" t="s">
        <v>896</v>
      </c>
      <c r="B17" s="419" t="s">
        <v>1124</v>
      </c>
      <c r="C17" s="661"/>
      <c r="D17" s="661"/>
      <c r="E17" s="661"/>
      <c r="F17" s="419" t="s">
        <v>880</v>
      </c>
      <c r="G17" s="661"/>
      <c r="H17" s="661"/>
      <c r="I17" s="648"/>
      <c r="J17" s="1354"/>
    </row>
    <row r="18" spans="1:10" ht="13.8" thickBot="1" x14ac:dyDescent="0.3">
      <c r="A18" s="347" t="s">
        <v>897</v>
      </c>
      <c r="B18" s="127" t="s">
        <v>94</v>
      </c>
      <c r="C18" s="660">
        <f>+C6+C7+C8+C9+C10+C11+C12+C13+C15+C16+C17</f>
        <v>15914</v>
      </c>
      <c r="D18" s="660">
        <f>+D6+D7+D8+D9+D10+D11+D12+D13+D15+D16+D17</f>
        <v>15914</v>
      </c>
      <c r="E18" s="660">
        <f>+E6+E7+E8+E9+E10+E11+E12+E13+E15+E16+E17</f>
        <v>16464</v>
      </c>
      <c r="F18" s="127" t="s">
        <v>95</v>
      </c>
      <c r="G18" s="660">
        <f>+G6+G7+G8+G16+G17</f>
        <v>41236</v>
      </c>
      <c r="H18" s="660">
        <f>+H6+H7+H8+H16+H17</f>
        <v>249446.17800000001</v>
      </c>
      <c r="I18" s="543">
        <f>+I6+I7+I8+I16+I17</f>
        <v>54774.964</v>
      </c>
      <c r="J18" s="1354"/>
    </row>
    <row r="19" spans="1:10" x14ac:dyDescent="0.25">
      <c r="A19" s="359" t="s">
        <v>898</v>
      </c>
      <c r="B19" s="360" t="s">
        <v>365</v>
      </c>
      <c r="C19" s="1068">
        <f>C20</f>
        <v>25322</v>
      </c>
      <c r="D19" s="1068">
        <v>205936</v>
      </c>
      <c r="E19" s="1068">
        <v>38311</v>
      </c>
      <c r="F19" s="350" t="s">
        <v>177</v>
      </c>
      <c r="G19" s="658"/>
      <c r="H19" s="658"/>
      <c r="I19" s="646"/>
      <c r="J19" s="1354"/>
    </row>
    <row r="20" spans="1:10" x14ac:dyDescent="0.25">
      <c r="A20" s="344" t="s">
        <v>899</v>
      </c>
      <c r="B20" s="361" t="s">
        <v>354</v>
      </c>
      <c r="C20" s="655">
        <f>25736-414</f>
        <v>25322</v>
      </c>
      <c r="D20" s="655">
        <v>205936</v>
      </c>
      <c r="E20" s="655">
        <v>38311</v>
      </c>
      <c r="F20" s="350" t="s">
        <v>181</v>
      </c>
      <c r="G20" s="655"/>
      <c r="H20" s="655"/>
      <c r="I20" s="647"/>
      <c r="J20" s="1354"/>
    </row>
    <row r="21" spans="1:10" x14ac:dyDescent="0.25">
      <c r="A21" s="359" t="s">
        <v>900</v>
      </c>
      <c r="B21" s="361" t="s">
        <v>355</v>
      </c>
      <c r="C21" s="655"/>
      <c r="D21" s="655"/>
      <c r="E21" s="655"/>
      <c r="F21" s="350" t="s">
        <v>106</v>
      </c>
      <c r="G21" s="655"/>
      <c r="H21" s="655"/>
      <c r="I21" s="647"/>
      <c r="J21" s="1354"/>
    </row>
    <row r="22" spans="1:10" x14ac:dyDescent="0.25">
      <c r="A22" s="344" t="s">
        <v>901</v>
      </c>
      <c r="B22" s="361" t="s">
        <v>356</v>
      </c>
      <c r="C22" s="655"/>
      <c r="D22" s="655"/>
      <c r="E22" s="655"/>
      <c r="F22" s="350" t="s">
        <v>107</v>
      </c>
      <c r="G22" s="655"/>
      <c r="H22" s="655"/>
      <c r="I22" s="647"/>
      <c r="J22" s="1354"/>
    </row>
    <row r="23" spans="1:10" x14ac:dyDescent="0.25">
      <c r="A23" s="359" t="s">
        <v>902</v>
      </c>
      <c r="B23" s="361" t="s">
        <v>357</v>
      </c>
      <c r="C23" s="661"/>
      <c r="D23" s="661"/>
      <c r="E23" s="661"/>
      <c r="F23" s="349" t="s">
        <v>328</v>
      </c>
      <c r="G23" s="655"/>
      <c r="H23" s="655"/>
      <c r="I23" s="647"/>
      <c r="J23" s="1354"/>
    </row>
    <row r="24" spans="1:10" x14ac:dyDescent="0.25">
      <c r="A24" s="344" t="s">
        <v>903</v>
      </c>
      <c r="B24" s="362" t="s">
        <v>358</v>
      </c>
      <c r="C24" s="655"/>
      <c r="D24" s="655"/>
      <c r="E24" s="655"/>
      <c r="F24" s="350" t="s">
        <v>182</v>
      </c>
      <c r="G24" s="655"/>
      <c r="H24" s="655"/>
      <c r="I24" s="647"/>
      <c r="J24" s="1354"/>
    </row>
    <row r="25" spans="1:10" x14ac:dyDescent="0.25">
      <c r="A25" s="359" t="s">
        <v>904</v>
      </c>
      <c r="B25" s="363" t="s">
        <v>359</v>
      </c>
      <c r="C25" s="1068"/>
      <c r="D25" s="1068"/>
      <c r="E25" s="1068"/>
      <c r="F25" s="364" t="s">
        <v>180</v>
      </c>
      <c r="G25" s="655"/>
      <c r="H25" s="655"/>
      <c r="I25" s="647"/>
      <c r="J25" s="1354"/>
    </row>
    <row r="26" spans="1:10" x14ac:dyDescent="0.25">
      <c r="A26" s="344" t="s">
        <v>905</v>
      </c>
      <c r="B26" s="362" t="s">
        <v>360</v>
      </c>
      <c r="C26" s="658"/>
      <c r="D26" s="658"/>
      <c r="E26" s="658"/>
      <c r="F26" s="364" t="s">
        <v>367</v>
      </c>
      <c r="G26" s="655"/>
      <c r="H26" s="655"/>
      <c r="I26" s="647"/>
      <c r="J26" s="1354"/>
    </row>
    <row r="27" spans="1:10" x14ac:dyDescent="0.25">
      <c r="A27" s="359" t="s">
        <v>906</v>
      </c>
      <c r="B27" s="362" t="s">
        <v>361</v>
      </c>
      <c r="C27" s="658"/>
      <c r="D27" s="658"/>
      <c r="E27" s="658"/>
      <c r="F27" s="355"/>
      <c r="G27" s="655"/>
      <c r="H27" s="655"/>
      <c r="I27" s="647"/>
      <c r="J27" s="1354"/>
    </row>
    <row r="28" spans="1:10" x14ac:dyDescent="0.25">
      <c r="A28" s="344" t="s">
        <v>907</v>
      </c>
      <c r="B28" s="361" t="s">
        <v>362</v>
      </c>
      <c r="C28" s="658"/>
      <c r="D28" s="658"/>
      <c r="E28" s="658"/>
      <c r="F28" s="124"/>
      <c r="G28" s="655"/>
      <c r="H28" s="655"/>
      <c r="I28" s="647"/>
      <c r="J28" s="1354"/>
    </row>
    <row r="29" spans="1:10" x14ac:dyDescent="0.25">
      <c r="A29" s="359" t="s">
        <v>908</v>
      </c>
      <c r="B29" s="365" t="s">
        <v>363</v>
      </c>
      <c r="C29" s="655"/>
      <c r="D29" s="655"/>
      <c r="E29" s="655"/>
      <c r="F29" s="48"/>
      <c r="G29" s="655"/>
      <c r="H29" s="655"/>
      <c r="I29" s="647"/>
      <c r="J29" s="1354"/>
    </row>
    <row r="30" spans="1:10" ht="13.8" thickBot="1" x14ac:dyDescent="0.3">
      <c r="A30" s="344" t="s">
        <v>909</v>
      </c>
      <c r="B30" s="366" t="s">
        <v>364</v>
      </c>
      <c r="C30" s="658"/>
      <c r="D30" s="658"/>
      <c r="E30" s="658"/>
      <c r="F30" s="124"/>
      <c r="G30" s="655"/>
      <c r="H30" s="655"/>
      <c r="I30" s="647"/>
      <c r="J30" s="1354"/>
    </row>
    <row r="31" spans="1:10" ht="21" thickBot="1" x14ac:dyDescent="0.3">
      <c r="A31" s="347" t="s">
        <v>910</v>
      </c>
      <c r="B31" s="127" t="s">
        <v>410</v>
      </c>
      <c r="C31" s="660"/>
      <c r="D31" s="660"/>
      <c r="E31" s="660"/>
      <c r="F31" s="127" t="s">
        <v>411</v>
      </c>
      <c r="G31" s="660"/>
      <c r="H31" s="660"/>
      <c r="I31" s="543"/>
      <c r="J31" s="1354"/>
    </row>
    <row r="32" spans="1:10" ht="13.8" thickBot="1" x14ac:dyDescent="0.3">
      <c r="A32" s="347" t="s">
        <v>911</v>
      </c>
      <c r="B32" s="352" t="s">
        <v>408</v>
      </c>
      <c r="C32" s="660">
        <f>+C18+C31+C19</f>
        <v>41236</v>
      </c>
      <c r="D32" s="660">
        <f>+D18+D31+D19</f>
        <v>221850</v>
      </c>
      <c r="E32" s="660">
        <f>+E18+E31+E19</f>
        <v>54775</v>
      </c>
      <c r="F32" s="352" t="s">
        <v>412</v>
      </c>
      <c r="G32" s="660">
        <f>+G18+G31</f>
        <v>41236</v>
      </c>
      <c r="H32" s="660">
        <f>+H18+H31</f>
        <v>249446.17800000001</v>
      </c>
      <c r="I32" s="543">
        <f>+I18+I31</f>
        <v>54774.964</v>
      </c>
      <c r="J32" s="1354"/>
    </row>
    <row r="33" spans="1:10" ht="13.8" thickBot="1" x14ac:dyDescent="0.3">
      <c r="A33" s="347" t="s">
        <v>912</v>
      </c>
      <c r="B33" s="127" t="s">
        <v>324</v>
      </c>
      <c r="C33" s="662"/>
      <c r="D33" s="662"/>
      <c r="E33" s="662"/>
      <c r="F33" s="127" t="s">
        <v>330</v>
      </c>
      <c r="G33" s="662"/>
      <c r="H33" s="662"/>
      <c r="I33" s="649"/>
      <c r="J33" s="1354"/>
    </row>
    <row r="34" spans="1:10" ht="13.8" thickBot="1" x14ac:dyDescent="0.3">
      <c r="A34" s="347" t="s">
        <v>913</v>
      </c>
      <c r="B34" s="353" t="s">
        <v>409</v>
      </c>
      <c r="C34" s="660">
        <f>+C32+C33</f>
        <v>41236</v>
      </c>
      <c r="D34" s="660">
        <f>+D32+D33</f>
        <v>221850</v>
      </c>
      <c r="E34" s="660">
        <f>+E32+E33</f>
        <v>54775</v>
      </c>
      <c r="F34" s="353" t="s">
        <v>413</v>
      </c>
      <c r="G34" s="660">
        <f>+G32+G33</f>
        <v>41236</v>
      </c>
      <c r="H34" s="660">
        <f>+H32+H33</f>
        <v>249446.17800000001</v>
      </c>
      <c r="I34" s="543">
        <f>+I32+I33</f>
        <v>54774.964</v>
      </c>
      <c r="J34" s="1354"/>
    </row>
    <row r="35" spans="1:10" ht="13.8" thickBot="1" x14ac:dyDescent="0.3">
      <c r="A35" s="347" t="s">
        <v>86</v>
      </c>
      <c r="B35" s="353" t="s">
        <v>122</v>
      </c>
      <c r="C35" s="660"/>
      <c r="D35" s="660"/>
      <c r="E35" s="544"/>
      <c r="F35" s="353" t="s">
        <v>123</v>
      </c>
      <c r="G35" s="660" t="str">
        <f>IF(C18-G18&gt;0,C18-G18,"-")</f>
        <v>-</v>
      </c>
      <c r="H35" s="660" t="str">
        <f>IF(D18-H18&gt;0,D18-H18,"-")</f>
        <v>-</v>
      </c>
      <c r="I35" s="543"/>
      <c r="J35" s="1354"/>
    </row>
    <row r="36" spans="1:10" ht="13.8" thickBot="1" x14ac:dyDescent="0.3">
      <c r="A36" s="347" t="s">
        <v>87</v>
      </c>
      <c r="B36" s="353" t="s">
        <v>332</v>
      </c>
      <c r="C36" s="660">
        <f>G34-C34</f>
        <v>0</v>
      </c>
      <c r="D36" s="660"/>
      <c r="E36" s="544"/>
      <c r="F36" s="353" t="s">
        <v>333</v>
      </c>
      <c r="G36" s="660" t="str">
        <f>IF(C18+C19-G32&gt;0,C18+C19-G32,"-")</f>
        <v>-</v>
      </c>
      <c r="H36" s="660" t="str">
        <f>IF(D18+D19-H32&gt;0,D18+D19-H32,"-")</f>
        <v>-</v>
      </c>
      <c r="I36" s="543"/>
      <c r="J36" s="1354"/>
    </row>
    <row r="39" spans="1:10" x14ac:dyDescent="0.25">
      <c r="F39" s="650"/>
      <c r="J39" s="650">
        <f>J34+'2.1.sz.mell  '!J30</f>
        <v>0</v>
      </c>
    </row>
  </sheetData>
  <mergeCells count="3">
    <mergeCell ref="A3:A4"/>
    <mergeCell ref="J1:J36"/>
    <mergeCell ref="F3:I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7" orientation="landscape" r:id="rId1"/>
  <headerFooter alignWithMargins="0"/>
  <ignoredErrors>
    <ignoredError sqref="C8:C9 G6:G10 G16 C16 C15 C11:C14 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29</vt:i4>
      </vt:variant>
    </vt:vector>
  </HeadingPairs>
  <TitlesOfParts>
    <vt:vector size="66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11. sz.mell.</vt:lpstr>
      <vt:lpstr>12. sz.mell.</vt:lpstr>
      <vt:lpstr>13. sz. mell.</vt:lpstr>
      <vt:lpstr>14.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 sz. tájékoztató tábla</vt:lpstr>
      <vt:lpstr>3. sz tájékoztató t.</vt:lpstr>
      <vt:lpstr>3.sz tájékoztató t.</vt:lpstr>
      <vt:lpstr>4.sz tájékoztató t.</vt:lpstr>
      <vt:lpstr>5.sz.tájékoztató tábla</vt:lpstr>
      <vt:lpstr>'14. sz. mell.'!adat</vt:lpstr>
      <vt:lpstr>'10. sz. mell.'!Nyomtatási_cím</vt:lpstr>
      <vt:lpstr>'13. sz. mell.'!Nyomtatási_cím</vt:lpstr>
      <vt:lpstr>'14.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'13. sz. mell.'!Nyomtatási_terület</vt:lpstr>
      <vt:lpstr>'1a sz tájékoztató t.'!Nyomtatási_terület</vt:lpstr>
      <vt:lpstr>'1b. sz tájékoztató t.'!Nyomtatási_terület</vt:lpstr>
      <vt:lpstr>'2.2.sz.mell  '!Nyomtatási_terület</vt:lpstr>
      <vt:lpstr>'3. sz tájékoztató t.'!Nyomtatási_terület</vt:lpstr>
      <vt:lpstr>'4.sz.mell.'!Nyomtatási_terület</vt:lpstr>
      <vt:lpstr>'5.sz.mell.'!Nyomtatási_terület</vt:lpstr>
      <vt:lpstr>'6.sz.mell.'!Nyomtatási_terület</vt:lpstr>
      <vt:lpstr>'7.sz.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Filó-Szentes Kinga</cp:lastModifiedBy>
  <cp:lastPrinted>2019-04-15T11:29:09Z</cp:lastPrinted>
  <dcterms:created xsi:type="dcterms:W3CDTF">1999-10-30T10:30:45Z</dcterms:created>
  <dcterms:modified xsi:type="dcterms:W3CDTF">2019-04-26T07:44:29Z</dcterms:modified>
</cp:coreProperties>
</file>