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8" activeTab="11"/>
  </bookViews>
  <sheets>
    <sheet name="bor." sheetId="1" r:id="rId1"/>
    <sheet name="1.mell. -mérleg (1)" sheetId="2" r:id="rId2"/>
    <sheet name="2.mell - bevétel" sheetId="3" r:id="rId3"/>
    <sheet name="3.mell. - bevét.Köá" sheetId="4" r:id="rId4"/>
    <sheet name="4.mell. - kiadás (1)" sheetId="5" r:id="rId5"/>
    <sheet name="5.mell. - kiadás.köá. (1)" sheetId="6" r:id="rId6"/>
    <sheet name="6.sz.mell.támogatások (1)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 (1)" sheetId="11" r:id="rId11"/>
    <sheet name="11.mell. -ei.felh.ütemt. (1)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<sst xmlns="http://schemas.openxmlformats.org/spreadsheetml/2006/main" count="1026" uniqueCount="592">
  <si>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</si>
  <si>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</si>
  <si>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</si>
  <si>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</si>
  <si>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</si>
  <si>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</si>
  <si>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</si>
  <si>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</si>
  <si>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</si>
  <si>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</si>
  <si>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</si>
  <si>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</si>
  <si>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</si>
  <si>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</si>
  <si>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</si>
  <si>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</si>
  <si>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</si>
  <si>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</si>
  <si>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</si>
  <si>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</si>
  <si>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</si>
  <si>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</si>
  <si>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</si>
  <si>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</si>
  <si>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</si>
  <si>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</si>
  <si>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</si>
  <si>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</si>
  <si>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</si>
  <si>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</si>
  <si>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</si>
  <si>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</si>
  <si>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</si>
  <si>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</si>
  <si>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</si>
  <si>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</si>
  <si>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</si>
  <si>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</si>
  <si>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</si>
  <si>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</si>
  <si>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</si>
  <si>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</si>
  <si>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</si>
  <si>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</si>
  <si>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</si>
  <si>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</si>
  <si>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</si>
  <si>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</si>
  <si>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</si>
  <si>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</si>
  <si>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</si>
  <si>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</si>
  <si>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</si>
  <si>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</si>
  <si>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</si>
  <si>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</si>
  <si>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</si>
  <si>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</si>
  <si>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</si>
  <si>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</si>
  <si>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</si>
  <si>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</si>
  <si>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</si>
  <si>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</si>
  <si>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</si>
  <si>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</si>
  <si>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</si>
  <si>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</si>
  <si>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</si>
  <si>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</si>
  <si>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</si>
  <si>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</si>
  <si>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</si>
  <si>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</si>
  <si>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</si>
  <si>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</si>
  <si>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</si>
  <si>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</si>
  <si>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</si>
  <si>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</si>
  <si>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</si>
  <si>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</si>
  <si>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</si>
  <si>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</si>
  <si>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</si>
  <si>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</si>
  <si>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</si>
  <si>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</si>
  <si>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</si>
  <si>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</si>
  <si>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</si>
  <si>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</si>
  <si>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</si>
  <si>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</si>
  <si>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</si>
  <si>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</si>
  <si>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</si>
  <si>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</si>
  <si>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</si>
  <si>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</si>
  <si>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</si>
  <si>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</si>
  <si>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</si>
  <si>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</si>
  <si>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</si>
  <si>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</si>
  <si>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</si>
  <si>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</si>
  <si>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</si>
  <si>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</si>
  <si>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</si>
  <si>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</si>
  <si>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</si>
  <si>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</si>
  <si>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</si>
  <si>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</si>
  <si>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</si>
  <si>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</si>
  <si>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</si>
  <si>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</si>
  <si>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</si>
  <si>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</si>
  <si>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</si>
  <si>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</si>
  <si>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</si>
  <si>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</si>
  <si>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</si>
  <si>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</si>
  <si>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</si>
  <si>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</si>
  <si>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</si>
  <si>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</si>
  <si>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</si>
  <si>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</si>
  <si>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</si>
  <si>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</si>
  <si>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</si>
  <si>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</si>
  <si>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</si>
  <si>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</si>
  <si>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</si>
  <si>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</si>
  <si>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</si>
  <si>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</si>
  <si>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</si>
  <si>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</si>
  <si>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</si>
  <si>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</si>
  <si>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</si>
  <si>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</si>
  <si>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</si>
  <si>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</si>
  <si>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</si>
  <si>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</si>
  <si>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</si>
  <si>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</si>
  <si>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</si>
  <si>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</si>
  <si>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</si>
  <si>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</si>
  <si>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</si>
  <si>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</si>
  <si>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</si>
  <si>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</si>
  <si>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</si>
  <si>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</si>
  <si>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</si>
  <si>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</si>
  <si>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</si>
  <si>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</si>
  <si>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</si>
  <si>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</si>
  <si>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</si>
  <si>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</si>
  <si>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</si>
  <si>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</si>
  <si>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</si>
  <si>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</si>
  <si>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</si>
  <si>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</si>
  <si>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</si>
  <si>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</si>
  <si>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</si>
  <si>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</si>
  <si>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</si>
  <si>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</si>
  <si>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</si>
  <si>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</si>
  <si>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</si>
  <si>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</si>
  <si>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</si>
  <si>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</si>
  <si>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</si>
  <si>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</si>
  <si>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</si>
  <si>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</si>
  <si>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</si>
  <si>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</si>
  <si>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</si>
  <si>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</si>
  <si>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</si>
  <si>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</si>
  <si>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</si>
  <si>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</si>
  <si>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</si>
  <si>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</si>
  <si>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</si>
  <si>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</si>
  <si>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</si>
  <si>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</si>
  <si>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</si>
  <si>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</si>
  <si>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</si>
  <si>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</si>
  <si>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</si>
  <si>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</si>
  <si>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</si>
  <si>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</si>
  <si>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</si>
  <si>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</si>
  <si>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</si>
  <si>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</si>
  <si>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</si>
  <si>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</si>
  <si>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</si>
  <si>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</si>
  <si>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</si>
  <si>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</si>
  <si>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</si>
  <si>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</si>
  <si>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</si>
  <si>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</si>
  <si>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</si>
  <si>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</si>
  <si>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</si>
  <si>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</si>
  <si>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</si>
  <si>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</si>
  <si>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</si>
  <si>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</si>
  <si>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</si>
  <si>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</si>
  <si>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</si>
  <si>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</si>
  <si>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</si>
  <si>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</si>
  <si>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</si>
  <si>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</si>
  <si>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</si>
  <si>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</si>
  <si>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</si>
  <si>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</si>
  <si>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</si>
  <si>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</si>
  <si>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</si>
  <si>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</si>
  <si>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</si>
  <si>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</si>
  <si>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</si>
  <si>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</si>
  <si>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</si>
  <si>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</si>
  <si>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</si>
  <si>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</si>
  <si>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</si>
  <si>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</si>
  <si>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</si>
  <si>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</si>
  <si>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</si>
  <si>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</si>
  <si>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</si>
  <si>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</si>
  <si>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</si>
  <si>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</si>
  <si>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</si>
  <si>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</si>
  <si>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</si>
  <si>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</si>
  <si>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</si>
  <si>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</si>
  <si>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</si>
  <si>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</si>
  <si>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</si>
  <si>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</si>
  <si>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</si>
  <si>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</si>
  <si>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</si>
  <si>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</si>
  <si>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</si>
  <si>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</si>
  <si>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</si>
  <si>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</si>
  <si>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</si>
  <si>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</si>
  <si>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</si>
  <si>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</si>
  <si>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</si>
  <si>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</si>
  <si>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</si>
  <si>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</si>
  <si>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</si>
  <si>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</si>
  <si>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</si>
  <si>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</si>
  <si>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</si>
  <si>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</si>
  <si>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</si>
  <si>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</si>
  <si>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</si>
  <si>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</si>
  <si>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</si>
  <si>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</si>
  <si>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</si>
  <si>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</si>
  <si>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</si>
  <si>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</si>
  <si>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</si>
  <si>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</si>
  <si>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</si>
  <si>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</si>
  <si>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</si>
  <si>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</si>
  <si>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</si>
  <si>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</si>
  <si>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</si>
  <si>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</si>
  <si>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</si>
  <si>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</si>
  <si>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</si>
  <si>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</si>
  <si>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</si>
  <si>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</si>
  <si>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</si>
  <si>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</si>
  <si>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</si>
  <si>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</si>
  <si>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</si>
  <si>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</si>
  <si>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</si>
  <si>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</si>
  <si>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</si>
  <si>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</si>
  <si>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</si>
  <si>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</si>
  <si>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</si>
  <si>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</si>
  <si>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</si>
  <si>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</si>
  <si>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</si>
  <si>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</si>
  <si>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</si>
  <si>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</si>
  <si>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</si>
  <si>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</si>
  <si>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</si>
  <si>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</si>
  <si>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</si>
  <si>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</si>
  <si>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</si>
  <si>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</si>
  <si>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</si>
  <si>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</si>
  <si>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</si>
  <si>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</si>
  <si>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</si>
  <si>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</si>
  <si>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</si>
  <si>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</si>
  <si>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</si>
  <si>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</si>
  <si>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</si>
  <si>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</si>
  <si>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</si>
  <si>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</si>
  <si>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</si>
  <si>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</si>
  <si>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</si>
  <si>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</si>
  <si>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</si>
  <si>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</si>
  <si>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</si>
  <si>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</si>
  <si>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</si>
  <si>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</si>
  <si>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</si>
  <si>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</si>
  <si>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066020 Városi és községgazdálkodási egyéb szolgáltatások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</si>
  <si>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</si>
  <si>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</si>
  <si>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</si>
  <si>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</si>
  <si>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</si>
  <si>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</si>
  <si>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</si>
  <si>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</si>
  <si>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</si>
  <si>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</si>
  <si>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2014-2015. év</t>
  </si>
  <si>
    <t>2014.</t>
  </si>
  <si>
    <t>2015.</t>
  </si>
  <si>
    <t>2017.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</si>
  <si>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</si>
  <si>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</si>
  <si>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</si>
  <si>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</si>
  <si>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</si>
  <si>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</si>
  <si>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</si>
  <si>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</si>
  <si>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</si>
  <si>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</si>
  <si>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</si>
  <si>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</si>
  <si>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</si>
  <si>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</si>
  <si>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</si>
  <si>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</si>
  <si>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</si>
  <si>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</si>
  <si>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</si>
  <si>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</si>
  <si>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</si>
  <si>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</si>
  <si>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</si>
  <si>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</si>
  <si>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</si>
  <si>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</si>
  <si>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</si>
  <si>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</si>
  <si>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</si>
  <si>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</si>
  <si>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</si>
  <si>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</si>
  <si>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</si>
  <si>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</si>
  <si>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</si>
  <si>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</si>
  <si>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</si>
  <si>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</si>
  <si>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</si>
  <si>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</si>
  <si>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</si>
  <si>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</si>
  <si>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</si>
  <si>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</si>
  <si>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</si>
  <si>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</si>
  <si>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</si>
  <si>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</si>
  <si>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</si>
  <si>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</si>
  <si>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</si>
  <si>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</si>
  <si>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</si>
  <si>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</si>
  <si>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</si>
  <si>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</si>
  <si>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</si>
  <si>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</si>
  <si>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</si>
  <si>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</si>
  <si>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</si>
  <si>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</si>
  <si>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</si>
  <si>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</si>
  <si>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</si>
  <si>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</si>
  <si>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</si>
  <si>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 xml:space="preserve">2016. évi </t>
  </si>
  <si>
    <t>2016. évre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</si>
  <si>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</si>
  <si>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</si>
  <si>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</si>
  <si>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</si>
  <si>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</si>
  <si>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</si>
  <si>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</si>
  <si>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</si>
  <si>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</si>
  <si>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</si>
  <si>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</si>
  <si>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</si>
  <si>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t>2016.évre</t>
  </si>
  <si>
    <t>2017-2019. év</t>
  </si>
  <si>
    <t>2019.</t>
  </si>
  <si>
    <t>Egyéb gép, berendezés, felszerelés beszerzése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</si>
  <si>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</si>
  <si>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</si>
  <si>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</si>
  <si>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</si>
  <si>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</si>
  <si>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Könyvtári infrastruktúra fejlesztés támogatása, eszközbeszerzés</t>
  </si>
  <si>
    <t>Áht-n belüli megelőlegezések viszafizetése</t>
  </si>
  <si>
    <t>2016.év</t>
  </si>
  <si>
    <t xml:space="preserve">          Áht-n belüli megelőlegezések visszafizetése</t>
  </si>
  <si>
    <t>(2015. december 31-i állapot szerint)</t>
  </si>
  <si>
    <t>-Áht-n belüli megelőlegezések visszafizetése</t>
  </si>
  <si>
    <t>2016. 01.01-től</t>
  </si>
  <si>
    <t>FELÚJÍTÁSI KIADÁSOK</t>
  </si>
  <si>
    <t xml:space="preserve">Összesen: </t>
  </si>
  <si>
    <t>FELÚJÍTÁSOK ÖSSZESEN:</t>
  </si>
  <si>
    <t xml:space="preserve">072111 Háziorvosi szolgálat </t>
  </si>
  <si>
    <t>Egyéb épület felújítása</t>
  </si>
  <si>
    <t xml:space="preserve">2015.évi Önkományzatok feladatfejlesztési támogatásából áthúzódó összeg  az önkormányzati önrésszel </t>
  </si>
  <si>
    <t>-orvosi rendelő felújítására</t>
  </si>
  <si>
    <t>Felújítási célú előzetesen felszámított le nem vonható általános forgalmi adóra</t>
  </si>
  <si>
    <t>költségvetési szerv,társadalmi szervezet</t>
  </si>
  <si>
    <t>Gjt.5.§.a.-b. pont</t>
  </si>
  <si>
    <t xml:space="preserve"> 013350 Önkormányzati vagyonnal való gazdálkodás</t>
  </si>
  <si>
    <t>Közművesített telek vásárlása</t>
  </si>
  <si>
    <t xml:space="preserve"> 011130 Önkormányzatok és önk. hivatalok jogalkotó és ált. igaztatási tev.</t>
  </si>
  <si>
    <t>1. melléklet  a  3/2016. (II.16.) önkormányzati rendelethez</t>
  </si>
  <si>
    <t>2. melléklet  a  3/2016. (II.16.) önkormányzati rendelethez</t>
  </si>
  <si>
    <t>3. melléklet  a  3/2016. (II.16.) önkormányzati rendelethez</t>
  </si>
  <si>
    <t>4. melléklet  a 3/2016. (II.16.) önkormányzati rendelethez</t>
  </si>
  <si>
    <t>5. melléklet  a 3/2016. (II.16.) önkormányzati rendelethez</t>
  </si>
  <si>
    <t>6. melléklet  a 3/2016. (II.16.) önkormányzati rendelethez</t>
  </si>
  <si>
    <t>7. melléklet  a  3/2016. (II.16.) önkormányzati rendelethez</t>
  </si>
  <si>
    <t>8. melléklet a 3/2016. (II.16.) önkormányzati rendelethez</t>
  </si>
  <si>
    <t>9 sz. melléklet a 3/2016. (II.16.) sz. önkormányzati rendelethez</t>
  </si>
  <si>
    <t>10. melléklet a 3/2016. (II.16.) önkormányzati rendelethez</t>
  </si>
  <si>
    <t>11. melléklet a 3/2016. (II.16.)önkormányzati rendelethez</t>
  </si>
  <si>
    <t>12. melléklet a 3/2016. (II.16.) önkormányzati rendelethez</t>
  </si>
  <si>
    <t>13. melléklet a 3/2016. (II.16.) önkormányzati rendelethez</t>
  </si>
  <si>
    <t>14. melléklet  a  3/2016. (II.16.) önkormányzati rendelethez</t>
  </si>
  <si>
    <t>15. melléklet  a  3/2016. (II.16.) önkormányzati rendelethez</t>
  </si>
  <si>
    <t>16. melléklet  a  3/2016. (II.16.) önkormányzati rendelethez</t>
  </si>
  <si>
    <t xml:space="preserve"> Ft</t>
  </si>
  <si>
    <t xml:space="preserve"> -TARTALÉKBA</t>
  </si>
  <si>
    <t>2016.évi bérkompenzáció támogatása</t>
  </si>
  <si>
    <t>(  Ft-ban)</t>
  </si>
  <si>
    <t>Hosszabb időtartamú közfoglalkoztatás</t>
  </si>
  <si>
    <t>041233</t>
  </si>
  <si>
    <t>Támogatási célú finanszírozási műveletek</t>
  </si>
  <si>
    <t>018030</t>
  </si>
  <si>
    <t>( Ft-ban)</t>
  </si>
  <si>
    <t>(  Ft-ban )</t>
  </si>
  <si>
    <t xml:space="preserve"> előirányzat   (  Ft)</t>
  </si>
  <si>
    <t>Közutak ,hidak, alagutak üzemeltetése, fenntartása</t>
  </si>
  <si>
    <t>045160</t>
  </si>
  <si>
    <t>Közutak,hidak,alagutak üzemeltetése,fenntartása</t>
  </si>
  <si>
    <t>Háztartásoknak felhalmozási célú visszatérítendő támogatás (kamatmentes kölcsön)</t>
  </si>
  <si>
    <t>Beépítetlen terület (telek)</t>
  </si>
  <si>
    <t>- műszaki ellenőri feladatokra</t>
  </si>
  <si>
    <t>- tervezési feladatokra</t>
  </si>
  <si>
    <t>ELŐZŐ ÉVEK KÖLTSÉGVETÉSI MARADVÁNY IGÉNYBEVÉTELE:                                                                                   - 2015. ÉVRŐL ÁTHÚZÓDÓ FELADATOKRA</t>
  </si>
  <si>
    <t>Nyári diákmunka támogatása</t>
  </si>
  <si>
    <t>Ft-ban</t>
  </si>
  <si>
    <t xml:space="preserve"> Egyéb működési és felhalmozási kiadásai</t>
  </si>
  <si>
    <t>időskorúak támogatása</t>
  </si>
  <si>
    <t>Mérőrendszer bővítése</t>
  </si>
  <si>
    <t>052080 Szennyvízcsatorna építése,  fenntartása, üzemeltetése</t>
  </si>
  <si>
    <t>Eszközbeszerzés ( fűkaszák)</t>
  </si>
  <si>
    <t>Településrendezési terv módosítása</t>
  </si>
  <si>
    <t xml:space="preserve"> - A helyi önkormányzatok előző évi elszámolásából származó kiadások</t>
  </si>
  <si>
    <t>2017. évi nettó előleg folyósítása</t>
  </si>
  <si>
    <t>Adósságkonszolidációban nem részesültönkormányzatok fejlesztési támogatása</t>
  </si>
  <si>
    <t>Közművelődés - egész életre kiterjedő tanulás</t>
  </si>
  <si>
    <t>Bursa Hungarica ösztöndíj pályázat támogatása</t>
  </si>
  <si>
    <t>Függönyök beszerzése</t>
  </si>
  <si>
    <t>072111 Házorvosi alapellátás</t>
  </si>
  <si>
    <t>082044 Könyvtári szolgáltatások</t>
  </si>
  <si>
    <t>- MEGELŐLEGEZETT ÁLLAMI TÁMOGATÁS 2017.ÉVI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</si>
  <si>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</si>
  <si>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</si>
  <si>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</si>
  <si>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</si>
  <si>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</si>
  <si>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</si>
  <si>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</si>
  <si>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</si>
  <si>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</si>
  <si>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09.</t>
  </si>
  <si>
    <t>08.</t>
  </si>
  <si>
    <t>07.</t>
  </si>
  <si>
    <t>06.</t>
  </si>
  <si>
    <t>05.</t>
  </si>
  <si>
    <t>04.</t>
  </si>
  <si>
    <t>03.</t>
  </si>
  <si>
    <t>02.</t>
  </si>
  <si>
    <t>01.</t>
  </si>
  <si>
    <t>Sor-szám</t>
  </si>
  <si>
    <t>EGYÉB FELHALMOZÁSI CÉLÚ KIADÁSOK ÖSSZESEN:</t>
  </si>
  <si>
    <t>FELHALMOZÁSI CÉLÚ VISSZATÉRITENDŐ TÁMOGATÁSOK, KÖLCSÖNÖK NYÚJTÁSA ÁLLAMHÁZTARTÁSON KÍVÜLRE ÖSSZESEN:</t>
  </si>
  <si>
    <t>Lakáshoz jutast segítő támogatás</t>
  </si>
  <si>
    <t>FELHALMOZÁSI CÉLÚ VISSZATÉRITENDŐ TÁMOGATÁSOK, KÖLCSÖNÖK NYÚJTÁSA ÁLLAMHÁZTARTÁSON KÍVÜLRE</t>
  </si>
  <si>
    <t>EGYÉB FELHALMOZÁSI CÉLÚ KIADÁSOK</t>
  </si>
  <si>
    <t>Sárvár Város Önkormányzatának a házi segítségnyújtás feledat ellátására átadott támogatás</t>
  </si>
  <si>
    <t>Központi költségvetéssel kapcsolatos elszámolása</t>
  </si>
  <si>
    <t xml:space="preserve"> - egyéb működési célú támogatások államháztartáson belülre</t>
  </si>
  <si>
    <t>megelőlegezett állami támogatás 2017-re</t>
  </si>
  <si>
    <t>felhalmozási célú támogatások államháztatáson belülről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</si>
</sst>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ck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9" applyFont="1">
      <alignment/>
      <protection/>
    </xf>
    <xf numFmtId="0" fontId="6" fillId="0" borderId="0" xfId="59" applyFont="1">
      <alignment/>
      <protection/>
    </xf>
    <xf numFmtId="164" fontId="12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11" fillId="0" borderId="0" xfId="0" applyFont="1" applyAlignment="1">
      <alignment/>
    </xf>
    <xf numFmtId="0" fontId="12" fillId="0" borderId="0" xfId="61" applyFont="1">
      <alignment/>
      <protection/>
    </xf>
    <xf numFmtId="0" fontId="12" fillId="0" borderId="0" xfId="62" applyFont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4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15" fillId="0" borderId="0" xfId="58" applyFont="1" applyAlignment="1">
      <alignment/>
      <protection/>
    </xf>
    <xf numFmtId="41" fontId="10" fillId="0" borderId="0" xfId="58" applyNumberFormat="1" applyFont="1" applyAlignment="1">
      <alignment horizontal="centerContinuous"/>
      <protection/>
    </xf>
    <xf numFmtId="0" fontId="11" fillId="0" borderId="0" xfId="58" applyFont="1">
      <alignment/>
      <protection/>
    </xf>
    <xf numFmtId="0" fontId="12" fillId="0" borderId="0" xfId="58" applyFont="1" applyAlignment="1">
      <alignment horizontal="right"/>
      <protection/>
    </xf>
    <xf numFmtId="41" fontId="13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1" xfId="61" applyFont="1" applyBorder="1" applyAlignment="1">
      <alignment horizontal="center"/>
      <protection/>
    </xf>
    <xf numFmtId="0" fontId="10" fillId="0" borderId="12" xfId="61" applyFont="1" applyBorder="1" applyAlignment="1">
      <alignment horizontal="center"/>
      <protection/>
    </xf>
    <xf numFmtId="0" fontId="11" fillId="0" borderId="13" xfId="61" applyFont="1" applyBorder="1">
      <alignment/>
      <protection/>
    </xf>
    <xf numFmtId="0" fontId="10" fillId="0" borderId="1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0" xfId="61" applyFont="1">
      <alignment/>
      <protection/>
    </xf>
    <xf numFmtId="0" fontId="16" fillId="0" borderId="0" xfId="61" applyFont="1">
      <alignment/>
      <protection/>
    </xf>
    <xf numFmtId="0" fontId="17" fillId="0" borderId="0" xfId="61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9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2" fillId="0" borderId="0" xfId="59" applyFont="1" applyAlignment="1">
      <alignment/>
      <protection/>
    </xf>
    <xf numFmtId="0" fontId="12" fillId="0" borderId="16" xfId="59" applyFont="1" applyBorder="1" applyAlignment="1">
      <alignment horizontal="left"/>
      <protection/>
    </xf>
    <xf numFmtId="0" fontId="12" fillId="0" borderId="16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5" xfId="59" applyFont="1" applyBorder="1" applyAlignment="1">
      <alignment horizontal="center"/>
      <protection/>
    </xf>
    <xf numFmtId="0" fontId="21" fillId="0" borderId="0" xfId="59" applyFont="1">
      <alignment/>
      <protection/>
    </xf>
    <xf numFmtId="0" fontId="10" fillId="0" borderId="0" xfId="59" applyFont="1" applyAlignment="1">
      <alignment/>
      <protection/>
    </xf>
    <xf numFmtId="0" fontId="7" fillId="0" borderId="0" xfId="59" applyFont="1" applyAlignment="1">
      <alignment horizontal="centerContinuous"/>
      <protection/>
    </xf>
    <xf numFmtId="0" fontId="7" fillId="0" borderId="0" xfId="59" applyFont="1" applyAlignment="1">
      <alignment horizontal="center"/>
      <protection/>
    </xf>
    <xf numFmtId="0" fontId="4" fillId="0" borderId="17" xfId="59" applyFont="1" applyBorder="1" applyAlignment="1">
      <alignment/>
      <protection/>
    </xf>
    <xf numFmtId="0" fontId="4" fillId="0" borderId="18" xfId="59" applyFont="1" applyBorder="1" applyAlignment="1">
      <alignment horizontal="center"/>
      <protection/>
    </xf>
    <xf numFmtId="0" fontId="4" fillId="0" borderId="0" xfId="59" applyFont="1">
      <alignment/>
      <protection/>
    </xf>
    <xf numFmtId="0" fontId="4" fillId="0" borderId="19" xfId="59" applyFont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4" fillId="0" borderId="20" xfId="59" applyFont="1" applyBorder="1">
      <alignment/>
      <protection/>
    </xf>
    <xf numFmtId="0" fontId="4" fillId="0" borderId="14" xfId="59" applyFont="1" applyBorder="1" applyAlignment="1">
      <alignment horizontal="center"/>
      <protection/>
    </xf>
    <xf numFmtId="0" fontId="4" fillId="0" borderId="21" xfId="59" applyFont="1" applyBorder="1" applyAlignment="1">
      <alignment horizontal="left" vertical="center" wrapText="1"/>
      <protection/>
    </xf>
    <xf numFmtId="0" fontId="4" fillId="0" borderId="21" xfId="59" applyFont="1" applyBorder="1" applyAlignment="1">
      <alignment horizontal="left"/>
      <protection/>
    </xf>
    <xf numFmtId="0" fontId="4" fillId="0" borderId="22" xfId="59" applyFont="1" applyBorder="1">
      <alignment/>
      <protection/>
    </xf>
    <xf numFmtId="0" fontId="7" fillId="0" borderId="23" xfId="59" applyFont="1" applyBorder="1" applyAlignment="1">
      <alignment horizontal="right"/>
      <protection/>
    </xf>
    <xf numFmtId="0" fontId="7" fillId="0" borderId="24" xfId="59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9" applyNumberFormat="1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8" applyFont="1">
      <alignment/>
      <protection/>
    </xf>
    <xf numFmtId="168" fontId="1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9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1" fillId="0" borderId="11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6" fillId="0" borderId="0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10" fillId="0" borderId="0" xfId="62" applyFont="1" applyAlignment="1">
      <alignment horizontal="center"/>
      <protection/>
    </xf>
    <xf numFmtId="0" fontId="11" fillId="0" borderId="0" xfId="62" applyFont="1">
      <alignment/>
      <protection/>
    </xf>
    <xf numFmtId="0" fontId="11" fillId="0" borderId="0" xfId="59" applyFont="1">
      <alignment/>
      <protection/>
    </xf>
    <xf numFmtId="0" fontId="11" fillId="0" borderId="26" xfId="61" applyFont="1" applyBorder="1" applyAlignment="1" quotePrefix="1">
      <alignment horizontal="center" vertical="center" wrapText="1"/>
      <protection/>
    </xf>
    <xf numFmtId="0" fontId="11" fillId="0" borderId="27" xfId="61" applyFont="1" applyBorder="1" applyAlignment="1">
      <alignment horizontal="left" wrapText="1"/>
      <protection/>
    </xf>
    <xf numFmtId="0" fontId="11" fillId="0" borderId="28" xfId="62" applyFont="1" applyBorder="1">
      <alignment/>
      <protection/>
    </xf>
    <xf numFmtId="0" fontId="11" fillId="0" borderId="29" xfId="62" applyFont="1" applyBorder="1">
      <alignment/>
      <protection/>
    </xf>
    <xf numFmtId="0" fontId="11" fillId="0" borderId="30" xfId="61" applyFont="1" applyBorder="1" applyAlignment="1" quotePrefix="1">
      <alignment horizontal="center" vertical="center" wrapText="1"/>
      <protection/>
    </xf>
    <xf numFmtId="0" fontId="11" fillId="0" borderId="31" xfId="62" applyFont="1" applyBorder="1">
      <alignment/>
      <protection/>
    </xf>
    <xf numFmtId="0" fontId="11" fillId="0" borderId="32" xfId="62" applyFont="1" applyBorder="1">
      <alignment/>
      <protection/>
    </xf>
    <xf numFmtId="0" fontId="11" fillId="0" borderId="33" xfId="62" applyFont="1" applyBorder="1">
      <alignment/>
      <protection/>
    </xf>
    <xf numFmtId="0" fontId="11" fillId="0" borderId="27" xfId="62" applyFont="1" applyBorder="1">
      <alignment/>
      <protection/>
    </xf>
    <xf numFmtId="0" fontId="11" fillId="0" borderId="28" xfId="61" applyFont="1" applyBorder="1" applyAlignment="1">
      <alignment horizontal="right"/>
      <protection/>
    </xf>
    <xf numFmtId="0" fontId="12" fillId="0" borderId="0" xfId="59" applyFont="1">
      <alignment/>
      <protection/>
    </xf>
    <xf numFmtId="0" fontId="18" fillId="0" borderId="0" xfId="59" applyFont="1">
      <alignment/>
      <protection/>
    </xf>
    <xf numFmtId="0" fontId="18" fillId="0" borderId="0" xfId="0" applyFont="1" applyAlignment="1">
      <alignment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>
      <alignment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12" fillId="0" borderId="0" xfId="59" applyFont="1" applyAlignment="1">
      <alignment horizontal="right"/>
      <protection/>
    </xf>
    <xf numFmtId="0" fontId="6" fillId="0" borderId="11" xfId="59" applyFont="1" applyBorder="1" applyAlignment="1">
      <alignment/>
      <protection/>
    </xf>
    <xf numFmtId="0" fontId="6" fillId="0" borderId="15" xfId="59" applyFont="1" applyBorder="1" applyAlignment="1">
      <alignment horizontal="center"/>
      <protection/>
    </xf>
    <xf numFmtId="0" fontId="12" fillId="0" borderId="0" xfId="59" applyFont="1" applyBorder="1" applyAlignment="1">
      <alignment horizontal="right"/>
      <protection/>
    </xf>
    <xf numFmtId="0" fontId="12" fillId="0" borderId="0" xfId="59" applyFont="1" applyBorder="1" applyAlignment="1">
      <alignment/>
      <protection/>
    </xf>
    <xf numFmtId="0" fontId="12" fillId="0" borderId="0" xfId="59" applyFont="1" applyBorder="1" applyAlignment="1">
      <alignment wrapText="1"/>
      <protection/>
    </xf>
    <xf numFmtId="0" fontId="12" fillId="0" borderId="28" xfId="59" applyFont="1" applyBorder="1" applyAlignment="1">
      <alignment horizontal="right"/>
      <protection/>
    </xf>
    <xf numFmtId="0" fontId="12" fillId="0" borderId="28" xfId="59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34" xfId="59" applyFont="1" applyBorder="1" applyAlignment="1">
      <alignment horizontal="right"/>
      <protection/>
    </xf>
    <xf numFmtId="0" fontId="6" fillId="0" borderId="34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0" xfId="59" applyFont="1" applyBorder="1">
      <alignment/>
      <protection/>
    </xf>
    <xf numFmtId="0" fontId="12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5" fillId="0" borderId="28" xfId="0" applyFont="1" applyBorder="1" applyAlignment="1">
      <alignment/>
    </xf>
    <xf numFmtId="0" fontId="6" fillId="0" borderId="0" xfId="60" applyFont="1">
      <alignment/>
      <protection/>
    </xf>
    <xf numFmtId="0" fontId="6" fillId="0" borderId="34" xfId="60" applyFont="1" applyBorder="1" applyAlignment="1">
      <alignment horizontal="right"/>
      <protection/>
    </xf>
    <xf numFmtId="0" fontId="6" fillId="0" borderId="34" xfId="60" applyFont="1" applyBorder="1">
      <alignment/>
      <protection/>
    </xf>
    <xf numFmtId="168" fontId="6" fillId="0" borderId="0" xfId="60" applyNumberFormat="1" applyFont="1">
      <alignment/>
      <protection/>
    </xf>
    <xf numFmtId="0" fontId="12" fillId="0" borderId="0" xfId="60" applyFont="1" applyBorder="1" applyAlignment="1">
      <alignment horizontal="center" vertical="center"/>
      <protection/>
    </xf>
    <xf numFmtId="0" fontId="11" fillId="0" borderId="0" xfId="61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11" fillId="0" borderId="22" xfId="62" applyFont="1" applyBorder="1">
      <alignment/>
      <protection/>
    </xf>
    <xf numFmtId="0" fontId="23" fillId="0" borderId="34" xfId="59" applyFont="1" applyBorder="1" applyAlignment="1">
      <alignment horizontal="center"/>
      <protection/>
    </xf>
    <xf numFmtId="0" fontId="7" fillId="0" borderId="34" xfId="59" applyFont="1" applyBorder="1" applyAlignment="1">
      <alignment horizontal="center"/>
      <protection/>
    </xf>
    <xf numFmtId="164" fontId="11" fillId="0" borderId="32" xfId="62" applyNumberFormat="1" applyFont="1" applyBorder="1">
      <alignment/>
      <protection/>
    </xf>
    <xf numFmtId="164" fontId="11" fillId="0" borderId="28" xfId="62" applyNumberFormat="1" applyFont="1" applyBorder="1">
      <alignment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35" xfId="61" applyFont="1" applyBorder="1" applyAlignment="1" quotePrefix="1">
      <alignment horizontal="center" vertical="center" wrapText="1"/>
      <protection/>
    </xf>
    <xf numFmtId="0" fontId="11" fillId="0" borderId="0" xfId="61" applyFont="1" applyBorder="1" applyAlignment="1">
      <alignment horizontal="left" wrapText="1"/>
      <protection/>
    </xf>
    <xf numFmtId="0" fontId="10" fillId="0" borderId="36" xfId="62" applyFont="1" applyBorder="1">
      <alignment/>
      <protection/>
    </xf>
    <xf numFmtId="0" fontId="10" fillId="0" borderId="34" xfId="62" applyFont="1" applyBorder="1">
      <alignment/>
      <protection/>
    </xf>
    <xf numFmtId="0" fontId="11" fillId="0" borderId="37" xfId="61" applyFont="1" applyBorder="1" applyAlignment="1" quotePrefix="1">
      <alignment horizontal="center" vertical="center" wrapText="1"/>
      <protection/>
    </xf>
    <xf numFmtId="0" fontId="4" fillId="0" borderId="34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61" applyFont="1">
      <alignment/>
      <protection/>
    </xf>
    <xf numFmtId="0" fontId="6" fillId="0" borderId="0" xfId="62" applyFont="1" applyAlignment="1">
      <alignment horizontal="centerContinuous"/>
      <protection/>
    </xf>
    <xf numFmtId="0" fontId="28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11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5" xfId="62" applyFont="1" applyBorder="1">
      <alignment/>
      <protection/>
    </xf>
    <xf numFmtId="0" fontId="6" fillId="0" borderId="15" xfId="62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12" fillId="0" borderId="0" xfId="62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4" xfId="0" applyFont="1" applyBorder="1" applyAlignment="1">
      <alignment/>
    </xf>
    <xf numFmtId="0" fontId="6" fillId="0" borderId="36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61" applyFont="1" applyBorder="1" applyAlignment="1">
      <alignment horizontal="left" wrapText="1"/>
      <protection/>
    </xf>
    <xf numFmtId="0" fontId="6" fillId="0" borderId="0" xfId="62" applyFont="1" applyBorder="1" quotePrefix="1">
      <alignment/>
      <protection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8" applyFont="1" applyAlignment="1">
      <alignment horizontal="center"/>
      <protection/>
    </xf>
    <xf numFmtId="0" fontId="12" fillId="0" borderId="0" xfId="58" applyFont="1" applyAlignment="1">
      <alignment horizontal="centerContinuous"/>
      <protection/>
    </xf>
    <xf numFmtId="0" fontId="6" fillId="0" borderId="11" xfId="58" applyFont="1" applyBorder="1" applyAlignment="1">
      <alignment horizontal="centerContinuous"/>
      <protection/>
    </xf>
    <xf numFmtId="0" fontId="6" fillId="0" borderId="13" xfId="58" applyFont="1" applyBorder="1" applyAlignment="1">
      <alignment horizontal="centerContinuous"/>
      <protection/>
    </xf>
    <xf numFmtId="0" fontId="6" fillId="0" borderId="34" xfId="58" applyFont="1" applyBorder="1" applyAlignment="1">
      <alignment horizontal="center"/>
      <protection/>
    </xf>
    <xf numFmtId="0" fontId="6" fillId="0" borderId="15" xfId="58" applyFont="1" applyBorder="1" applyAlignment="1">
      <alignment horizontal="centerContinuous"/>
      <protection/>
    </xf>
    <xf numFmtId="41" fontId="12" fillId="0" borderId="0" xfId="58" applyNumberFormat="1" applyFont="1">
      <alignment/>
      <protection/>
    </xf>
    <xf numFmtId="41" fontId="12" fillId="0" borderId="0" xfId="58" applyNumberFormat="1" applyFont="1" applyBorder="1" applyAlignment="1">
      <alignment horizontal="center"/>
      <protection/>
    </xf>
    <xf numFmtId="41" fontId="12" fillId="0" borderId="0" xfId="58" applyNumberFormat="1" applyFont="1" applyBorder="1">
      <alignment/>
      <protection/>
    </xf>
    <xf numFmtId="41" fontId="33" fillId="0" borderId="41" xfId="58" applyNumberFormat="1" applyFont="1" applyBorder="1" applyAlignment="1">
      <alignment horizontal="centerContinuous"/>
      <protection/>
    </xf>
    <xf numFmtId="0" fontId="21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/>
      <protection/>
    </xf>
    <xf numFmtId="41" fontId="21" fillId="0" borderId="0" xfId="58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wrapText="1"/>
      <protection/>
    </xf>
    <xf numFmtId="41" fontId="12" fillId="0" borderId="41" xfId="58" applyNumberFormat="1" applyFont="1" applyBorder="1">
      <alignment/>
      <protection/>
    </xf>
    <xf numFmtId="0" fontId="21" fillId="0" borderId="0" xfId="58" applyFont="1" applyBorder="1" applyAlignment="1">
      <alignment wrapText="1"/>
      <protection/>
    </xf>
    <xf numFmtId="41" fontId="21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>
      <alignment/>
      <protection/>
    </xf>
    <xf numFmtId="0" fontId="33" fillId="0" borderId="0" xfId="58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9" applyFont="1" applyBorder="1" applyAlignment="1">
      <alignment horizontal="center"/>
      <protection/>
    </xf>
    <xf numFmtId="0" fontId="12" fillId="0" borderId="42" xfId="59" applyFont="1" applyBorder="1" applyAlignment="1">
      <alignment horizontal="center" vertical="center"/>
      <protection/>
    </xf>
    <xf numFmtId="0" fontId="12" fillId="0" borderId="43" xfId="59" applyFont="1" applyBorder="1" applyAlignment="1">
      <alignment horizontal="center" vertical="center"/>
      <protection/>
    </xf>
    <xf numFmtId="0" fontId="12" fillId="0" borderId="12" xfId="59" applyFont="1" applyBorder="1" applyAlignment="1">
      <alignment horizontal="center" vertical="center"/>
      <protection/>
    </xf>
    <xf numFmtId="0" fontId="12" fillId="0" borderId="44" xfId="59" applyFont="1" applyBorder="1" applyAlignment="1">
      <alignment horizontal="center"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12" fillId="0" borderId="45" xfId="59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center" vertical="center"/>
      <protection/>
    </xf>
    <xf numFmtId="168" fontId="4" fillId="0" borderId="33" xfId="61" applyNumberFormat="1" applyFont="1" applyBorder="1" applyAlignment="1">
      <alignment/>
      <protection/>
    </xf>
    <xf numFmtId="168" fontId="4" fillId="0" borderId="33" xfId="61" applyNumberFormat="1" applyFont="1" applyBorder="1" applyAlignment="1">
      <alignment horizontal="right"/>
      <protection/>
    </xf>
    <xf numFmtId="0" fontId="10" fillId="0" borderId="0" xfId="61" applyFont="1" applyBorder="1" applyAlignment="1" quotePrefix="1">
      <alignment horizontal="left" wrapText="1"/>
      <protection/>
    </xf>
    <xf numFmtId="0" fontId="11" fillId="0" borderId="0" xfId="61" applyFont="1" applyBorder="1" applyAlignment="1" quotePrefix="1">
      <alignment horizontal="left" wrapText="1"/>
      <protection/>
    </xf>
    <xf numFmtId="0" fontId="10" fillId="0" borderId="0" xfId="62" applyFont="1" applyBorder="1" quotePrefix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42" xfId="59" applyFont="1" applyBorder="1">
      <alignment/>
      <protection/>
    </xf>
    <xf numFmtId="0" fontId="6" fillId="0" borderId="42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2" fillId="0" borderId="28" xfId="0" applyFont="1" applyBorder="1" applyAlignment="1" quotePrefix="1">
      <alignment/>
    </xf>
    <xf numFmtId="0" fontId="0" fillId="0" borderId="0" xfId="0" applyAlignment="1">
      <alignment horizontal="center"/>
    </xf>
    <xf numFmtId="0" fontId="37" fillId="0" borderId="0" xfId="0" applyFont="1" applyAlignment="1" quotePrefix="1">
      <alignment/>
    </xf>
    <xf numFmtId="0" fontId="0" fillId="0" borderId="0" xfId="0" applyNumberFormat="1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10" xfId="59" applyFont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0" xfId="61" applyFont="1" applyBorder="1" applyAlignment="1">
      <alignment horizontal="right"/>
      <protection/>
    </xf>
    <xf numFmtId="0" fontId="22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22" fillId="0" borderId="0" xfId="0" applyFont="1" applyAlignment="1">
      <alignment horizontal="left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70" fontId="10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0" fontId="6" fillId="0" borderId="0" xfId="0" applyFont="1" applyAlignment="1" quotePrefix="1">
      <alignment/>
    </xf>
    <xf numFmtId="168" fontId="5" fillId="0" borderId="0" xfId="42" applyNumberFormat="1" applyFont="1" applyAlignment="1">
      <alignment/>
    </xf>
    <xf numFmtId="3" fontId="10" fillId="0" borderId="0" xfId="42" applyNumberFormat="1" applyFont="1" applyAlignment="1">
      <alignment/>
    </xf>
    <xf numFmtId="3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3" fontId="7" fillId="0" borderId="0" xfId="42" applyNumberFormat="1" applyFont="1" applyAlignment="1">
      <alignment/>
    </xf>
    <xf numFmtId="168" fontId="7" fillId="0" borderId="0" xfId="42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3" fontId="12" fillId="0" borderId="0" xfId="42" applyNumberFormat="1" applyFont="1" applyAlignment="1">
      <alignment wrapText="1"/>
    </xf>
    <xf numFmtId="168" fontId="12" fillId="0" borderId="0" xfId="42" applyNumberFormat="1" applyFont="1" applyBorder="1" applyAlignment="1">
      <alignment horizontal="center"/>
    </xf>
    <xf numFmtId="168" fontId="12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12" fillId="0" borderId="15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 horizontal="center"/>
    </xf>
    <xf numFmtId="168" fontId="6" fillId="0" borderId="0" xfId="42" applyNumberFormat="1" applyFont="1" applyAlignment="1">
      <alignment wrapText="1"/>
    </xf>
    <xf numFmtId="168" fontId="18" fillId="0" borderId="0" xfId="42" applyNumberFormat="1" applyFont="1" applyAlignment="1">
      <alignment/>
    </xf>
    <xf numFmtId="4" fontId="18" fillId="0" borderId="0" xfId="0" applyNumberFormat="1" applyFont="1" applyAlignment="1">
      <alignment/>
    </xf>
    <xf numFmtId="3" fontId="18" fillId="0" borderId="0" xfId="42" applyNumberFormat="1" applyFont="1" applyAlignment="1">
      <alignment/>
    </xf>
    <xf numFmtId="3" fontId="12" fillId="0" borderId="0" xfId="59" applyNumberFormat="1" applyFont="1">
      <alignment/>
      <protection/>
    </xf>
    <xf numFmtId="168" fontId="4" fillId="0" borderId="34" xfId="42" applyNumberFormat="1" applyFont="1" applyBorder="1" applyAlignment="1">
      <alignment/>
    </xf>
    <xf numFmtId="168" fontId="4" fillId="0" borderId="46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47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43" xfId="42" applyNumberFormat="1" applyFont="1" applyBorder="1" applyAlignment="1">
      <alignment horizontal="center"/>
    </xf>
    <xf numFmtId="168" fontId="23" fillId="0" borderId="11" xfId="42" applyNumberFormat="1" applyFont="1" applyBorder="1" applyAlignment="1">
      <alignment horizontal="center" wrapText="1"/>
    </xf>
    <xf numFmtId="168" fontId="23" fillId="0" borderId="11" xfId="42" applyNumberFormat="1" applyFont="1" applyBorder="1" applyAlignment="1">
      <alignment horizontal="center"/>
    </xf>
    <xf numFmtId="168" fontId="23" fillId="0" borderId="0" xfId="42" applyNumberFormat="1" applyFont="1" applyAlignment="1">
      <alignment horizontal="centerContinuous"/>
    </xf>
    <xf numFmtId="168" fontId="10" fillId="0" borderId="0" xfId="42" applyNumberFormat="1" applyFont="1" applyAlignment="1">
      <alignment/>
    </xf>
    <xf numFmtId="168" fontId="26" fillId="0" borderId="0" xfId="42" applyNumberFormat="1" applyFont="1" applyAlignment="1">
      <alignment/>
    </xf>
    <xf numFmtId="0" fontId="4" fillId="0" borderId="0" xfId="62" applyFont="1" applyAlignment="1">
      <alignment vertical="center"/>
      <protection/>
    </xf>
    <xf numFmtId="0" fontId="10" fillId="0" borderId="34" xfId="62" applyFont="1" applyBorder="1" applyAlignment="1">
      <alignment vertical="center"/>
      <protection/>
    </xf>
    <xf numFmtId="0" fontId="10" fillId="0" borderId="34" xfId="61" applyFont="1" applyBorder="1" applyAlignment="1">
      <alignment vertical="center"/>
      <protection/>
    </xf>
    <xf numFmtId="0" fontId="10" fillId="0" borderId="36" xfId="61" applyFont="1" applyBorder="1" applyAlignment="1">
      <alignment vertical="center"/>
      <protection/>
    </xf>
    <xf numFmtId="168" fontId="11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70" fontId="11" fillId="0" borderId="0" xfId="42" applyNumberFormat="1" applyFont="1" applyAlignment="1">
      <alignment/>
    </xf>
    <xf numFmtId="168" fontId="6" fillId="0" borderId="15" xfId="42" applyNumberFormat="1" applyFont="1" applyBorder="1" applyAlignment="1">
      <alignment horizontal="center" wrapText="1"/>
    </xf>
    <xf numFmtId="168" fontId="6" fillId="0" borderId="13" xfId="42" applyNumberFormat="1" applyFont="1" applyBorder="1" applyAlignment="1">
      <alignment horizontal="center" wrapText="1"/>
    </xf>
    <xf numFmtId="168" fontId="6" fillId="0" borderId="11" xfId="42" applyNumberFormat="1" applyFont="1" applyBorder="1" applyAlignment="1">
      <alignment horizontal="center" wrapText="1"/>
    </xf>
    <xf numFmtId="168" fontId="12" fillId="0" borderId="0" xfId="42" applyNumberFormat="1" applyFont="1" applyAlignment="1">
      <alignment horizontal="center"/>
    </xf>
    <xf numFmtId="44" fontId="12" fillId="0" borderId="0" xfId="66" applyFont="1" applyAlignment="1">
      <alignment horizontal="left"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48" xfId="42" applyNumberFormat="1" applyFont="1" applyBorder="1" applyAlignment="1">
      <alignment/>
    </xf>
    <xf numFmtId="168" fontId="12" fillId="0" borderId="49" xfId="42" applyNumberFormat="1" applyFont="1" applyBorder="1" applyAlignment="1">
      <alignment/>
    </xf>
    <xf numFmtId="168" fontId="6" fillId="0" borderId="34" xfId="42" applyNumberFormat="1" applyFont="1" applyBorder="1" applyAlignment="1">
      <alignment/>
    </xf>
    <xf numFmtId="168" fontId="6" fillId="0" borderId="50" xfId="42" applyNumberFormat="1" applyFont="1" applyBorder="1" applyAlignment="1">
      <alignment/>
    </xf>
    <xf numFmtId="168" fontId="12" fillId="0" borderId="46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51" xfId="42" applyNumberFormat="1" applyFont="1" applyBorder="1" applyAlignment="1">
      <alignment/>
    </xf>
    <xf numFmtId="168" fontId="12" fillId="0" borderId="28" xfId="42" applyNumberFormat="1" applyFont="1" applyFill="1" applyBorder="1" applyAlignment="1">
      <alignment/>
    </xf>
    <xf numFmtId="168" fontId="12" fillId="0" borderId="32" xfId="42" applyNumberFormat="1" applyFont="1" applyFill="1" applyBorder="1" applyAlignment="1">
      <alignment/>
    </xf>
    <xf numFmtId="168" fontId="29" fillId="0" borderId="32" xfId="42" applyNumberFormat="1" applyFont="1" applyFill="1" applyBorder="1" applyAlignment="1">
      <alignment/>
    </xf>
    <xf numFmtId="168" fontId="29" fillId="0" borderId="28" xfId="42" applyNumberFormat="1" applyFont="1" applyFill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52" xfId="42" applyNumberFormat="1" applyFont="1" applyBorder="1" applyAlignment="1">
      <alignment/>
    </xf>
    <xf numFmtId="168" fontId="12" fillId="0" borderId="53" xfId="42" applyNumberFormat="1" applyFont="1" applyBorder="1" applyAlignment="1">
      <alignment/>
    </xf>
    <xf numFmtId="168" fontId="12" fillId="0" borderId="54" xfId="42" applyNumberFormat="1" applyFont="1" applyBorder="1" applyAlignment="1">
      <alignment/>
    </xf>
    <xf numFmtId="168" fontId="12" fillId="0" borderId="55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56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57" xfId="42" applyNumberFormat="1" applyFont="1" applyBorder="1" applyAlignment="1">
      <alignment/>
    </xf>
    <xf numFmtId="168" fontId="12" fillId="0" borderId="58" xfId="42" applyNumberFormat="1" applyFont="1" applyBorder="1" applyAlignment="1">
      <alignment/>
    </xf>
    <xf numFmtId="168" fontId="6" fillId="0" borderId="58" xfId="42" applyNumberFormat="1" applyFont="1" applyBorder="1" applyAlignment="1">
      <alignment/>
    </xf>
    <xf numFmtId="168" fontId="6" fillId="0" borderId="57" xfId="42" applyNumberFormat="1" applyFont="1" applyBorder="1" applyAlignment="1">
      <alignment/>
    </xf>
    <xf numFmtId="168" fontId="6" fillId="0" borderId="59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0" fontId="4" fillId="0" borderId="0" xfId="61" applyFont="1" applyAlignment="1">
      <alignment horizontal="left"/>
      <protection/>
    </xf>
    <xf numFmtId="0" fontId="38" fillId="0" borderId="0" xfId="0" applyFont="1" applyAlignment="1">
      <alignment horizontal="center"/>
    </xf>
    <xf numFmtId="3" fontId="4" fillId="0" borderId="0" xfId="42" applyNumberFormat="1" applyFont="1" applyAlignment="1">
      <alignment horizontal="right"/>
    </xf>
    <xf numFmtId="3" fontId="4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11" fillId="0" borderId="0" xfId="42" applyNumberFormat="1" applyFont="1" applyAlignment="1">
      <alignment/>
    </xf>
    <xf numFmtId="170" fontId="7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3" fontId="12" fillId="0" borderId="0" xfId="42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6" fillId="0" borderId="0" xfId="42" applyNumberFormat="1" applyFont="1" applyAlignment="1">
      <alignment/>
    </xf>
    <xf numFmtId="3" fontId="12" fillId="0" borderId="0" xfId="42" applyNumberFormat="1" applyFont="1" applyBorder="1" applyAlignment="1">
      <alignment horizontal="center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42" applyNumberFormat="1" applyFont="1" applyBorder="1" applyAlignment="1">
      <alignment horizontal="center"/>
    </xf>
    <xf numFmtId="3" fontId="12" fillId="0" borderId="0" xfId="42" applyNumberFormat="1" applyFont="1" applyBorder="1" applyAlignment="1">
      <alignment horizontal="center"/>
    </xf>
    <xf numFmtId="3" fontId="12" fillId="0" borderId="0" xfId="42" applyNumberFormat="1" applyFont="1" applyBorder="1" applyAlignment="1">
      <alignment horizontal="right"/>
    </xf>
    <xf numFmtId="3" fontId="12" fillId="0" borderId="0" xfId="0" applyNumberFormat="1" applyFont="1" applyAlignment="1">
      <alignment wrapText="1"/>
    </xf>
    <xf numFmtId="3" fontId="6" fillId="0" borderId="0" xfId="42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8" fillId="0" borderId="0" xfId="59" applyNumberFormat="1" applyFont="1">
      <alignment/>
      <protection/>
    </xf>
    <xf numFmtId="3" fontId="18" fillId="0" borderId="0" xfId="42" applyNumberFormat="1" applyFont="1" applyAlignment="1">
      <alignment wrapText="1"/>
    </xf>
    <xf numFmtId="3" fontId="10" fillId="0" borderId="36" xfId="61" applyNumberFormat="1" applyFont="1" applyBorder="1" applyAlignment="1">
      <alignment horizontal="right" vertical="center"/>
      <protection/>
    </xf>
    <xf numFmtId="3" fontId="11" fillId="0" borderId="46" xfId="61" applyNumberFormat="1" applyFont="1" applyBorder="1">
      <alignment/>
      <protection/>
    </xf>
    <xf numFmtId="3" fontId="11" fillId="0" borderId="32" xfId="61" applyNumberFormat="1" applyFont="1" applyBorder="1">
      <alignment/>
      <protection/>
    </xf>
    <xf numFmtId="3" fontId="22" fillId="0" borderId="32" xfId="61" applyNumberFormat="1" applyFont="1" applyBorder="1">
      <alignment/>
      <protection/>
    </xf>
    <xf numFmtId="3" fontId="11" fillId="0" borderId="28" xfId="61" applyNumberFormat="1" applyFont="1" applyBorder="1">
      <alignment/>
      <protection/>
    </xf>
    <xf numFmtId="3" fontId="22" fillId="0" borderId="28" xfId="61" applyNumberFormat="1" applyFont="1" applyBorder="1">
      <alignment/>
      <protection/>
    </xf>
    <xf numFmtId="3" fontId="11" fillId="0" borderId="28" xfId="61" applyNumberFormat="1" applyFont="1" applyBorder="1" applyAlignment="1">
      <alignment horizontal="right"/>
      <protection/>
    </xf>
    <xf numFmtId="3" fontId="11" fillId="0" borderId="33" xfId="61" applyNumberFormat="1" applyFont="1" applyBorder="1" applyAlignment="1">
      <alignment horizontal="right"/>
      <protection/>
    </xf>
    <xf numFmtId="3" fontId="11" fillId="0" borderId="29" xfId="61" applyNumberFormat="1" applyFont="1" applyBorder="1" applyAlignment="1">
      <alignment horizontal="right"/>
      <protection/>
    </xf>
    <xf numFmtId="3" fontId="16" fillId="0" borderId="0" xfId="42" applyNumberFormat="1" applyFont="1" applyAlignment="1">
      <alignment/>
    </xf>
    <xf numFmtId="3" fontId="17" fillId="0" borderId="0" xfId="42" applyNumberFormat="1" applyFont="1" applyAlignment="1">
      <alignment/>
    </xf>
    <xf numFmtId="3" fontId="11" fillId="0" borderId="0" xfId="42" applyNumberFormat="1" applyFont="1" applyAlignment="1">
      <alignment/>
    </xf>
    <xf numFmtId="0" fontId="11" fillId="0" borderId="0" xfId="61" applyFont="1" applyAlignment="1">
      <alignment wrapText="1"/>
      <protection/>
    </xf>
    <xf numFmtId="3" fontId="11" fillId="0" borderId="0" xfId="42" applyNumberFormat="1" applyFont="1" applyAlignment="1">
      <alignment horizontal="right"/>
    </xf>
    <xf numFmtId="3" fontId="10" fillId="0" borderId="0" xfId="42" applyNumberFormat="1" applyFont="1" applyAlignment="1">
      <alignment horizontal="right"/>
    </xf>
    <xf numFmtId="3" fontId="11" fillId="0" borderId="0" xfId="42" applyNumberFormat="1" applyFont="1" applyAlignment="1">
      <alignment/>
    </xf>
    <xf numFmtId="3" fontId="6" fillId="0" borderId="0" xfId="62" applyNumberFormat="1" applyFont="1" applyBorder="1" applyAlignment="1">
      <alignment horizontal="right"/>
      <protection/>
    </xf>
    <xf numFmtId="3" fontId="12" fillId="0" borderId="41" xfId="62" applyNumberFormat="1" applyFont="1" applyBorder="1" applyAlignment="1">
      <alignment horizontal="right"/>
      <protection/>
    </xf>
    <xf numFmtId="3" fontId="12" fillId="0" borderId="0" xfId="62" applyNumberFormat="1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center"/>
      <protection/>
    </xf>
    <xf numFmtId="3" fontId="12" fillId="0" borderId="41" xfId="42" applyNumberFormat="1" applyFont="1" applyBorder="1" applyAlignment="1">
      <alignment horizontal="right"/>
    </xf>
    <xf numFmtId="3" fontId="12" fillId="0" borderId="0" xfId="62" applyNumberFormat="1" applyFont="1">
      <alignment/>
      <protection/>
    </xf>
    <xf numFmtId="3" fontId="12" fillId="0" borderId="0" xfId="42" applyNumberFormat="1" applyFont="1" applyAlignment="1">
      <alignment horizontal="right" wrapText="1"/>
    </xf>
    <xf numFmtId="170" fontId="12" fillId="0" borderId="0" xfId="42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41" xfId="0" applyNumberFormat="1" applyBorder="1" applyAlignment="1">
      <alignment/>
    </xf>
    <xf numFmtId="170" fontId="6" fillId="0" borderId="34" xfId="60" applyNumberFormat="1" applyFont="1" applyBorder="1" applyAlignment="1">
      <alignment/>
      <protection/>
    </xf>
    <xf numFmtId="170" fontId="12" fillId="0" borderId="28" xfId="42" applyNumberFormat="1" applyFont="1" applyBorder="1" applyAlignment="1">
      <alignment/>
    </xf>
    <xf numFmtId="170" fontId="6" fillId="0" borderId="28" xfId="42" applyNumberFormat="1" applyFont="1" applyBorder="1" applyAlignment="1">
      <alignment/>
    </xf>
    <xf numFmtId="170" fontId="6" fillId="0" borderId="34" xfId="42" applyNumberFormat="1" applyFont="1" applyBorder="1" applyAlignment="1">
      <alignment/>
    </xf>
    <xf numFmtId="170" fontId="12" fillId="0" borderId="0" xfId="42" applyNumberFormat="1" applyFont="1" applyAlignment="1">
      <alignment/>
    </xf>
    <xf numFmtId="170" fontId="12" fillId="0" borderId="0" xfId="42" applyNumberFormat="1" applyFont="1" applyAlignment="1">
      <alignment horizontal="right"/>
    </xf>
    <xf numFmtId="170" fontId="12" fillId="0" borderId="0" xfId="42" applyNumberFormat="1" applyFont="1" applyAlignment="1">
      <alignment/>
    </xf>
    <xf numFmtId="170" fontId="12" fillId="0" borderId="0" xfId="42" applyNumberFormat="1" applyFont="1" applyBorder="1" applyAlignment="1">
      <alignment/>
    </xf>
    <xf numFmtId="168" fontId="26" fillId="0" borderId="0" xfId="42" applyNumberFormat="1" applyFont="1" applyAlignment="1">
      <alignment horizontal="right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3" fontId="33" fillId="0" borderId="41" xfId="42" applyNumberFormat="1" applyFont="1" applyBorder="1" applyAlignment="1">
      <alignment horizontal="right"/>
    </xf>
    <xf numFmtId="0" fontId="12" fillId="0" borderId="12" xfId="59" applyFont="1" applyBorder="1">
      <alignment/>
      <protection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59" applyFont="1" applyBorder="1" applyAlignment="1">
      <alignment horizontal="center"/>
      <protection/>
    </xf>
    <xf numFmtId="3" fontId="12" fillId="0" borderId="0" xfId="4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9" applyFont="1" applyBorder="1" applyAlignment="1">
      <alignment horizontal="left" vertical="center"/>
      <protection/>
    </xf>
    <xf numFmtId="0" fontId="12" fillId="0" borderId="0" xfId="59" applyFont="1" applyAlignment="1">
      <alignment horizontal="left" wrapText="1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10" xfId="59" applyFont="1" applyBorder="1" applyAlignment="1">
      <alignment horizontal="center" vertical="center"/>
      <protection/>
    </xf>
    <xf numFmtId="0" fontId="12" fillId="0" borderId="42" xfId="59" applyFont="1" applyBorder="1" applyAlignment="1">
      <alignment horizontal="center" vertical="center"/>
      <protection/>
    </xf>
    <xf numFmtId="0" fontId="12" fillId="0" borderId="43" xfId="59" applyFont="1" applyBorder="1" applyAlignment="1">
      <alignment horizontal="center" vertical="center"/>
      <protection/>
    </xf>
    <xf numFmtId="0" fontId="12" fillId="0" borderId="12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12" fillId="0" borderId="44" xfId="59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center"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12" fillId="0" borderId="45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12" fillId="0" borderId="42" xfId="59" applyFont="1" applyBorder="1" applyAlignment="1">
      <alignment horizontal="center"/>
      <protection/>
    </xf>
    <xf numFmtId="0" fontId="12" fillId="0" borderId="43" xfId="59" applyFont="1" applyBorder="1" applyAlignment="1">
      <alignment horizontal="center"/>
      <protection/>
    </xf>
    <xf numFmtId="0" fontId="12" fillId="0" borderId="12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2" fillId="0" borderId="44" xfId="59" applyFont="1" applyBorder="1" applyAlignment="1">
      <alignment horizontal="center"/>
      <protection/>
    </xf>
    <xf numFmtId="0" fontId="12" fillId="0" borderId="14" xfId="59" applyFont="1" applyBorder="1" applyAlignment="1">
      <alignment horizontal="center"/>
      <protection/>
    </xf>
    <xf numFmtId="0" fontId="12" fillId="0" borderId="16" xfId="59" applyFont="1" applyBorder="1" applyAlignment="1">
      <alignment horizontal="center"/>
      <protection/>
    </xf>
    <xf numFmtId="0" fontId="12" fillId="0" borderId="45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 vertical="center" wrapText="1"/>
      <protection/>
    </xf>
    <xf numFmtId="0" fontId="23" fillId="0" borderId="13" xfId="59" applyFont="1" applyBorder="1" applyAlignment="1">
      <alignment horizontal="center"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168" fontId="23" fillId="0" borderId="60" xfId="42" applyNumberFormat="1" applyFont="1" applyBorder="1" applyAlignment="1">
      <alignment horizontal="center"/>
    </xf>
    <xf numFmtId="168" fontId="23" fillId="0" borderId="61" xfId="42" applyNumberFormat="1" applyFont="1" applyBorder="1" applyAlignment="1">
      <alignment horizontal="center"/>
    </xf>
    <xf numFmtId="168" fontId="23" fillId="0" borderId="10" xfId="42" applyNumberFormat="1" applyFont="1" applyBorder="1" applyAlignment="1">
      <alignment horizontal="center"/>
    </xf>
    <xf numFmtId="168" fontId="23" fillId="0" borderId="42" xfId="42" applyNumberFormat="1" applyFont="1" applyBorder="1" applyAlignment="1">
      <alignment horizontal="center"/>
    </xf>
    <xf numFmtId="168" fontId="23" fillId="0" borderId="43" xfId="42" applyNumberFormat="1" applyFont="1" applyBorder="1" applyAlignment="1">
      <alignment horizontal="center"/>
    </xf>
    <xf numFmtId="168" fontId="23" fillId="0" borderId="12" xfId="42" applyNumberFormat="1" applyFont="1" applyBorder="1" applyAlignment="1">
      <alignment horizontal="center"/>
    </xf>
    <xf numFmtId="168" fontId="23" fillId="0" borderId="0" xfId="42" applyNumberFormat="1" applyFont="1" applyBorder="1" applyAlignment="1">
      <alignment horizontal="center"/>
    </xf>
    <xf numFmtId="168" fontId="23" fillId="0" borderId="44" xfId="42" applyNumberFormat="1" applyFont="1" applyBorder="1" applyAlignment="1">
      <alignment horizontal="center"/>
    </xf>
    <xf numFmtId="168" fontId="23" fillId="0" borderId="14" xfId="42" applyNumberFormat="1" applyFont="1" applyBorder="1" applyAlignment="1">
      <alignment horizontal="center"/>
    </xf>
    <xf numFmtId="168" fontId="23" fillId="0" borderId="16" xfId="42" applyNumberFormat="1" applyFont="1" applyBorder="1" applyAlignment="1">
      <alignment horizontal="center"/>
    </xf>
    <xf numFmtId="168" fontId="23" fillId="0" borderId="45" xfId="42" applyNumberFormat="1" applyFont="1" applyBorder="1" applyAlignment="1">
      <alignment horizontal="center"/>
    </xf>
    <xf numFmtId="0" fontId="7" fillId="0" borderId="0" xfId="59" applyFont="1" applyAlignment="1">
      <alignment horizontal="center"/>
      <protection/>
    </xf>
    <xf numFmtId="0" fontId="10" fillId="0" borderId="0" xfId="59" applyFont="1" applyAlignment="1">
      <alignment horizontal="center" wrapText="1"/>
      <protection/>
    </xf>
    <xf numFmtId="0" fontId="4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27" fillId="0" borderId="13" xfId="59" applyFont="1" applyBorder="1" applyAlignment="1">
      <alignment horizontal="center" vertical="center" wrapText="1"/>
      <protection/>
    </xf>
    <xf numFmtId="0" fontId="27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36" xfId="59" applyFont="1" applyBorder="1" applyAlignment="1">
      <alignment horizontal="center"/>
      <protection/>
    </xf>
    <xf numFmtId="0" fontId="11" fillId="0" borderId="60" xfId="59" applyFont="1" applyBorder="1" applyAlignment="1">
      <alignment horizontal="center"/>
      <protection/>
    </xf>
    <xf numFmtId="0" fontId="11" fillId="0" borderId="61" xfId="59" applyFont="1" applyBorder="1" applyAlignment="1">
      <alignment horizont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44" fontId="11" fillId="0" borderId="36" xfId="66" applyFont="1" applyBorder="1" applyAlignment="1">
      <alignment horizontal="center"/>
    </xf>
    <xf numFmtId="44" fontId="11" fillId="0" borderId="60" xfId="66" applyFont="1" applyBorder="1" applyAlignment="1">
      <alignment horizontal="center"/>
    </xf>
    <xf numFmtId="44" fontId="11" fillId="0" borderId="61" xfId="66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6" xfId="62" applyFont="1" applyBorder="1" applyAlignment="1">
      <alignment horizontal="righ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7" fillId="0" borderId="36" xfId="59" applyFont="1" applyBorder="1" applyAlignment="1">
      <alignment horizontal="center"/>
      <protection/>
    </xf>
    <xf numFmtId="0" fontId="7" fillId="0" borderId="61" xfId="59" applyFont="1" applyBorder="1" applyAlignment="1">
      <alignment horizontal="center"/>
      <protection/>
    </xf>
    <xf numFmtId="0" fontId="11" fillId="0" borderId="36" xfId="59" applyFont="1" applyBorder="1" applyAlignment="1">
      <alignment horizontal="center" wrapText="1"/>
      <protection/>
    </xf>
    <xf numFmtId="0" fontId="11" fillId="0" borderId="60" xfId="59" applyFont="1" applyBorder="1" applyAlignment="1">
      <alignment horizontal="center" wrapText="1"/>
      <protection/>
    </xf>
    <xf numFmtId="0" fontId="11" fillId="0" borderId="61" xfId="59" applyFont="1" applyBorder="1" applyAlignment="1">
      <alignment horizont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/>
      <protection/>
    </xf>
    <xf numFmtId="0" fontId="7" fillId="0" borderId="44" xfId="59" applyFont="1" applyBorder="1" applyAlignment="1">
      <alignment horizontal="center"/>
      <protection/>
    </xf>
    <xf numFmtId="0" fontId="7" fillId="0" borderId="14" xfId="59" applyFont="1" applyBorder="1" applyAlignment="1">
      <alignment horizontal="center"/>
      <protection/>
    </xf>
    <xf numFmtId="0" fontId="7" fillId="0" borderId="45" xfId="59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61" applyFont="1" applyAlignment="1">
      <alignment horizontal="left"/>
      <protection/>
    </xf>
    <xf numFmtId="0" fontId="6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wrapText="1"/>
    </xf>
    <xf numFmtId="0" fontId="37" fillId="0" borderId="63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12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12" fillId="0" borderId="11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4" fillId="0" borderId="65" xfId="59" applyFont="1" applyBorder="1" applyAlignment="1">
      <alignment horizontal="center"/>
      <protection/>
    </xf>
    <xf numFmtId="0" fontId="4" fillId="0" borderId="66" xfId="59" applyFont="1" applyBorder="1" applyAlignment="1">
      <alignment horizontal="center"/>
      <protection/>
    </xf>
    <xf numFmtId="0" fontId="4" fillId="0" borderId="58" xfId="59" applyFont="1" applyBorder="1" applyAlignment="1">
      <alignment horizontal="left" vertical="center" wrapText="1"/>
      <protection/>
    </xf>
    <xf numFmtId="0" fontId="4" fillId="0" borderId="21" xfId="59" applyFont="1" applyBorder="1" applyAlignment="1">
      <alignment horizontal="left" vertical="center" wrapText="1"/>
      <protection/>
    </xf>
    <xf numFmtId="0" fontId="10" fillId="0" borderId="0" xfId="59" applyFont="1" applyAlignment="1">
      <alignment horizontal="center"/>
      <protection/>
    </xf>
    <xf numFmtId="0" fontId="4" fillId="0" borderId="67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168" fontId="4" fillId="0" borderId="58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168" fontId="4" fillId="0" borderId="68" xfId="40" applyNumberFormat="1" applyFont="1" applyBorder="1" applyAlignment="1">
      <alignment horizontal="center" vertical="center"/>
    </xf>
    <xf numFmtId="168" fontId="4" fillId="0" borderId="69" xfId="40" applyNumberFormat="1" applyFont="1" applyBorder="1" applyAlignment="1">
      <alignment horizontal="center" vertical="center"/>
    </xf>
    <xf numFmtId="0" fontId="4" fillId="0" borderId="70" xfId="59" applyFont="1" applyBorder="1" applyAlignment="1">
      <alignment horizontal="center" vertical="center"/>
      <protection/>
    </xf>
    <xf numFmtId="0" fontId="4" fillId="0" borderId="69" xfId="59" applyFont="1" applyBorder="1" applyAlignment="1">
      <alignment horizontal="center" vertical="center"/>
      <protection/>
    </xf>
    <xf numFmtId="0" fontId="4" fillId="0" borderId="71" xfId="59" applyFont="1" applyBorder="1" applyAlignment="1">
      <alignment horizontal="center" vertical="center"/>
      <protection/>
    </xf>
    <xf numFmtId="168" fontId="12" fillId="0" borderId="7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68" fontId="12" fillId="0" borderId="74" xfId="40" applyNumberFormat="1" applyFont="1" applyBorder="1" applyAlignment="1">
      <alignment horizontal="center" vertical="center"/>
    </xf>
    <xf numFmtId="168" fontId="12" fillId="0" borderId="75" xfId="40" applyNumberFormat="1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168" fontId="12" fillId="0" borderId="83" xfId="4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5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168" fontId="12" fillId="0" borderId="58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53" xfId="40" applyNumberFormat="1" applyFont="1" applyBorder="1" applyAlignment="1">
      <alignment horizontal="center" vertical="center"/>
    </xf>
    <xf numFmtId="168" fontId="18" fillId="0" borderId="85" xfId="40" applyNumberFormat="1" applyFont="1" applyBorder="1" applyAlignment="1">
      <alignment horizontal="center" vertical="center"/>
    </xf>
    <xf numFmtId="168" fontId="18" fillId="0" borderId="86" xfId="40" applyNumberFormat="1" applyFont="1" applyBorder="1" applyAlignment="1">
      <alignment horizontal="center" vertical="center"/>
    </xf>
    <xf numFmtId="168" fontId="18" fillId="0" borderId="87" xfId="40" applyNumberFormat="1" applyFont="1" applyBorder="1" applyAlignment="1">
      <alignment horizontal="center" vertical="center"/>
    </xf>
    <xf numFmtId="2" fontId="12" fillId="0" borderId="74" xfId="0" applyNumberFormat="1" applyFont="1" applyBorder="1" applyAlignment="1">
      <alignment horizontal="center" vertical="center" wrapText="1"/>
    </xf>
    <xf numFmtId="2" fontId="12" fillId="0" borderId="75" xfId="0" applyNumberFormat="1" applyFont="1" applyBorder="1" applyAlignment="1">
      <alignment horizontal="center" vertical="center" wrapText="1"/>
    </xf>
    <xf numFmtId="2" fontId="12" fillId="0" borderId="7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168" fontId="12" fillId="0" borderId="97" xfId="4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8" fontId="12" fillId="0" borderId="39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30" fillId="0" borderId="39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12" fillId="0" borderId="39" xfId="4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45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43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45" xfId="40" applyNumberFormat="1" applyFont="1" applyBorder="1" applyAlignment="1">
      <alignment horizontal="center"/>
    </xf>
    <xf numFmtId="168" fontId="12" fillId="0" borderId="100" xfId="40" applyNumberFormat="1" applyFont="1" applyBorder="1" applyAlignment="1">
      <alignment horizontal="center"/>
    </xf>
    <xf numFmtId="168" fontId="12" fillId="0" borderId="101" xfId="4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0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9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58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6" xfId="58" applyFont="1" applyBorder="1" applyAlignment="1">
      <alignment horizontal="center"/>
      <protection/>
    </xf>
    <xf numFmtId="0" fontId="6" fillId="0" borderId="60" xfId="58" applyFont="1" applyBorder="1" applyAlignment="1">
      <alignment horizontal="center"/>
      <protection/>
    </xf>
    <xf numFmtId="170" fontId="7" fillId="0" borderId="0" xfId="42" applyNumberFormat="1" applyFont="1" applyAlignment="1">
      <alignment/>
    </xf>
    <xf numFmtId="0" fontId="7" fillId="0" borderId="34" xfId="57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0" xfId="57" applyFont="1" applyBorder="1">
      <alignment/>
      <protection/>
    </xf>
    <xf numFmtId="0" fontId="4" fillId="0" borderId="30" xfId="57" applyFont="1" applyBorder="1">
      <alignment/>
      <protection/>
    </xf>
    <xf numFmtId="0" fontId="4" fillId="0" borderId="35" xfId="57" applyFont="1" applyBorder="1">
      <alignment/>
      <protection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11" xfId="59" applyFont="1" applyBorder="1" applyAlignment="1">
      <alignment vertical="center" wrapText="1"/>
      <protection/>
    </xf>
    <xf numFmtId="164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8" fontId="4" fillId="0" borderId="0" xfId="42" applyNumberFormat="1" applyFont="1" applyAlignment="1">
      <alignment/>
    </xf>
    <xf numFmtId="3" fontId="4" fillId="0" borderId="0" xfId="42" applyNumberFormat="1" applyFont="1" applyAlignment="1">
      <alignment horizontal="right"/>
    </xf>
    <xf numFmtId="0" fontId="4" fillId="0" borderId="0" xfId="61" applyFont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KE%20test&#252;leti\2016\2016.Rendeletm&#243;dos&#237;t&#225;s\2016.IV.sz.m&#243;dos&#237;t&#225;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sz.mell.támogatások"/>
      <sheetName val="7.mell. - ellátottak jutt."/>
      <sheetName val="8.mell. - beruházások"/>
      <sheetName val="9.mell. - közgazd.mérleg"/>
      <sheetName val="10.mell. -ei.felh.ütemt."/>
      <sheetName val="Munka1"/>
      <sheetName val="Munka2"/>
    </sheetNames>
    <sheetDataSet>
      <sheetData sheetId="2">
        <row r="68">
          <cell r="H68">
            <v>29416624</v>
          </cell>
        </row>
        <row r="74">
          <cell r="H74">
            <v>2035985</v>
          </cell>
        </row>
        <row r="86">
          <cell r="H86">
            <v>10000000</v>
          </cell>
        </row>
        <row r="113">
          <cell r="H113">
            <v>7813000</v>
          </cell>
        </row>
        <row r="137">
          <cell r="H137">
            <v>10908000</v>
          </cell>
        </row>
        <row r="144">
          <cell r="H144">
            <v>62000</v>
          </cell>
        </row>
      </sheetData>
      <sheetData sheetId="4">
        <row r="43">
          <cell r="D43">
            <v>19942600</v>
          </cell>
          <cell r="E43">
            <v>4882695</v>
          </cell>
          <cell r="F43">
            <v>21553968</v>
          </cell>
          <cell r="G43">
            <v>3411000</v>
          </cell>
          <cell r="H43">
            <v>36055777</v>
          </cell>
          <cell r="J43">
            <v>8644810</v>
          </cell>
          <cell r="K43">
            <v>33630000</v>
          </cell>
          <cell r="L43">
            <v>1200000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C34">
      <selection activeCell="L55" sqref="L5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48"/>
      <c r="J39" s="2"/>
      <c r="N39" s="466" t="s">
        <v>4</v>
      </c>
      <c r="O39" s="466"/>
      <c r="P39" s="466"/>
      <c r="Q39" s="466"/>
      <c r="R39" s="466"/>
      <c r="S39" s="466"/>
      <c r="T39" s="466"/>
      <c r="U39" s="46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7"/>
      <c r="J41" s="2"/>
      <c r="N41" s="466" t="s">
        <v>468</v>
      </c>
      <c r="O41" s="466"/>
      <c r="P41" s="466"/>
      <c r="Q41" s="466"/>
      <c r="R41" s="466"/>
      <c r="S41" s="466"/>
      <c r="T41" s="466"/>
      <c r="U41" s="46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7"/>
      <c r="J43" s="2"/>
      <c r="N43" s="466" t="s">
        <v>467</v>
      </c>
      <c r="O43" s="466"/>
      <c r="P43" s="466"/>
      <c r="Q43" s="466"/>
      <c r="R43" s="466"/>
      <c r="S43" s="466"/>
      <c r="T43" s="466"/>
      <c r="U43" s="466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19" ht="27.75">
      <c r="B45" s="2"/>
      <c r="C45" s="3"/>
      <c r="D45" s="3"/>
      <c r="E45" s="3"/>
      <c r="F45" s="3"/>
      <c r="G45" s="3"/>
      <c r="H45" s="3"/>
      <c r="I45" s="3"/>
      <c r="J45" s="2"/>
      <c r="P45" s="467"/>
      <c r="Q45" s="468"/>
      <c r="R45" s="468"/>
      <c r="S45" s="468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49"/>
      <c r="M46" s="266"/>
      <c r="N46" s="15"/>
      <c r="O46" s="154"/>
    </row>
    <row r="47" spans="1:10" ht="27.75">
      <c r="A47" s="49"/>
      <c r="B47" s="5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P45:S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2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9.25390625" style="0" customWidth="1"/>
    <col min="2" max="2" width="12.375" style="0" customWidth="1"/>
  </cols>
  <sheetData>
    <row r="5" ht="12.75">
      <c r="A5" t="s">
        <v>519</v>
      </c>
    </row>
    <row r="7" spans="1:2" ht="12.75">
      <c r="A7" s="566"/>
      <c r="B7" s="563"/>
    </row>
    <row r="8" spans="1:11" ht="12.75">
      <c r="A8" s="566" t="s">
        <v>44</v>
      </c>
      <c r="B8" s="562"/>
      <c r="K8" s="285"/>
    </row>
    <row r="9" spans="1:2" ht="12.75">
      <c r="A9" s="566" t="s">
        <v>498</v>
      </c>
      <c r="B9" s="562"/>
    </row>
    <row r="10" spans="1:2" ht="12.75">
      <c r="A10" s="566" t="s">
        <v>470</v>
      </c>
      <c r="B10" s="562"/>
    </row>
    <row r="11" ht="13.5" thickBot="1"/>
    <row r="12" spans="1:2" ht="13.5" thickTop="1">
      <c r="A12" s="581" t="s">
        <v>0</v>
      </c>
      <c r="B12" s="584" t="s">
        <v>537</v>
      </c>
    </row>
    <row r="13" spans="1:2" ht="12.75">
      <c r="A13" s="582"/>
      <c r="B13" s="585"/>
    </row>
    <row r="14" spans="1:2" ht="13.5" thickBot="1">
      <c r="A14" s="583"/>
      <c r="B14" s="586"/>
    </row>
    <row r="15" ht="13.5" thickTop="1"/>
    <row r="16" ht="12.75">
      <c r="A16" s="286" t="s">
        <v>501</v>
      </c>
    </row>
    <row r="18" spans="1:3" ht="12.75">
      <c r="A18" t="s">
        <v>502</v>
      </c>
      <c r="C18" s="285"/>
    </row>
    <row r="19" spans="1:3" ht="33" customHeight="1">
      <c r="A19" s="290" t="s">
        <v>503</v>
      </c>
      <c r="B19" s="290"/>
      <c r="C19" s="290"/>
    </row>
    <row r="20" spans="1:2" ht="19.5" customHeight="1">
      <c r="A20" s="287" t="s">
        <v>504</v>
      </c>
      <c r="B20" s="440">
        <f>18272000</f>
        <v>18272000</v>
      </c>
    </row>
    <row r="21" spans="1:2" ht="19.5" customHeight="1">
      <c r="A21" s="287" t="s">
        <v>544</v>
      </c>
      <c r="B21" s="440">
        <v>400000</v>
      </c>
    </row>
    <row r="22" spans="1:2" ht="19.5" customHeight="1">
      <c r="A22" s="287" t="s">
        <v>543</v>
      </c>
      <c r="B22" s="440">
        <v>25000</v>
      </c>
    </row>
    <row r="23" spans="1:2" ht="18.75" customHeight="1">
      <c r="A23" t="s">
        <v>505</v>
      </c>
      <c r="B23" s="441">
        <v>4933000</v>
      </c>
    </row>
    <row r="24" spans="1:2" ht="18.75" customHeight="1">
      <c r="A24" s="288" t="s">
        <v>499</v>
      </c>
      <c r="B24" s="289">
        <f>B20+B23+B22+B21</f>
        <v>23630000</v>
      </c>
    </row>
    <row r="25" ht="12.75">
      <c r="B25" s="440"/>
    </row>
    <row r="26" ht="12.75">
      <c r="B26" s="440"/>
    </row>
    <row r="27" ht="12.75">
      <c r="B27" s="440"/>
    </row>
    <row r="28" spans="1:2" s="288" customFormat="1" ht="12.75">
      <c r="A28" s="288" t="s">
        <v>500</v>
      </c>
      <c r="B28" s="289">
        <f>B24</f>
        <v>23630000</v>
      </c>
    </row>
    <row r="29" ht="12.75">
      <c r="B29" s="440"/>
    </row>
  </sheetData>
  <sheetProtection/>
  <mergeCells count="6">
    <mergeCell ref="A12:A14"/>
    <mergeCell ref="B12:B14"/>
    <mergeCell ref="A8:B8"/>
    <mergeCell ref="A9:B9"/>
    <mergeCell ref="A10:B10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348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172"/>
      <c r="B1" s="172"/>
      <c r="C1" s="86"/>
    </row>
    <row r="2" s="124" customFormat="1" ht="15.75">
      <c r="C2" s="355"/>
    </row>
    <row r="3" spans="1:3" s="112" customFormat="1" ht="15">
      <c r="A3" s="172" t="s">
        <v>520</v>
      </c>
      <c r="B3" s="60"/>
      <c r="C3" s="60"/>
    </row>
    <row r="4" spans="1:3" s="112" customFormat="1" ht="15">
      <c r="A4" s="172"/>
      <c r="B4" s="60"/>
      <c r="C4" s="60"/>
    </row>
    <row r="5" spans="1:3" s="112" customFormat="1" ht="15">
      <c r="A5" s="172"/>
      <c r="B5" s="60"/>
      <c r="C5" s="60"/>
    </row>
    <row r="6" spans="1:3" s="112" customFormat="1" ht="15">
      <c r="A6" s="573"/>
      <c r="B6" s="589"/>
      <c r="C6" s="589"/>
    </row>
    <row r="7" spans="1:3" ht="15.75">
      <c r="A7" s="578" t="s">
        <v>4</v>
      </c>
      <c r="B7" s="578"/>
      <c r="C7" s="578"/>
    </row>
    <row r="8" spans="1:3" ht="15.75">
      <c r="A8" s="501" t="s">
        <v>309</v>
      </c>
      <c r="B8" s="501"/>
      <c r="C8" s="501"/>
    </row>
    <row r="9" spans="1:3" ht="15.75">
      <c r="A9" s="501" t="s">
        <v>253</v>
      </c>
      <c r="B9" s="501"/>
      <c r="C9" s="501"/>
    </row>
    <row r="10" spans="1:3" ht="15.75">
      <c r="A10" s="501" t="s">
        <v>470</v>
      </c>
      <c r="B10" s="501"/>
      <c r="C10" s="501"/>
    </row>
    <row r="11" ht="16.5" thickBot="1"/>
    <row r="12" spans="1:3" ht="15.75">
      <c r="A12" s="131" t="s">
        <v>45</v>
      </c>
      <c r="B12" s="126"/>
      <c r="C12" s="352" t="s">
        <v>19</v>
      </c>
    </row>
    <row r="13" spans="1:3" ht="15.75">
      <c r="A13" s="127"/>
      <c r="B13" s="128" t="s">
        <v>0</v>
      </c>
      <c r="C13" s="351"/>
    </row>
    <row r="14" spans="1:4" ht="34.5" customHeight="1" thickBot="1">
      <c r="A14" s="129" t="s">
        <v>46</v>
      </c>
      <c r="B14" s="132"/>
      <c r="C14" s="350" t="s">
        <v>10</v>
      </c>
      <c r="D14" s="461"/>
    </row>
    <row r="15" spans="2:4" ht="34.5" customHeight="1">
      <c r="B15" s="281"/>
      <c r="C15" s="282"/>
      <c r="D15" s="349"/>
    </row>
    <row r="16" spans="1:3" ht="20.25" customHeight="1">
      <c r="A16" s="594" t="s">
        <v>254</v>
      </c>
      <c r="B16" s="594"/>
      <c r="C16" s="594"/>
    </row>
    <row r="17" spans="1:3" ht="20.25" customHeight="1">
      <c r="A17" s="133" t="s">
        <v>47</v>
      </c>
      <c r="B17" s="134" t="s">
        <v>255</v>
      </c>
      <c r="C17" s="354"/>
    </row>
    <row r="18" spans="1:3" ht="20.25" customHeight="1">
      <c r="A18" s="133"/>
      <c r="B18" s="18" t="s">
        <v>256</v>
      </c>
      <c r="C18" s="449">
        <v>29416624</v>
      </c>
    </row>
    <row r="19" spans="1:5" ht="20.25" customHeight="1">
      <c r="A19" s="133"/>
      <c r="B19" s="91" t="s">
        <v>257</v>
      </c>
      <c r="C19" s="449">
        <v>2035985</v>
      </c>
      <c r="D19" s="89"/>
      <c r="E19" s="89"/>
    </row>
    <row r="20" spans="1:3" ht="20.25" customHeight="1">
      <c r="A20" s="133" t="s">
        <v>27</v>
      </c>
      <c r="B20" s="134" t="s">
        <v>258</v>
      </c>
      <c r="C20" s="449">
        <f>7808000+5000</f>
        <v>7813000</v>
      </c>
    </row>
    <row r="21" spans="1:3" ht="20.25" customHeight="1">
      <c r="A21" s="133" t="s">
        <v>48</v>
      </c>
      <c r="B21" s="134" t="s">
        <v>259</v>
      </c>
      <c r="C21" s="449">
        <v>10908000</v>
      </c>
    </row>
    <row r="22" spans="1:3" ht="20.25" customHeight="1">
      <c r="A22" s="133" t="s">
        <v>111</v>
      </c>
      <c r="B22" s="135" t="s">
        <v>260</v>
      </c>
      <c r="C22" s="449"/>
    </row>
    <row r="23" spans="1:5" ht="36" customHeight="1">
      <c r="A23" s="133"/>
      <c r="B23" s="91" t="s">
        <v>261</v>
      </c>
      <c r="C23" s="449"/>
      <c r="D23" s="91"/>
      <c r="E23" s="91"/>
    </row>
    <row r="24" spans="1:3" ht="20.25" customHeight="1">
      <c r="A24" s="133"/>
      <c r="B24" s="18" t="s">
        <v>262</v>
      </c>
      <c r="C24" s="449"/>
    </row>
    <row r="25" spans="1:3" ht="36" customHeight="1">
      <c r="A25" s="136"/>
      <c r="B25" s="137" t="s">
        <v>263</v>
      </c>
      <c r="C25" s="443">
        <f>SUM(C18:C24)</f>
        <v>50173609</v>
      </c>
    </row>
    <row r="26" spans="1:3" ht="21" customHeight="1">
      <c r="A26" s="130" t="s">
        <v>113</v>
      </c>
      <c r="B26" s="134" t="s">
        <v>264</v>
      </c>
      <c r="C26" s="448">
        <v>19942600</v>
      </c>
    </row>
    <row r="27" spans="1:3" ht="21" customHeight="1">
      <c r="A27" s="130" t="s">
        <v>119</v>
      </c>
      <c r="B27" s="134" t="s">
        <v>265</v>
      </c>
      <c r="C27" s="448">
        <v>4882695</v>
      </c>
    </row>
    <row r="28" spans="1:3" ht="21" customHeight="1">
      <c r="A28" s="130" t="s">
        <v>266</v>
      </c>
      <c r="B28" s="138" t="s">
        <v>267</v>
      </c>
      <c r="C28" s="448">
        <f>21553968-640000</f>
        <v>20913968</v>
      </c>
    </row>
    <row r="29" spans="1:3" ht="21" customHeight="1">
      <c r="A29" s="130" t="s">
        <v>268</v>
      </c>
      <c r="B29" s="138" t="s">
        <v>269</v>
      </c>
      <c r="C29" s="448">
        <v>3411000</v>
      </c>
    </row>
    <row r="30" spans="1:3" ht="21" customHeight="1">
      <c r="A30" s="130" t="s">
        <v>270</v>
      </c>
      <c r="B30" s="138" t="s">
        <v>271</v>
      </c>
      <c r="C30" s="448"/>
    </row>
    <row r="31" spans="1:3" ht="32.25" customHeight="1">
      <c r="A31" s="130"/>
      <c r="B31" s="91" t="s">
        <v>554</v>
      </c>
      <c r="C31" s="447">
        <v>918299</v>
      </c>
    </row>
    <row r="32" spans="1:3" ht="19.5" customHeight="1">
      <c r="A32" s="130"/>
      <c r="B32" s="139" t="s">
        <v>589</v>
      </c>
      <c r="C32" s="447">
        <v>640000</v>
      </c>
    </row>
    <row r="33" spans="1:3" ht="15.75">
      <c r="A33" s="130"/>
      <c r="B33" s="139" t="s">
        <v>272</v>
      </c>
      <c r="C33" s="447">
        <v>1293030</v>
      </c>
    </row>
    <row r="34" spans="1:5" ht="15.75">
      <c r="A34" s="130"/>
      <c r="B34" s="139" t="s">
        <v>273</v>
      </c>
      <c r="C34" s="446">
        <v>33844448</v>
      </c>
      <c r="E34" s="92"/>
    </row>
    <row r="35" spans="1:6" ht="33.75" customHeight="1">
      <c r="A35" s="136"/>
      <c r="B35" s="137" t="s">
        <v>274</v>
      </c>
      <c r="C35" s="443">
        <f>SUM(C26:C34)</f>
        <v>85846040</v>
      </c>
      <c r="E35" s="92"/>
      <c r="F35" s="92"/>
    </row>
    <row r="36" spans="1:6" ht="33.75" customHeight="1">
      <c r="A36" s="133"/>
      <c r="B36" s="134"/>
      <c r="C36" s="449"/>
      <c r="E36" s="92"/>
      <c r="F36" s="92"/>
    </row>
    <row r="37" spans="1:6" ht="33.75" customHeight="1">
      <c r="A37" s="133"/>
      <c r="B37" s="134"/>
      <c r="C37" s="449"/>
      <c r="E37" s="92"/>
      <c r="F37" s="92"/>
    </row>
    <row r="38" spans="1:6" ht="33.75" customHeight="1">
      <c r="A38" s="133"/>
      <c r="B38" s="134"/>
      <c r="C38" s="354"/>
      <c r="E38" s="92"/>
      <c r="F38" s="92"/>
    </row>
    <row r="39" spans="1:6" ht="33.75" customHeight="1">
      <c r="A39" s="133"/>
      <c r="B39" s="134"/>
      <c r="C39" s="354"/>
      <c r="E39" s="92"/>
      <c r="F39" s="92"/>
    </row>
    <row r="40" spans="1:6" ht="33.75" customHeight="1">
      <c r="A40" s="133"/>
      <c r="B40" s="134"/>
      <c r="C40" s="354"/>
      <c r="E40" s="92"/>
      <c r="F40" s="92"/>
    </row>
    <row r="41" spans="1:3" ht="15.75">
      <c r="A41" s="496">
        <v>2</v>
      </c>
      <c r="B41" s="496"/>
      <c r="C41" s="496"/>
    </row>
    <row r="42" spans="1:3" ht="15.75">
      <c r="A42" s="267"/>
      <c r="B42" s="267"/>
      <c r="C42" s="267"/>
    </row>
    <row r="43" spans="1:3" ht="15.75">
      <c r="A43" s="267"/>
      <c r="B43" s="267"/>
      <c r="C43" s="267"/>
    </row>
    <row r="44" spans="1:3" ht="16.5" thickBot="1">
      <c r="A44" s="267"/>
      <c r="B44" s="267"/>
      <c r="C44" s="267"/>
    </row>
    <row r="45" spans="1:3" ht="15.75">
      <c r="A45" s="131" t="s">
        <v>45</v>
      </c>
      <c r="B45" s="126"/>
      <c r="C45" s="352" t="s">
        <v>19</v>
      </c>
    </row>
    <row r="46" spans="1:3" ht="15.75">
      <c r="A46" s="127"/>
      <c r="B46" s="128" t="s">
        <v>0</v>
      </c>
      <c r="C46" s="351"/>
    </row>
    <row r="47" spans="1:3" ht="31.5" customHeight="1" thickBot="1">
      <c r="A47" s="129" t="s">
        <v>46</v>
      </c>
      <c r="B47" s="132"/>
      <c r="C47" s="350" t="s">
        <v>10</v>
      </c>
    </row>
    <row r="48" spans="1:3" ht="31.5" customHeight="1">
      <c r="A48" s="144"/>
      <c r="B48" s="280"/>
      <c r="C48" s="349"/>
    </row>
    <row r="49" spans="1:3" ht="21" customHeight="1">
      <c r="A49" s="588" t="s">
        <v>275</v>
      </c>
      <c r="B49" s="588"/>
      <c r="C49" s="588"/>
    </row>
    <row r="50" spans="1:3" ht="21" customHeight="1">
      <c r="A50" s="464"/>
      <c r="B50" s="464"/>
      <c r="C50" s="464"/>
    </row>
    <row r="51" spans="1:3" ht="21" customHeight="1">
      <c r="A51" s="130" t="s">
        <v>276</v>
      </c>
      <c r="B51" s="53" t="s">
        <v>277</v>
      </c>
      <c r="C51" s="348">
        <v>10000000</v>
      </c>
    </row>
    <row r="52" spans="1:2" ht="21" customHeight="1">
      <c r="A52" s="130" t="s">
        <v>278</v>
      </c>
      <c r="B52" s="53" t="s">
        <v>279</v>
      </c>
    </row>
    <row r="53" spans="1:2" ht="21" customHeight="1">
      <c r="A53" s="130" t="s">
        <v>280</v>
      </c>
      <c r="B53" s="135" t="s">
        <v>281</v>
      </c>
    </row>
    <row r="54" spans="1:3" ht="31.5" customHeight="1">
      <c r="A54" s="130"/>
      <c r="B54" s="107" t="s">
        <v>282</v>
      </c>
      <c r="C54" s="446">
        <v>62000</v>
      </c>
    </row>
    <row r="55" spans="1:3" ht="21" customHeight="1">
      <c r="A55" s="130"/>
      <c r="B55" s="45" t="s">
        <v>283</v>
      </c>
      <c r="C55" s="446"/>
    </row>
    <row r="56" spans="1:5" ht="39.75" customHeight="1">
      <c r="A56" s="136"/>
      <c r="B56" s="137" t="s">
        <v>284</v>
      </c>
      <c r="C56" s="443">
        <f>SUM(C51:C55)</f>
        <v>10062000</v>
      </c>
      <c r="E56" s="92"/>
    </row>
    <row r="57" spans="1:5" ht="22.5" customHeight="1">
      <c r="A57" s="133"/>
      <c r="B57" s="134"/>
      <c r="C57" s="449"/>
      <c r="E57" s="92"/>
    </row>
    <row r="58" spans="1:3" ht="21" customHeight="1">
      <c r="A58" s="130" t="s">
        <v>285</v>
      </c>
      <c r="B58" s="53" t="s">
        <v>286</v>
      </c>
      <c r="C58" s="446">
        <v>8644810</v>
      </c>
    </row>
    <row r="59" spans="1:3" ht="21" customHeight="1">
      <c r="A59" s="130" t="s">
        <v>287</v>
      </c>
      <c r="B59" s="53" t="s">
        <v>288</v>
      </c>
      <c r="C59" s="446">
        <v>33630000</v>
      </c>
    </row>
    <row r="60" spans="1:3" ht="21" customHeight="1">
      <c r="A60" s="130" t="s">
        <v>289</v>
      </c>
      <c r="B60" s="135" t="s">
        <v>290</v>
      </c>
      <c r="C60" s="446"/>
    </row>
    <row r="61" spans="1:3" ht="21" customHeight="1">
      <c r="A61" s="130"/>
      <c r="B61" s="139" t="s">
        <v>291</v>
      </c>
      <c r="C61" s="446">
        <f>600000+600000</f>
        <v>1200000</v>
      </c>
    </row>
    <row r="62" spans="1:3" ht="21" customHeight="1">
      <c r="A62" s="130"/>
      <c r="B62" s="139" t="s">
        <v>273</v>
      </c>
      <c r="C62" s="446"/>
    </row>
    <row r="63" spans="1:6" s="9" customFormat="1" ht="42" customHeight="1" thickBot="1">
      <c r="A63" s="136"/>
      <c r="B63" s="137" t="s">
        <v>292</v>
      </c>
      <c r="C63" s="443">
        <f>SUM(C58:C62)</f>
        <v>43474810</v>
      </c>
      <c r="F63" s="140"/>
    </row>
    <row r="64" spans="1:3" s="9" customFormat="1" ht="35.25" customHeight="1" thickBot="1">
      <c r="A64" s="141"/>
      <c r="B64" s="142" t="s">
        <v>293</v>
      </c>
      <c r="C64" s="445">
        <f>C25+C56</f>
        <v>60235609</v>
      </c>
    </row>
    <row r="65" spans="1:6" s="9" customFormat="1" ht="35.25" customHeight="1" thickBot="1">
      <c r="A65" s="141"/>
      <c r="B65" s="142" t="s">
        <v>294</v>
      </c>
      <c r="C65" s="445">
        <f>C35+C63</f>
        <v>129320850</v>
      </c>
      <c r="F65" s="140"/>
    </row>
    <row r="66" spans="1:3" s="9" customFormat="1" ht="15.75">
      <c r="A66" s="143"/>
      <c r="B66" s="144"/>
      <c r="C66" s="353"/>
    </row>
    <row r="78" spans="1:3" s="145" customFormat="1" ht="15.75">
      <c r="A78" s="144"/>
      <c r="B78" s="152"/>
      <c r="C78" s="349"/>
    </row>
    <row r="79" spans="1:3" s="145" customFormat="1" ht="15.75">
      <c r="A79" s="144"/>
      <c r="B79" s="152"/>
      <c r="C79" s="349"/>
    </row>
    <row r="80" spans="1:3" s="145" customFormat="1" ht="15.75">
      <c r="A80" s="144"/>
      <c r="B80" s="152"/>
      <c r="C80" s="349"/>
    </row>
    <row r="81" spans="1:3" s="145" customFormat="1" ht="15.75">
      <c r="A81" s="144"/>
      <c r="B81" s="152"/>
      <c r="C81" s="349"/>
    </row>
    <row r="82" spans="1:3" s="145" customFormat="1" ht="15.75">
      <c r="A82" s="144"/>
      <c r="B82" s="152"/>
      <c r="C82" s="349"/>
    </row>
    <row r="83" spans="1:3" s="145" customFormat="1" ht="15.75">
      <c r="A83" s="587">
        <v>3</v>
      </c>
      <c r="B83" s="587"/>
      <c r="C83" s="587"/>
    </row>
    <row r="84" spans="1:3" s="145" customFormat="1" ht="15.75">
      <c r="A84" s="283"/>
      <c r="B84" s="283"/>
      <c r="C84" s="283"/>
    </row>
    <row r="85" spans="1:3" s="145" customFormat="1" ht="16.5" thickBot="1">
      <c r="A85" s="283"/>
      <c r="B85" s="283"/>
      <c r="C85" s="283"/>
    </row>
    <row r="86" spans="1:3" s="145" customFormat="1" ht="19.5" customHeight="1">
      <c r="A86" s="131" t="s">
        <v>45</v>
      </c>
      <c r="B86" s="590" t="s">
        <v>0</v>
      </c>
      <c r="C86" s="352" t="s">
        <v>19</v>
      </c>
    </row>
    <row r="87" spans="1:3" s="145" customFormat="1" ht="15.75">
      <c r="A87" s="127"/>
      <c r="B87" s="591"/>
      <c r="C87" s="351"/>
    </row>
    <row r="88" spans="1:3" s="145" customFormat="1" ht="16.5" thickBot="1">
      <c r="A88" s="129" t="s">
        <v>46</v>
      </c>
      <c r="B88" s="592"/>
      <c r="C88" s="350" t="s">
        <v>10</v>
      </c>
    </row>
    <row r="89" spans="1:3" s="145" customFormat="1" ht="15.75">
      <c r="A89" s="144"/>
      <c r="B89" s="152"/>
      <c r="C89" s="349"/>
    </row>
    <row r="90" spans="1:3" ht="20.25" customHeight="1">
      <c r="A90" s="593" t="s">
        <v>295</v>
      </c>
      <c r="B90" s="593"/>
      <c r="C90" s="593"/>
    </row>
    <row r="91" spans="1:3" ht="20.25" customHeight="1">
      <c r="A91" s="146"/>
      <c r="B91" s="146"/>
      <c r="C91" s="146"/>
    </row>
    <row r="92" spans="1:3" ht="20.25" customHeight="1">
      <c r="A92" s="136" t="s">
        <v>296</v>
      </c>
      <c r="B92" s="147" t="s">
        <v>297</v>
      </c>
      <c r="C92" s="443">
        <f>26261000+2000000+42143000</f>
        <v>70404000</v>
      </c>
    </row>
    <row r="93" spans="1:3" ht="20.25" customHeight="1">
      <c r="A93" s="136" t="s">
        <v>299</v>
      </c>
      <c r="B93" s="147" t="s">
        <v>555</v>
      </c>
      <c r="C93" s="443">
        <v>1121209</v>
      </c>
    </row>
    <row r="94" spans="1:3" ht="21" customHeight="1">
      <c r="A94" s="136"/>
      <c r="B94" s="137" t="s">
        <v>298</v>
      </c>
      <c r="C94" s="444">
        <f>SUM(C92:C93)</f>
        <v>71525209</v>
      </c>
    </row>
    <row r="95" spans="1:3" ht="21" customHeight="1">
      <c r="A95" s="133" t="s">
        <v>301</v>
      </c>
      <c r="B95" s="137" t="s">
        <v>492</v>
      </c>
      <c r="C95" s="444">
        <f>1139077+179682</f>
        <v>1318759</v>
      </c>
    </row>
    <row r="96" spans="1:3" ht="15.75">
      <c r="A96" s="133" t="s">
        <v>373</v>
      </c>
      <c r="B96" s="147" t="s">
        <v>300</v>
      </c>
      <c r="C96" s="443"/>
    </row>
    <row r="97" spans="1:3" ht="15.75">
      <c r="A97" s="130" t="s">
        <v>375</v>
      </c>
      <c r="B97" s="147" t="s">
        <v>302</v>
      </c>
      <c r="C97" s="443"/>
    </row>
    <row r="98" spans="1:3" s="148" customFormat="1" ht="30" customHeight="1" thickBot="1">
      <c r="A98" s="136"/>
      <c r="B98" s="137" t="s">
        <v>303</v>
      </c>
      <c r="C98" s="444">
        <v>2439968</v>
      </c>
    </row>
    <row r="99" spans="1:5" s="148" customFormat="1" ht="30" customHeight="1" thickBot="1">
      <c r="A99" s="149"/>
      <c r="B99" s="150" t="s">
        <v>304</v>
      </c>
      <c r="C99" s="442">
        <f>C64+C94</f>
        <v>131760818</v>
      </c>
      <c r="E99" s="151"/>
    </row>
    <row r="100" spans="1:5" ht="35.25" customHeight="1" thickBot="1">
      <c r="A100" s="149"/>
      <c r="B100" s="150" t="s">
        <v>305</v>
      </c>
      <c r="C100" s="442">
        <f>C65+C98</f>
        <v>131760818</v>
      </c>
      <c r="E100" s="151"/>
    </row>
  </sheetData>
  <sheetProtection/>
  <mergeCells count="11">
    <mergeCell ref="A41:C41"/>
    <mergeCell ref="A49:C49"/>
    <mergeCell ref="A83:C83"/>
    <mergeCell ref="B86:B88"/>
    <mergeCell ref="A90:C90"/>
    <mergeCell ref="A6:C6"/>
    <mergeCell ref="A7:C7"/>
    <mergeCell ref="A8:C8"/>
    <mergeCell ref="A9:C9"/>
    <mergeCell ref="A10:C10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S5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125" style="45" customWidth="1"/>
    <col min="2" max="2" width="43.625" style="45" customWidth="1"/>
    <col min="3" max="14" width="15.375" style="299" customWidth="1"/>
    <col min="15" max="15" width="16.625" style="299" customWidth="1"/>
    <col min="16" max="16" width="12.625" style="45" bestFit="1" customWidth="1"/>
    <col min="17" max="16384" width="9.125" style="45" customWidth="1"/>
  </cols>
  <sheetData>
    <row r="2" spans="3:15" s="93" customFormat="1" ht="15.75"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4" spans="1:15" ht="15.75">
      <c r="A4" s="561" t="s">
        <v>521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2:15" ht="15.75"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</row>
    <row r="6" spans="2:15" ht="15.75">
      <c r="B6" s="471" t="s">
        <v>44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</row>
    <row r="7" spans="2:15" ht="15.75">
      <c r="B7" s="471" t="s">
        <v>338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</row>
    <row r="8" spans="2:15" ht="15.75">
      <c r="B8" s="471" t="s">
        <v>470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3:15" ht="16.5" thickBot="1">
      <c r="C9" s="298"/>
      <c r="D9" s="298"/>
      <c r="E9" s="298"/>
      <c r="F9" s="384"/>
      <c r="G9" s="298"/>
      <c r="H9" s="298"/>
      <c r="I9" s="298"/>
      <c r="J9" s="298"/>
      <c r="O9" s="383" t="s">
        <v>535</v>
      </c>
    </row>
    <row r="10" spans="1:15" ht="15.75">
      <c r="A10" s="184" t="s">
        <v>45</v>
      </c>
      <c r="B10" s="185"/>
      <c r="C10" s="382"/>
      <c r="D10" s="381"/>
      <c r="E10" s="380"/>
      <c r="F10" s="379"/>
      <c r="G10" s="379"/>
      <c r="H10" s="379"/>
      <c r="I10" s="379"/>
      <c r="J10" s="379"/>
      <c r="K10" s="378"/>
      <c r="L10" s="378"/>
      <c r="M10" s="378"/>
      <c r="N10" s="377"/>
      <c r="O10" s="376"/>
    </row>
    <row r="11" spans="1:15" ht="15.75">
      <c r="A11" s="186"/>
      <c r="B11" s="187" t="s">
        <v>0</v>
      </c>
      <c r="C11" s="318" t="s">
        <v>339</v>
      </c>
      <c r="D11" s="375" t="s">
        <v>340</v>
      </c>
      <c r="E11" s="373" t="s">
        <v>341</v>
      </c>
      <c r="F11" s="374" t="s">
        <v>342</v>
      </c>
      <c r="G11" s="374" t="s">
        <v>343</v>
      </c>
      <c r="H11" s="374" t="s">
        <v>344</v>
      </c>
      <c r="I11" s="374" t="s">
        <v>345</v>
      </c>
      <c r="J11" s="374" t="s">
        <v>346</v>
      </c>
      <c r="K11" s="374" t="s">
        <v>347</v>
      </c>
      <c r="L11" s="374" t="s">
        <v>348</v>
      </c>
      <c r="M11" s="374" t="s">
        <v>349</v>
      </c>
      <c r="N11" s="373" t="s">
        <v>350</v>
      </c>
      <c r="O11" s="351" t="s">
        <v>330</v>
      </c>
    </row>
    <row r="12" spans="1:15" ht="16.5" thickBot="1">
      <c r="A12" s="188" t="s">
        <v>46</v>
      </c>
      <c r="B12" s="189"/>
      <c r="C12" s="369"/>
      <c r="D12" s="372"/>
      <c r="E12" s="370"/>
      <c r="F12" s="371"/>
      <c r="G12" s="371"/>
      <c r="H12" s="371"/>
      <c r="I12" s="371"/>
      <c r="J12" s="371"/>
      <c r="K12" s="371"/>
      <c r="L12" s="371"/>
      <c r="M12" s="371"/>
      <c r="N12" s="370"/>
      <c r="O12" s="369"/>
    </row>
    <row r="13" spans="1:15" ht="28.5" customHeight="1">
      <c r="A13" s="190"/>
      <c r="B13" s="191" t="s">
        <v>351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1"/>
    </row>
    <row r="14" spans="1:15" ht="28.5" customHeight="1">
      <c r="A14" s="190" t="s">
        <v>47</v>
      </c>
      <c r="B14" s="191" t="s">
        <v>352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1"/>
    </row>
    <row r="15" spans="1:15" ht="28.5" customHeight="1">
      <c r="A15" s="190"/>
      <c r="B15" s="191" t="s">
        <v>353</v>
      </c>
      <c r="C15" s="362">
        <v>3515000</v>
      </c>
      <c r="D15" s="362">
        <v>2273000</v>
      </c>
      <c r="E15" s="362">
        <v>2273000</v>
      </c>
      <c r="F15" s="362">
        <v>2273000</v>
      </c>
      <c r="G15" s="362">
        <f>2273000+112611+21+11684</f>
        <v>2397316</v>
      </c>
      <c r="H15" s="362">
        <f>2273000+11938</f>
        <v>2284938</v>
      </c>
      <c r="I15" s="362">
        <f>2273000+195840+11938</f>
        <v>2480778</v>
      </c>
      <c r="J15" s="362">
        <f>2273000+11938</f>
        <v>2284938</v>
      </c>
      <c r="K15" s="362">
        <f>2272000+11938</f>
        <v>2283938</v>
      </c>
      <c r="L15" s="362">
        <f>2272000+11938</f>
        <v>2283938</v>
      </c>
      <c r="M15" s="362">
        <v>2272000</v>
      </c>
      <c r="N15" s="362">
        <f>2272000+522778</f>
        <v>2794778</v>
      </c>
      <c r="O15" s="361">
        <f>SUM(C15:N15)</f>
        <v>29416624</v>
      </c>
    </row>
    <row r="16" spans="1:15" ht="28.5" customHeight="1">
      <c r="A16" s="190"/>
      <c r="B16" s="191" t="s">
        <v>354</v>
      </c>
      <c r="C16" s="362"/>
      <c r="D16" s="362"/>
      <c r="E16" s="362"/>
      <c r="F16" s="362">
        <v>526211</v>
      </c>
      <c r="G16" s="362">
        <f>230460</f>
        <v>230460</v>
      </c>
      <c r="H16" s="362"/>
      <c r="I16" s="362">
        <f>176583</f>
        <v>176583</v>
      </c>
      <c r="J16" s="362">
        <f>23000+183415+189708</f>
        <v>396123</v>
      </c>
      <c r="K16" s="362">
        <v>179682</v>
      </c>
      <c r="L16" s="362">
        <v>179682</v>
      </c>
      <c r="M16" s="362">
        <v>23000</v>
      </c>
      <c r="N16" s="362">
        <v>324244</v>
      </c>
      <c r="O16" s="361">
        <f>SUM(C16:N16)</f>
        <v>2035985</v>
      </c>
    </row>
    <row r="17" spans="1:15" ht="30.75" customHeight="1">
      <c r="A17" s="190" t="s">
        <v>27</v>
      </c>
      <c r="B17" s="191" t="s">
        <v>591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>
        <v>10000000</v>
      </c>
      <c r="O17" s="361">
        <f>SUM(C17:N17)</f>
        <v>10000000</v>
      </c>
    </row>
    <row r="18" spans="1:15" ht="15.75">
      <c r="A18" s="190" t="s">
        <v>48</v>
      </c>
      <c r="B18" s="191" t="s">
        <v>355</v>
      </c>
      <c r="C18" s="362">
        <f>12000+44000+32000+31000</f>
        <v>119000</v>
      </c>
      <c r="D18" s="362">
        <f>19000+12000+118000+253000+31000</f>
        <v>433000</v>
      </c>
      <c r="E18" s="362">
        <f>1127000+11000+620000+382000+31000</f>
        <v>2171000</v>
      </c>
      <c r="F18" s="362">
        <f>9000+12000+76000+34000+31000+200000</f>
        <v>362000</v>
      </c>
      <c r="G18" s="362">
        <f>408000+12000+48000+35000+31000-200000</f>
        <v>334000</v>
      </c>
      <c r="H18" s="362">
        <f>46000+12000+20000+19000+31000</f>
        <v>128000</v>
      </c>
      <c r="I18" s="362">
        <f>12000+2000+2000+31000</f>
        <v>47000</v>
      </c>
      <c r="J18" s="362">
        <f>12000+237000+346000+31000</f>
        <v>626000</v>
      </c>
      <c r="K18" s="362">
        <f>1188000+11000+601000+335000+31000</f>
        <v>2166000</v>
      </c>
      <c r="L18" s="362">
        <f>10000+12000+27000+35000+31000</f>
        <v>115000</v>
      </c>
      <c r="M18" s="362">
        <f>852000+11000+76000+12000+31000</f>
        <v>982000</v>
      </c>
      <c r="N18" s="362">
        <f>241000+11000+34000+15000+29000</f>
        <v>330000</v>
      </c>
      <c r="O18" s="361">
        <f>SUM(C18:N18)</f>
        <v>7813000</v>
      </c>
    </row>
    <row r="19" spans="1:17" ht="15.75">
      <c r="A19" s="190" t="s">
        <v>111</v>
      </c>
      <c r="B19" s="191" t="s">
        <v>356</v>
      </c>
      <c r="C19" s="362">
        <v>931000</v>
      </c>
      <c r="D19" s="362">
        <v>877000</v>
      </c>
      <c r="E19" s="362">
        <v>958000</v>
      </c>
      <c r="F19" s="362">
        <v>1036000</v>
      </c>
      <c r="G19" s="362">
        <v>890000</v>
      </c>
      <c r="H19" s="362">
        <v>804000</v>
      </c>
      <c r="I19" s="362">
        <v>758000</v>
      </c>
      <c r="J19" s="362">
        <v>704000</v>
      </c>
      <c r="K19" s="362">
        <v>1004000</v>
      </c>
      <c r="L19" s="362">
        <v>1030000</v>
      </c>
      <c r="M19" s="362">
        <v>913000</v>
      </c>
      <c r="N19" s="362">
        <v>1003000</v>
      </c>
      <c r="O19" s="361">
        <f>SUM(C19:N19)</f>
        <v>10908000</v>
      </c>
      <c r="Q19" s="202"/>
    </row>
    <row r="20" spans="1:15" ht="15.75">
      <c r="A20" s="190" t="s">
        <v>113</v>
      </c>
      <c r="B20" s="192" t="s">
        <v>357</v>
      </c>
      <c r="C20" s="368">
        <v>5000</v>
      </c>
      <c r="D20" s="368">
        <v>6000</v>
      </c>
      <c r="E20" s="368">
        <v>5000</v>
      </c>
      <c r="F20" s="368">
        <v>5000</v>
      </c>
      <c r="G20" s="368">
        <v>5000</v>
      </c>
      <c r="H20" s="368">
        <v>5000</v>
      </c>
      <c r="I20" s="368">
        <v>5000</v>
      </c>
      <c r="J20" s="368">
        <v>5000</v>
      </c>
      <c r="K20" s="368">
        <v>5000</v>
      </c>
      <c r="L20" s="368">
        <v>6000</v>
      </c>
      <c r="M20" s="368">
        <v>5000</v>
      </c>
      <c r="N20" s="368">
        <v>5000</v>
      </c>
      <c r="O20" s="361">
        <f>SUM(C20:N20)</f>
        <v>62000</v>
      </c>
    </row>
    <row r="21" spans="1:15" ht="15.75">
      <c r="A21" s="190" t="s">
        <v>119</v>
      </c>
      <c r="B21" s="192" t="s">
        <v>260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6"/>
      <c r="O21" s="361">
        <f>SUM(C21:N21)</f>
        <v>0</v>
      </c>
    </row>
    <row r="22" spans="1:15" ht="31.5">
      <c r="A22" s="190"/>
      <c r="B22" s="191" t="s">
        <v>358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5"/>
      <c r="O22" s="361">
        <f>SUM(C22:N22)</f>
        <v>0</v>
      </c>
    </row>
    <row r="23" spans="1:15" ht="17.25" customHeight="1">
      <c r="A23" s="190"/>
      <c r="B23" s="191" t="s">
        <v>359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5"/>
      <c r="O23" s="361">
        <f>SUM(C23:N23)</f>
        <v>0</v>
      </c>
    </row>
    <row r="24" spans="1:15" ht="15.75">
      <c r="A24" s="190" t="s">
        <v>266</v>
      </c>
      <c r="B24" s="192" t="s">
        <v>360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5"/>
      <c r="O24" s="361">
        <f>SUM(C24:N24)</f>
        <v>0</v>
      </c>
    </row>
    <row r="25" spans="1:15" ht="47.25">
      <c r="A25" s="190"/>
      <c r="B25" s="201" t="s">
        <v>361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5"/>
      <c r="O25" s="361">
        <f>SUM(C25:N25)</f>
        <v>0</v>
      </c>
    </row>
    <row r="26" spans="1:15" ht="15.75">
      <c r="A26" s="190"/>
      <c r="B26" s="191" t="s">
        <v>362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5"/>
      <c r="O26" s="361">
        <f>SUM(C26:N26)</f>
        <v>0</v>
      </c>
    </row>
    <row r="27" spans="1:15" ht="15.75">
      <c r="A27" s="190"/>
      <c r="B27" s="191" t="s">
        <v>590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5">
        <v>1121209</v>
      </c>
      <c r="O27" s="361">
        <f>SUM(C27:N27)</f>
        <v>1121209</v>
      </c>
    </row>
    <row r="28" spans="1:15" ht="15.75">
      <c r="A28" s="190" t="s">
        <v>268</v>
      </c>
      <c r="B28" s="192" t="s">
        <v>363</v>
      </c>
      <c r="C28" s="364">
        <v>1139077</v>
      </c>
      <c r="D28" s="364">
        <v>1917000</v>
      </c>
      <c r="E28" s="364">
        <v>2000000</v>
      </c>
      <c r="F28" s="364">
        <v>5046000</v>
      </c>
      <c r="G28" s="364">
        <v>42142923</v>
      </c>
      <c r="H28" s="364">
        <v>10260000</v>
      </c>
      <c r="I28" s="364"/>
      <c r="J28" s="364"/>
      <c r="K28" s="364"/>
      <c r="L28" s="364">
        <v>7899000</v>
      </c>
      <c r="M28" s="364"/>
      <c r="N28" s="365"/>
      <c r="O28" s="361">
        <f>SUM(C28:N28)</f>
        <v>70404000</v>
      </c>
    </row>
    <row r="29" spans="1:15" ht="16.5" thickBot="1">
      <c r="A29" s="193" t="s">
        <v>270</v>
      </c>
      <c r="B29" s="194" t="s">
        <v>364</v>
      </c>
      <c r="C29" s="364"/>
      <c r="D29" s="364">
        <f>C51</f>
        <v>975000</v>
      </c>
      <c r="E29" s="364">
        <f>D51</f>
        <v>2941000</v>
      </c>
      <c r="F29" s="364">
        <f>E51</f>
        <v>4410128</v>
      </c>
      <c r="G29" s="364">
        <f>F51</f>
        <v>8520341</v>
      </c>
      <c r="H29" s="364">
        <f>G51</f>
        <v>14998762</v>
      </c>
      <c r="I29" s="364">
        <f>H51</f>
        <v>23514821</v>
      </c>
      <c r="J29" s="364">
        <f>I51</f>
        <v>22148821</v>
      </c>
      <c r="K29" s="364">
        <f>J51</f>
        <v>22278535</v>
      </c>
      <c r="L29" s="364">
        <f>K51</f>
        <v>7953354</v>
      </c>
      <c r="M29" s="364">
        <f>L51</f>
        <v>4286593</v>
      </c>
      <c r="N29" s="364">
        <f>M51</f>
        <v>793432</v>
      </c>
      <c r="O29" s="361"/>
    </row>
    <row r="30" spans="1:16" s="15" customFormat="1" ht="27.75" customHeight="1" thickBot="1">
      <c r="A30" s="195"/>
      <c r="B30" s="195" t="s">
        <v>365</v>
      </c>
      <c r="C30" s="360">
        <f>SUM(C15:C29)</f>
        <v>5709077</v>
      </c>
      <c r="D30" s="360">
        <f>SUM(D15:D29)</f>
        <v>6481000</v>
      </c>
      <c r="E30" s="360">
        <f>SUM(E15:E29)</f>
        <v>10348000</v>
      </c>
      <c r="F30" s="360">
        <f>SUM(F15:F29)</f>
        <v>13658339</v>
      </c>
      <c r="G30" s="360">
        <f>SUM(G15:G29)</f>
        <v>54520040</v>
      </c>
      <c r="H30" s="360">
        <f>SUM(H15:H29)</f>
        <v>28480700</v>
      </c>
      <c r="I30" s="360">
        <f>SUM(I15:I29)</f>
        <v>26982182</v>
      </c>
      <c r="J30" s="360">
        <f>SUM(J15:J29)</f>
        <v>26164882</v>
      </c>
      <c r="K30" s="360">
        <f>SUM(K15:K29)</f>
        <v>27917155</v>
      </c>
      <c r="L30" s="360">
        <f>SUM(L15:L29)</f>
        <v>19466974</v>
      </c>
      <c r="M30" s="360">
        <f>SUM(M15:M29)</f>
        <v>8481593</v>
      </c>
      <c r="N30" s="360">
        <f>SUM(N15:N29)</f>
        <v>16371663</v>
      </c>
      <c r="O30" s="359">
        <f>SUM(O14:O29)</f>
        <v>131760818</v>
      </c>
      <c r="P30" s="101"/>
    </row>
    <row r="31" spans="1:15" ht="15.75">
      <c r="A31" s="196"/>
      <c r="B31" s="197" t="s">
        <v>366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3"/>
    </row>
    <row r="32" spans="1:16" ht="15.75">
      <c r="A32" s="190" t="s">
        <v>276</v>
      </c>
      <c r="B32" s="192" t="s">
        <v>207</v>
      </c>
      <c r="C32" s="362">
        <f>1061000+37000</f>
        <v>1098000</v>
      </c>
      <c r="D32" s="362">
        <v>1223000</v>
      </c>
      <c r="E32" s="362">
        <v>1222000</v>
      </c>
      <c r="F32" s="362">
        <f>1416000+414339+181465</f>
        <v>2011804</v>
      </c>
      <c r="G32" s="362">
        <f>1416000+88670+266286+9200</f>
        <v>1780156</v>
      </c>
      <c r="H32" s="362">
        <f>1416000+9400</f>
        <v>1425400</v>
      </c>
      <c r="I32" s="362">
        <f>1416000+9400+154010+22877+154205</f>
        <v>1756492</v>
      </c>
      <c r="J32" s="362">
        <f>1416000+9400+154009+149376+424386</f>
        <v>2153171</v>
      </c>
      <c r="K32" s="362">
        <f>1416000+158310+9400+427386</f>
        <v>2011096</v>
      </c>
      <c r="L32" s="362">
        <f>1416000+158310+9400+424386</f>
        <v>2008096</v>
      </c>
      <c r="M32" s="362">
        <f>1416000+212193</f>
        <v>1628193</v>
      </c>
      <c r="N32" s="362">
        <f>1416000+209192</f>
        <v>1625192</v>
      </c>
      <c r="O32" s="361">
        <f>SUM(C32:N32)</f>
        <v>19942600</v>
      </c>
      <c r="P32" s="202"/>
    </row>
    <row r="33" spans="1:15" ht="31.5">
      <c r="A33" s="190" t="s">
        <v>278</v>
      </c>
      <c r="B33" s="201" t="s">
        <v>367</v>
      </c>
      <c r="C33" s="362">
        <v>302000</v>
      </c>
      <c r="D33" s="362">
        <v>302000</v>
      </c>
      <c r="E33" s="362">
        <f>392000+118872</f>
        <v>510872</v>
      </c>
      <c r="F33" s="362">
        <f>392000+48995-46801</f>
        <v>394194</v>
      </c>
      <c r="G33" s="362">
        <f>392000+2484</f>
        <v>394484</v>
      </c>
      <c r="H33" s="362">
        <f>392000+23941+2538</f>
        <v>418479</v>
      </c>
      <c r="I33" s="362">
        <f>392000+2538+14551+41635</f>
        <v>450724</v>
      </c>
      <c r="J33" s="362">
        <f>392000+2538+14551+40332+5587</f>
        <v>455008</v>
      </c>
      <c r="K33" s="362">
        <f>392000+2538+11175</f>
        <v>405713</v>
      </c>
      <c r="L33" s="362">
        <f>392000+21372+2538+11175</f>
        <v>427085</v>
      </c>
      <c r="M33" s="362">
        <f>392000+21372-5588</f>
        <v>407784</v>
      </c>
      <c r="N33" s="362">
        <f>392000+22352</f>
        <v>414352</v>
      </c>
      <c r="O33" s="361">
        <f>SUM(C33:N33)</f>
        <v>4882695</v>
      </c>
    </row>
    <row r="34" spans="1:15" ht="15.75">
      <c r="A34" s="190" t="s">
        <v>280</v>
      </c>
      <c r="B34" s="192" t="s">
        <v>209</v>
      </c>
      <c r="C34" s="362">
        <f>1827000+95000</f>
        <v>1922000</v>
      </c>
      <c r="D34" s="362">
        <f>1701000+95000</f>
        <v>1796000</v>
      </c>
      <c r="E34" s="362">
        <f>1890000+95000</f>
        <v>1985000</v>
      </c>
      <c r="F34" s="362">
        <f>1853000+95000</f>
        <v>1948000</v>
      </c>
      <c r="G34" s="362">
        <f>2215000+63508</f>
        <v>2278508</v>
      </c>
      <c r="H34" s="362">
        <f>1533000+95000</f>
        <v>1628000</v>
      </c>
      <c r="I34" s="362">
        <f>1428000+95000</f>
        <v>1523000</v>
      </c>
      <c r="J34" s="362">
        <f>1302000+95000+396875-1000000+240293</f>
        <v>1034168</v>
      </c>
      <c r="K34" s="362">
        <f>882000+240292</f>
        <v>1122292</v>
      </c>
      <c r="L34" s="362">
        <f>1787000+95000-332000</f>
        <v>1550000</v>
      </c>
      <c r="M34" s="362">
        <f>1886000+95000</f>
        <v>1981000</v>
      </c>
      <c r="N34" s="362">
        <f>2047000+99000</f>
        <v>2146000</v>
      </c>
      <c r="O34" s="361">
        <f>SUM(C34:N34)</f>
        <v>20913968</v>
      </c>
    </row>
    <row r="35" spans="1:15" ht="15.75">
      <c r="A35" s="190" t="s">
        <v>285</v>
      </c>
      <c r="B35" s="192" t="s">
        <v>210</v>
      </c>
      <c r="C35" s="362">
        <f>219000+4000</f>
        <v>223000</v>
      </c>
      <c r="D35" s="362">
        <f>219000</f>
        <v>219000</v>
      </c>
      <c r="E35" s="362">
        <f>219000+1000</f>
        <v>220000</v>
      </c>
      <c r="F35" s="362">
        <f>219000+25000</f>
        <v>244000</v>
      </c>
      <c r="G35" s="362">
        <f>219000</f>
        <v>219000</v>
      </c>
      <c r="H35" s="362">
        <f>219000</f>
        <v>219000</v>
      </c>
      <c r="I35" s="362">
        <f>219000</f>
        <v>219000</v>
      </c>
      <c r="J35" s="362">
        <f>219000+25000</f>
        <v>244000</v>
      </c>
      <c r="K35" s="362">
        <f>219000</f>
        <v>219000</v>
      </c>
      <c r="L35" s="362">
        <f>219000</f>
        <v>219000</v>
      </c>
      <c r="M35" s="362">
        <f>219000</f>
        <v>219000</v>
      </c>
      <c r="N35" s="362">
        <v>947000</v>
      </c>
      <c r="O35" s="361">
        <f>SUM(C35:N35)</f>
        <v>3411000</v>
      </c>
    </row>
    <row r="36" spans="1:15" ht="15.75">
      <c r="A36" s="190" t="s">
        <v>287</v>
      </c>
      <c r="B36" s="192" t="s">
        <v>368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1"/>
    </row>
    <row r="37" spans="1:15" ht="15.75">
      <c r="A37" s="190"/>
      <c r="B37" s="192" t="s">
        <v>369</v>
      </c>
      <c r="C37" s="362"/>
      <c r="D37" s="362"/>
      <c r="E37" s="362"/>
      <c r="F37" s="362"/>
      <c r="G37" s="362"/>
      <c r="H37" s="362"/>
      <c r="I37" s="362">
        <f>884145</f>
        <v>884145</v>
      </c>
      <c r="J37" s="362"/>
      <c r="K37" s="362">
        <v>640000</v>
      </c>
      <c r="L37" s="362"/>
      <c r="M37" s="362">
        <v>312184</v>
      </c>
      <c r="N37" s="362"/>
      <c r="O37" s="361">
        <f>SUM(C37:N37)</f>
        <v>1836329</v>
      </c>
    </row>
    <row r="38" spans="1:16" ht="15.75">
      <c r="A38" s="190"/>
      <c r="B38" s="192" t="s">
        <v>370</v>
      </c>
      <c r="C38" s="362">
        <v>50000</v>
      </c>
      <c r="D38" s="362"/>
      <c r="E38" s="362"/>
      <c r="F38" s="362">
        <f>112000-25000+3000</f>
        <v>90000</v>
      </c>
      <c r="G38" s="362">
        <v>200000</v>
      </c>
      <c r="H38" s="362">
        <v>675000</v>
      </c>
      <c r="I38" s="362"/>
      <c r="J38" s="362"/>
      <c r="K38" s="362"/>
      <c r="L38" s="362"/>
      <c r="M38" s="362"/>
      <c r="N38" s="362"/>
      <c r="O38" s="361">
        <f>SUM(C38:N38)</f>
        <v>1015000</v>
      </c>
      <c r="P38" s="202"/>
    </row>
    <row r="39" spans="1:15" ht="15.75">
      <c r="A39" s="190" t="s">
        <v>289</v>
      </c>
      <c r="B39" s="192" t="s">
        <v>213</v>
      </c>
      <c r="C39" s="362"/>
      <c r="D39" s="362"/>
      <c r="E39" s="362">
        <v>2000000</v>
      </c>
      <c r="F39" s="362">
        <v>450000</v>
      </c>
      <c r="G39" s="362">
        <v>225000</v>
      </c>
      <c r="H39" s="362"/>
      <c r="I39" s="362"/>
      <c r="J39" s="362"/>
      <c r="K39" s="362">
        <f>173000+11800+530900</f>
        <v>715700</v>
      </c>
      <c r="L39" s="362">
        <v>2596200</v>
      </c>
      <c r="M39" s="362">
        <v>2540000</v>
      </c>
      <c r="N39" s="362">
        <v>117910</v>
      </c>
      <c r="O39" s="361">
        <f>SUM(C39:N39)</f>
        <v>8644810</v>
      </c>
    </row>
    <row r="40" spans="1:15" ht="15.75">
      <c r="A40" s="190" t="s">
        <v>296</v>
      </c>
      <c r="B40" s="192" t="s">
        <v>82</v>
      </c>
      <c r="C40" s="362"/>
      <c r="D40" s="362"/>
      <c r="E40" s="362"/>
      <c r="F40" s="362"/>
      <c r="G40" s="362">
        <v>400000</v>
      </c>
      <c r="H40" s="362"/>
      <c r="I40" s="362"/>
      <c r="J40" s="362"/>
      <c r="K40" s="362">
        <v>14850000</v>
      </c>
      <c r="L40" s="362">
        <f>8355000+25000</f>
        <v>8380000</v>
      </c>
      <c r="M40" s="362"/>
      <c r="N40" s="362">
        <v>10000000</v>
      </c>
      <c r="O40" s="361">
        <f>SUM(C40:N40)</f>
        <v>33630000</v>
      </c>
    </row>
    <row r="41" spans="1:15" ht="20.25" customHeight="1">
      <c r="A41" s="190" t="s">
        <v>299</v>
      </c>
      <c r="B41" s="192" t="s">
        <v>290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1">
        <f>SUM(C41:N41)</f>
        <v>0</v>
      </c>
    </row>
    <row r="42" spans="1:15" ht="20.25" customHeight="1">
      <c r="A42" s="190"/>
      <c r="B42" s="192" t="s">
        <v>369</v>
      </c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1">
        <f>SUM(C42:N42)</f>
        <v>0</v>
      </c>
    </row>
    <row r="43" spans="1:15" ht="15.75">
      <c r="A43" s="190"/>
      <c r="B43" s="192" t="s">
        <v>370</v>
      </c>
      <c r="C43" s="362"/>
      <c r="D43" s="362"/>
      <c r="E43" s="362"/>
      <c r="F43" s="362"/>
      <c r="G43" s="362"/>
      <c r="H43" s="362">
        <v>600000</v>
      </c>
      <c r="I43" s="362"/>
      <c r="J43" s="362"/>
      <c r="K43" s="362"/>
      <c r="L43" s="362"/>
      <c r="M43" s="362">
        <v>600000</v>
      </c>
      <c r="N43" s="362"/>
      <c r="O43" s="361">
        <f>SUM(C43:N43)</f>
        <v>1200000</v>
      </c>
    </row>
    <row r="44" spans="1:15" ht="15.75">
      <c r="A44" s="190" t="s">
        <v>301</v>
      </c>
      <c r="B44" s="192" t="s">
        <v>206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1">
        <f>SUM(C44:N44)</f>
        <v>0</v>
      </c>
    </row>
    <row r="45" spans="1:15" ht="15.75">
      <c r="A45" s="190"/>
      <c r="B45" s="284" t="s">
        <v>496</v>
      </c>
      <c r="C45" s="362">
        <v>1139077</v>
      </c>
      <c r="D45" s="362"/>
      <c r="E45" s="362"/>
      <c r="F45" s="362"/>
      <c r="G45" s="362">
        <v>179682</v>
      </c>
      <c r="H45" s="362"/>
      <c r="I45" s="362"/>
      <c r="J45" s="362"/>
      <c r="K45" s="362"/>
      <c r="L45" s="362"/>
      <c r="M45" s="362"/>
      <c r="N45" s="362">
        <v>1121209</v>
      </c>
      <c r="O45" s="361">
        <f>SUM(C45:N45)</f>
        <v>2439968</v>
      </c>
    </row>
    <row r="46" spans="1:15" ht="15.75">
      <c r="A46" s="190"/>
      <c r="B46" s="192" t="s">
        <v>371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1">
        <f>SUM(C46:N46)</f>
        <v>0</v>
      </c>
    </row>
    <row r="47" spans="1:15" ht="15.75">
      <c r="A47" s="190"/>
      <c r="B47" s="192" t="s">
        <v>372</v>
      </c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1">
        <f>SUM(C47:N47)</f>
        <v>0</v>
      </c>
    </row>
    <row r="48" spans="1:16" ht="15.75">
      <c r="A48" s="190" t="s">
        <v>373</v>
      </c>
      <c r="B48" s="192" t="s">
        <v>374</v>
      </c>
      <c r="C48" s="362"/>
      <c r="D48" s="362"/>
      <c r="E48" s="362"/>
      <c r="F48" s="362"/>
      <c r="G48" s="362">
        <f>40789124-2596200-425000-11800-396875-100000-381000-600000-116030-149900-2167871</f>
        <v>33844448</v>
      </c>
      <c r="H48" s="362"/>
      <c r="I48" s="362"/>
      <c r="J48" s="362"/>
      <c r="K48" s="362"/>
      <c r="L48" s="362"/>
      <c r="M48" s="362"/>
      <c r="N48" s="362"/>
      <c r="O48" s="361">
        <f>SUM(C48:N48)</f>
        <v>33844448</v>
      </c>
      <c r="P48" s="202"/>
    </row>
    <row r="49" spans="1:15" ht="16.5" thickBot="1">
      <c r="A49" s="193" t="s">
        <v>375</v>
      </c>
      <c r="B49" s="194" t="s">
        <v>376</v>
      </c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1">
        <f>SUM(C49:N49)</f>
        <v>0</v>
      </c>
    </row>
    <row r="50" spans="1:19" s="15" customFormat="1" ht="24" customHeight="1" thickBot="1">
      <c r="A50" s="195"/>
      <c r="B50" s="195" t="s">
        <v>377</v>
      </c>
      <c r="C50" s="360">
        <f>SUM(C32:C49)</f>
        <v>4734077</v>
      </c>
      <c r="D50" s="360">
        <f>SUM(D32:D49)</f>
        <v>3540000</v>
      </c>
      <c r="E50" s="360">
        <f>SUM(E32:E49)</f>
        <v>5937872</v>
      </c>
      <c r="F50" s="360">
        <f>SUM(F32:F49)</f>
        <v>5137998</v>
      </c>
      <c r="G50" s="360">
        <f>SUM(G32:G49)</f>
        <v>39521278</v>
      </c>
      <c r="H50" s="360">
        <f>SUM(H32:H49)</f>
        <v>4965879</v>
      </c>
      <c r="I50" s="360">
        <f>SUM(I32:I49)</f>
        <v>4833361</v>
      </c>
      <c r="J50" s="360">
        <f>SUM(J32:J49)</f>
        <v>3886347</v>
      </c>
      <c r="K50" s="360">
        <f>SUM(K32:K49)</f>
        <v>19963801</v>
      </c>
      <c r="L50" s="360">
        <f>SUM(L32:L49)</f>
        <v>15180381</v>
      </c>
      <c r="M50" s="360">
        <f>SUM(M32:M49)</f>
        <v>7688161</v>
      </c>
      <c r="N50" s="360">
        <f>SUM(N32:N49)</f>
        <v>16371663</v>
      </c>
      <c r="O50" s="359">
        <f>SUM(O32:O49)</f>
        <v>131760818</v>
      </c>
      <c r="S50" s="198"/>
    </row>
    <row r="51" spans="1:15" ht="26.25" customHeight="1" thickBot="1">
      <c r="A51" s="199"/>
      <c r="B51" s="200" t="s">
        <v>378</v>
      </c>
      <c r="C51" s="358">
        <f>C30-C50</f>
        <v>975000</v>
      </c>
      <c r="D51" s="358">
        <f>D30-D50</f>
        <v>2941000</v>
      </c>
      <c r="E51" s="358">
        <f>E30-E50</f>
        <v>4410128</v>
      </c>
      <c r="F51" s="358">
        <f>F30-F50</f>
        <v>8520341</v>
      </c>
      <c r="G51" s="358">
        <f>G30-G50</f>
        <v>14998762</v>
      </c>
      <c r="H51" s="358">
        <f>H30-H50</f>
        <v>23514821</v>
      </c>
      <c r="I51" s="358">
        <f>I30-I50</f>
        <v>22148821</v>
      </c>
      <c r="J51" s="358">
        <f>J30-J50</f>
        <v>22278535</v>
      </c>
      <c r="K51" s="358">
        <f>K30-K50</f>
        <v>7953354</v>
      </c>
      <c r="L51" s="358">
        <f>L30-L50</f>
        <v>4286593</v>
      </c>
      <c r="M51" s="358">
        <f>M30-M50</f>
        <v>793432</v>
      </c>
      <c r="N51" s="358">
        <f>N30-N50</f>
        <v>0</v>
      </c>
      <c r="O51" s="357"/>
    </row>
    <row r="53" spans="3:15" ht="15.75"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</row>
    <row r="54" ht="15.75">
      <c r="O54" s="356"/>
    </row>
    <row r="55" ht="15.75">
      <c r="O55" s="356"/>
    </row>
    <row r="56" ht="15.75">
      <c r="O56" s="356"/>
    </row>
    <row r="57" ht="15.75">
      <c r="O57" s="356"/>
    </row>
  </sheetData>
  <sheetProtection/>
  <mergeCells count="5">
    <mergeCell ref="A4:O4"/>
    <mergeCell ref="B5:O5"/>
    <mergeCell ref="B6:O6"/>
    <mergeCell ref="B7:O7"/>
    <mergeCell ref="B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.75390625" style="20" customWidth="1"/>
    <col min="2" max="2" width="56.25390625" style="20" customWidth="1"/>
    <col min="3" max="3" width="17.875" style="20" customWidth="1"/>
    <col min="4" max="4" width="4.875" style="20" customWidth="1"/>
    <col min="5" max="16384" width="9.125" style="20" customWidth="1"/>
  </cols>
  <sheetData>
    <row r="1" spans="1:5" ht="15.75">
      <c r="A1" s="93" t="s">
        <v>522</v>
      </c>
      <c r="B1" s="93"/>
      <c r="C1" s="93"/>
      <c r="D1" s="93"/>
      <c r="E1" s="19"/>
    </row>
    <row r="2" spans="1:5" ht="15.75">
      <c r="A2" s="21"/>
      <c r="B2" s="21"/>
      <c r="C2" s="21"/>
      <c r="D2" s="22"/>
      <c r="E2" s="19"/>
    </row>
    <row r="3" spans="1:5" ht="12.75" customHeight="1">
      <c r="A3" s="22"/>
      <c r="B3" s="22"/>
      <c r="C3" s="22"/>
      <c r="D3" s="22"/>
      <c r="E3" s="19"/>
    </row>
    <row r="4" spans="1:5" ht="15.75">
      <c r="A4" s="595" t="s">
        <v>4</v>
      </c>
      <c r="B4" s="595"/>
      <c r="C4" s="595"/>
      <c r="D4" s="595"/>
      <c r="E4" s="19"/>
    </row>
    <row r="5" spans="1:5" ht="15.75">
      <c r="A5" s="595" t="s">
        <v>24</v>
      </c>
      <c r="B5" s="595"/>
      <c r="C5" s="595"/>
      <c r="D5" s="595"/>
      <c r="E5" s="19"/>
    </row>
    <row r="6" spans="1:5" ht="15.75">
      <c r="A6" s="595" t="s">
        <v>495</v>
      </c>
      <c r="B6" s="595"/>
      <c r="C6" s="595"/>
      <c r="D6" s="595"/>
      <c r="E6" s="19"/>
    </row>
    <row r="7" spans="1:5" ht="15.75">
      <c r="A7" s="21"/>
      <c r="B7" s="21"/>
      <c r="C7" s="21"/>
      <c r="D7" s="19"/>
      <c r="E7" s="19"/>
    </row>
    <row r="8" spans="1:5" ht="15.75">
      <c r="A8" s="21"/>
      <c r="B8" s="21"/>
      <c r="C8" s="21"/>
      <c r="D8" s="19"/>
      <c r="E8" s="19"/>
    </row>
    <row r="9" spans="1:5" ht="15.75">
      <c r="A9" s="21"/>
      <c r="B9" s="21"/>
      <c r="C9" s="21"/>
      <c r="D9" s="19"/>
      <c r="E9" s="19"/>
    </row>
    <row r="10" spans="1:5" ht="15.75">
      <c r="A10" s="21"/>
      <c r="B10" s="21"/>
      <c r="C10" s="21"/>
      <c r="D10" s="19"/>
      <c r="E10" s="19"/>
    </row>
    <row r="11" spans="1:5" ht="15.75">
      <c r="A11" s="21"/>
      <c r="B11" s="23" t="s">
        <v>12</v>
      </c>
      <c r="C11" s="21"/>
      <c r="D11" s="19"/>
      <c r="E11" s="19"/>
    </row>
    <row r="12" spans="1:5" ht="10.5" customHeight="1">
      <c r="A12" s="21"/>
      <c r="B12" s="23"/>
      <c r="C12" s="21"/>
      <c r="D12" s="19"/>
      <c r="E12" s="19"/>
    </row>
    <row r="13" spans="1:5" ht="12" customHeight="1">
      <c r="A13" s="21"/>
      <c r="B13" s="23"/>
      <c r="C13" s="24"/>
      <c r="D13" s="19"/>
      <c r="E13" s="19"/>
    </row>
    <row r="14" spans="1:3" s="28" customFormat="1" ht="15">
      <c r="A14" s="25"/>
      <c r="B14" s="26" t="s">
        <v>13</v>
      </c>
      <c r="C14" s="27"/>
    </row>
    <row r="15" spans="1:5" ht="19.5" customHeight="1">
      <c r="A15" s="29"/>
      <c r="B15" s="19" t="s">
        <v>14</v>
      </c>
      <c r="C15" s="30">
        <v>1845000</v>
      </c>
      <c r="D15" s="19" t="s">
        <v>1</v>
      </c>
      <c r="E15" s="19"/>
    </row>
    <row r="16" spans="1:5" ht="19.5" customHeight="1">
      <c r="A16" s="19"/>
      <c r="B16" s="22" t="s">
        <v>15</v>
      </c>
      <c r="C16" s="31">
        <f>SUM(C15)</f>
        <v>1845000</v>
      </c>
      <c r="D16" s="22" t="s">
        <v>1</v>
      </c>
      <c r="E16" s="19"/>
    </row>
    <row r="17" spans="1:5" ht="19.5" customHeight="1">
      <c r="A17" s="19"/>
      <c r="B17" s="22"/>
      <c r="C17" s="31"/>
      <c r="D17" s="22"/>
      <c r="E17" s="19"/>
    </row>
    <row r="18" spans="1:5" ht="19.5" customHeight="1">
      <c r="A18" s="19"/>
      <c r="B18" s="22"/>
      <c r="C18" s="31"/>
      <c r="D18" s="22"/>
      <c r="E18" s="19"/>
    </row>
    <row r="19" spans="1:5" ht="10.5" customHeight="1">
      <c r="A19" s="19"/>
      <c r="B19" s="22"/>
      <c r="C19" s="31"/>
      <c r="D19" s="22"/>
      <c r="E19" s="19"/>
    </row>
    <row r="20" spans="1:5" ht="15.75">
      <c r="A20" s="19"/>
      <c r="B20" s="82"/>
      <c r="C20" s="19"/>
      <c r="D20" s="19"/>
      <c r="E20" s="19"/>
    </row>
    <row r="21" spans="1:5" ht="15.75">
      <c r="A21" s="19"/>
      <c r="B21" s="19"/>
      <c r="C21" s="19"/>
      <c r="D21" s="19"/>
      <c r="E21" s="19"/>
    </row>
    <row r="22" spans="1:5" ht="15.75">
      <c r="A22" s="19"/>
      <c r="B22" s="19"/>
      <c r="C22" s="19"/>
      <c r="D22" s="19"/>
      <c r="E22" s="19"/>
    </row>
    <row r="23" spans="1:5" ht="15.75">
      <c r="A23" s="19"/>
      <c r="B23" s="19"/>
      <c r="C23" s="19"/>
      <c r="D23" s="19"/>
      <c r="E23" s="19"/>
    </row>
    <row r="24" spans="1:5" ht="15.75">
      <c r="A24" s="19"/>
      <c r="B24" s="19"/>
      <c r="C24" s="19"/>
      <c r="D24" s="19"/>
      <c r="E24" s="19"/>
    </row>
    <row r="25" spans="1:5" ht="15.75">
      <c r="A25" s="19"/>
      <c r="B25" s="19"/>
      <c r="C25" s="19"/>
      <c r="D25" s="19"/>
      <c r="E25" s="19"/>
    </row>
    <row r="26" spans="1:5" ht="15.75">
      <c r="A26" s="19"/>
      <c r="B26" s="19"/>
      <c r="C26" s="19"/>
      <c r="D26" s="19"/>
      <c r="E26" s="19"/>
    </row>
    <row r="27" spans="1:5" ht="15.75">
      <c r="A27" s="19"/>
      <c r="B27" s="19"/>
      <c r="C27" s="19"/>
      <c r="D27" s="19"/>
      <c r="E27" s="19"/>
    </row>
    <row r="28" spans="1:5" ht="15.75">
      <c r="A28" s="19"/>
      <c r="B28" s="19"/>
      <c r="C28" s="19"/>
      <c r="D28" s="19"/>
      <c r="E28" s="19"/>
    </row>
  </sheetData>
  <sheetProtection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6" width="11.875" style="1" customWidth="1"/>
    <col min="7" max="7" width="12.375" style="1" customWidth="1"/>
    <col min="8" max="16384" width="9.125" style="1" customWidth="1"/>
  </cols>
  <sheetData>
    <row r="1" spans="1:7" ht="15.75">
      <c r="A1" s="93" t="s">
        <v>523</v>
      </c>
      <c r="C1" s="541"/>
      <c r="D1" s="541"/>
      <c r="E1" s="541"/>
      <c r="F1" s="541"/>
      <c r="G1" s="541"/>
    </row>
    <row r="3" spans="1:7" ht="12.75">
      <c r="A3" s="472"/>
      <c r="B3" s="472"/>
      <c r="C3" s="472"/>
      <c r="D3" s="472"/>
      <c r="E3" s="472"/>
      <c r="F3" s="472"/>
      <c r="G3" s="472"/>
    </row>
    <row r="4" spans="1:8" ht="14.25">
      <c r="A4" s="600"/>
      <c r="B4" s="600"/>
      <c r="C4" s="600"/>
      <c r="D4" s="600"/>
      <c r="E4" s="600"/>
      <c r="F4" s="600"/>
      <c r="G4" s="600"/>
      <c r="H4" s="60"/>
    </row>
    <row r="5" spans="1:8" ht="14.25">
      <c r="A5" s="600" t="s">
        <v>310</v>
      </c>
      <c r="B5" s="600"/>
      <c r="C5" s="600"/>
      <c r="D5" s="600"/>
      <c r="E5" s="600"/>
      <c r="F5" s="600"/>
      <c r="G5" s="600"/>
      <c r="H5" s="60"/>
    </row>
    <row r="6" spans="1:8" s="5" customFormat="1" ht="15.75">
      <c r="A6" s="501" t="s">
        <v>311</v>
      </c>
      <c r="B6" s="501"/>
      <c r="C6" s="501"/>
      <c r="D6" s="501"/>
      <c r="E6" s="501"/>
      <c r="F6" s="501"/>
      <c r="G6" s="501"/>
      <c r="H6" s="52"/>
    </row>
    <row r="7" spans="1:8" s="5" customFormat="1" ht="15.75">
      <c r="A7" s="501" t="s">
        <v>497</v>
      </c>
      <c r="B7" s="501"/>
      <c r="C7" s="501"/>
      <c r="D7" s="501"/>
      <c r="E7" s="501"/>
      <c r="F7" s="501"/>
      <c r="G7" s="501"/>
      <c r="H7" s="52"/>
    </row>
    <row r="8" spans="1:7" s="5" customFormat="1" ht="13.5" thickBot="1">
      <c r="A8" s="61"/>
      <c r="B8" s="61"/>
      <c r="C8" s="61"/>
      <c r="D8" s="61"/>
      <c r="E8" s="61"/>
      <c r="G8" s="62" t="s">
        <v>5</v>
      </c>
    </row>
    <row r="9" spans="1:7" s="65" customFormat="1" ht="22.5" customHeight="1" thickTop="1">
      <c r="A9" s="63" t="s">
        <v>45</v>
      </c>
      <c r="B9" s="64"/>
      <c r="C9" s="601" t="s">
        <v>66</v>
      </c>
      <c r="D9" s="601" t="s">
        <v>67</v>
      </c>
      <c r="E9" s="601" t="s">
        <v>68</v>
      </c>
      <c r="F9" s="601" t="s">
        <v>69</v>
      </c>
      <c r="G9" s="608" t="s">
        <v>70</v>
      </c>
    </row>
    <row r="10" spans="1:7" s="65" customFormat="1" ht="12.75">
      <c r="A10" s="66"/>
      <c r="B10" s="67" t="s">
        <v>71</v>
      </c>
      <c r="C10" s="602"/>
      <c r="D10" s="602"/>
      <c r="E10" s="602"/>
      <c r="F10" s="602"/>
      <c r="G10" s="609"/>
    </row>
    <row r="11" spans="1:7" s="65" customFormat="1" ht="13.5" thickBot="1">
      <c r="A11" s="68" t="s">
        <v>46</v>
      </c>
      <c r="B11" s="69"/>
      <c r="C11" s="603"/>
      <c r="D11" s="603"/>
      <c r="E11" s="603"/>
      <c r="F11" s="603"/>
      <c r="G11" s="610"/>
    </row>
    <row r="12" spans="1:7" s="65" customFormat="1" ht="12.75">
      <c r="A12" s="596" t="s">
        <v>47</v>
      </c>
      <c r="B12" s="598" t="s">
        <v>72</v>
      </c>
      <c r="C12" s="604">
        <v>1887</v>
      </c>
      <c r="D12" s="604">
        <v>1887</v>
      </c>
      <c r="E12" s="604">
        <v>1887</v>
      </c>
      <c r="F12" s="604">
        <v>1887</v>
      </c>
      <c r="G12" s="606">
        <f>SUM(C12:F17)</f>
        <v>7548</v>
      </c>
    </row>
    <row r="13" spans="1:7" s="65" customFormat="1" ht="15" customHeight="1">
      <c r="A13" s="597"/>
      <c r="B13" s="599"/>
      <c r="C13" s="605"/>
      <c r="D13" s="605"/>
      <c r="E13" s="605"/>
      <c r="F13" s="605"/>
      <c r="G13" s="607"/>
    </row>
    <row r="14" spans="1:7" s="65" customFormat="1" ht="15" customHeight="1">
      <c r="A14" s="597"/>
      <c r="B14" s="70" t="s">
        <v>73</v>
      </c>
      <c r="C14" s="605"/>
      <c r="D14" s="605"/>
      <c r="E14" s="605"/>
      <c r="F14" s="605"/>
      <c r="G14" s="607"/>
    </row>
    <row r="15" spans="1:7" s="65" customFormat="1" ht="25.5">
      <c r="A15" s="597"/>
      <c r="B15" s="70" t="s">
        <v>312</v>
      </c>
      <c r="C15" s="605"/>
      <c r="D15" s="605"/>
      <c r="E15" s="605"/>
      <c r="F15" s="605"/>
      <c r="G15" s="607"/>
    </row>
    <row r="16" spans="1:7" s="65" customFormat="1" ht="12.75">
      <c r="A16" s="597"/>
      <c r="B16" s="71" t="s">
        <v>74</v>
      </c>
      <c r="C16" s="605"/>
      <c r="D16" s="605"/>
      <c r="E16" s="605"/>
      <c r="F16" s="605"/>
      <c r="G16" s="607"/>
    </row>
    <row r="17" spans="1:7" s="65" customFormat="1" ht="13.5" thickBot="1">
      <c r="A17" s="597"/>
      <c r="B17" s="72" t="s">
        <v>75</v>
      </c>
      <c r="C17" s="605"/>
      <c r="D17" s="605"/>
      <c r="E17" s="605"/>
      <c r="F17" s="605"/>
      <c r="G17" s="607"/>
    </row>
    <row r="18" spans="1:8" s="78" customFormat="1" ht="40.5" customHeight="1" thickBot="1" thickTop="1">
      <c r="A18" s="73"/>
      <c r="B18" s="74" t="s">
        <v>76</v>
      </c>
      <c r="C18" s="75">
        <f>SUM(C12:C17)</f>
        <v>1887</v>
      </c>
      <c r="D18" s="75">
        <f>SUM(D12:D17)</f>
        <v>1887</v>
      </c>
      <c r="E18" s="75">
        <f>SUM(E12:E17)</f>
        <v>1887</v>
      </c>
      <c r="F18" s="75">
        <f>SUM(F12:F17)</f>
        <v>1887</v>
      </c>
      <c r="G18" s="76">
        <f>SUM(G12:G17)</f>
        <v>7548</v>
      </c>
      <c r="H18" s="77"/>
    </row>
    <row r="19" spans="1:6" s="78" customFormat="1" ht="27" customHeight="1">
      <c r="A19" s="79"/>
      <c r="B19" s="80"/>
      <c r="C19" s="81"/>
      <c r="D19" s="81"/>
      <c r="E19" s="81"/>
      <c r="F19" s="81"/>
    </row>
  </sheetData>
  <sheetProtection/>
  <mergeCells count="18">
    <mergeCell ref="C1:G1"/>
    <mergeCell ref="F12:F17"/>
    <mergeCell ref="G12:G17"/>
    <mergeCell ref="G9:G11"/>
    <mergeCell ref="C12:C17"/>
    <mergeCell ref="D12:D17"/>
    <mergeCell ref="D9:D11"/>
    <mergeCell ref="E12:E17"/>
    <mergeCell ref="A3:G3"/>
    <mergeCell ref="A4:G4"/>
    <mergeCell ref="A12:A17"/>
    <mergeCell ref="B12:B13"/>
    <mergeCell ref="A6:G6"/>
    <mergeCell ref="A7:G7"/>
    <mergeCell ref="A5:G5"/>
    <mergeCell ref="C9:C11"/>
    <mergeCell ref="F9:F11"/>
    <mergeCell ref="E9:E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2:M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45" customWidth="1"/>
    <col min="2" max="2" width="37.375" style="45" customWidth="1"/>
    <col min="3" max="3" width="9.625" style="45" customWidth="1"/>
    <col min="4" max="12" width="15.75390625" style="45" customWidth="1"/>
    <col min="13" max="13" width="13.625" style="45" bestFit="1" customWidth="1"/>
    <col min="14" max="16384" width="9.125" style="45" customWidth="1"/>
  </cols>
  <sheetData>
    <row r="2" spans="1:12" ht="15.75">
      <c r="A2" s="206" t="s">
        <v>524</v>
      </c>
      <c r="K2" s="641"/>
      <c r="L2" s="641"/>
    </row>
    <row r="3" spans="1:12" ht="15.75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2:12" ht="15.7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5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5.75">
      <c r="A6" s="471" t="s">
        <v>44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</row>
    <row r="7" spans="1:12" ht="15.75">
      <c r="A7" s="471" t="s">
        <v>387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471" t="s">
        <v>397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</row>
    <row r="9" spans="1:12" ht="15.7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1:12" ht="15.7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ht="16.5" thickBot="1">
      <c r="L11" s="207" t="s">
        <v>5</v>
      </c>
    </row>
    <row r="12" spans="1:12" ht="32.25" customHeight="1" thickTop="1">
      <c r="A12" s="642" t="s">
        <v>388</v>
      </c>
      <c r="B12" s="645" t="s">
        <v>389</v>
      </c>
      <c r="C12" s="645" t="s">
        <v>390</v>
      </c>
      <c r="D12" s="648" t="s">
        <v>391</v>
      </c>
      <c r="E12" s="649"/>
      <c r="F12" s="648" t="s">
        <v>392</v>
      </c>
      <c r="G12" s="649"/>
      <c r="H12" s="648" t="s">
        <v>70</v>
      </c>
      <c r="I12" s="649"/>
      <c r="J12" s="656" t="s">
        <v>393</v>
      </c>
      <c r="K12" s="657"/>
      <c r="L12" s="658"/>
    </row>
    <row r="13" spans="1:12" ht="16.5" thickBot="1">
      <c r="A13" s="643"/>
      <c r="B13" s="643"/>
      <c r="C13" s="643"/>
      <c r="D13" s="650"/>
      <c r="E13" s="651"/>
      <c r="F13" s="650"/>
      <c r="G13" s="651"/>
      <c r="H13" s="650"/>
      <c r="I13" s="651"/>
      <c r="J13" s="659"/>
      <c r="K13" s="660"/>
      <c r="L13" s="655"/>
    </row>
    <row r="14" spans="1:12" ht="15.75">
      <c r="A14" s="643"/>
      <c r="B14" s="643"/>
      <c r="C14" s="643"/>
      <c r="D14" s="646" t="s">
        <v>398</v>
      </c>
      <c r="E14" s="646" t="s">
        <v>399</v>
      </c>
      <c r="F14" s="646" t="s">
        <v>398</v>
      </c>
      <c r="G14" s="646" t="s">
        <v>399</v>
      </c>
      <c r="H14" s="646" t="s">
        <v>398</v>
      </c>
      <c r="I14" s="646" t="s">
        <v>399</v>
      </c>
      <c r="J14" s="646" t="s">
        <v>394</v>
      </c>
      <c r="K14" s="652" t="s">
        <v>392</v>
      </c>
      <c r="L14" s="654" t="s">
        <v>395</v>
      </c>
    </row>
    <row r="15" spans="1:12" ht="16.5" thickBot="1">
      <c r="A15" s="644"/>
      <c r="B15" s="644"/>
      <c r="C15" s="644"/>
      <c r="D15" s="647"/>
      <c r="E15" s="647"/>
      <c r="F15" s="647"/>
      <c r="G15" s="647"/>
      <c r="H15" s="647"/>
      <c r="I15" s="647"/>
      <c r="J15" s="647"/>
      <c r="K15" s="653"/>
      <c r="L15" s="655"/>
    </row>
    <row r="16" spans="1:13" ht="26.25" customHeight="1">
      <c r="A16" s="627" t="s">
        <v>47</v>
      </c>
      <c r="B16" s="629" t="s">
        <v>402</v>
      </c>
      <c r="C16" s="638"/>
      <c r="D16" s="614">
        <f>12559-9743</f>
        <v>2816</v>
      </c>
      <c r="E16" s="614"/>
      <c r="F16" s="614"/>
      <c r="G16" s="614">
        <v>9743</v>
      </c>
      <c r="H16" s="614">
        <f>D16+F16</f>
        <v>2816</v>
      </c>
      <c r="I16" s="614">
        <f>E16+G16</f>
        <v>9743</v>
      </c>
      <c r="J16" s="635">
        <f>D16+E16</f>
        <v>2816</v>
      </c>
      <c r="K16" s="632">
        <f>F16+G16</f>
        <v>9743</v>
      </c>
      <c r="L16" s="661">
        <f>H16+I16</f>
        <v>12559</v>
      </c>
      <c r="M16" s="202"/>
    </row>
    <row r="17" spans="1:12" ht="26.25" customHeight="1">
      <c r="A17" s="618"/>
      <c r="B17" s="630"/>
      <c r="C17" s="639"/>
      <c r="D17" s="615"/>
      <c r="E17" s="615"/>
      <c r="F17" s="615"/>
      <c r="G17" s="615"/>
      <c r="H17" s="615"/>
      <c r="I17" s="615"/>
      <c r="J17" s="636"/>
      <c r="K17" s="633"/>
      <c r="L17" s="662"/>
    </row>
    <row r="18" spans="1:12" s="208" customFormat="1" ht="26.25" customHeight="1" thickBot="1">
      <c r="A18" s="628"/>
      <c r="B18" s="631"/>
      <c r="C18" s="640"/>
      <c r="D18" s="626"/>
      <c r="E18" s="626"/>
      <c r="F18" s="616"/>
      <c r="G18" s="616"/>
      <c r="H18" s="616"/>
      <c r="I18" s="616"/>
      <c r="J18" s="637"/>
      <c r="K18" s="634"/>
      <c r="L18" s="663"/>
    </row>
    <row r="19" spans="1:12" ht="26.25" customHeight="1" thickTop="1">
      <c r="A19" s="617"/>
      <c r="B19" s="620" t="s">
        <v>396</v>
      </c>
      <c r="C19" s="623"/>
      <c r="D19" s="611">
        <f>D16</f>
        <v>2816</v>
      </c>
      <c r="E19" s="611">
        <f aca="true" t="shared" si="0" ref="E19:L19">E16</f>
        <v>0</v>
      </c>
      <c r="F19" s="611">
        <f t="shared" si="0"/>
        <v>0</v>
      </c>
      <c r="G19" s="611">
        <f t="shared" si="0"/>
        <v>9743</v>
      </c>
      <c r="H19" s="611">
        <f t="shared" si="0"/>
        <v>2816</v>
      </c>
      <c r="I19" s="611">
        <f t="shared" si="0"/>
        <v>9743</v>
      </c>
      <c r="J19" s="611">
        <f t="shared" si="0"/>
        <v>2816</v>
      </c>
      <c r="K19" s="611">
        <f t="shared" si="0"/>
        <v>9743</v>
      </c>
      <c r="L19" s="611">
        <f t="shared" si="0"/>
        <v>12559</v>
      </c>
    </row>
    <row r="20" spans="1:12" ht="26.25" customHeight="1">
      <c r="A20" s="618"/>
      <c r="B20" s="621"/>
      <c r="C20" s="624"/>
      <c r="D20" s="612"/>
      <c r="E20" s="612"/>
      <c r="F20" s="612"/>
      <c r="G20" s="612"/>
      <c r="H20" s="612"/>
      <c r="I20" s="612"/>
      <c r="J20" s="612"/>
      <c r="K20" s="612"/>
      <c r="L20" s="612"/>
    </row>
    <row r="21" spans="1:12" s="208" customFormat="1" ht="26.25" customHeight="1" thickBot="1">
      <c r="A21" s="619"/>
      <c r="B21" s="622"/>
      <c r="C21" s="625"/>
      <c r="D21" s="613"/>
      <c r="E21" s="613"/>
      <c r="F21" s="613"/>
      <c r="G21" s="613"/>
      <c r="H21" s="613"/>
      <c r="I21" s="613"/>
      <c r="J21" s="613"/>
      <c r="K21" s="613"/>
      <c r="L21" s="613"/>
    </row>
    <row r="22" spans="1:12" ht="26.25" customHeight="1" thickTop="1">
      <c r="A22" s="209"/>
      <c r="B22" s="209"/>
      <c r="C22" s="209"/>
      <c r="D22" s="210"/>
      <c r="E22" s="210"/>
      <c r="F22" s="211"/>
      <c r="G22" s="211"/>
      <c r="H22" s="211"/>
      <c r="I22" s="211"/>
      <c r="J22" s="210"/>
      <c r="K22" s="211"/>
      <c r="L22" s="210"/>
    </row>
    <row r="23" spans="1:12" ht="26.25" customHeight="1">
      <c r="A23" s="209"/>
      <c r="B23" s="209"/>
      <c r="C23" s="209"/>
      <c r="D23" s="211"/>
      <c r="E23" s="211"/>
      <c r="F23" s="211"/>
      <c r="G23" s="211"/>
      <c r="H23" s="211"/>
      <c r="I23" s="211"/>
      <c r="J23" s="211"/>
      <c r="K23" s="211"/>
      <c r="L23" s="211"/>
    </row>
    <row r="24" spans="1:12" ht="26.25" customHeight="1">
      <c r="A24" s="209"/>
      <c r="B24" s="209"/>
      <c r="C24" s="209"/>
      <c r="D24" s="210"/>
      <c r="E24" s="210"/>
      <c r="F24" s="210"/>
      <c r="G24" s="210"/>
      <c r="H24" s="211"/>
      <c r="I24" s="211"/>
      <c r="J24" s="210"/>
      <c r="K24" s="210"/>
      <c r="L24" s="210"/>
    </row>
    <row r="25" spans="1:12" ht="26.25" customHeight="1">
      <c r="A25" s="209"/>
      <c r="B25" s="209"/>
      <c r="C25" s="209"/>
      <c r="D25" s="210"/>
      <c r="E25" s="210"/>
      <c r="F25" s="211"/>
      <c r="G25" s="211"/>
      <c r="H25" s="210"/>
      <c r="I25" s="210"/>
      <c r="J25" s="210"/>
      <c r="K25" s="210"/>
      <c r="L25" s="210"/>
    </row>
    <row r="26" spans="1:12" ht="26.25" customHeight="1">
      <c r="A26" s="209"/>
      <c r="B26" s="209"/>
      <c r="C26" s="209"/>
      <c r="D26" s="210"/>
      <c r="E26" s="210"/>
      <c r="F26" s="210"/>
      <c r="G26" s="210"/>
      <c r="H26" s="210"/>
      <c r="I26" s="210"/>
      <c r="J26" s="210"/>
      <c r="K26" s="210"/>
      <c r="L26" s="210"/>
    </row>
    <row r="30" spans="6:7" ht="15.75">
      <c r="F30" s="202"/>
      <c r="G30" s="202"/>
    </row>
  </sheetData>
  <sheetProtection/>
  <mergeCells count="45">
    <mergeCell ref="K14:K15"/>
    <mergeCell ref="L14:L15"/>
    <mergeCell ref="J12:L13"/>
    <mergeCell ref="J14:J15"/>
    <mergeCell ref="I16:I18"/>
    <mergeCell ref="L16:L18"/>
    <mergeCell ref="D14:D15"/>
    <mergeCell ref="E14:E15"/>
    <mergeCell ref="C12:C15"/>
    <mergeCell ref="D12:E13"/>
    <mergeCell ref="F12:G13"/>
    <mergeCell ref="H12:I13"/>
    <mergeCell ref="G14:G15"/>
    <mergeCell ref="H14:H15"/>
    <mergeCell ref="I14:I15"/>
    <mergeCell ref="F14:F15"/>
    <mergeCell ref="F19:F21"/>
    <mergeCell ref="C16:C18"/>
    <mergeCell ref="D16:D18"/>
    <mergeCell ref="K2:L2"/>
    <mergeCell ref="A3:L3"/>
    <mergeCell ref="A6:L6"/>
    <mergeCell ref="A7:L7"/>
    <mergeCell ref="A8:L8"/>
    <mergeCell ref="A12:A15"/>
    <mergeCell ref="B12:B15"/>
    <mergeCell ref="H19:H21"/>
    <mergeCell ref="H16:H18"/>
    <mergeCell ref="K19:K21"/>
    <mergeCell ref="K16:K18"/>
    <mergeCell ref="G19:G21"/>
    <mergeCell ref="G16:G18"/>
    <mergeCell ref="J16:J18"/>
    <mergeCell ref="I19:I21"/>
    <mergeCell ref="J19:J21"/>
    <mergeCell ref="L19:L21"/>
    <mergeCell ref="F16:F18"/>
    <mergeCell ref="A19:A21"/>
    <mergeCell ref="B19:B21"/>
    <mergeCell ref="C19:C21"/>
    <mergeCell ref="D19:D21"/>
    <mergeCell ref="E19:E21"/>
    <mergeCell ref="E16:E18"/>
    <mergeCell ref="A16:A18"/>
    <mergeCell ref="B16:B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9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641"/>
      <c r="L1" s="641"/>
      <c r="M1" s="641"/>
    </row>
    <row r="2" spans="1:13" ht="12.7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5.75">
      <c r="A3" s="125" t="s">
        <v>525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5.75">
      <c r="A4" s="12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45" customFormat="1" ht="15.75">
      <c r="A5" s="471" t="s">
        <v>44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</row>
    <row r="6" spans="1:13" s="45" customFormat="1" ht="15.75">
      <c r="A6" s="471" t="s">
        <v>403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</row>
    <row r="7" spans="1:13" s="45" customFormat="1" ht="15.75">
      <c r="A7" s="471" t="s">
        <v>470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spans="1:13" ht="12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3" s="45" customFormat="1" ht="15.75">
      <c r="A9" s="214" t="s">
        <v>404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12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3" ht="15.75">
      <c r="A11" s="215" t="s">
        <v>405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2" customHeight="1" thickBo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3" ht="16.5" thickBot="1">
      <c r="A13" s="699" t="s">
        <v>406</v>
      </c>
      <c r="B13" s="700"/>
      <c r="C13" s="700"/>
      <c r="D13" s="742" t="s">
        <v>407</v>
      </c>
      <c r="E13" s="743"/>
      <c r="F13" s="744"/>
      <c r="G13" s="742" t="s">
        <v>408</v>
      </c>
      <c r="H13" s="743"/>
      <c r="I13" s="744"/>
      <c r="J13" s="742" t="s">
        <v>409</v>
      </c>
      <c r="K13" s="743"/>
      <c r="L13" s="744"/>
      <c r="M13" s="705" t="s">
        <v>410</v>
      </c>
    </row>
    <row r="14" spans="1:13" ht="15.75">
      <c r="A14" s="701"/>
      <c r="B14" s="702"/>
      <c r="C14" s="702"/>
      <c r="D14" s="216" t="s">
        <v>411</v>
      </c>
      <c r="E14" s="217" t="s">
        <v>412</v>
      </c>
      <c r="F14" s="218" t="s">
        <v>413</v>
      </c>
      <c r="G14" s="217" t="s">
        <v>414</v>
      </c>
      <c r="H14" s="217" t="s">
        <v>412</v>
      </c>
      <c r="I14" s="218" t="s">
        <v>415</v>
      </c>
      <c r="J14" s="217" t="s">
        <v>414</v>
      </c>
      <c r="K14" s="218" t="s">
        <v>412</v>
      </c>
      <c r="L14" s="217" t="s">
        <v>415</v>
      </c>
      <c r="M14" s="706"/>
    </row>
    <row r="15" spans="1:13" ht="16.5" thickBot="1">
      <c r="A15" s="701"/>
      <c r="B15" s="702"/>
      <c r="C15" s="702"/>
      <c r="D15" s="219" t="s">
        <v>416</v>
      </c>
      <c r="E15" s="220" t="s">
        <v>417</v>
      </c>
      <c r="F15" s="221" t="s">
        <v>6</v>
      </c>
      <c r="G15" s="222" t="s">
        <v>416</v>
      </c>
      <c r="H15" s="220" t="s">
        <v>417</v>
      </c>
      <c r="I15" s="221" t="s">
        <v>6</v>
      </c>
      <c r="J15" s="222" t="s">
        <v>416</v>
      </c>
      <c r="K15" s="221" t="s">
        <v>417</v>
      </c>
      <c r="L15" s="220" t="s">
        <v>6</v>
      </c>
      <c r="M15" s="707"/>
    </row>
    <row r="16" spans="1:13" ht="7.5" customHeight="1">
      <c r="A16" s="747" t="s">
        <v>418</v>
      </c>
      <c r="B16" s="748"/>
      <c r="C16" s="749"/>
      <c r="D16" s="679"/>
      <c r="E16" s="664"/>
      <c r="F16" s="682"/>
      <c r="G16" s="756" t="s">
        <v>419</v>
      </c>
      <c r="H16" s="759"/>
      <c r="I16" s="745">
        <v>2196</v>
      </c>
      <c r="J16" s="664"/>
      <c r="K16" s="664"/>
      <c r="L16" s="664"/>
      <c r="M16" s="667">
        <v>2196</v>
      </c>
    </row>
    <row r="17" spans="1:13" ht="7.5" customHeight="1">
      <c r="A17" s="750"/>
      <c r="B17" s="751"/>
      <c r="C17" s="752"/>
      <c r="D17" s="738"/>
      <c r="E17" s="668"/>
      <c r="F17" s="708"/>
      <c r="G17" s="757"/>
      <c r="H17" s="760"/>
      <c r="I17" s="668"/>
      <c r="J17" s="668"/>
      <c r="K17" s="668"/>
      <c r="L17" s="668"/>
      <c r="M17" s="668"/>
    </row>
    <row r="18" spans="1:13" ht="15.75" customHeight="1" thickBot="1">
      <c r="A18" s="753"/>
      <c r="B18" s="754"/>
      <c r="C18" s="755"/>
      <c r="D18" s="739"/>
      <c r="E18" s="669"/>
      <c r="F18" s="728"/>
      <c r="G18" s="758"/>
      <c r="H18" s="761"/>
      <c r="I18" s="746"/>
      <c r="J18" s="669"/>
      <c r="K18" s="669"/>
      <c r="L18" s="669"/>
      <c r="M18" s="669"/>
    </row>
    <row r="19" spans="1:13" s="106" customFormat="1" ht="12.75" customHeight="1">
      <c r="A19" s="695" t="s">
        <v>2</v>
      </c>
      <c r="B19" s="719"/>
      <c r="C19" s="696"/>
      <c r="D19" s="722"/>
      <c r="E19" s="722"/>
      <c r="F19" s="726">
        <f>SUM(F16)</f>
        <v>0</v>
      </c>
      <c r="G19" s="722"/>
      <c r="H19" s="722"/>
      <c r="I19" s="722">
        <v>2196</v>
      </c>
      <c r="J19" s="722"/>
      <c r="K19" s="722"/>
      <c r="L19" s="722"/>
      <c r="M19" s="724">
        <f>M16</f>
        <v>2196</v>
      </c>
    </row>
    <row r="20" spans="1:13" s="106" customFormat="1" ht="13.5" customHeight="1" thickBot="1">
      <c r="A20" s="697"/>
      <c r="B20" s="720"/>
      <c r="C20" s="698"/>
      <c r="D20" s="723"/>
      <c r="E20" s="723"/>
      <c r="F20" s="727"/>
      <c r="G20" s="723"/>
      <c r="H20" s="723"/>
      <c r="I20" s="723"/>
      <c r="J20" s="723"/>
      <c r="K20" s="723"/>
      <c r="L20" s="723"/>
      <c r="M20" s="723"/>
    </row>
    <row r="21" spans="1:13" ht="12" customHeight="1">
      <c r="A21" s="213"/>
      <c r="B21" s="213"/>
      <c r="C21" s="213"/>
      <c r="D21" s="213"/>
      <c r="E21" s="213"/>
      <c r="F21" s="223"/>
      <c r="G21" s="213"/>
      <c r="H21" s="213"/>
      <c r="I21" s="213"/>
      <c r="J21" s="213"/>
      <c r="K21" s="213"/>
      <c r="L21" s="213"/>
      <c r="M21" s="213"/>
    </row>
    <row r="22" spans="1:6" s="215" customFormat="1" ht="12" customHeight="1">
      <c r="A22" s="215" t="s">
        <v>420</v>
      </c>
      <c r="F22" s="224"/>
    </row>
    <row r="23" spans="1:13" ht="13.5" customHeight="1">
      <c r="A23" s="225" t="s">
        <v>421</v>
      </c>
      <c r="B23" s="225"/>
      <c r="C23" s="225"/>
      <c r="D23" s="225"/>
      <c r="E23" s="225"/>
      <c r="F23" s="226"/>
      <c r="G23" s="227" t="s">
        <v>6</v>
      </c>
      <c r="H23" s="213"/>
      <c r="I23" s="213"/>
      <c r="J23" s="213"/>
      <c r="K23" s="213"/>
      <c r="L23" s="213"/>
      <c r="M23" s="213"/>
    </row>
    <row r="24" spans="1:13" ht="13.5" customHeight="1">
      <c r="A24" s="225" t="s">
        <v>422</v>
      </c>
      <c r="B24" s="225"/>
      <c r="C24" s="225"/>
      <c r="D24" s="225"/>
      <c r="E24" s="225"/>
      <c r="F24" s="226">
        <v>167</v>
      </c>
      <c r="G24" s="227" t="s">
        <v>6</v>
      </c>
      <c r="H24" s="213"/>
      <c r="I24" s="213"/>
      <c r="J24" s="213"/>
      <c r="K24" s="213"/>
      <c r="L24" s="213"/>
      <c r="M24" s="213"/>
    </row>
    <row r="25" spans="1:13" ht="13.5" customHeight="1">
      <c r="A25" s="225" t="s">
        <v>423</v>
      </c>
      <c r="B25" s="225"/>
      <c r="C25" s="225"/>
      <c r="D25" s="225"/>
      <c r="E25" s="225"/>
      <c r="F25" s="228">
        <v>51</v>
      </c>
      <c r="G25" s="229" t="s">
        <v>6</v>
      </c>
      <c r="H25" s="213"/>
      <c r="I25" s="213"/>
      <c r="J25" s="213"/>
      <c r="K25" s="213"/>
      <c r="L25" s="213"/>
      <c r="M25" s="213"/>
    </row>
    <row r="26" spans="1:13" ht="13.5" customHeight="1">
      <c r="A26" s="225" t="s">
        <v>424</v>
      </c>
      <c r="B26" s="225"/>
      <c r="C26" s="225"/>
      <c r="D26" s="225"/>
      <c r="E26" s="225"/>
      <c r="F26" s="230">
        <f>SUM(F23:F25)</f>
        <v>218</v>
      </c>
      <c r="G26" s="231" t="s">
        <v>6</v>
      </c>
      <c r="H26" s="213"/>
      <c r="I26" s="213"/>
      <c r="J26" s="213"/>
      <c r="K26" s="213"/>
      <c r="L26" s="213"/>
      <c r="M26" s="213"/>
    </row>
    <row r="27" spans="1:13" ht="13.5" customHeight="1">
      <c r="A27" s="225"/>
      <c r="B27" s="225"/>
      <c r="C27" s="225"/>
      <c r="D27" s="225"/>
      <c r="E27" s="225"/>
      <c r="F27" s="230"/>
      <c r="G27" s="231"/>
      <c r="H27" s="213"/>
      <c r="I27" s="213"/>
      <c r="J27" s="213"/>
      <c r="K27" s="213"/>
      <c r="L27" s="213"/>
      <c r="M27" s="213"/>
    </row>
    <row r="28" spans="1:13" ht="15.75">
      <c r="A28" s="215" t="s">
        <v>425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3.5" customHeight="1">
      <c r="A29" s="225"/>
      <c r="B29" s="225"/>
      <c r="C29" s="225"/>
      <c r="D29" s="225"/>
      <c r="E29" s="225"/>
      <c r="F29" s="230"/>
      <c r="G29" s="231"/>
      <c r="H29" s="213"/>
      <c r="I29" s="213"/>
      <c r="J29" s="213"/>
      <c r="K29" s="213"/>
      <c r="L29" s="213"/>
      <c r="M29" s="213"/>
    </row>
    <row r="30" spans="1:13" ht="13.5" customHeight="1" thickBot="1">
      <c r="A30" s="225"/>
      <c r="B30" s="225"/>
      <c r="C30" s="225"/>
      <c r="D30" s="225"/>
      <c r="E30" s="225"/>
      <c r="F30" s="230"/>
      <c r="G30" s="231"/>
      <c r="H30" s="213"/>
      <c r="I30" s="213"/>
      <c r="J30" s="213"/>
      <c r="K30" s="213"/>
      <c r="L30" s="213"/>
      <c r="M30" s="213"/>
    </row>
    <row r="31" spans="1:13" ht="16.5" thickBot="1">
      <c r="A31" s="699" t="s">
        <v>406</v>
      </c>
      <c r="B31" s="700"/>
      <c r="C31" s="700"/>
      <c r="D31" s="742" t="s">
        <v>407</v>
      </c>
      <c r="E31" s="743"/>
      <c r="F31" s="744"/>
      <c r="G31" s="742" t="s">
        <v>408</v>
      </c>
      <c r="H31" s="743"/>
      <c r="I31" s="744"/>
      <c r="J31" s="742" t="s">
        <v>409</v>
      </c>
      <c r="K31" s="743"/>
      <c r="L31" s="744"/>
      <c r="M31" s="705" t="s">
        <v>410</v>
      </c>
    </row>
    <row r="32" spans="1:13" ht="15.75">
      <c r="A32" s="701"/>
      <c r="B32" s="702"/>
      <c r="C32" s="702"/>
      <c r="D32" s="216" t="s">
        <v>411</v>
      </c>
      <c r="E32" s="217" t="s">
        <v>412</v>
      </c>
      <c r="F32" s="218" t="s">
        <v>413</v>
      </c>
      <c r="G32" s="217" t="s">
        <v>414</v>
      </c>
      <c r="H32" s="217" t="s">
        <v>412</v>
      </c>
      <c r="I32" s="218" t="s">
        <v>415</v>
      </c>
      <c r="J32" s="217" t="s">
        <v>414</v>
      </c>
      <c r="K32" s="218" t="s">
        <v>412</v>
      </c>
      <c r="L32" s="217" t="s">
        <v>415</v>
      </c>
      <c r="M32" s="706"/>
    </row>
    <row r="33" spans="1:13" ht="16.5" thickBot="1">
      <c r="A33" s="701"/>
      <c r="B33" s="702"/>
      <c r="C33" s="702"/>
      <c r="D33" s="219" t="s">
        <v>416</v>
      </c>
      <c r="E33" s="220" t="s">
        <v>417</v>
      </c>
      <c r="F33" s="221" t="s">
        <v>6</v>
      </c>
      <c r="G33" s="222" t="s">
        <v>416</v>
      </c>
      <c r="H33" s="220" t="s">
        <v>417</v>
      </c>
      <c r="I33" s="221" t="s">
        <v>6</v>
      </c>
      <c r="J33" s="222" t="s">
        <v>416</v>
      </c>
      <c r="K33" s="221" t="s">
        <v>417</v>
      </c>
      <c r="L33" s="220" t="s">
        <v>6</v>
      </c>
      <c r="M33" s="707"/>
    </row>
    <row r="34" spans="1:13" ht="7.5" customHeight="1">
      <c r="A34" s="729" t="s">
        <v>426</v>
      </c>
      <c r="B34" s="730"/>
      <c r="C34" s="731"/>
      <c r="D34" s="679" t="s">
        <v>427</v>
      </c>
      <c r="E34" s="664"/>
      <c r="F34" s="682">
        <v>6</v>
      </c>
      <c r="G34" s="740"/>
      <c r="H34" s="740"/>
      <c r="I34" s="740"/>
      <c r="J34" s="664"/>
      <c r="K34" s="664"/>
      <c r="L34" s="664"/>
      <c r="M34" s="667">
        <f>L34+I34+F34</f>
        <v>6</v>
      </c>
    </row>
    <row r="35" spans="1:13" ht="7.5" customHeight="1">
      <c r="A35" s="732"/>
      <c r="B35" s="733"/>
      <c r="C35" s="734"/>
      <c r="D35" s="738"/>
      <c r="E35" s="668"/>
      <c r="F35" s="708"/>
      <c r="G35" s="740"/>
      <c r="H35" s="740"/>
      <c r="I35" s="740"/>
      <c r="J35" s="668"/>
      <c r="K35" s="668"/>
      <c r="L35" s="668"/>
      <c r="M35" s="668"/>
    </row>
    <row r="36" spans="1:13" ht="7.5" customHeight="1">
      <c r="A36" s="735"/>
      <c r="B36" s="736"/>
      <c r="C36" s="737"/>
      <c r="D36" s="739"/>
      <c r="E36" s="669"/>
      <c r="F36" s="728"/>
      <c r="G36" s="740"/>
      <c r="H36" s="740"/>
      <c r="I36" s="740"/>
      <c r="J36" s="669"/>
      <c r="K36" s="669"/>
      <c r="L36" s="669"/>
      <c r="M36" s="669"/>
    </row>
    <row r="37" spans="1:13" ht="7.5" customHeight="1">
      <c r="A37" s="670" t="s">
        <v>506</v>
      </c>
      <c r="B37" s="671"/>
      <c r="C37" s="672"/>
      <c r="D37" s="679" t="s">
        <v>507</v>
      </c>
      <c r="E37" s="664"/>
      <c r="F37" s="682">
        <v>45</v>
      </c>
      <c r="G37" s="664"/>
      <c r="H37" s="664"/>
      <c r="I37" s="664"/>
      <c r="J37" s="664"/>
      <c r="K37" s="664"/>
      <c r="L37" s="664"/>
      <c r="M37" s="667">
        <f>L37+I37+F37</f>
        <v>45</v>
      </c>
    </row>
    <row r="38" spans="1:13" ht="7.5" customHeight="1">
      <c r="A38" s="673"/>
      <c r="B38" s="674"/>
      <c r="C38" s="675"/>
      <c r="D38" s="680"/>
      <c r="E38" s="665"/>
      <c r="F38" s="665"/>
      <c r="G38" s="665"/>
      <c r="H38" s="665"/>
      <c r="I38" s="665"/>
      <c r="J38" s="665"/>
      <c r="K38" s="665"/>
      <c r="L38" s="665"/>
      <c r="M38" s="668"/>
    </row>
    <row r="39" spans="1:13" ht="7.5" customHeight="1">
      <c r="A39" s="676"/>
      <c r="B39" s="677"/>
      <c r="C39" s="678"/>
      <c r="D39" s="681"/>
      <c r="E39" s="666"/>
      <c r="F39" s="666"/>
      <c r="G39" s="666"/>
      <c r="H39" s="666"/>
      <c r="I39" s="666"/>
      <c r="J39" s="666"/>
      <c r="K39" s="666"/>
      <c r="L39" s="666"/>
      <c r="M39" s="669"/>
    </row>
    <row r="40" spans="1:13" ht="7.5" customHeight="1">
      <c r="A40" s="729" t="s">
        <v>428</v>
      </c>
      <c r="B40" s="730"/>
      <c r="C40" s="731"/>
      <c r="D40" s="679"/>
      <c r="E40" s="664"/>
      <c r="F40" s="682"/>
      <c r="G40" s="725" t="s">
        <v>429</v>
      </c>
      <c r="H40" s="740">
        <v>50</v>
      </c>
      <c r="I40" s="741">
        <v>167</v>
      </c>
      <c r="J40" s="664"/>
      <c r="K40" s="664"/>
      <c r="L40" s="664"/>
      <c r="M40" s="667">
        <f>L40+I40+F40</f>
        <v>167</v>
      </c>
    </row>
    <row r="41" spans="1:13" ht="7.5" customHeight="1">
      <c r="A41" s="732"/>
      <c r="B41" s="733"/>
      <c r="C41" s="734"/>
      <c r="D41" s="738"/>
      <c r="E41" s="668"/>
      <c r="F41" s="708"/>
      <c r="G41" s="725"/>
      <c r="H41" s="740"/>
      <c r="I41" s="741"/>
      <c r="J41" s="668"/>
      <c r="K41" s="668"/>
      <c r="L41" s="668"/>
      <c r="M41" s="668"/>
    </row>
    <row r="42" spans="1:13" ht="7.5" customHeight="1" thickBot="1">
      <c r="A42" s="735"/>
      <c r="B42" s="736"/>
      <c r="C42" s="737"/>
      <c r="D42" s="739"/>
      <c r="E42" s="669"/>
      <c r="F42" s="728"/>
      <c r="G42" s="725"/>
      <c r="H42" s="740"/>
      <c r="I42" s="741"/>
      <c r="J42" s="669"/>
      <c r="K42" s="669"/>
      <c r="L42" s="669"/>
      <c r="M42" s="669"/>
    </row>
    <row r="43" spans="1:13" s="106" customFormat="1" ht="12.75" customHeight="1">
      <c r="A43" s="695" t="s">
        <v>2</v>
      </c>
      <c r="B43" s="719"/>
      <c r="C43" s="696"/>
      <c r="D43" s="722"/>
      <c r="E43" s="722"/>
      <c r="F43" s="726">
        <f>SUM(F34:F42)</f>
        <v>51</v>
      </c>
      <c r="G43" s="722"/>
      <c r="H43" s="722"/>
      <c r="I43" s="724">
        <f>SUM(I40:I42)</f>
        <v>167</v>
      </c>
      <c r="J43" s="722"/>
      <c r="K43" s="722"/>
      <c r="L43" s="722"/>
      <c r="M43" s="724">
        <f>SUM(M34:M42)</f>
        <v>218</v>
      </c>
    </row>
    <row r="44" spans="1:13" s="106" customFormat="1" ht="13.5" customHeight="1" thickBot="1">
      <c r="A44" s="697"/>
      <c r="B44" s="720"/>
      <c r="C44" s="698"/>
      <c r="D44" s="723"/>
      <c r="E44" s="723"/>
      <c r="F44" s="727"/>
      <c r="G44" s="723"/>
      <c r="H44" s="723"/>
      <c r="I44" s="723"/>
      <c r="J44" s="723"/>
      <c r="K44" s="723"/>
      <c r="L44" s="723"/>
      <c r="M44" s="723"/>
    </row>
    <row r="45" spans="1:13" ht="13.5" customHeight="1">
      <c r="A45" s="225"/>
      <c r="B45" s="225"/>
      <c r="C45" s="225"/>
      <c r="D45" s="225"/>
      <c r="E45" s="225"/>
      <c r="F45" s="230"/>
      <c r="G45" s="231"/>
      <c r="H45" s="213"/>
      <c r="I45" s="213"/>
      <c r="J45" s="213"/>
      <c r="K45" s="213"/>
      <c r="L45" s="213"/>
      <c r="M45" s="213"/>
    </row>
    <row r="46" spans="1:13" ht="13.5" customHeight="1">
      <c r="A46" s="225"/>
      <c r="B46" s="225"/>
      <c r="C46" s="225"/>
      <c r="D46" s="225"/>
      <c r="E46" s="225"/>
      <c r="F46" s="230"/>
      <c r="G46" s="231"/>
      <c r="H46" s="213"/>
      <c r="I46" s="213"/>
      <c r="J46" s="213"/>
      <c r="K46" s="213"/>
      <c r="L46" s="213"/>
      <c r="M46" s="213"/>
    </row>
    <row r="47" spans="1:13" ht="13.5" customHeight="1">
      <c r="A47" s="225"/>
      <c r="B47" s="225"/>
      <c r="C47" s="225"/>
      <c r="D47" s="225"/>
      <c r="E47" s="225"/>
      <c r="F47" s="230"/>
      <c r="G47" s="231"/>
      <c r="H47" s="213"/>
      <c r="I47" s="213"/>
      <c r="J47" s="213"/>
      <c r="K47" s="213"/>
      <c r="L47" s="213"/>
      <c r="M47" s="213"/>
    </row>
    <row r="48" spans="1:13" ht="13.5" customHeight="1">
      <c r="A48" s="225"/>
      <c r="B48" s="225"/>
      <c r="C48" s="225"/>
      <c r="D48" s="225"/>
      <c r="E48" s="225"/>
      <c r="F48" s="230"/>
      <c r="G48" s="231"/>
      <c r="H48" s="213"/>
      <c r="I48" s="213"/>
      <c r="J48" s="213"/>
      <c r="K48" s="213"/>
      <c r="L48" s="213"/>
      <c r="M48" s="213"/>
    </row>
    <row r="49" spans="1:13" ht="13.5" customHeight="1">
      <c r="A49" s="225"/>
      <c r="B49" s="225"/>
      <c r="C49" s="225"/>
      <c r="D49" s="225"/>
      <c r="E49" s="225"/>
      <c r="F49" s="230"/>
      <c r="G49" s="231"/>
      <c r="H49" s="213"/>
      <c r="I49" s="213"/>
      <c r="J49" s="213"/>
      <c r="K49" s="213"/>
      <c r="L49" s="213"/>
      <c r="M49" s="213"/>
    </row>
    <row r="50" spans="1:13" ht="13.5" customHeight="1">
      <c r="A50" s="225"/>
      <c r="B50" s="225"/>
      <c r="C50" s="225"/>
      <c r="D50" s="225"/>
      <c r="E50" s="225"/>
      <c r="F50" s="230"/>
      <c r="G50" s="231"/>
      <c r="H50" s="213"/>
      <c r="I50" s="213"/>
      <c r="J50" s="213"/>
      <c r="K50" s="213"/>
      <c r="L50" s="213"/>
      <c r="M50" s="213"/>
    </row>
    <row r="51" spans="1:13" ht="13.5" customHeight="1">
      <c r="A51" s="225"/>
      <c r="B51" s="225"/>
      <c r="C51" s="225"/>
      <c r="D51" s="225"/>
      <c r="E51" s="225"/>
      <c r="F51" s="230"/>
      <c r="G51" s="231"/>
      <c r="H51" s="213"/>
      <c r="I51" s="213"/>
      <c r="J51" s="213"/>
      <c r="K51" s="213"/>
      <c r="L51" s="213"/>
      <c r="M51" s="213"/>
    </row>
    <row r="52" spans="1:13" ht="13.5" customHeight="1">
      <c r="A52" s="225"/>
      <c r="B52" s="225"/>
      <c r="C52" s="225"/>
      <c r="D52" s="225"/>
      <c r="E52" s="225"/>
      <c r="F52" s="230"/>
      <c r="G52" s="231"/>
      <c r="H52" s="213"/>
      <c r="I52" s="213"/>
      <c r="J52" s="213"/>
      <c r="K52" s="213"/>
      <c r="L52" s="213"/>
      <c r="M52" s="213"/>
    </row>
    <row r="53" spans="1:13" ht="13.5" customHeight="1">
      <c r="A53" s="225"/>
      <c r="B53" s="225"/>
      <c r="C53" s="225"/>
      <c r="D53" s="225"/>
      <c r="E53" s="225"/>
      <c r="F53" s="230"/>
      <c r="G53" s="231"/>
      <c r="H53" s="213"/>
      <c r="I53" s="213"/>
      <c r="J53" s="213"/>
      <c r="K53" s="213"/>
      <c r="L53" s="213"/>
      <c r="M53" s="213"/>
    </row>
    <row r="54" spans="1:13" ht="13.5" customHeight="1">
      <c r="A54" s="225"/>
      <c r="B54" s="225"/>
      <c r="C54" s="225"/>
      <c r="D54" s="225"/>
      <c r="E54" s="225"/>
      <c r="F54" s="230"/>
      <c r="G54" s="231"/>
      <c r="H54" s="213"/>
      <c r="I54" s="213"/>
      <c r="J54" s="213"/>
      <c r="K54" s="213"/>
      <c r="L54" s="213"/>
      <c r="M54" s="213"/>
    </row>
    <row r="55" spans="1:13" ht="13.5" customHeight="1">
      <c r="A55" s="225"/>
      <c r="B55" s="225"/>
      <c r="C55" s="225"/>
      <c r="D55" s="225"/>
      <c r="E55" s="225"/>
      <c r="F55" s="230"/>
      <c r="G55" s="231"/>
      <c r="H55" s="213"/>
      <c r="I55" s="213"/>
      <c r="J55" s="213"/>
      <c r="K55" s="213"/>
      <c r="L55" s="213"/>
      <c r="M55" s="213"/>
    </row>
    <row r="56" spans="1:13" ht="13.5" customHeight="1">
      <c r="A56" s="225"/>
      <c r="B56" s="225"/>
      <c r="C56" s="225"/>
      <c r="D56" s="225"/>
      <c r="E56" s="225"/>
      <c r="F56" s="230"/>
      <c r="G56" s="231"/>
      <c r="H56" s="213"/>
      <c r="I56" s="213"/>
      <c r="J56" s="213"/>
      <c r="K56" s="213"/>
      <c r="L56" s="213"/>
      <c r="M56" s="213"/>
    </row>
    <row r="57" spans="1:13" ht="15.75">
      <c r="A57" s="7" t="s">
        <v>430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</row>
    <row r="59" spans="1:13" ht="15.75">
      <c r="A59" s="7" t="s">
        <v>431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" customHeight="1" thickBo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</row>
    <row r="61" spans="1:11" ht="12.75" customHeight="1">
      <c r="A61" s="699" t="s">
        <v>406</v>
      </c>
      <c r="B61" s="700"/>
      <c r="C61" s="700"/>
      <c r="D61" s="699" t="s">
        <v>432</v>
      </c>
      <c r="E61" s="705"/>
      <c r="F61" s="699" t="s">
        <v>433</v>
      </c>
      <c r="G61" s="705"/>
      <c r="H61" s="699" t="s">
        <v>434</v>
      </c>
      <c r="I61" s="705"/>
      <c r="J61" s="699" t="s">
        <v>435</v>
      </c>
      <c r="K61" s="705"/>
    </row>
    <row r="62" spans="1:11" ht="12.75" customHeight="1">
      <c r="A62" s="701"/>
      <c r="B62" s="702"/>
      <c r="C62" s="702"/>
      <c r="D62" s="701"/>
      <c r="E62" s="706"/>
      <c r="F62" s="701"/>
      <c r="G62" s="706"/>
      <c r="H62" s="701"/>
      <c r="I62" s="706"/>
      <c r="J62" s="701"/>
      <c r="K62" s="706"/>
    </row>
    <row r="63" spans="1:11" ht="13.5" customHeight="1" thickBot="1">
      <c r="A63" s="703"/>
      <c r="B63" s="704"/>
      <c r="C63" s="704"/>
      <c r="D63" s="703"/>
      <c r="E63" s="707"/>
      <c r="F63" s="703"/>
      <c r="G63" s="707"/>
      <c r="H63" s="703"/>
      <c r="I63" s="707"/>
      <c r="J63" s="703"/>
      <c r="K63" s="707"/>
    </row>
    <row r="64" spans="1:12" s="45" customFormat="1" ht="25.5" customHeight="1" thickBot="1">
      <c r="A64" s="668" t="s">
        <v>436</v>
      </c>
      <c r="B64" s="668"/>
      <c r="C64" s="668"/>
      <c r="D64" s="668" t="s">
        <v>437</v>
      </c>
      <c r="E64" s="668"/>
      <c r="F64" s="692" t="s">
        <v>437</v>
      </c>
      <c r="G64" s="693"/>
      <c r="H64" s="692" t="s">
        <v>437</v>
      </c>
      <c r="I64" s="693"/>
      <c r="J64" s="668" t="s">
        <v>437</v>
      </c>
      <c r="K64" s="668"/>
      <c r="L64" s="232"/>
    </row>
    <row r="65" spans="1:13" s="106" customFormat="1" ht="12.75" customHeight="1">
      <c r="A65" s="695" t="s">
        <v>2</v>
      </c>
      <c r="B65" s="719"/>
      <c r="C65" s="696"/>
      <c r="D65" s="695"/>
      <c r="E65" s="696"/>
      <c r="F65" s="695"/>
      <c r="G65" s="696"/>
      <c r="H65" s="695"/>
      <c r="I65" s="696"/>
      <c r="J65" s="695" t="s">
        <v>437</v>
      </c>
      <c r="K65" s="696"/>
      <c r="L65" s="721"/>
      <c r="M65" s="721"/>
    </row>
    <row r="66" spans="1:13" s="106" customFormat="1" ht="13.5" customHeight="1" thickBot="1">
      <c r="A66" s="697"/>
      <c r="B66" s="720"/>
      <c r="C66" s="698"/>
      <c r="D66" s="697"/>
      <c r="E66" s="698"/>
      <c r="F66" s="697"/>
      <c r="G66" s="698"/>
      <c r="H66" s="697"/>
      <c r="I66" s="698"/>
      <c r="J66" s="697"/>
      <c r="K66" s="698"/>
      <c r="L66" s="721"/>
      <c r="M66" s="721"/>
    </row>
    <row r="68" spans="1:13" ht="15.75">
      <c r="A68" s="7" t="s">
        <v>438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ht="13.5" thickBot="1"/>
    <row r="70" spans="1:11" ht="12.75" customHeight="1">
      <c r="A70" s="699" t="s">
        <v>406</v>
      </c>
      <c r="B70" s="700"/>
      <c r="C70" s="700"/>
      <c r="D70" s="699" t="s">
        <v>432</v>
      </c>
      <c r="E70" s="705"/>
      <c r="F70" s="699" t="s">
        <v>439</v>
      </c>
      <c r="G70" s="705"/>
      <c r="H70" s="699" t="s">
        <v>434</v>
      </c>
      <c r="I70" s="705"/>
      <c r="J70" s="699" t="s">
        <v>435</v>
      </c>
      <c r="K70" s="705"/>
    </row>
    <row r="71" spans="1:11" ht="12.75" customHeight="1">
      <c r="A71" s="701"/>
      <c r="B71" s="702"/>
      <c r="C71" s="702"/>
      <c r="D71" s="701"/>
      <c r="E71" s="706"/>
      <c r="F71" s="701"/>
      <c r="G71" s="706"/>
      <c r="H71" s="701"/>
      <c r="I71" s="706"/>
      <c r="J71" s="701"/>
      <c r="K71" s="706"/>
    </row>
    <row r="72" spans="1:11" ht="13.5" customHeight="1" thickBot="1">
      <c r="A72" s="703"/>
      <c r="B72" s="704"/>
      <c r="C72" s="704"/>
      <c r="D72" s="703"/>
      <c r="E72" s="707"/>
      <c r="F72" s="703"/>
      <c r="G72" s="707"/>
      <c r="H72" s="703"/>
      <c r="I72" s="707"/>
      <c r="J72" s="703"/>
      <c r="K72" s="707"/>
    </row>
    <row r="73" spans="1:12" s="45" customFormat="1" ht="25.5" customHeight="1" thickBot="1">
      <c r="A73" s="668" t="s">
        <v>440</v>
      </c>
      <c r="B73" s="668"/>
      <c r="C73" s="668"/>
      <c r="D73" s="668" t="s">
        <v>441</v>
      </c>
      <c r="E73" s="668"/>
      <c r="F73" s="717" t="s">
        <v>437</v>
      </c>
      <c r="G73" s="718"/>
      <c r="H73" s="717"/>
      <c r="I73" s="718"/>
      <c r="J73" s="708"/>
      <c r="K73" s="708"/>
      <c r="L73" s="232"/>
    </row>
    <row r="74" spans="1:13" ht="12.75" customHeight="1">
      <c r="A74" s="683" t="s">
        <v>2</v>
      </c>
      <c r="B74" s="684"/>
      <c r="C74" s="685"/>
      <c r="D74" s="689"/>
      <c r="E74" s="690"/>
      <c r="F74" s="709">
        <f>SUM(F73)</f>
        <v>0</v>
      </c>
      <c r="G74" s="710"/>
      <c r="H74" s="713">
        <f>SUM(H73)</f>
        <v>0</v>
      </c>
      <c r="I74" s="714"/>
      <c r="J74" s="713">
        <f>SUM(J73)</f>
        <v>0</v>
      </c>
      <c r="K74" s="714"/>
      <c r="L74" s="694"/>
      <c r="M74" s="694"/>
    </row>
    <row r="75" spans="1:13" ht="13.5" customHeight="1" thickBot="1">
      <c r="A75" s="686"/>
      <c r="B75" s="687"/>
      <c r="C75" s="688"/>
      <c r="D75" s="691"/>
      <c r="E75" s="651"/>
      <c r="F75" s="711"/>
      <c r="G75" s="712"/>
      <c r="H75" s="715"/>
      <c r="I75" s="716"/>
      <c r="J75" s="715"/>
      <c r="K75" s="716"/>
      <c r="L75" s="694"/>
      <c r="M75" s="694"/>
    </row>
    <row r="77" spans="1:13" ht="15.75">
      <c r="A77" s="7" t="s">
        <v>442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ht="13.5" thickBot="1"/>
    <row r="79" spans="1:11" ht="12.75" customHeight="1">
      <c r="A79" s="699" t="s">
        <v>406</v>
      </c>
      <c r="B79" s="700"/>
      <c r="C79" s="700"/>
      <c r="D79" s="699" t="s">
        <v>432</v>
      </c>
      <c r="E79" s="705"/>
      <c r="F79" s="699" t="s">
        <v>433</v>
      </c>
      <c r="G79" s="705"/>
      <c r="H79" s="699" t="s">
        <v>434</v>
      </c>
      <c r="I79" s="705"/>
      <c r="J79" s="699" t="s">
        <v>435</v>
      </c>
      <c r="K79" s="705"/>
    </row>
    <row r="80" spans="1:11" ht="12.75" customHeight="1">
      <c r="A80" s="701"/>
      <c r="B80" s="702"/>
      <c r="C80" s="702"/>
      <c r="D80" s="701"/>
      <c r="E80" s="706"/>
      <c r="F80" s="701"/>
      <c r="G80" s="706"/>
      <c r="H80" s="701"/>
      <c r="I80" s="706"/>
      <c r="J80" s="701"/>
      <c r="K80" s="706"/>
    </row>
    <row r="81" spans="1:11" ht="13.5" customHeight="1" thickBot="1">
      <c r="A81" s="703"/>
      <c r="B81" s="704"/>
      <c r="C81" s="704"/>
      <c r="D81" s="703"/>
      <c r="E81" s="707"/>
      <c r="F81" s="703"/>
      <c r="G81" s="707"/>
      <c r="H81" s="703"/>
      <c r="I81" s="707"/>
      <c r="J81" s="703"/>
      <c r="K81" s="707"/>
    </row>
    <row r="82" spans="1:12" s="45" customFormat="1" ht="25.5" customHeight="1" thickBot="1">
      <c r="A82" s="668" t="s">
        <v>440</v>
      </c>
      <c r="B82" s="668"/>
      <c r="C82" s="668"/>
      <c r="D82" s="668" t="s">
        <v>443</v>
      </c>
      <c r="E82" s="668"/>
      <c r="F82" s="692" t="s">
        <v>437</v>
      </c>
      <c r="G82" s="693"/>
      <c r="H82" s="692"/>
      <c r="I82" s="693"/>
      <c r="J82" s="668"/>
      <c r="K82" s="668"/>
      <c r="L82" s="232"/>
    </row>
    <row r="83" spans="1:13" ht="12.75" customHeight="1">
      <c r="A83" s="683" t="s">
        <v>2</v>
      </c>
      <c r="B83" s="684"/>
      <c r="C83" s="685"/>
      <c r="D83" s="689"/>
      <c r="E83" s="690"/>
      <c r="F83" s="689"/>
      <c r="G83" s="690"/>
      <c r="H83" s="695">
        <f>SUM(H82)</f>
        <v>0</v>
      </c>
      <c r="I83" s="696"/>
      <c r="J83" s="695">
        <f>SUM(J82)</f>
        <v>0</v>
      </c>
      <c r="K83" s="696"/>
      <c r="L83" s="694"/>
      <c r="M83" s="694"/>
    </row>
    <row r="84" spans="1:13" ht="13.5" customHeight="1" thickBot="1">
      <c r="A84" s="686"/>
      <c r="B84" s="687"/>
      <c r="C84" s="688"/>
      <c r="D84" s="691"/>
      <c r="E84" s="651"/>
      <c r="F84" s="691"/>
      <c r="G84" s="651"/>
      <c r="H84" s="697"/>
      <c r="I84" s="698"/>
      <c r="J84" s="697"/>
      <c r="K84" s="698"/>
      <c r="L84" s="694"/>
      <c r="M84" s="694"/>
    </row>
    <row r="86" spans="1:13" ht="15.75">
      <c r="A86" s="7" t="s">
        <v>444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ht="13.5" thickBot="1"/>
    <row r="88" spans="1:11" ht="12.75" customHeight="1">
      <c r="A88" s="699" t="s">
        <v>406</v>
      </c>
      <c r="B88" s="700"/>
      <c r="C88" s="700"/>
      <c r="D88" s="699" t="s">
        <v>432</v>
      </c>
      <c r="E88" s="705"/>
      <c r="F88" s="699" t="s">
        <v>433</v>
      </c>
      <c r="G88" s="705"/>
      <c r="H88" s="699" t="s">
        <v>434</v>
      </c>
      <c r="I88" s="705"/>
      <c r="J88" s="699" t="s">
        <v>435</v>
      </c>
      <c r="K88" s="705"/>
    </row>
    <row r="89" spans="1:11" ht="12.75" customHeight="1">
      <c r="A89" s="701"/>
      <c r="B89" s="702"/>
      <c r="C89" s="702"/>
      <c r="D89" s="701"/>
      <c r="E89" s="706"/>
      <c r="F89" s="701"/>
      <c r="G89" s="706"/>
      <c r="H89" s="701"/>
      <c r="I89" s="706"/>
      <c r="J89" s="701"/>
      <c r="K89" s="706"/>
    </row>
    <row r="90" spans="1:11" ht="13.5" customHeight="1" thickBot="1">
      <c r="A90" s="703"/>
      <c r="B90" s="704"/>
      <c r="C90" s="704"/>
      <c r="D90" s="703"/>
      <c r="E90" s="707"/>
      <c r="F90" s="703"/>
      <c r="G90" s="707"/>
      <c r="H90" s="703"/>
      <c r="I90" s="707"/>
      <c r="J90" s="703"/>
      <c r="K90" s="707"/>
    </row>
    <row r="91" spans="1:12" s="45" customFormat="1" ht="25.5" customHeight="1" thickBot="1">
      <c r="A91" s="668" t="s">
        <v>440</v>
      </c>
      <c r="B91" s="668"/>
      <c r="C91" s="668"/>
      <c r="D91" s="668"/>
      <c r="E91" s="668"/>
      <c r="F91" s="692" t="s">
        <v>437</v>
      </c>
      <c r="G91" s="693"/>
      <c r="H91" s="692"/>
      <c r="I91" s="693"/>
      <c r="J91" s="668"/>
      <c r="K91" s="668"/>
      <c r="L91" s="232"/>
    </row>
    <row r="92" spans="1:13" ht="12.75" customHeight="1">
      <c r="A92" s="683" t="s">
        <v>2</v>
      </c>
      <c r="B92" s="684"/>
      <c r="C92" s="685"/>
      <c r="D92" s="689"/>
      <c r="E92" s="690"/>
      <c r="F92" s="689"/>
      <c r="G92" s="690"/>
      <c r="H92" s="695">
        <f>SUM(H91)</f>
        <v>0</v>
      </c>
      <c r="I92" s="696"/>
      <c r="J92" s="695">
        <f>SUM(J91)</f>
        <v>0</v>
      </c>
      <c r="K92" s="696"/>
      <c r="L92" s="694"/>
      <c r="M92" s="694"/>
    </row>
    <row r="93" spans="1:13" ht="13.5" customHeight="1" thickBot="1">
      <c r="A93" s="686"/>
      <c r="B93" s="687"/>
      <c r="C93" s="688"/>
      <c r="D93" s="691"/>
      <c r="E93" s="651"/>
      <c r="F93" s="691"/>
      <c r="G93" s="651"/>
      <c r="H93" s="697"/>
      <c r="I93" s="698"/>
      <c r="J93" s="697"/>
      <c r="K93" s="698"/>
      <c r="L93" s="694"/>
      <c r="M93" s="694"/>
    </row>
  </sheetData>
  <sheetProtection/>
  <mergeCells count="149">
    <mergeCell ref="A16:C18"/>
    <mergeCell ref="D16:D18"/>
    <mergeCell ref="E16:E18"/>
    <mergeCell ref="F16:F18"/>
    <mergeCell ref="G16:G18"/>
    <mergeCell ref="H16:H18"/>
    <mergeCell ref="K1:M1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L34:L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I34:I36"/>
    <mergeCell ref="J34:J36"/>
    <mergeCell ref="I40:I42"/>
    <mergeCell ref="J40:J42"/>
    <mergeCell ref="E34:E36"/>
    <mergeCell ref="E40:E42"/>
    <mergeCell ref="H40:H42"/>
    <mergeCell ref="I37:I39"/>
    <mergeCell ref="J37:J39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H43:H44"/>
    <mergeCell ref="I43:I44"/>
    <mergeCell ref="J43:J44"/>
    <mergeCell ref="L43:L44"/>
    <mergeCell ref="M43:M44"/>
    <mergeCell ref="K43:K44"/>
    <mergeCell ref="K40:K42"/>
    <mergeCell ref="L40:L42"/>
    <mergeCell ref="J65:K66"/>
    <mergeCell ref="L65:L66"/>
    <mergeCell ref="J61:K63"/>
    <mergeCell ref="M40:M42"/>
    <mergeCell ref="J64:K64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L74:L75"/>
    <mergeCell ref="M74:M75"/>
    <mergeCell ref="A79:C81"/>
    <mergeCell ref="D79:E81"/>
    <mergeCell ref="F79:G81"/>
    <mergeCell ref="H79:I81"/>
    <mergeCell ref="J79:K81"/>
    <mergeCell ref="J82:K82"/>
    <mergeCell ref="J83:K84"/>
    <mergeCell ref="A83:C84"/>
    <mergeCell ref="D83:E84"/>
    <mergeCell ref="F83:G84"/>
    <mergeCell ref="H83:I84"/>
    <mergeCell ref="A82:C82"/>
    <mergeCell ref="D82:E82"/>
    <mergeCell ref="F82:G82"/>
    <mergeCell ref="H82:I82"/>
    <mergeCell ref="A88:C90"/>
    <mergeCell ref="D88:E90"/>
    <mergeCell ref="F88:G90"/>
    <mergeCell ref="H88:I90"/>
    <mergeCell ref="M83:M84"/>
    <mergeCell ref="J88:K90"/>
    <mergeCell ref="L83:L84"/>
    <mergeCell ref="L92:L93"/>
    <mergeCell ref="M92:M93"/>
    <mergeCell ref="J91:K91"/>
    <mergeCell ref="H91:I91"/>
    <mergeCell ref="H92:I93"/>
    <mergeCell ref="J92:K93"/>
    <mergeCell ref="A92:C93"/>
    <mergeCell ref="D92:E93"/>
    <mergeCell ref="F92:G93"/>
    <mergeCell ref="A91:C91"/>
    <mergeCell ref="D91:E91"/>
    <mergeCell ref="F91:G91"/>
    <mergeCell ref="K37:K39"/>
    <mergeCell ref="L37:L39"/>
    <mergeCell ref="M37:M39"/>
    <mergeCell ref="A37:C39"/>
    <mergeCell ref="D37:D39"/>
    <mergeCell ref="E37:E39"/>
    <mergeCell ref="F37:F39"/>
    <mergeCell ref="G37:G39"/>
    <mergeCell ref="H37:H39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75390625" style="19" customWidth="1"/>
    <col min="2" max="2" width="65.75390625" style="19" customWidth="1"/>
    <col min="3" max="5" width="15.75390625" style="19" bestFit="1" customWidth="1"/>
    <col min="6" max="6" width="18.00390625" style="19" bestFit="1" customWidth="1"/>
    <col min="7" max="7" width="11.375" style="45" bestFit="1" customWidth="1"/>
    <col min="8" max="16384" width="9.125" style="45" customWidth="1"/>
  </cols>
  <sheetData>
    <row r="1" spans="1:6" ht="15.75">
      <c r="A1" s="125" t="s">
        <v>526</v>
      </c>
      <c r="C1" s="762"/>
      <c r="D1" s="762"/>
      <c r="E1" s="762"/>
      <c r="F1" s="762"/>
    </row>
    <row r="2" spans="1:6" ht="15.75">
      <c r="A2" s="21"/>
      <c r="B2" s="21"/>
      <c r="C2" s="21"/>
      <c r="D2" s="21"/>
      <c r="E2" s="21"/>
      <c r="F2" s="21"/>
    </row>
    <row r="3" spans="1:6" ht="15.75">
      <c r="A3" s="595" t="s">
        <v>445</v>
      </c>
      <c r="B3" s="595"/>
      <c r="C3" s="595"/>
      <c r="D3" s="595"/>
      <c r="E3" s="595"/>
      <c r="F3" s="595"/>
    </row>
    <row r="4" spans="1:6" ht="15.75">
      <c r="A4" s="595" t="s">
        <v>446</v>
      </c>
      <c r="B4" s="595"/>
      <c r="C4" s="595"/>
      <c r="D4" s="595"/>
      <c r="E4" s="595"/>
      <c r="F4" s="595"/>
    </row>
    <row r="5" spans="1:6" ht="15.75">
      <c r="A5" s="595" t="s">
        <v>483</v>
      </c>
      <c r="B5" s="595"/>
      <c r="C5" s="595"/>
      <c r="D5" s="595"/>
      <c r="E5" s="595"/>
      <c r="F5" s="595"/>
    </row>
    <row r="6" spans="1:6" ht="16.5" thickBot="1">
      <c r="A6" s="21"/>
      <c r="B6" s="21"/>
      <c r="C6" s="45"/>
      <c r="D6" s="234"/>
      <c r="E6" s="45"/>
      <c r="F6" s="234" t="s">
        <v>5</v>
      </c>
    </row>
    <row r="7" spans="1:6" ht="15.75">
      <c r="A7" s="235" t="s">
        <v>45</v>
      </c>
      <c r="B7" s="763" t="s">
        <v>447</v>
      </c>
      <c r="C7" s="766" t="s">
        <v>448</v>
      </c>
      <c r="D7" s="767"/>
      <c r="E7" s="767"/>
      <c r="F7" s="763" t="s">
        <v>330</v>
      </c>
    </row>
    <row r="8" spans="1:6" ht="16.5" thickBot="1">
      <c r="A8" s="236"/>
      <c r="B8" s="764"/>
      <c r="C8" s="768"/>
      <c r="D8" s="769"/>
      <c r="E8" s="769"/>
      <c r="F8" s="764"/>
    </row>
    <row r="9" spans="1:6" ht="16.5" thickBot="1">
      <c r="A9" s="236"/>
      <c r="B9" s="764"/>
      <c r="C9" s="237" t="s">
        <v>400</v>
      </c>
      <c r="D9" s="237" t="s">
        <v>401</v>
      </c>
      <c r="E9" s="237" t="s">
        <v>484</v>
      </c>
      <c r="F9" s="764"/>
    </row>
    <row r="10" spans="1:6" ht="16.5" thickBot="1">
      <c r="A10" s="238" t="s">
        <v>46</v>
      </c>
      <c r="B10" s="765"/>
      <c r="C10" s="770" t="s">
        <v>449</v>
      </c>
      <c r="D10" s="771"/>
      <c r="E10" s="771"/>
      <c r="F10" s="765"/>
    </row>
    <row r="11" spans="1:6" ht="15.75">
      <c r="A11" s="233" t="s">
        <v>47</v>
      </c>
      <c r="B11" s="263" t="s">
        <v>455</v>
      </c>
      <c r="C11" s="239">
        <v>7733</v>
      </c>
      <c r="D11" s="239">
        <v>7733</v>
      </c>
      <c r="E11" s="239">
        <v>7733</v>
      </c>
      <c r="F11" s="239">
        <f>SUM(C11:E11)</f>
        <v>23199</v>
      </c>
    </row>
    <row r="12" spans="1:6" ht="31.5">
      <c r="A12" s="233" t="s">
        <v>27</v>
      </c>
      <c r="B12" s="264" t="s">
        <v>456</v>
      </c>
      <c r="C12" s="240"/>
      <c r="D12" s="240"/>
      <c r="E12" s="240"/>
      <c r="F12" s="239">
        <f>SUM(C12:E12)</f>
        <v>0</v>
      </c>
    </row>
    <row r="13" spans="1:2" s="210" customFormat="1" ht="15.75">
      <c r="A13" s="233" t="s">
        <v>48</v>
      </c>
      <c r="B13" s="263" t="s">
        <v>457</v>
      </c>
    </row>
    <row r="14" spans="1:6" s="210" customFormat="1" ht="31.5">
      <c r="A14" s="233" t="s">
        <v>111</v>
      </c>
      <c r="B14" s="264" t="s">
        <v>458</v>
      </c>
      <c r="C14" s="241"/>
      <c r="D14" s="241"/>
      <c r="E14" s="241"/>
      <c r="F14" s="239">
        <f>SUM(C14:E14)</f>
        <v>0</v>
      </c>
    </row>
    <row r="15" spans="1:6" s="210" customFormat="1" ht="15.75">
      <c r="A15" s="233" t="s">
        <v>113</v>
      </c>
      <c r="B15" s="263" t="s">
        <v>450</v>
      </c>
      <c r="C15" s="241">
        <v>75</v>
      </c>
      <c r="D15" s="241">
        <v>75</v>
      </c>
      <c r="E15" s="241">
        <v>75</v>
      </c>
      <c r="F15" s="239">
        <f>SUM(C15:E15)</f>
        <v>225</v>
      </c>
    </row>
    <row r="16" spans="1:6" s="210" customFormat="1" ht="15.75">
      <c r="A16" s="233" t="s">
        <v>119</v>
      </c>
      <c r="B16" s="263" t="s">
        <v>459</v>
      </c>
      <c r="C16" s="242"/>
      <c r="D16" s="242"/>
      <c r="E16" s="242"/>
      <c r="F16" s="242"/>
    </row>
    <row r="17" spans="1:6" s="246" customFormat="1" ht="15.75">
      <c r="A17" s="243" t="s">
        <v>266</v>
      </c>
      <c r="B17" s="244" t="s">
        <v>451</v>
      </c>
      <c r="C17" s="245">
        <f>SUM(C11:C16)</f>
        <v>7808</v>
      </c>
      <c r="D17" s="245">
        <f>SUM(D11:D16)</f>
        <v>7808</v>
      </c>
      <c r="E17" s="245">
        <f>SUM(E11:E16)</f>
        <v>7808</v>
      </c>
      <c r="F17" s="245">
        <f>SUM(F11:F16)</f>
        <v>23424</v>
      </c>
    </row>
    <row r="18" spans="1:6" s="251" customFormat="1" ht="18.75">
      <c r="A18" s="247" t="s">
        <v>270</v>
      </c>
      <c r="B18" s="248" t="s">
        <v>452</v>
      </c>
      <c r="C18" s="249">
        <f>C17*0.5</f>
        <v>3904</v>
      </c>
      <c r="D18" s="249">
        <f>D17*0.5</f>
        <v>3904</v>
      </c>
      <c r="E18" s="249">
        <f>E17*0.5</f>
        <v>3904</v>
      </c>
      <c r="F18" s="250">
        <f>SUM(C18:E18)</f>
        <v>11712</v>
      </c>
    </row>
    <row r="19" spans="1:6" s="210" customFormat="1" ht="31.5">
      <c r="A19" s="252" t="s">
        <v>276</v>
      </c>
      <c r="B19" s="264" t="s">
        <v>460</v>
      </c>
      <c r="C19" s="241"/>
      <c r="D19" s="241"/>
      <c r="E19" s="241"/>
      <c r="F19" s="241">
        <f>SUM(C19:E19)</f>
        <v>0</v>
      </c>
    </row>
    <row r="20" spans="1:6" s="210" customFormat="1" ht="31.5">
      <c r="A20" s="252" t="s">
        <v>278</v>
      </c>
      <c r="B20" s="264" t="s">
        <v>461</v>
      </c>
      <c r="C20" s="241"/>
      <c r="D20" s="241"/>
      <c r="E20" s="241"/>
      <c r="F20" s="241">
        <f>SUM(C20:E20)</f>
        <v>0</v>
      </c>
    </row>
    <row r="21" spans="1:6" s="210" customFormat="1" ht="15.75">
      <c r="A21" s="252" t="s">
        <v>280</v>
      </c>
      <c r="B21" s="263" t="s">
        <v>462</v>
      </c>
      <c r="C21" s="241"/>
      <c r="D21" s="241"/>
      <c r="E21" s="241"/>
      <c r="F21" s="241"/>
    </row>
    <row r="22" spans="1:6" s="210" customFormat="1" ht="31.5">
      <c r="A22" s="252" t="s">
        <v>285</v>
      </c>
      <c r="B22" s="253" t="s">
        <v>463</v>
      </c>
      <c r="C22" s="241"/>
      <c r="D22" s="241"/>
      <c r="E22" s="241"/>
      <c r="F22" s="241"/>
    </row>
    <row r="23" spans="1:6" s="210" customFormat="1" ht="47.25">
      <c r="A23" s="252" t="s">
        <v>287</v>
      </c>
      <c r="B23" s="253" t="s">
        <v>464</v>
      </c>
      <c r="C23" s="241"/>
      <c r="D23" s="241"/>
      <c r="E23" s="241"/>
      <c r="F23" s="241"/>
    </row>
    <row r="24" spans="1:6" s="210" customFormat="1" ht="31.5">
      <c r="A24" s="252" t="s">
        <v>289</v>
      </c>
      <c r="B24" s="253" t="s">
        <v>465</v>
      </c>
      <c r="C24" s="241"/>
      <c r="D24" s="241"/>
      <c r="E24" s="241"/>
      <c r="F24" s="241"/>
    </row>
    <row r="25" spans="1:6" s="210" customFormat="1" ht="31.5">
      <c r="A25" s="252" t="s">
        <v>296</v>
      </c>
      <c r="B25" s="253" t="s">
        <v>466</v>
      </c>
      <c r="C25" s="254"/>
      <c r="D25" s="254"/>
      <c r="E25" s="254"/>
      <c r="F25" s="254"/>
    </row>
    <row r="26" spans="1:6" s="246" customFormat="1" ht="15.75">
      <c r="A26" s="243" t="s">
        <v>299</v>
      </c>
      <c r="B26" s="255" t="s">
        <v>453</v>
      </c>
      <c r="C26" s="256">
        <f>SUM(C19:C24)</f>
        <v>0</v>
      </c>
      <c r="D26" s="256">
        <f>SUM(D19:D24)</f>
        <v>0</v>
      </c>
      <c r="E26" s="256">
        <f>SUM(E19:E24)</f>
        <v>0</v>
      </c>
      <c r="F26" s="256">
        <f>SUM(F19:F24)</f>
        <v>0</v>
      </c>
    </row>
    <row r="27" spans="1:6" s="259" customFormat="1" ht="37.5">
      <c r="A27" s="247" t="s">
        <v>301</v>
      </c>
      <c r="B27" s="257" t="s">
        <v>454</v>
      </c>
      <c r="C27" s="258">
        <f>C18-C26</f>
        <v>3904</v>
      </c>
      <c r="D27" s="258">
        <f>D18-D26</f>
        <v>3904</v>
      </c>
      <c r="E27" s="258">
        <f>E18-E26</f>
        <v>3904</v>
      </c>
      <c r="F27" s="258">
        <f>SUM(C27:E27)</f>
        <v>11712</v>
      </c>
    </row>
    <row r="28" spans="1:6" s="210" customFormat="1" ht="15.75">
      <c r="A28" s="260"/>
      <c r="B28" s="261"/>
      <c r="C28" s="241"/>
      <c r="D28" s="241"/>
      <c r="E28" s="241"/>
      <c r="F28" s="241"/>
    </row>
    <row r="29" spans="1:7" s="210" customFormat="1" ht="15.75">
      <c r="A29" s="260"/>
      <c r="B29" s="261"/>
      <c r="C29" s="241"/>
      <c r="D29" s="241"/>
      <c r="E29" s="241"/>
      <c r="F29" s="241"/>
      <c r="G29" s="241"/>
    </row>
    <row r="30" spans="1:6" s="210" customFormat="1" ht="15.75">
      <c r="A30" s="261"/>
      <c r="B30" s="261"/>
      <c r="C30" s="241"/>
      <c r="D30" s="241"/>
      <c r="E30" s="241"/>
      <c r="F30" s="241"/>
    </row>
    <row r="31" spans="1:6" s="210" customFormat="1" ht="15.75">
      <c r="A31" s="261"/>
      <c r="B31" s="261"/>
      <c r="C31" s="241"/>
      <c r="D31" s="241"/>
      <c r="E31" s="241"/>
      <c r="F31" s="241"/>
    </row>
    <row r="32" spans="1:6" s="210" customFormat="1" ht="15.75">
      <c r="A32" s="261"/>
      <c r="B32" s="261"/>
      <c r="C32" s="241"/>
      <c r="D32" s="241"/>
      <c r="E32" s="241"/>
      <c r="F32" s="241"/>
    </row>
    <row r="33" spans="1:6" s="210" customFormat="1" ht="15.75">
      <c r="A33" s="261"/>
      <c r="B33" s="262"/>
      <c r="C33" s="241"/>
      <c r="D33" s="241"/>
      <c r="E33" s="241"/>
      <c r="F33" s="241"/>
    </row>
    <row r="34" spans="1:6" s="210" customFormat="1" ht="15.75">
      <c r="A34" s="261"/>
      <c r="B34" s="261"/>
      <c r="C34" s="241"/>
      <c r="D34" s="241"/>
      <c r="E34" s="241"/>
      <c r="F34" s="241"/>
    </row>
    <row r="35" spans="1:6" s="210" customFormat="1" ht="15.75">
      <c r="A35" s="261"/>
      <c r="B35" s="261"/>
      <c r="C35" s="241"/>
      <c r="D35" s="241"/>
      <c r="E35" s="241"/>
      <c r="F35" s="241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5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4.625" style="4" customWidth="1"/>
    <col min="2" max="2" width="14.125" style="297" customWidth="1"/>
    <col min="3" max="3" width="4.875" style="4" customWidth="1"/>
    <col min="4" max="4" width="17.75390625" style="297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469"/>
      <c r="B1" s="469"/>
      <c r="C1" s="469"/>
      <c r="D1" s="469"/>
      <c r="E1" s="469"/>
    </row>
    <row r="2" spans="1:5" ht="15">
      <c r="A2" s="296"/>
      <c r="B2" s="296"/>
      <c r="C2" s="296"/>
      <c r="D2" s="296"/>
      <c r="E2" s="296"/>
    </row>
    <row r="3" spans="1:5" ht="15">
      <c r="A3" s="469" t="s">
        <v>511</v>
      </c>
      <c r="B3" s="469"/>
      <c r="C3" s="469"/>
      <c r="D3" s="469"/>
      <c r="E3" s="469"/>
    </row>
    <row r="4" spans="1:5" ht="15">
      <c r="A4" s="296"/>
      <c r="B4" s="296"/>
      <c r="C4" s="296"/>
      <c r="D4" s="296"/>
      <c r="E4" s="296"/>
    </row>
    <row r="5" spans="1:5" s="45" customFormat="1" ht="15.75">
      <c r="A5" s="472"/>
      <c r="B5" s="472"/>
      <c r="C5" s="472"/>
      <c r="D5" s="472"/>
      <c r="E5" s="472"/>
    </row>
    <row r="6" spans="1:5" s="45" customFormat="1" ht="15.75">
      <c r="A6" s="471" t="s">
        <v>44</v>
      </c>
      <c r="B6" s="471"/>
      <c r="C6" s="471"/>
      <c r="D6" s="471"/>
      <c r="E6" s="471"/>
    </row>
    <row r="7" spans="1:5" ht="15.75">
      <c r="A7" s="471" t="s">
        <v>179</v>
      </c>
      <c r="B7" s="471"/>
      <c r="C7" s="471"/>
      <c r="D7" s="471"/>
      <c r="E7" s="471"/>
    </row>
    <row r="8" spans="1:5" ht="12.75" customHeight="1">
      <c r="A8" s="470" t="s">
        <v>469</v>
      </c>
      <c r="B8" s="470"/>
      <c r="C8" s="470"/>
      <c r="D8" s="470"/>
      <c r="E8" s="470"/>
    </row>
    <row r="9" spans="1:5" s="1" customFormat="1" ht="15">
      <c r="A9" s="4"/>
      <c r="B9" s="297"/>
      <c r="C9" s="4"/>
      <c r="D9" s="302"/>
      <c r="E9" s="4"/>
    </row>
    <row r="10" spans="1:4" s="1" customFormat="1" ht="18.75">
      <c r="A10" s="105" t="s">
        <v>180</v>
      </c>
      <c r="B10" s="300"/>
      <c r="D10" s="106"/>
    </row>
    <row r="11" spans="1:5" ht="15.75">
      <c r="A11" s="7" t="s">
        <v>181</v>
      </c>
      <c r="B11" s="300"/>
      <c r="C11" s="1"/>
      <c r="D11" s="392">
        <f>B12+B13</f>
        <v>31452609</v>
      </c>
      <c r="E11" s="1" t="s">
        <v>527</v>
      </c>
    </row>
    <row r="12" spans="1:7" ht="15.75">
      <c r="A12" s="107" t="s">
        <v>182</v>
      </c>
      <c r="B12" s="391">
        <f>'[1]2.mell - bevétel'!H68</f>
        <v>29416624</v>
      </c>
      <c r="C12" s="4" t="s">
        <v>527</v>
      </c>
      <c r="D12" s="302"/>
      <c r="G12" s="83"/>
    </row>
    <row r="13" spans="1:5" s="1" customFormat="1" ht="15.75" customHeight="1">
      <c r="A13" s="107" t="s">
        <v>183</v>
      </c>
      <c r="B13" s="391">
        <f>'[1]2.mell - bevétel'!H74</f>
        <v>2035985</v>
      </c>
      <c r="C13" s="4" t="s">
        <v>527</v>
      </c>
      <c r="D13" s="302"/>
      <c r="E13" s="4"/>
    </row>
    <row r="14" spans="1:4" s="1" customFormat="1" ht="15.75">
      <c r="A14" s="7"/>
      <c r="B14" s="300"/>
      <c r="D14" s="309"/>
    </row>
    <row r="15" spans="1:5" s="1" customFormat="1" ht="15.75">
      <c r="A15" s="7" t="s">
        <v>184</v>
      </c>
      <c r="B15" s="300"/>
      <c r="D15" s="772">
        <f>'[1]2.mell - bevétel'!H86</f>
        <v>10000000</v>
      </c>
      <c r="E15" s="1" t="s">
        <v>527</v>
      </c>
    </row>
    <row r="16" spans="1:5" s="1" customFormat="1" ht="15.75">
      <c r="A16" s="7" t="s">
        <v>131</v>
      </c>
      <c r="B16" s="300"/>
      <c r="D16" s="308">
        <f>'[1]2.mell - bevétel'!H113</f>
        <v>7813000</v>
      </c>
      <c r="E16" s="1" t="s">
        <v>527</v>
      </c>
    </row>
    <row r="17" spans="1:5" s="1" customFormat="1" ht="15.75">
      <c r="A17" s="7" t="s">
        <v>60</v>
      </c>
      <c r="B17" s="300"/>
      <c r="D17" s="308">
        <f>'[1]2.mell - bevétel'!H137</f>
        <v>10908000</v>
      </c>
      <c r="E17" s="1" t="s">
        <v>527</v>
      </c>
    </row>
    <row r="18" spans="1:5" s="1" customFormat="1" ht="15.75">
      <c r="A18" s="7" t="s">
        <v>185</v>
      </c>
      <c r="B18" s="300"/>
      <c r="D18" s="308">
        <v>0</v>
      </c>
      <c r="E18" s="1" t="s">
        <v>527</v>
      </c>
    </row>
    <row r="19" spans="1:5" s="1" customFormat="1" ht="15.75">
      <c r="A19" s="7" t="s">
        <v>186</v>
      </c>
      <c r="D19" s="308">
        <f>B20+B21</f>
        <v>0</v>
      </c>
      <c r="E19" s="1" t="s">
        <v>527</v>
      </c>
    </row>
    <row r="20" spans="1:7" s="6" customFormat="1" ht="32.25">
      <c r="A20" s="107" t="s">
        <v>187</v>
      </c>
      <c r="B20" s="307">
        <v>0</v>
      </c>
      <c r="C20" s="1" t="s">
        <v>527</v>
      </c>
      <c r="D20" s="308"/>
      <c r="E20" s="1"/>
      <c r="F20" s="1"/>
      <c r="G20" s="84"/>
    </row>
    <row r="21" spans="1:7" ht="18.75">
      <c r="A21" s="45" t="s">
        <v>188</v>
      </c>
      <c r="B21" s="300">
        <v>0</v>
      </c>
      <c r="C21" s="1" t="s">
        <v>527</v>
      </c>
      <c r="D21" s="308"/>
      <c r="E21" s="1"/>
      <c r="F21" s="6"/>
      <c r="G21" s="85"/>
    </row>
    <row r="22" spans="1:5" s="1" customFormat="1" ht="15.75">
      <c r="A22" s="7" t="s">
        <v>159</v>
      </c>
      <c r="B22" s="300"/>
      <c r="D22" s="308">
        <f>B23+B24</f>
        <v>62000</v>
      </c>
      <c r="E22" s="1" t="s">
        <v>527</v>
      </c>
    </row>
    <row r="23" spans="1:4" s="1" customFormat="1" ht="31.5">
      <c r="A23" s="107" t="s">
        <v>189</v>
      </c>
      <c r="B23" s="388">
        <f>'[1]2.mell - bevétel'!H144</f>
        <v>62000</v>
      </c>
      <c r="C23" s="1" t="s">
        <v>527</v>
      </c>
      <c r="D23" s="308"/>
    </row>
    <row r="24" spans="1:4" s="1" customFormat="1" ht="15.75">
      <c r="A24" s="45" t="s">
        <v>190</v>
      </c>
      <c r="B24" s="388">
        <v>0</v>
      </c>
      <c r="C24" s="1" t="s">
        <v>527</v>
      </c>
      <c r="D24" s="308"/>
    </row>
    <row r="25" spans="1:5" s="1" customFormat="1" ht="15.75">
      <c r="A25" s="7" t="s">
        <v>49</v>
      </c>
      <c r="B25" s="390"/>
      <c r="D25" s="389">
        <f>SUM(D11:D24)</f>
        <v>60235609</v>
      </c>
      <c r="E25" s="106" t="s">
        <v>527</v>
      </c>
    </row>
    <row r="26" spans="1:4" s="1" customFormat="1" ht="15.75">
      <c r="A26" s="45"/>
      <c r="B26" s="390"/>
      <c r="D26" s="389"/>
    </row>
    <row r="27" spans="1:4" s="1" customFormat="1" ht="18.75">
      <c r="A27" s="105" t="s">
        <v>191</v>
      </c>
      <c r="B27" s="390"/>
      <c r="D27" s="389"/>
    </row>
    <row r="28" spans="1:5" s="1" customFormat="1" ht="15.75">
      <c r="A28" s="9" t="s">
        <v>17</v>
      </c>
      <c r="B28" s="388"/>
      <c r="D28" s="308">
        <f>B30+B31+B32+B33+B34</f>
        <v>85846040</v>
      </c>
      <c r="E28" s="1" t="s">
        <v>527</v>
      </c>
    </row>
    <row r="29" spans="1:4" s="1" customFormat="1" ht="15.75">
      <c r="A29" s="8" t="s">
        <v>16</v>
      </c>
      <c r="B29" s="388"/>
      <c r="D29" s="308"/>
    </row>
    <row r="30" spans="1:4" s="1" customFormat="1" ht="15.75">
      <c r="A30" s="45" t="s">
        <v>192</v>
      </c>
      <c r="B30" s="388">
        <f>'[1]4.mell. - kiadás'!D43</f>
        <v>19942600</v>
      </c>
      <c r="C30" s="1" t="s">
        <v>527</v>
      </c>
      <c r="D30" s="308"/>
    </row>
    <row r="31" spans="1:4" s="1" customFormat="1" ht="15.75">
      <c r="A31" s="45" t="s">
        <v>193</v>
      </c>
      <c r="B31" s="388">
        <f>'[1]4.mell. - kiadás'!E43</f>
        <v>4882695</v>
      </c>
      <c r="C31" s="1" t="s">
        <v>527</v>
      </c>
      <c r="D31" s="308"/>
    </row>
    <row r="32" spans="1:4" s="1" customFormat="1" ht="15.75">
      <c r="A32" s="45" t="s">
        <v>194</v>
      </c>
      <c r="B32" s="388">
        <f>'[1]4.mell. - kiadás'!F43-640000</f>
        <v>20913968</v>
      </c>
      <c r="C32" s="1" t="s">
        <v>527</v>
      </c>
      <c r="D32" s="308"/>
    </row>
    <row r="33" spans="1:4" s="1" customFormat="1" ht="15.75">
      <c r="A33" s="108" t="s">
        <v>195</v>
      </c>
      <c r="B33" s="388">
        <f>'[1]4.mell. - kiadás'!G43</f>
        <v>3411000</v>
      </c>
      <c r="C33" s="1" t="s">
        <v>527</v>
      </c>
      <c r="D33" s="308"/>
    </row>
    <row r="34" spans="1:4" s="1" customFormat="1" ht="15.75">
      <c r="A34" s="45" t="s">
        <v>87</v>
      </c>
      <c r="B34" s="388">
        <f>'[1]4.mell. - kiadás'!H43+640000</f>
        <v>36695777</v>
      </c>
      <c r="C34" s="1" t="s">
        <v>527</v>
      </c>
      <c r="D34" s="308"/>
    </row>
    <row r="35" spans="1:4" s="1" customFormat="1" ht="15.75">
      <c r="A35" s="45"/>
      <c r="B35" s="387"/>
      <c r="D35" s="308"/>
    </row>
    <row r="36" spans="1:5" s="1" customFormat="1" ht="15.75">
      <c r="A36" s="9" t="s">
        <v>18</v>
      </c>
      <c r="B36" s="388"/>
      <c r="D36" s="306">
        <f>B38+B39+B40</f>
        <v>43474810</v>
      </c>
      <c r="E36" s="1" t="s">
        <v>527</v>
      </c>
    </row>
    <row r="37" spans="1:4" s="1" customFormat="1" ht="15.75">
      <c r="A37" s="8" t="s">
        <v>16</v>
      </c>
      <c r="B37" s="388"/>
      <c r="D37" s="308"/>
    </row>
    <row r="38" spans="1:4" s="1" customFormat="1" ht="15.75">
      <c r="A38" s="45" t="s">
        <v>196</v>
      </c>
      <c r="B38" s="387">
        <f>'[1]4.mell. - kiadás'!J43</f>
        <v>8644810</v>
      </c>
      <c r="C38" s="1" t="s">
        <v>527</v>
      </c>
      <c r="D38" s="308"/>
    </row>
    <row r="39" spans="1:4" s="1" customFormat="1" ht="15.75">
      <c r="A39" s="45" t="s">
        <v>197</v>
      </c>
      <c r="B39" s="387">
        <f>'[1]4.mell. - kiadás'!K43</f>
        <v>33630000</v>
      </c>
      <c r="C39" s="1" t="s">
        <v>527</v>
      </c>
      <c r="D39" s="308"/>
    </row>
    <row r="40" spans="1:6" ht="15.75">
      <c r="A40" s="45" t="s">
        <v>88</v>
      </c>
      <c r="B40" s="387">
        <f>'[1]4.mell. - kiadás'!L43</f>
        <v>1200000</v>
      </c>
      <c r="C40" s="1" t="s">
        <v>527</v>
      </c>
      <c r="D40" s="308"/>
      <c r="E40" s="1"/>
      <c r="F40" s="1"/>
    </row>
    <row r="41" spans="1:4" s="1" customFormat="1" ht="15.75">
      <c r="A41" s="45"/>
      <c r="B41" s="387"/>
      <c r="D41" s="308"/>
    </row>
    <row r="42" spans="1:5" s="1" customFormat="1" ht="15.75">
      <c r="A42" s="15" t="s">
        <v>198</v>
      </c>
      <c r="B42" s="387"/>
      <c r="D42" s="308">
        <f>B43+B44+B45</f>
        <v>2439968</v>
      </c>
      <c r="E42" s="1" t="s">
        <v>527</v>
      </c>
    </row>
    <row r="43" spans="1:4" s="1" customFormat="1" ht="15.75">
      <c r="A43" s="45" t="s">
        <v>199</v>
      </c>
      <c r="B43" s="388"/>
      <c r="C43" s="1" t="s">
        <v>527</v>
      </c>
      <c r="D43" s="308"/>
    </row>
    <row r="44" spans="1:6" s="6" customFormat="1" ht="18.75">
      <c r="A44" s="45" t="s">
        <v>200</v>
      </c>
      <c r="B44" s="388"/>
      <c r="C44" s="1" t="s">
        <v>527</v>
      </c>
      <c r="D44" s="308"/>
      <c r="E44" s="1"/>
      <c r="F44" s="4"/>
    </row>
    <row r="45" spans="1:6" ht="15.75">
      <c r="A45" s="45" t="s">
        <v>494</v>
      </c>
      <c r="B45" s="387">
        <f>1318759+1121209</f>
        <v>2439968</v>
      </c>
      <c r="C45" s="1" t="s">
        <v>527</v>
      </c>
      <c r="D45" s="308"/>
      <c r="E45" s="1"/>
      <c r="F45" s="1"/>
    </row>
    <row r="46" spans="1:6" ht="15.75">
      <c r="A46" s="7" t="s">
        <v>52</v>
      </c>
      <c r="B46" s="387"/>
      <c r="C46" s="1"/>
      <c r="D46" s="305">
        <f>SUM(D28:D45)</f>
        <v>131760818</v>
      </c>
      <c r="E46" s="4" t="s">
        <v>527</v>
      </c>
      <c r="F46" s="1"/>
    </row>
    <row r="47" spans="1:6" ht="15.75">
      <c r="A47" s="45"/>
      <c r="B47" s="300"/>
      <c r="C47" s="1"/>
      <c r="D47" s="306"/>
      <c r="E47" s="1"/>
      <c r="F47" s="1"/>
    </row>
    <row r="48" spans="1:6" ht="18.75">
      <c r="A48" s="7" t="s">
        <v>53</v>
      </c>
      <c r="B48" s="300"/>
      <c r="C48" s="1"/>
      <c r="D48" s="305">
        <f>D25-D46</f>
        <v>-71525209</v>
      </c>
      <c r="E48" s="4" t="s">
        <v>527</v>
      </c>
      <c r="F48" s="6"/>
    </row>
    <row r="49" spans="1:4" ht="15.75">
      <c r="A49" s="45"/>
      <c r="B49" s="300"/>
      <c r="C49" s="1"/>
      <c r="D49" s="305"/>
    </row>
    <row r="50" spans="1:5" ht="48">
      <c r="A50" s="109" t="s">
        <v>545</v>
      </c>
      <c r="B50" s="304"/>
      <c r="C50" s="6"/>
      <c r="D50" s="305">
        <v>29614876</v>
      </c>
      <c r="E50" s="4" t="s">
        <v>527</v>
      </c>
    </row>
    <row r="51" spans="1:6" s="1" customFormat="1" ht="15.75">
      <c r="A51" s="303" t="s">
        <v>528</v>
      </c>
      <c r="B51" s="297"/>
      <c r="C51" s="4"/>
      <c r="D51" s="305">
        <v>40789124</v>
      </c>
      <c r="E51" s="4" t="s">
        <v>527</v>
      </c>
      <c r="F51" s="4"/>
    </row>
    <row r="52" spans="1:6" s="1" customFormat="1" ht="15.75">
      <c r="A52" s="303" t="s">
        <v>562</v>
      </c>
      <c r="B52" s="297"/>
      <c r="C52" s="4"/>
      <c r="D52" s="305">
        <v>1121209</v>
      </c>
      <c r="E52" s="4" t="s">
        <v>527</v>
      </c>
      <c r="F52" s="4"/>
    </row>
    <row r="53" spans="1:5" ht="15.75">
      <c r="A53" s="7" t="s">
        <v>86</v>
      </c>
      <c r="D53" s="301">
        <f>D48+D50+D51+D52</f>
        <v>0</v>
      </c>
      <c r="E53" s="4" t="s">
        <v>527</v>
      </c>
    </row>
    <row r="54" spans="1:4" s="1" customFormat="1" ht="10.5" customHeight="1">
      <c r="A54" s="5"/>
      <c r="B54" s="300"/>
      <c r="D54" s="299"/>
    </row>
    <row r="55" spans="1:5" ht="15.75">
      <c r="A55" s="5"/>
      <c r="B55" s="300"/>
      <c r="C55" s="1"/>
      <c r="D55" s="299"/>
      <c r="E55" s="7"/>
    </row>
    <row r="56" spans="1:5" ht="15.75">
      <c r="A56" s="7"/>
      <c r="D56" s="298"/>
      <c r="E56" s="7"/>
    </row>
  </sheetData>
  <sheetProtection/>
  <mergeCells count="6">
    <mergeCell ref="A1:E1"/>
    <mergeCell ref="A3:E3"/>
    <mergeCell ref="A5:E5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25390625" style="53" customWidth="1"/>
    <col min="2" max="5" width="3.125" style="51" customWidth="1"/>
    <col min="6" max="6" width="52.125" style="8" customWidth="1"/>
    <col min="7" max="7" width="14.00390625" style="8" customWidth="1"/>
    <col min="8" max="8" width="16.75390625" style="8" customWidth="1"/>
    <col min="9" max="9" width="9.375" style="8" customWidth="1"/>
    <col min="10" max="16384" width="9.125" style="8" customWidth="1"/>
  </cols>
  <sheetData>
    <row r="1" spans="1:9" ht="15.75">
      <c r="A1" s="172"/>
      <c r="B1" s="172"/>
      <c r="C1" s="172"/>
      <c r="D1" s="172"/>
      <c r="E1" s="172"/>
      <c r="F1" s="86"/>
      <c r="G1" s="86"/>
      <c r="H1" s="86"/>
      <c r="I1" s="86"/>
    </row>
    <row r="2" spans="1:9" ht="15.75">
      <c r="A2" s="172"/>
      <c r="B2" s="172"/>
      <c r="C2" s="172"/>
      <c r="D2" s="172"/>
      <c r="E2" s="172"/>
      <c r="F2" s="86"/>
      <c r="G2" s="86"/>
      <c r="H2" s="86"/>
      <c r="I2" s="86"/>
    </row>
    <row r="3" spans="1:9" ht="15.75">
      <c r="A3" s="172" t="s">
        <v>512</v>
      </c>
      <c r="B3" s="172"/>
      <c r="C3" s="172"/>
      <c r="D3" s="172"/>
      <c r="E3" s="172"/>
      <c r="F3" s="86"/>
      <c r="G3" s="86"/>
      <c r="H3" s="86"/>
      <c r="I3" s="86"/>
    </row>
    <row r="4" spans="1:9" ht="15.75">
      <c r="A4" s="172"/>
      <c r="B4" s="172"/>
      <c r="C4" s="172"/>
      <c r="D4" s="172"/>
      <c r="E4" s="172"/>
      <c r="F4" s="86"/>
      <c r="G4" s="86"/>
      <c r="H4" s="86"/>
      <c r="I4" s="86"/>
    </row>
    <row r="5" spans="1:9" ht="15.75">
      <c r="A5" s="491"/>
      <c r="B5" s="491"/>
      <c r="C5" s="491"/>
      <c r="D5" s="491"/>
      <c r="E5" s="491"/>
      <c r="F5" s="491"/>
      <c r="G5" s="491"/>
      <c r="H5" s="491"/>
      <c r="I5" s="491"/>
    </row>
    <row r="6" spans="1:9" s="9" customFormat="1" ht="15.75">
      <c r="A6" s="501" t="s">
        <v>4</v>
      </c>
      <c r="B6" s="501"/>
      <c r="C6" s="501"/>
      <c r="D6" s="501"/>
      <c r="E6" s="501"/>
      <c r="F6" s="501"/>
      <c r="G6" s="501"/>
      <c r="H6" s="501"/>
      <c r="I6" s="501"/>
    </row>
    <row r="7" spans="1:9" s="9" customFormat="1" ht="15.75">
      <c r="A7" s="501" t="s">
        <v>41</v>
      </c>
      <c r="B7" s="501"/>
      <c r="C7" s="501"/>
      <c r="D7" s="501"/>
      <c r="E7" s="501"/>
      <c r="F7" s="501"/>
      <c r="G7" s="501"/>
      <c r="H7" s="501"/>
      <c r="I7" s="501"/>
    </row>
    <row r="8" spans="1:9" ht="15.75">
      <c r="A8" s="501" t="s">
        <v>470</v>
      </c>
      <c r="B8" s="501"/>
      <c r="C8" s="501"/>
      <c r="D8" s="501"/>
      <c r="E8" s="501"/>
      <c r="F8" s="501"/>
      <c r="G8" s="501"/>
      <c r="H8" s="501"/>
      <c r="I8" s="501"/>
    </row>
    <row r="9" ht="15.75" hidden="1"/>
    <row r="10" spans="8:9" ht="16.5" thickBot="1">
      <c r="H10" s="54"/>
      <c r="I10" s="55" t="s">
        <v>530</v>
      </c>
    </row>
    <row r="11" spans="1:9" ht="15.75">
      <c r="A11" s="492" t="s">
        <v>21</v>
      </c>
      <c r="B11" s="493"/>
      <c r="C11" s="493"/>
      <c r="D11" s="493"/>
      <c r="E11" s="493"/>
      <c r="F11" s="494"/>
      <c r="G11" s="56" t="s">
        <v>19</v>
      </c>
      <c r="H11" s="56" t="s">
        <v>19</v>
      </c>
      <c r="I11" s="56" t="s">
        <v>20</v>
      </c>
    </row>
    <row r="12" spans="1:9" ht="15.75">
      <c r="A12" s="495"/>
      <c r="B12" s="496"/>
      <c r="C12" s="496"/>
      <c r="D12" s="496"/>
      <c r="E12" s="496"/>
      <c r="F12" s="497"/>
      <c r="G12" s="57" t="s">
        <v>10</v>
      </c>
      <c r="H12" s="57" t="s">
        <v>10</v>
      </c>
      <c r="I12" s="57"/>
    </row>
    <row r="13" spans="1:9" ht="16.5" thickBot="1">
      <c r="A13" s="498"/>
      <c r="B13" s="499"/>
      <c r="C13" s="499"/>
      <c r="D13" s="499"/>
      <c r="E13" s="499"/>
      <c r="F13" s="500"/>
      <c r="G13" s="58" t="s">
        <v>169</v>
      </c>
      <c r="H13" s="58" t="s">
        <v>470</v>
      </c>
      <c r="I13" s="58" t="s">
        <v>22</v>
      </c>
    </row>
    <row r="14" spans="1:9" ht="15.75">
      <c r="A14" s="267"/>
      <c r="B14" s="267"/>
      <c r="C14" s="267"/>
      <c r="D14" s="267"/>
      <c r="E14" s="267"/>
      <c r="F14" s="267"/>
      <c r="G14" s="267"/>
      <c r="H14" s="267"/>
      <c r="I14" s="267"/>
    </row>
    <row r="15" spans="1:9" ht="15.75">
      <c r="A15" s="267"/>
      <c r="B15" s="267"/>
      <c r="C15" s="267"/>
      <c r="D15" s="267"/>
      <c r="E15" s="267"/>
      <c r="F15" s="267"/>
      <c r="G15" s="267"/>
      <c r="H15" s="267"/>
      <c r="I15" s="267"/>
    </row>
    <row r="16" spans="1:9" ht="15.75">
      <c r="A16" s="15" t="s">
        <v>54</v>
      </c>
      <c r="B16" s="473" t="s">
        <v>92</v>
      </c>
      <c r="C16" s="473"/>
      <c r="D16" s="473"/>
      <c r="E16" s="473"/>
      <c r="F16" s="473"/>
      <c r="G16" s="89"/>
      <c r="H16" s="320"/>
      <c r="I16" s="89"/>
    </row>
    <row r="17" spans="1:9" ht="15.75">
      <c r="A17" s="15"/>
      <c r="B17" s="15" t="s">
        <v>54</v>
      </c>
      <c r="C17" s="15" t="s">
        <v>93</v>
      </c>
      <c r="D17" s="15"/>
      <c r="E17" s="15"/>
      <c r="F17" s="15"/>
      <c r="G17" s="315"/>
      <c r="H17" s="315"/>
      <c r="I17" s="15"/>
    </row>
    <row r="18" spans="1:9" ht="33" customHeight="1">
      <c r="A18" s="15"/>
      <c r="B18" s="15"/>
      <c r="C18" s="15" t="s">
        <v>47</v>
      </c>
      <c r="D18" s="473" t="s">
        <v>94</v>
      </c>
      <c r="E18" s="473"/>
      <c r="F18" s="473"/>
      <c r="G18" s="320"/>
      <c r="H18" s="320"/>
      <c r="I18" s="89"/>
    </row>
    <row r="19" spans="1:9" ht="33.75" customHeight="1">
      <c r="A19" s="15"/>
      <c r="B19" s="15"/>
      <c r="C19" s="15"/>
      <c r="D19" s="15" t="s">
        <v>47</v>
      </c>
      <c r="E19" s="473" t="s">
        <v>95</v>
      </c>
      <c r="F19" s="473"/>
      <c r="G19" s="320"/>
      <c r="H19" s="320"/>
      <c r="I19" s="89"/>
    </row>
    <row r="20" spans="1:9" ht="15.75">
      <c r="A20" s="18"/>
      <c r="B20" s="18"/>
      <c r="C20" s="18"/>
      <c r="D20" s="18"/>
      <c r="E20" s="18" t="s">
        <v>61</v>
      </c>
      <c r="F20" s="18" t="s">
        <v>55</v>
      </c>
      <c r="G20" s="316"/>
      <c r="H20" s="316"/>
      <c r="I20" s="90"/>
    </row>
    <row r="21" spans="1:9" ht="15.75">
      <c r="A21" s="18"/>
      <c r="B21" s="18"/>
      <c r="C21" s="18"/>
      <c r="D21" s="18"/>
      <c r="E21" s="18"/>
      <c r="F21" s="18" t="s">
        <v>96</v>
      </c>
      <c r="G21" s="316"/>
      <c r="I21" s="90"/>
    </row>
    <row r="22" spans="1:9" ht="31.5">
      <c r="A22" s="18"/>
      <c r="B22" s="18"/>
      <c r="C22" s="18"/>
      <c r="D22" s="18"/>
      <c r="E22" s="18" t="s">
        <v>62</v>
      </c>
      <c r="F22" s="91" t="s">
        <v>56</v>
      </c>
      <c r="G22" s="314"/>
      <c r="I22" s="90"/>
    </row>
    <row r="23" spans="1:9" ht="31.5">
      <c r="A23" s="18"/>
      <c r="B23" s="18"/>
      <c r="C23" s="18"/>
      <c r="D23" s="18"/>
      <c r="E23" s="18" t="s">
        <v>97</v>
      </c>
      <c r="F23" s="91" t="s">
        <v>98</v>
      </c>
      <c r="G23" s="311">
        <v>2553000</v>
      </c>
      <c r="H23" s="324">
        <v>2553350</v>
      </c>
      <c r="I23" s="90">
        <f>H23/G23*100</f>
        <v>100.01370936153545</v>
      </c>
    </row>
    <row r="24" spans="1:9" ht="15.75">
      <c r="A24" s="18"/>
      <c r="B24" s="18"/>
      <c r="C24" s="18"/>
      <c r="D24" s="18"/>
      <c r="E24" s="18"/>
      <c r="F24" s="18" t="s">
        <v>96</v>
      </c>
      <c r="G24" s="311"/>
      <c r="H24" s="324"/>
      <c r="I24" s="90"/>
    </row>
    <row r="25" spans="1:9" ht="15.75">
      <c r="A25" s="18"/>
      <c r="B25" s="18"/>
      <c r="C25" s="18"/>
      <c r="D25" s="18"/>
      <c r="E25" s="18" t="s">
        <v>99</v>
      </c>
      <c r="F25" s="91" t="s">
        <v>100</v>
      </c>
      <c r="G25" s="311">
        <v>3392000</v>
      </c>
      <c r="H25" s="324">
        <v>3648000</v>
      </c>
      <c r="I25" s="90">
        <f>H25/G25*100</f>
        <v>107.54716981132076</v>
      </c>
    </row>
    <row r="26" spans="1:9" ht="15.75">
      <c r="A26" s="18"/>
      <c r="B26" s="18"/>
      <c r="C26" s="18"/>
      <c r="D26" s="18"/>
      <c r="E26" s="18"/>
      <c r="F26" s="18" t="s">
        <v>96</v>
      </c>
      <c r="G26" s="311"/>
      <c r="H26" s="324"/>
      <c r="I26" s="90"/>
    </row>
    <row r="27" spans="1:9" ht="33" customHeight="1">
      <c r="A27" s="18"/>
      <c r="B27" s="18"/>
      <c r="C27" s="18"/>
      <c r="D27" s="18"/>
      <c r="E27" s="18" t="s">
        <v>101</v>
      </c>
      <c r="F27" s="91" t="s">
        <v>102</v>
      </c>
      <c r="G27" s="311">
        <v>100000</v>
      </c>
      <c r="H27" s="324">
        <v>100000</v>
      </c>
      <c r="I27" s="90">
        <f>H27/G27*100</f>
        <v>100</v>
      </c>
    </row>
    <row r="28" spans="1:9" ht="15.75">
      <c r="A28" s="18"/>
      <c r="B28" s="18"/>
      <c r="C28" s="18"/>
      <c r="D28" s="18"/>
      <c r="E28" s="18"/>
      <c r="F28" s="18" t="s">
        <v>96</v>
      </c>
      <c r="G28" s="311"/>
      <c r="H28" s="324"/>
      <c r="I28" s="90"/>
    </row>
    <row r="29" spans="1:9" ht="15.75">
      <c r="A29" s="18"/>
      <c r="B29" s="18"/>
      <c r="C29" s="18"/>
      <c r="D29" s="18"/>
      <c r="E29" s="18" t="s">
        <v>103</v>
      </c>
      <c r="F29" s="91" t="s">
        <v>104</v>
      </c>
      <c r="G29" s="311">
        <v>7507000</v>
      </c>
      <c r="H29" s="324">
        <v>7506890</v>
      </c>
      <c r="I29" s="90">
        <f>H29/G29*100</f>
        <v>99.99853470094578</v>
      </c>
    </row>
    <row r="30" spans="1:9" s="46" customFormat="1" ht="15.75">
      <c r="A30" s="18"/>
      <c r="B30" s="18"/>
      <c r="C30" s="18"/>
      <c r="D30" s="18"/>
      <c r="E30" s="18"/>
      <c r="F30" s="18" t="s">
        <v>96</v>
      </c>
      <c r="G30" s="311"/>
      <c r="H30" s="414"/>
      <c r="I30" s="90"/>
    </row>
    <row r="31" spans="1:9" ht="15.75">
      <c r="A31" s="18"/>
      <c r="B31" s="18"/>
      <c r="C31" s="18"/>
      <c r="D31" s="18" t="s">
        <v>63</v>
      </c>
      <c r="E31" s="18" t="s">
        <v>105</v>
      </c>
      <c r="F31" s="18"/>
      <c r="G31" s="311">
        <v>4000000</v>
      </c>
      <c r="H31" s="324">
        <v>5000000</v>
      </c>
      <c r="I31" s="90">
        <f aca="true" t="shared" si="0" ref="I31:I36">H31/G31*100</f>
        <v>125</v>
      </c>
    </row>
    <row r="32" spans="1:9" ht="15.75">
      <c r="A32" s="18"/>
      <c r="B32" s="18"/>
      <c r="C32" s="18"/>
      <c r="D32" s="18"/>
      <c r="E32" s="18"/>
      <c r="F32" s="18" t="s">
        <v>96</v>
      </c>
      <c r="G32" s="412">
        <v>-239000</v>
      </c>
      <c r="H32" s="324">
        <v>-267242</v>
      </c>
      <c r="I32" s="90">
        <f t="shared" si="0"/>
        <v>111.81673640167364</v>
      </c>
    </row>
    <row r="33" spans="1:9" ht="15.75">
      <c r="A33" s="18"/>
      <c r="B33" s="18"/>
      <c r="C33" s="18"/>
      <c r="D33" s="18" t="s">
        <v>64</v>
      </c>
      <c r="E33" s="18" t="s">
        <v>171</v>
      </c>
      <c r="F33" s="18"/>
      <c r="G33" s="311">
        <v>20000</v>
      </c>
      <c r="H33" s="324">
        <v>20400</v>
      </c>
      <c r="I33" s="90">
        <f t="shared" si="0"/>
        <v>102</v>
      </c>
    </row>
    <row r="34" spans="1:9" ht="15.75">
      <c r="A34" s="18"/>
      <c r="B34" s="18"/>
      <c r="C34" s="18"/>
      <c r="D34" s="18" t="s">
        <v>172</v>
      </c>
      <c r="E34" s="18" t="s">
        <v>121</v>
      </c>
      <c r="F34" s="18"/>
      <c r="G34" s="311">
        <v>682000</v>
      </c>
      <c r="H34" s="324">
        <v>206150</v>
      </c>
      <c r="I34" s="90">
        <f t="shared" si="0"/>
        <v>30.227272727272727</v>
      </c>
    </row>
    <row r="35" spans="1:9" ht="15.75">
      <c r="A35" s="18"/>
      <c r="B35" s="18"/>
      <c r="C35" s="18" t="s">
        <v>27</v>
      </c>
      <c r="D35" s="474" t="s">
        <v>107</v>
      </c>
      <c r="E35" s="474"/>
      <c r="F35" s="474"/>
      <c r="G35" s="311">
        <v>6000</v>
      </c>
      <c r="H35" s="324">
        <v>3200</v>
      </c>
      <c r="I35" s="90">
        <f t="shared" si="0"/>
        <v>53.333333333333336</v>
      </c>
    </row>
    <row r="36" spans="1:9" ht="15.75">
      <c r="A36" s="18"/>
      <c r="B36" s="18"/>
      <c r="C36" s="18" t="s">
        <v>119</v>
      </c>
      <c r="D36" s="18" t="s">
        <v>173</v>
      </c>
      <c r="E36" s="18"/>
      <c r="F36" s="18"/>
      <c r="G36" s="311">
        <v>48000</v>
      </c>
      <c r="H36" s="324">
        <v>33909</v>
      </c>
      <c r="I36" s="90">
        <f t="shared" si="0"/>
        <v>70.64375000000001</v>
      </c>
    </row>
    <row r="37" spans="1:9" s="46" customFormat="1" ht="15.75">
      <c r="A37" s="18"/>
      <c r="B37" s="18"/>
      <c r="C37" s="18"/>
      <c r="D37" s="18" t="s">
        <v>27</v>
      </c>
      <c r="E37" s="18" t="s">
        <v>106</v>
      </c>
      <c r="F37" s="18"/>
      <c r="G37" s="311"/>
      <c r="H37" s="414"/>
      <c r="I37" s="90"/>
    </row>
    <row r="38" spans="1:9" ht="15.75">
      <c r="A38" s="18"/>
      <c r="B38" s="18"/>
      <c r="C38" s="18"/>
      <c r="D38" s="18"/>
      <c r="E38" s="18"/>
      <c r="F38" s="18" t="s">
        <v>96</v>
      </c>
      <c r="G38" s="311"/>
      <c r="H38" s="324"/>
      <c r="I38" s="90"/>
    </row>
    <row r="39" spans="1:9" ht="15.75">
      <c r="A39" s="18"/>
      <c r="B39" s="18"/>
      <c r="C39" s="18"/>
      <c r="D39" s="18"/>
      <c r="E39" s="18"/>
      <c r="F39" s="18"/>
      <c r="G39" s="311"/>
      <c r="H39" s="324"/>
      <c r="I39" s="90"/>
    </row>
    <row r="40" spans="1:9" ht="31.5" customHeight="1">
      <c r="A40" s="93"/>
      <c r="B40" s="93"/>
      <c r="C40" s="94"/>
      <c r="D40" s="481" t="s">
        <v>108</v>
      </c>
      <c r="E40" s="481"/>
      <c r="F40" s="481"/>
      <c r="G40" s="415">
        <f>SUM(G20:G39)</f>
        <v>18069000</v>
      </c>
      <c r="H40" s="415">
        <f>SUM(H20:H39)</f>
        <v>18804657</v>
      </c>
      <c r="I40" s="104">
        <f>H40/G40*100</f>
        <v>104.07137639050308</v>
      </c>
    </row>
    <row r="41" spans="1:9" s="46" customFormat="1" ht="15.75">
      <c r="A41" s="15"/>
      <c r="B41" s="15"/>
      <c r="C41" s="15"/>
      <c r="D41" s="88"/>
      <c r="E41" s="88"/>
      <c r="F41" s="88"/>
      <c r="G41" s="410"/>
      <c r="H41" s="414"/>
      <c r="I41" s="90"/>
    </row>
    <row r="42" spans="1:9" ht="15.75">
      <c r="A42" s="18"/>
      <c r="B42" s="18"/>
      <c r="C42" s="15" t="s">
        <v>48</v>
      </c>
      <c r="D42" s="473" t="s">
        <v>109</v>
      </c>
      <c r="E42" s="473"/>
      <c r="F42" s="473"/>
      <c r="G42" s="410"/>
      <c r="H42" s="324"/>
      <c r="I42" s="90"/>
    </row>
    <row r="43" spans="1:9" ht="15.75">
      <c r="A43" s="18"/>
      <c r="B43" s="18"/>
      <c r="C43" s="18"/>
      <c r="D43" s="18" t="s">
        <v>47</v>
      </c>
      <c r="E43" s="18" t="s">
        <v>174</v>
      </c>
      <c r="F43" s="18"/>
      <c r="G43" s="311">
        <v>327000</v>
      </c>
      <c r="H43" s="324"/>
      <c r="I43" s="90">
        <f>H43/G43*100</f>
        <v>0</v>
      </c>
    </row>
    <row r="44" spans="1:9" ht="30.75" customHeight="1">
      <c r="A44" s="18"/>
      <c r="B44" s="18"/>
      <c r="C44" s="18"/>
      <c r="D44" s="18" t="s">
        <v>27</v>
      </c>
      <c r="E44" s="474" t="s">
        <v>175</v>
      </c>
      <c r="F44" s="474"/>
      <c r="G44" s="311">
        <v>1990000</v>
      </c>
      <c r="H44" s="324">
        <v>3855289</v>
      </c>
      <c r="I44" s="90"/>
    </row>
    <row r="45" spans="1:9" ht="15.75">
      <c r="A45" s="18"/>
      <c r="B45" s="18"/>
      <c r="C45" s="18"/>
      <c r="D45" s="18" t="s">
        <v>48</v>
      </c>
      <c r="E45" s="18" t="s">
        <v>110</v>
      </c>
      <c r="F45" s="18"/>
      <c r="G45" s="311">
        <v>1052000</v>
      </c>
      <c r="H45" s="324">
        <v>830400</v>
      </c>
      <c r="I45" s="90">
        <f>H45/G45*100</f>
        <v>78.93536121673004</v>
      </c>
    </row>
    <row r="46" spans="1:9" ht="15.75">
      <c r="A46" s="18"/>
      <c r="B46" s="18"/>
      <c r="C46" s="18"/>
      <c r="D46" s="18" t="s">
        <v>111</v>
      </c>
      <c r="E46" s="18" t="s">
        <v>112</v>
      </c>
      <c r="F46" s="18"/>
      <c r="G46" s="311"/>
      <c r="H46" s="324"/>
      <c r="I46" s="90"/>
    </row>
    <row r="47" spans="1:9" ht="15.75">
      <c r="A47" s="18"/>
      <c r="B47" s="18"/>
      <c r="C47" s="18"/>
      <c r="D47" s="18" t="s">
        <v>113</v>
      </c>
      <c r="E47" s="18" t="s">
        <v>114</v>
      </c>
      <c r="F47" s="18"/>
      <c r="G47" s="311">
        <v>3128000</v>
      </c>
      <c r="H47" s="324">
        <f>195840+3823675-88130</f>
        <v>3931385</v>
      </c>
      <c r="I47" s="90">
        <f>H47/G47*100</f>
        <v>125.68366368286445</v>
      </c>
    </row>
    <row r="48" spans="1:9" ht="15.75">
      <c r="A48" s="18"/>
      <c r="B48" s="18"/>
      <c r="C48" s="18"/>
      <c r="D48" s="18"/>
      <c r="E48" s="18"/>
      <c r="F48" s="18"/>
      <c r="G48" s="311"/>
      <c r="H48" s="324"/>
      <c r="I48" s="90"/>
    </row>
    <row r="49" spans="1:9" ht="33.75" customHeight="1">
      <c r="A49" s="93"/>
      <c r="B49" s="93"/>
      <c r="C49" s="481" t="s">
        <v>115</v>
      </c>
      <c r="D49" s="481"/>
      <c r="E49" s="481"/>
      <c r="F49" s="481"/>
      <c r="G49" s="323">
        <f>SUM(G43:G48)</f>
        <v>6497000</v>
      </c>
      <c r="H49" s="323">
        <f>SUM(H43:H48)</f>
        <v>8617074</v>
      </c>
      <c r="I49" s="104">
        <f>H49/G49*100</f>
        <v>132.63158380791134</v>
      </c>
    </row>
    <row r="50" spans="1:9" ht="33.75" customHeight="1">
      <c r="A50" s="93"/>
      <c r="B50" s="93"/>
      <c r="C50" s="265"/>
      <c r="D50" s="265"/>
      <c r="E50" s="265"/>
      <c r="F50" s="265"/>
      <c r="G50" s="323"/>
      <c r="H50" s="323"/>
      <c r="I50" s="104"/>
    </row>
    <row r="51" spans="1:9" ht="33.75" customHeight="1">
      <c r="A51" s="93"/>
      <c r="B51" s="93"/>
      <c r="C51" s="265"/>
      <c r="D51" s="265"/>
      <c r="E51" s="265"/>
      <c r="F51" s="265"/>
      <c r="G51" s="323"/>
      <c r="H51" s="323"/>
      <c r="I51" s="104"/>
    </row>
    <row r="52" spans="1:9" ht="16.5" thickBot="1">
      <c r="A52" s="93"/>
      <c r="B52" s="93"/>
      <c r="C52" s="265"/>
      <c r="D52" s="265"/>
      <c r="E52" s="265"/>
      <c r="F52" s="265"/>
      <c r="G52" s="321"/>
      <c r="H52" s="321"/>
      <c r="I52" s="104"/>
    </row>
    <row r="53" spans="1:9" ht="15.75">
      <c r="A53" s="482" t="s">
        <v>21</v>
      </c>
      <c r="B53" s="483"/>
      <c r="C53" s="483"/>
      <c r="D53" s="483"/>
      <c r="E53" s="483"/>
      <c r="F53" s="484"/>
      <c r="G53" s="56" t="s">
        <v>19</v>
      </c>
      <c r="H53" s="56" t="s">
        <v>19</v>
      </c>
      <c r="I53" s="56" t="s">
        <v>20</v>
      </c>
    </row>
    <row r="54" spans="1:9" ht="15.75">
      <c r="A54" s="485"/>
      <c r="B54" s="486"/>
      <c r="C54" s="486"/>
      <c r="D54" s="486"/>
      <c r="E54" s="486"/>
      <c r="F54" s="487"/>
      <c r="G54" s="57" t="s">
        <v>10</v>
      </c>
      <c r="H54" s="57" t="s">
        <v>10</v>
      </c>
      <c r="I54" s="57"/>
    </row>
    <row r="55" spans="1:9" ht="16.5" thickBot="1">
      <c r="A55" s="488"/>
      <c r="B55" s="489"/>
      <c r="C55" s="489"/>
      <c r="D55" s="489"/>
      <c r="E55" s="489"/>
      <c r="F55" s="490"/>
      <c r="G55" s="58" t="s">
        <v>169</v>
      </c>
      <c r="H55" s="58" t="s">
        <v>470</v>
      </c>
      <c r="I55" s="58" t="s">
        <v>22</v>
      </c>
    </row>
    <row r="56" spans="1:9" ht="12" customHeight="1">
      <c r="A56" s="18"/>
      <c r="B56" s="18"/>
      <c r="C56" s="18"/>
      <c r="D56" s="18"/>
      <c r="E56" s="18"/>
      <c r="F56" s="18"/>
      <c r="G56" s="316"/>
      <c r="H56" s="316"/>
      <c r="I56" s="90"/>
    </row>
    <row r="57" spans="1:9" ht="31.5" customHeight="1">
      <c r="A57" s="18"/>
      <c r="B57" s="18"/>
      <c r="C57" s="15" t="s">
        <v>111</v>
      </c>
      <c r="D57" s="473" t="s">
        <v>116</v>
      </c>
      <c r="E57" s="473"/>
      <c r="F57" s="473"/>
      <c r="G57" s="320"/>
      <c r="H57" s="320"/>
      <c r="I57" s="89"/>
    </row>
    <row r="58" spans="1:9" ht="15.75">
      <c r="A58" s="18"/>
      <c r="B58" s="18"/>
      <c r="C58" s="18"/>
      <c r="D58" s="18" t="s">
        <v>47</v>
      </c>
      <c r="E58" s="474" t="s">
        <v>59</v>
      </c>
      <c r="F58" s="474"/>
      <c r="G58" s="314"/>
      <c r="H58" s="314"/>
      <c r="I58" s="91"/>
    </row>
    <row r="59" spans="1:9" ht="31.5">
      <c r="A59" s="18"/>
      <c r="B59" s="18"/>
      <c r="C59" s="18"/>
      <c r="D59" s="18"/>
      <c r="E59" s="18" t="s">
        <v>64</v>
      </c>
      <c r="F59" s="91" t="s">
        <v>117</v>
      </c>
      <c r="G59" s="412">
        <v>1200000</v>
      </c>
      <c r="H59" s="413">
        <v>1200000</v>
      </c>
      <c r="I59" s="90">
        <f>H59/G59*100</f>
        <v>100</v>
      </c>
    </row>
    <row r="60" spans="1:9" ht="12" customHeight="1">
      <c r="A60" s="18"/>
      <c r="B60" s="18"/>
      <c r="C60" s="18"/>
      <c r="D60" s="18"/>
      <c r="E60" s="18"/>
      <c r="F60" s="18"/>
      <c r="G60" s="311"/>
      <c r="H60" s="311"/>
      <c r="I60" s="90"/>
    </row>
    <row r="61" spans="1:9" ht="15.75">
      <c r="A61" s="93"/>
      <c r="B61" s="93"/>
      <c r="C61" s="480" t="s">
        <v>118</v>
      </c>
      <c r="D61" s="480"/>
      <c r="E61" s="480"/>
      <c r="F61" s="480"/>
      <c r="G61" s="323">
        <f>SUM(G59:G60)</f>
        <v>1200000</v>
      </c>
      <c r="H61" s="323">
        <f>SUM(H59:H60)</f>
        <v>1200000</v>
      </c>
      <c r="I61" s="322">
        <f>H61/G61*100</f>
        <v>100</v>
      </c>
    </row>
    <row r="62" spans="1:9" ht="12" customHeight="1">
      <c r="A62" s="18"/>
      <c r="B62" s="18"/>
      <c r="C62" s="18"/>
      <c r="D62" s="18"/>
      <c r="E62" s="18"/>
      <c r="F62" s="18"/>
      <c r="G62" s="311"/>
      <c r="H62" s="311"/>
      <c r="I62" s="90"/>
    </row>
    <row r="63" spans="1:9" ht="15.75">
      <c r="A63" s="96"/>
      <c r="B63" s="96"/>
      <c r="C63" s="98" t="s">
        <v>119</v>
      </c>
      <c r="D63" s="15" t="s">
        <v>120</v>
      </c>
      <c r="E63" s="96"/>
      <c r="F63" s="96"/>
      <c r="G63" s="401"/>
      <c r="H63" s="401"/>
      <c r="I63" s="90"/>
    </row>
    <row r="64" spans="1:9" ht="15.75">
      <c r="A64" s="96"/>
      <c r="B64" s="96"/>
      <c r="C64" s="96"/>
      <c r="D64" s="96" t="s">
        <v>47</v>
      </c>
      <c r="E64" s="476" t="s">
        <v>529</v>
      </c>
      <c r="F64" s="476"/>
      <c r="G64" s="401"/>
      <c r="H64" s="398">
        <f>112611+47498+23876+11938-5550+604520</f>
        <v>794893</v>
      </c>
      <c r="I64" s="90"/>
    </row>
    <row r="65" spans="1:9" ht="12" customHeight="1">
      <c r="A65" s="18"/>
      <c r="B65" s="18"/>
      <c r="C65" s="18"/>
      <c r="D65" s="18"/>
      <c r="E65" s="18"/>
      <c r="F65" s="18"/>
      <c r="G65" s="311"/>
      <c r="H65" s="311"/>
      <c r="I65" s="90"/>
    </row>
    <row r="66" spans="1:9" ht="15.75">
      <c r="A66" s="18"/>
      <c r="B66" s="18"/>
      <c r="C66" s="93" t="s">
        <v>170</v>
      </c>
      <c r="D66" s="18"/>
      <c r="E66" s="18"/>
      <c r="F66" s="18"/>
      <c r="G66" s="323"/>
      <c r="H66" s="323"/>
      <c r="I66" s="90"/>
    </row>
    <row r="67" spans="1:9" ht="12" customHeight="1">
      <c r="A67" s="18"/>
      <c r="B67" s="18"/>
      <c r="C67" s="15"/>
      <c r="D67" s="18"/>
      <c r="E67" s="18"/>
      <c r="F67" s="18"/>
      <c r="G67" s="311"/>
      <c r="H67" s="311"/>
      <c r="I67" s="90"/>
    </row>
    <row r="68" spans="1:9" ht="15.75">
      <c r="A68" s="96"/>
      <c r="B68" s="473" t="s">
        <v>122</v>
      </c>
      <c r="C68" s="473"/>
      <c r="D68" s="473"/>
      <c r="E68" s="473"/>
      <c r="F68" s="473"/>
      <c r="G68" s="403">
        <f>G40+G49+G61+G66</f>
        <v>25766000</v>
      </c>
      <c r="H68" s="403">
        <f>H40+H49+H61+H64</f>
        <v>29416624</v>
      </c>
      <c r="I68" s="100">
        <f>H68/G68*100</f>
        <v>114.1683769308391</v>
      </c>
    </row>
    <row r="69" spans="1:9" ht="12" customHeight="1">
      <c r="A69" s="18"/>
      <c r="B69" s="18"/>
      <c r="C69" s="18"/>
      <c r="D69" s="18"/>
      <c r="E69" s="18"/>
      <c r="F69" s="18"/>
      <c r="G69" s="311"/>
      <c r="H69" s="311"/>
      <c r="I69" s="90"/>
    </row>
    <row r="70" spans="1:9" ht="15.75">
      <c r="A70" s="96"/>
      <c r="B70" s="15" t="s">
        <v>57</v>
      </c>
      <c r="C70" s="473" t="s">
        <v>123</v>
      </c>
      <c r="D70" s="473"/>
      <c r="E70" s="473"/>
      <c r="F70" s="473"/>
      <c r="G70" s="411"/>
      <c r="H70" s="410"/>
      <c r="I70" s="90"/>
    </row>
    <row r="71" spans="1:9" ht="15.75">
      <c r="A71" s="18"/>
      <c r="B71" s="18"/>
      <c r="C71" s="18" t="s">
        <v>47</v>
      </c>
      <c r="D71" s="18" t="s">
        <v>124</v>
      </c>
      <c r="E71" s="18"/>
      <c r="F71" s="18"/>
      <c r="G71" s="401"/>
      <c r="H71" s="311">
        <f>756671+359998+359364+324244</f>
        <v>1800277</v>
      </c>
      <c r="I71" s="90"/>
    </row>
    <row r="72" spans="1:9" ht="30" customHeight="1">
      <c r="A72" s="18"/>
      <c r="B72" s="18"/>
      <c r="C72" s="18" t="s">
        <v>27</v>
      </c>
      <c r="D72" s="477" t="s">
        <v>385</v>
      </c>
      <c r="E72" s="477"/>
      <c r="F72" s="477"/>
      <c r="G72" s="402">
        <v>46000</v>
      </c>
      <c r="H72" s="311">
        <v>46000</v>
      </c>
      <c r="I72" s="90"/>
    </row>
    <row r="73" spans="1:9" ht="15.75" customHeight="1">
      <c r="A73" s="18"/>
      <c r="B73" s="18"/>
      <c r="C73" s="18" t="s">
        <v>48</v>
      </c>
      <c r="D73" s="18" t="s">
        <v>546</v>
      </c>
      <c r="E73" s="18"/>
      <c r="F73" s="18"/>
      <c r="G73" s="412"/>
      <c r="H73" s="311">
        <v>189708</v>
      </c>
      <c r="I73" s="90"/>
    </row>
    <row r="74" spans="1:9" ht="15.75" customHeight="1">
      <c r="A74" s="96"/>
      <c r="B74" s="473" t="s">
        <v>125</v>
      </c>
      <c r="C74" s="473"/>
      <c r="D74" s="473"/>
      <c r="E74" s="473"/>
      <c r="F74" s="473"/>
      <c r="G74" s="403">
        <f>SUM(G71:G73)</f>
        <v>46000</v>
      </c>
      <c r="H74" s="404">
        <f>SUM(H71:H73)</f>
        <v>2035985</v>
      </c>
      <c r="I74" s="100"/>
    </row>
    <row r="75" spans="1:9" ht="12" customHeight="1">
      <c r="A75" s="18"/>
      <c r="B75" s="18"/>
      <c r="C75" s="18"/>
      <c r="D75" s="18"/>
      <c r="E75" s="18"/>
      <c r="F75" s="18"/>
      <c r="G75" s="311"/>
      <c r="H75" s="311"/>
      <c r="I75" s="90"/>
    </row>
    <row r="76" spans="1:9" ht="36" customHeight="1">
      <c r="A76" s="473" t="s">
        <v>126</v>
      </c>
      <c r="B76" s="473"/>
      <c r="C76" s="473"/>
      <c r="D76" s="473"/>
      <c r="E76" s="473"/>
      <c r="F76" s="473"/>
      <c r="G76" s="411">
        <f>G74+G68</f>
        <v>25812000</v>
      </c>
      <c r="H76" s="411">
        <f>H74+H68</f>
        <v>31452609</v>
      </c>
      <c r="I76" s="90">
        <f>H76/G76*100</f>
        <v>121.85266155276615</v>
      </c>
    </row>
    <row r="77" spans="1:9" ht="36" customHeight="1">
      <c r="A77" s="88"/>
      <c r="B77" s="88"/>
      <c r="C77" s="88"/>
      <c r="D77" s="88"/>
      <c r="E77" s="88"/>
      <c r="F77" s="88"/>
      <c r="G77" s="411"/>
      <c r="H77" s="411"/>
      <c r="I77" s="90"/>
    </row>
    <row r="78" spans="1:9" ht="12" customHeight="1">
      <c r="A78" s="18"/>
      <c r="B78" s="18"/>
      <c r="C78" s="18"/>
      <c r="D78" s="18"/>
      <c r="E78" s="18"/>
      <c r="F78" s="18"/>
      <c r="G78" s="311"/>
      <c r="H78" s="311"/>
      <c r="I78" s="90"/>
    </row>
    <row r="79" spans="1:9" s="59" customFormat="1" ht="15.75" customHeight="1">
      <c r="A79" s="15" t="s">
        <v>57</v>
      </c>
      <c r="B79" s="473" t="s">
        <v>127</v>
      </c>
      <c r="C79" s="473"/>
      <c r="D79" s="473"/>
      <c r="E79" s="473"/>
      <c r="F79" s="473"/>
      <c r="G79" s="411"/>
      <c r="H79" s="410"/>
      <c r="I79" s="90"/>
    </row>
    <row r="80" spans="1:9" ht="12" customHeight="1">
      <c r="A80" s="18"/>
      <c r="B80" s="18"/>
      <c r="C80" s="18"/>
      <c r="D80" s="18"/>
      <c r="E80" s="18"/>
      <c r="F80" s="18"/>
      <c r="G80" s="311"/>
      <c r="H80" s="311"/>
      <c r="I80" s="90"/>
    </row>
    <row r="81" spans="1:9" s="59" customFormat="1" ht="27.75" customHeight="1">
      <c r="A81" s="18"/>
      <c r="B81" s="15" t="s">
        <v>47</v>
      </c>
      <c r="C81" s="473" t="s">
        <v>128</v>
      </c>
      <c r="D81" s="473"/>
      <c r="E81" s="473"/>
      <c r="F81" s="473"/>
      <c r="G81" s="411"/>
      <c r="H81" s="410"/>
      <c r="I81" s="90"/>
    </row>
    <row r="82" spans="3:9" ht="35.25" customHeight="1">
      <c r="C82" s="51" t="s">
        <v>47</v>
      </c>
      <c r="D82" s="477" t="s">
        <v>176</v>
      </c>
      <c r="E82" s="477"/>
      <c r="F82" s="477"/>
      <c r="G82" s="409">
        <v>9743000</v>
      </c>
      <c r="H82" s="409"/>
      <c r="I82" s="10"/>
    </row>
    <row r="83" spans="1:9" ht="33.75" customHeight="1">
      <c r="A83" s="18"/>
      <c r="B83" s="18"/>
      <c r="C83" s="18" t="s">
        <v>27</v>
      </c>
      <c r="D83" s="478" t="s">
        <v>556</v>
      </c>
      <c r="E83" s="479"/>
      <c r="F83" s="479"/>
      <c r="G83" s="311"/>
      <c r="H83" s="465">
        <v>10000000</v>
      </c>
      <c r="I83" s="90"/>
    </row>
    <row r="84" spans="1:9" ht="15.75" customHeight="1">
      <c r="A84" s="96"/>
      <c r="B84" s="473" t="s">
        <v>129</v>
      </c>
      <c r="C84" s="473"/>
      <c r="D84" s="473"/>
      <c r="E84" s="473"/>
      <c r="F84" s="473"/>
      <c r="G84" s="408">
        <f>SUM(G82:G83)</f>
        <v>9743000</v>
      </c>
      <c r="H84" s="407">
        <f>SUM(H82:H83)</f>
        <v>10000000</v>
      </c>
      <c r="I84" s="90">
        <f>H84/G84*100</f>
        <v>102.63779123473262</v>
      </c>
    </row>
    <row r="85" spans="1:9" ht="12" customHeight="1">
      <c r="A85" s="18"/>
      <c r="B85" s="18"/>
      <c r="C85" s="18"/>
      <c r="D85" s="18"/>
      <c r="E85" s="18"/>
      <c r="F85" s="18"/>
      <c r="G85" s="311"/>
      <c r="H85" s="311"/>
      <c r="I85" s="90"/>
    </row>
    <row r="86" spans="1:9" ht="34.5" customHeight="1">
      <c r="A86" s="473" t="s">
        <v>130</v>
      </c>
      <c r="B86" s="473"/>
      <c r="C86" s="473"/>
      <c r="D86" s="473"/>
      <c r="E86" s="473"/>
      <c r="F86" s="473"/>
      <c r="G86" s="403">
        <f>G84</f>
        <v>9743000</v>
      </c>
      <c r="H86" s="406">
        <f>H84</f>
        <v>10000000</v>
      </c>
      <c r="I86" s="100">
        <f>H86/G86*100</f>
        <v>102.63779123473262</v>
      </c>
    </row>
    <row r="87" spans="1:9" ht="11.25" customHeight="1">
      <c r="A87" s="88"/>
      <c r="B87" s="88"/>
      <c r="C87" s="88"/>
      <c r="D87" s="88"/>
      <c r="E87" s="88"/>
      <c r="F87" s="88"/>
      <c r="G87" s="406"/>
      <c r="H87" s="406"/>
      <c r="I87" s="100"/>
    </row>
    <row r="88" spans="1:9" ht="12" customHeight="1">
      <c r="A88" s="18"/>
      <c r="B88" s="18"/>
      <c r="C88" s="18"/>
      <c r="D88" s="18"/>
      <c r="E88" s="18"/>
      <c r="F88" s="18"/>
      <c r="G88" s="311"/>
      <c r="H88" s="311"/>
      <c r="I88" s="90"/>
    </row>
    <row r="89" spans="1:9" ht="15.75">
      <c r="A89" s="15" t="s">
        <v>58</v>
      </c>
      <c r="B89" s="15" t="s">
        <v>131</v>
      </c>
      <c r="C89" s="15"/>
      <c r="D89" s="15"/>
      <c r="E89" s="15"/>
      <c r="F89" s="15"/>
      <c r="G89" s="16"/>
      <c r="H89" s="400"/>
      <c r="I89" s="90"/>
    </row>
    <row r="90" spans="1:9" ht="12" customHeight="1">
      <c r="A90" s="18"/>
      <c r="B90" s="18"/>
      <c r="C90" s="18"/>
      <c r="D90" s="18"/>
      <c r="E90" s="18"/>
      <c r="F90" s="18"/>
      <c r="G90" s="311"/>
      <c r="H90" s="311"/>
      <c r="I90" s="90"/>
    </row>
    <row r="91" spans="1:9" ht="15.75">
      <c r="A91" s="18"/>
      <c r="B91" s="18" t="s">
        <v>47</v>
      </c>
      <c r="C91" s="18" t="s">
        <v>132</v>
      </c>
      <c r="D91" s="18"/>
      <c r="E91" s="18"/>
      <c r="F91" s="18"/>
      <c r="G91" s="310"/>
      <c r="H91" s="311"/>
      <c r="I91" s="90"/>
    </row>
    <row r="92" spans="1:9" ht="15.75">
      <c r="A92" s="18"/>
      <c r="B92" s="18"/>
      <c r="C92" s="18" t="s">
        <v>47</v>
      </c>
      <c r="D92" s="18" t="s">
        <v>133</v>
      </c>
      <c r="E92" s="18"/>
      <c r="F92" s="18"/>
      <c r="G92" s="402">
        <v>1500000</v>
      </c>
      <c r="H92" s="311">
        <v>1500000</v>
      </c>
      <c r="I92" s="90">
        <f>H92/G92*100</f>
        <v>100</v>
      </c>
    </row>
    <row r="93" spans="1:9" ht="15.75">
      <c r="A93" s="15"/>
      <c r="B93" s="15" t="s">
        <v>27</v>
      </c>
      <c r="C93" s="15" t="s">
        <v>134</v>
      </c>
      <c r="D93" s="15"/>
      <c r="E93" s="15"/>
      <c r="F93" s="15"/>
      <c r="G93" s="405"/>
      <c r="H93" s="400"/>
      <c r="I93" s="90"/>
    </row>
    <row r="94" spans="1:9" s="9" customFormat="1" ht="15.75">
      <c r="A94" s="18"/>
      <c r="B94" s="18"/>
      <c r="C94" s="18" t="s">
        <v>47</v>
      </c>
      <c r="D94" s="18" t="s">
        <v>135</v>
      </c>
      <c r="E94" s="18"/>
      <c r="F94" s="18"/>
      <c r="G94" s="402">
        <v>3900000</v>
      </c>
      <c r="H94" s="311">
        <v>3900000</v>
      </c>
      <c r="I94" s="90">
        <f>H94/G94*100</f>
        <v>100</v>
      </c>
    </row>
    <row r="95" spans="1:9" ht="15.75">
      <c r="A95" s="15"/>
      <c r="B95" s="15" t="s">
        <v>48</v>
      </c>
      <c r="C95" s="15" t="s">
        <v>136</v>
      </c>
      <c r="D95" s="15"/>
      <c r="E95" s="15"/>
      <c r="F95" s="15"/>
      <c r="G95" s="402"/>
      <c r="H95" s="400"/>
      <c r="I95" s="90"/>
    </row>
    <row r="96" spans="1:9" ht="15.75">
      <c r="A96" s="18"/>
      <c r="B96" s="18"/>
      <c r="C96" s="18" t="s">
        <v>47</v>
      </c>
      <c r="D96" s="18" t="s">
        <v>137</v>
      </c>
      <c r="E96" s="18"/>
      <c r="F96" s="18"/>
      <c r="G96" s="402">
        <v>1913000</v>
      </c>
      <c r="H96" s="311">
        <v>1913000</v>
      </c>
      <c r="I96" s="90">
        <f>H96/G96*100</f>
        <v>100</v>
      </c>
    </row>
    <row r="97" spans="1:9" ht="15.75">
      <c r="A97" s="18"/>
      <c r="B97" s="15" t="s">
        <v>111</v>
      </c>
      <c r="C97" s="15" t="s">
        <v>138</v>
      </c>
      <c r="D97" s="18"/>
      <c r="E97" s="18"/>
      <c r="F97" s="18"/>
      <c r="G97" s="402"/>
      <c r="H97" s="311"/>
      <c r="I97" s="90"/>
    </row>
    <row r="98" spans="1:9" ht="15.75">
      <c r="A98" s="18"/>
      <c r="B98" s="18"/>
      <c r="C98" s="18" t="s">
        <v>47</v>
      </c>
      <c r="D98" s="18" t="s">
        <v>139</v>
      </c>
      <c r="E98" s="18"/>
      <c r="F98" s="18"/>
      <c r="G98" s="402">
        <v>140000</v>
      </c>
      <c r="H98" s="311">
        <v>140000</v>
      </c>
      <c r="I98" s="90">
        <f>H98/G98*100</f>
        <v>100</v>
      </c>
    </row>
    <row r="99" spans="1:9" ht="15.75">
      <c r="A99" s="18"/>
      <c r="B99" s="18"/>
      <c r="C99" s="18"/>
      <c r="D99" s="18"/>
      <c r="E99" s="18"/>
      <c r="F99" s="18"/>
      <c r="G99" s="401"/>
      <c r="H99" s="311"/>
      <c r="I99" s="90"/>
    </row>
    <row r="100" spans="1:9" ht="15.75">
      <c r="A100" s="18"/>
      <c r="B100" s="18"/>
      <c r="C100" s="18"/>
      <c r="D100" s="18"/>
      <c r="E100" s="18"/>
      <c r="F100" s="18"/>
      <c r="G100" s="401"/>
      <c r="H100" s="311"/>
      <c r="I100" s="90"/>
    </row>
    <row r="101" spans="1:9" ht="15.75">
      <c r="A101" s="18"/>
      <c r="B101" s="18"/>
      <c r="C101" s="18"/>
      <c r="D101" s="18"/>
      <c r="E101" s="18"/>
      <c r="F101" s="18"/>
      <c r="G101" s="401"/>
      <c r="H101" s="311"/>
      <c r="I101" s="90"/>
    </row>
    <row r="102" spans="1:9" ht="15.75">
      <c r="A102" s="18"/>
      <c r="B102" s="18"/>
      <c r="C102" s="18"/>
      <c r="D102" s="18"/>
      <c r="E102" s="18"/>
      <c r="F102" s="18"/>
      <c r="G102" s="401"/>
      <c r="H102" s="311"/>
      <c r="I102" s="90"/>
    </row>
    <row r="103" spans="1:9" ht="16.5" thickBot="1">
      <c r="A103" s="18"/>
      <c r="B103" s="18"/>
      <c r="C103" s="18"/>
      <c r="D103" s="18"/>
      <c r="E103" s="18"/>
      <c r="F103" s="18"/>
      <c r="G103" s="313"/>
      <c r="H103" s="316"/>
      <c r="I103" s="90"/>
    </row>
    <row r="104" spans="1:9" ht="15.75" customHeight="1">
      <c r="A104" s="291" t="s">
        <v>21</v>
      </c>
      <c r="B104" s="268"/>
      <c r="C104" s="268"/>
      <c r="D104" s="268"/>
      <c r="E104" s="268"/>
      <c r="F104" s="269"/>
      <c r="G104" s="319" t="s">
        <v>19</v>
      </c>
      <c r="H104" s="319" t="s">
        <v>19</v>
      </c>
      <c r="I104" s="95" t="s">
        <v>20</v>
      </c>
    </row>
    <row r="105" spans="1:9" ht="15.75">
      <c r="A105" s="270"/>
      <c r="B105" s="96"/>
      <c r="C105" s="96"/>
      <c r="D105" s="96"/>
      <c r="E105" s="96"/>
      <c r="F105" s="271"/>
      <c r="G105" s="318" t="s">
        <v>10</v>
      </c>
      <c r="H105" s="318" t="s">
        <v>10</v>
      </c>
      <c r="I105" s="57"/>
    </row>
    <row r="106" spans="1:9" s="59" customFormat="1" ht="15.75" customHeight="1" thickBot="1">
      <c r="A106" s="274"/>
      <c r="B106" s="272"/>
      <c r="C106" s="272"/>
      <c r="D106" s="272"/>
      <c r="E106" s="272"/>
      <c r="F106" s="273"/>
      <c r="G106" s="317" t="s">
        <v>169</v>
      </c>
      <c r="H106" s="317" t="s">
        <v>493</v>
      </c>
      <c r="I106" s="58" t="s">
        <v>22</v>
      </c>
    </row>
    <row r="107" spans="1:9" ht="15.75">
      <c r="A107" s="18"/>
      <c r="B107" s="18"/>
      <c r="C107" s="15" t="s">
        <v>27</v>
      </c>
      <c r="D107" s="18" t="s">
        <v>91</v>
      </c>
      <c r="E107" s="18"/>
      <c r="F107" s="18"/>
      <c r="G107" s="398">
        <v>280000</v>
      </c>
      <c r="H107" s="311">
        <v>280000</v>
      </c>
      <c r="I107" s="90">
        <f>H107/G107*100</f>
        <v>100</v>
      </c>
    </row>
    <row r="108" spans="1:9" ht="15.75">
      <c r="A108" s="15"/>
      <c r="B108" s="15" t="s">
        <v>113</v>
      </c>
      <c r="C108" s="15" t="s">
        <v>140</v>
      </c>
      <c r="D108" s="15"/>
      <c r="E108" s="15"/>
      <c r="F108" s="15"/>
      <c r="G108" s="398"/>
      <c r="H108" s="400"/>
      <c r="I108" s="90"/>
    </row>
    <row r="109" spans="1:9" ht="15.75">
      <c r="A109" s="18"/>
      <c r="B109" s="18"/>
      <c r="C109" s="15" t="s">
        <v>47</v>
      </c>
      <c r="D109" s="18" t="s">
        <v>141</v>
      </c>
      <c r="E109" s="18"/>
      <c r="F109" s="18"/>
      <c r="G109" s="398">
        <v>5000</v>
      </c>
      <c r="H109" s="311">
        <v>5000</v>
      </c>
      <c r="I109" s="90">
        <f>H109/G109*100</f>
        <v>100</v>
      </c>
    </row>
    <row r="110" spans="1:9" ht="15.75" customHeight="1">
      <c r="A110" s="96"/>
      <c r="B110" s="96"/>
      <c r="C110" s="96" t="s">
        <v>48</v>
      </c>
      <c r="D110" s="99" t="s">
        <v>140</v>
      </c>
      <c r="E110" s="96"/>
      <c r="F110" s="96"/>
      <c r="G110" s="398"/>
      <c r="H110" s="401"/>
      <c r="I110" s="90"/>
    </row>
    <row r="111" spans="1:9" ht="15.75">
      <c r="A111" s="18"/>
      <c r="B111" s="18"/>
      <c r="C111" s="15" t="s">
        <v>111</v>
      </c>
      <c r="D111" s="18" t="s">
        <v>142</v>
      </c>
      <c r="E111" s="18"/>
      <c r="F111" s="18"/>
      <c r="G111" s="398">
        <v>75000</v>
      </c>
      <c r="H111" s="311">
        <v>75000</v>
      </c>
      <c r="I111" s="90">
        <f>H111/G111*100</f>
        <v>100</v>
      </c>
    </row>
    <row r="112" spans="1:9" ht="9" customHeight="1">
      <c r="A112" s="96"/>
      <c r="B112" s="96"/>
      <c r="C112" s="96"/>
      <c r="D112" s="96"/>
      <c r="E112" s="96"/>
      <c r="F112" s="96"/>
      <c r="G112" s="398"/>
      <c r="H112" s="401"/>
      <c r="I112" s="90"/>
    </row>
    <row r="113" spans="1:9" s="9" customFormat="1" ht="15.75">
      <c r="A113" s="15" t="s">
        <v>77</v>
      </c>
      <c r="B113" s="96"/>
      <c r="C113" s="96"/>
      <c r="D113" s="96"/>
      <c r="E113" s="96"/>
      <c r="F113" s="96"/>
      <c r="G113" s="404">
        <f>G92+G94+G96+G98+G107+G109+G110+G111</f>
        <v>7813000</v>
      </c>
      <c r="H113" s="403">
        <f>H92+H94+H96+H98+H107+H109+H110+H111</f>
        <v>7813000</v>
      </c>
      <c r="I113" s="100">
        <f>H113/G113*100</f>
        <v>100</v>
      </c>
    </row>
    <row r="114" spans="1:9" ht="9" customHeight="1">
      <c r="A114" s="96"/>
      <c r="B114" s="96"/>
      <c r="C114" s="96"/>
      <c r="D114" s="96"/>
      <c r="E114" s="96"/>
      <c r="F114" s="96"/>
      <c r="G114" s="401"/>
      <c r="H114" s="401"/>
      <c r="I114" s="90"/>
    </row>
    <row r="115" spans="1:9" ht="15.75">
      <c r="A115" s="15" t="s">
        <v>143</v>
      </c>
      <c r="B115" s="15" t="s">
        <v>60</v>
      </c>
      <c r="C115" s="15"/>
      <c r="D115" s="15"/>
      <c r="E115" s="15"/>
      <c r="F115" s="15"/>
      <c r="G115" s="16"/>
      <c r="H115" s="400"/>
      <c r="I115" s="90"/>
    </row>
    <row r="116" spans="1:9" ht="9" customHeight="1">
      <c r="A116" s="96"/>
      <c r="B116" s="96"/>
      <c r="C116" s="96"/>
      <c r="D116" s="96"/>
      <c r="E116" s="96"/>
      <c r="F116" s="96"/>
      <c r="G116" s="401"/>
      <c r="H116" s="401"/>
      <c r="I116" s="90"/>
    </row>
    <row r="117" spans="1:9" ht="15.75">
      <c r="A117" s="96"/>
      <c r="B117" s="96" t="s">
        <v>47</v>
      </c>
      <c r="C117" s="476" t="s">
        <v>144</v>
      </c>
      <c r="D117" s="476"/>
      <c r="E117" s="476"/>
      <c r="F117" s="476"/>
      <c r="G117" s="401"/>
      <c r="H117" s="401"/>
      <c r="I117" s="90"/>
    </row>
    <row r="118" spans="1:9" ht="15.75">
      <c r="A118" s="96"/>
      <c r="B118" s="96"/>
      <c r="C118" s="96" t="s">
        <v>47</v>
      </c>
      <c r="D118" s="99" t="s">
        <v>155</v>
      </c>
      <c r="E118" s="99"/>
      <c r="F118" s="99"/>
      <c r="G118" s="402">
        <v>180000</v>
      </c>
      <c r="H118" s="402">
        <v>187000</v>
      </c>
      <c r="I118" s="90">
        <f>H118/G118*100</f>
        <v>103.8888888888889</v>
      </c>
    </row>
    <row r="119" spans="1:9" ht="15.75">
      <c r="A119" s="96"/>
      <c r="B119" s="96"/>
      <c r="C119" s="96" t="s">
        <v>27</v>
      </c>
      <c r="D119" s="99" t="s">
        <v>147</v>
      </c>
      <c r="E119" s="99"/>
      <c r="F119" s="99"/>
      <c r="G119" s="401"/>
      <c r="H119" s="402"/>
      <c r="I119" s="90"/>
    </row>
    <row r="120" spans="1:9" ht="15.75">
      <c r="A120" s="96"/>
      <c r="B120" s="96"/>
      <c r="C120" s="96"/>
      <c r="D120" s="99" t="s">
        <v>47</v>
      </c>
      <c r="E120" s="99" t="s">
        <v>148</v>
      </c>
      <c r="F120" s="99"/>
      <c r="G120" s="402">
        <v>20000</v>
      </c>
      <c r="H120" s="402">
        <v>20000</v>
      </c>
      <c r="I120" s="90">
        <f>H120/G120*100</f>
        <v>100</v>
      </c>
    </row>
    <row r="121" spans="1:9" ht="15.75">
      <c r="A121" s="96"/>
      <c r="B121" s="96"/>
      <c r="C121" s="96"/>
      <c r="D121" s="99" t="s">
        <v>27</v>
      </c>
      <c r="E121" s="99" t="s">
        <v>149</v>
      </c>
      <c r="F121" s="99"/>
      <c r="G121" s="402">
        <v>820000</v>
      </c>
      <c r="H121" s="402">
        <v>820000</v>
      </c>
      <c r="I121" s="90">
        <f>H121/G121*100</f>
        <v>100</v>
      </c>
    </row>
    <row r="122" spans="1:9" ht="15.75">
      <c r="A122" s="96"/>
      <c r="B122" s="96"/>
      <c r="C122" s="96"/>
      <c r="D122" s="99" t="s">
        <v>48</v>
      </c>
      <c r="E122" s="99" t="s">
        <v>150</v>
      </c>
      <c r="F122" s="99"/>
      <c r="G122" s="402">
        <v>2000</v>
      </c>
      <c r="H122" s="402">
        <v>2000</v>
      </c>
      <c r="I122" s="90">
        <f>H122/G122*100</f>
        <v>100</v>
      </c>
    </row>
    <row r="123" spans="1:9" ht="15.75">
      <c r="A123" s="96"/>
      <c r="B123" s="96"/>
      <c r="C123" s="96"/>
      <c r="D123" s="99" t="s">
        <v>111</v>
      </c>
      <c r="E123" s="99" t="s">
        <v>78</v>
      </c>
      <c r="F123" s="99"/>
      <c r="G123" s="402">
        <v>1000</v>
      </c>
      <c r="H123" s="402">
        <v>1000</v>
      </c>
      <c r="I123" s="90">
        <f>H123/G123*100</f>
        <v>100</v>
      </c>
    </row>
    <row r="124" spans="1:9" ht="15.75">
      <c r="A124" s="96"/>
      <c r="B124" s="96"/>
      <c r="C124" s="96"/>
      <c r="D124" s="99" t="s">
        <v>113</v>
      </c>
      <c r="E124" s="99" t="s">
        <v>151</v>
      </c>
      <c r="F124" s="99"/>
      <c r="G124" s="402">
        <v>85000</v>
      </c>
      <c r="H124" s="402">
        <v>85000</v>
      </c>
      <c r="I124" s="90">
        <f>H124/G124*100</f>
        <v>100</v>
      </c>
    </row>
    <row r="125" spans="1:9" ht="15.75">
      <c r="A125" s="96"/>
      <c r="B125" s="96"/>
      <c r="C125" s="96" t="s">
        <v>48</v>
      </c>
      <c r="D125" s="99" t="s">
        <v>178</v>
      </c>
      <c r="E125" s="99"/>
      <c r="F125" s="99"/>
      <c r="G125" s="402"/>
      <c r="H125" s="402"/>
      <c r="I125" s="90"/>
    </row>
    <row r="126" spans="1:9" ht="15.75">
      <c r="A126" s="96"/>
      <c r="B126" s="96"/>
      <c r="D126" s="96" t="s">
        <v>47</v>
      </c>
      <c r="E126" s="99" t="s">
        <v>145</v>
      </c>
      <c r="F126" s="96"/>
      <c r="G126" s="402">
        <v>40000</v>
      </c>
      <c r="H126" s="402">
        <v>40000</v>
      </c>
      <c r="I126" s="90">
        <f>H126/G126*100</f>
        <v>100</v>
      </c>
    </row>
    <row r="127" spans="1:9" ht="15.75">
      <c r="A127" s="96"/>
      <c r="B127" s="96"/>
      <c r="D127" s="96" t="s">
        <v>27</v>
      </c>
      <c r="E127" s="99" t="s">
        <v>146</v>
      </c>
      <c r="F127" s="99"/>
      <c r="G127" s="402">
        <v>1149000</v>
      </c>
      <c r="H127" s="402">
        <v>385000</v>
      </c>
      <c r="I127" s="90">
        <f>H127/G127*100</f>
        <v>33.507397737162755</v>
      </c>
    </row>
    <row r="128" spans="4:9" ht="15.75">
      <c r="D128" s="51" t="s">
        <v>48</v>
      </c>
      <c r="E128" s="99" t="s">
        <v>79</v>
      </c>
      <c r="G128" s="402">
        <v>340000</v>
      </c>
      <c r="H128" s="402">
        <v>661000</v>
      </c>
      <c r="I128" s="90">
        <f>H128/G128*100</f>
        <v>194.41176470588235</v>
      </c>
    </row>
    <row r="129" spans="1:9" ht="15.75">
      <c r="A129" s="96"/>
      <c r="B129" s="96" t="s">
        <v>27</v>
      </c>
      <c r="C129" s="99" t="s">
        <v>152</v>
      </c>
      <c r="D129" s="99"/>
      <c r="E129" s="99"/>
      <c r="F129" s="99"/>
      <c r="G129" s="402"/>
      <c r="H129" s="402"/>
      <c r="I129" s="90"/>
    </row>
    <row r="130" spans="1:9" ht="15.75">
      <c r="A130" s="96"/>
      <c r="B130" s="96"/>
      <c r="C130" s="96" t="s">
        <v>47</v>
      </c>
      <c r="D130" s="99" t="s">
        <v>153</v>
      </c>
      <c r="E130" s="99"/>
      <c r="F130" s="99"/>
      <c r="G130" s="402">
        <v>2593000</v>
      </c>
      <c r="H130" s="402">
        <v>4099000</v>
      </c>
      <c r="I130" s="90">
        <f>H130/G130*100</f>
        <v>158.0794446586965</v>
      </c>
    </row>
    <row r="131" spans="1:9" ht="15.75">
      <c r="A131" s="96"/>
      <c r="B131" s="96" t="s">
        <v>48</v>
      </c>
      <c r="C131" s="99" t="s">
        <v>154</v>
      </c>
      <c r="D131" s="99"/>
      <c r="E131" s="99"/>
      <c r="F131" s="99"/>
      <c r="G131" s="402"/>
      <c r="H131" s="402"/>
      <c r="I131" s="90"/>
    </row>
    <row r="132" spans="1:9" ht="15.75">
      <c r="A132" s="96"/>
      <c r="B132" s="96"/>
      <c r="C132" s="96" t="s">
        <v>47</v>
      </c>
      <c r="D132" s="99" t="s">
        <v>89</v>
      </c>
      <c r="E132" s="99"/>
      <c r="F132" s="99"/>
      <c r="G132" s="402">
        <v>1107000</v>
      </c>
      <c r="H132" s="402">
        <v>1249000</v>
      </c>
      <c r="I132" s="90">
        <f>H132/G132*100</f>
        <v>112.8274616079494</v>
      </c>
    </row>
    <row r="133" spans="1:9" ht="15.75">
      <c r="A133" s="96"/>
      <c r="B133" s="96" t="s">
        <v>111</v>
      </c>
      <c r="C133" s="99" t="s">
        <v>156</v>
      </c>
      <c r="D133" s="96"/>
      <c r="E133" s="96"/>
      <c r="F133" s="96"/>
      <c r="G133" s="402">
        <v>1489000</v>
      </c>
      <c r="H133" s="402">
        <f>337000+178000+50000+104000+1107000+11000+29000</f>
        <v>1816000</v>
      </c>
      <c r="I133" s="90">
        <f>H133/G133*100</f>
        <v>121.96104768300873</v>
      </c>
    </row>
    <row r="134" spans="1:9" ht="15.75">
      <c r="A134" s="96"/>
      <c r="B134" s="96" t="s">
        <v>113</v>
      </c>
      <c r="C134" s="99" t="s">
        <v>157</v>
      </c>
      <c r="D134" s="96"/>
      <c r="E134" s="96"/>
      <c r="F134" s="96"/>
      <c r="G134" s="402">
        <v>1409000</v>
      </c>
      <c r="H134" s="402">
        <f>115000+1107000+80000+239000</f>
        <v>1541000</v>
      </c>
      <c r="I134" s="90">
        <f>H134/G134*100</f>
        <v>109.36834634492547</v>
      </c>
    </row>
    <row r="135" spans="1:9" ht="15.75">
      <c r="A135" s="96"/>
      <c r="B135" s="96" t="s">
        <v>119</v>
      </c>
      <c r="C135" s="99" t="s">
        <v>158</v>
      </c>
      <c r="D135" s="96"/>
      <c r="E135" s="96"/>
      <c r="F135" s="96"/>
      <c r="G135" s="402">
        <v>2000</v>
      </c>
      <c r="H135" s="402">
        <v>2000</v>
      </c>
      <c r="I135" s="90">
        <f>H135/G135*100</f>
        <v>100</v>
      </c>
    </row>
    <row r="136" spans="1:9" ht="9" customHeight="1">
      <c r="A136" s="96"/>
      <c r="B136" s="96"/>
      <c r="C136" s="96"/>
      <c r="D136" s="96"/>
      <c r="E136" s="96"/>
      <c r="F136" s="96"/>
      <c r="G136" s="402"/>
      <c r="H136" s="402"/>
      <c r="I136" s="90"/>
    </row>
    <row r="137" spans="1:9" ht="15.75">
      <c r="A137" s="15" t="s">
        <v>23</v>
      </c>
      <c r="B137" s="96"/>
      <c r="C137" s="96"/>
      <c r="D137" s="96"/>
      <c r="E137" s="96"/>
      <c r="F137" s="96"/>
      <c r="G137" s="403">
        <f>SUM(G117:G136)</f>
        <v>9237000</v>
      </c>
      <c r="H137" s="403">
        <f>SUM(H117:H136)</f>
        <v>10908000</v>
      </c>
      <c r="I137" s="100">
        <f>H137/G137*100</f>
        <v>118.09028905488795</v>
      </c>
    </row>
    <row r="138" spans="1:9" ht="9" customHeight="1">
      <c r="A138" s="96"/>
      <c r="B138" s="96"/>
      <c r="C138" s="96"/>
      <c r="D138" s="96"/>
      <c r="E138" s="96"/>
      <c r="F138" s="96"/>
      <c r="G138" s="402"/>
      <c r="H138" s="401"/>
      <c r="I138" s="90"/>
    </row>
    <row r="139" spans="1:9" ht="15.75">
      <c r="A139" s="15" t="s">
        <v>65</v>
      </c>
      <c r="B139" s="15" t="s">
        <v>159</v>
      </c>
      <c r="C139" s="15"/>
      <c r="D139" s="15"/>
      <c r="E139" s="15"/>
      <c r="F139" s="15"/>
      <c r="G139" s="16"/>
      <c r="H139" s="400"/>
      <c r="I139" s="90"/>
    </row>
    <row r="140" spans="1:9" ht="15.75">
      <c r="A140" s="18"/>
      <c r="B140" s="18" t="s">
        <v>47</v>
      </c>
      <c r="C140" s="225" t="s">
        <v>160</v>
      </c>
      <c r="D140" s="97"/>
      <c r="E140" s="97"/>
      <c r="F140" s="97"/>
      <c r="G140" s="91"/>
      <c r="H140" s="314"/>
      <c r="I140" s="90"/>
    </row>
    <row r="141" spans="1:9" ht="30" customHeight="1">
      <c r="A141" s="18"/>
      <c r="B141" s="18"/>
      <c r="C141" s="97" t="s">
        <v>47</v>
      </c>
      <c r="D141" s="474" t="s">
        <v>161</v>
      </c>
      <c r="E141" s="474"/>
      <c r="F141" s="474"/>
      <c r="G141" s="398">
        <v>92000</v>
      </c>
      <c r="H141" s="312">
        <v>62000</v>
      </c>
      <c r="I141" s="90">
        <f>H141/G141*100</f>
        <v>67.3913043478261</v>
      </c>
    </row>
    <row r="142" spans="1:9" ht="30" customHeight="1">
      <c r="A142" s="18"/>
      <c r="B142" s="18"/>
      <c r="C142" s="97" t="s">
        <v>27</v>
      </c>
      <c r="D142" s="474" t="s">
        <v>177</v>
      </c>
      <c r="E142" s="474"/>
      <c r="F142" s="474"/>
      <c r="G142" s="398">
        <v>26215000</v>
      </c>
      <c r="H142" s="312"/>
      <c r="I142" s="90"/>
    </row>
    <row r="143" spans="1:9" ht="9" customHeight="1">
      <c r="A143" s="96"/>
      <c r="B143" s="96"/>
      <c r="C143" s="96"/>
      <c r="D143" s="18"/>
      <c r="E143" s="96"/>
      <c r="F143" s="96"/>
      <c r="G143" s="398"/>
      <c r="H143" s="398"/>
      <c r="I143" s="90"/>
    </row>
    <row r="144" spans="1:9" ht="15.75">
      <c r="A144" s="475" t="s">
        <v>162</v>
      </c>
      <c r="B144" s="475"/>
      <c r="C144" s="475"/>
      <c r="D144" s="475"/>
      <c r="E144" s="475"/>
      <c r="F144" s="475"/>
      <c r="G144" s="393">
        <f>SUM(G141:G143)</f>
        <v>26307000</v>
      </c>
      <c r="H144" s="393">
        <f>SUM(H141:H143)</f>
        <v>62000</v>
      </c>
      <c r="I144" s="100">
        <f>H144/G144*100</f>
        <v>0.2356787166913749</v>
      </c>
    </row>
    <row r="145" spans="1:9" ht="9" customHeight="1">
      <c r="A145" s="96"/>
      <c r="B145" s="96"/>
      <c r="C145" s="96"/>
      <c r="D145" s="96"/>
      <c r="E145" s="96"/>
      <c r="F145" s="96"/>
      <c r="G145" s="398"/>
      <c r="H145" s="398"/>
      <c r="I145" s="90"/>
    </row>
    <row r="146" spans="1:9" ht="16.5">
      <c r="A146" s="102" t="s">
        <v>163</v>
      </c>
      <c r="B146" s="102"/>
      <c r="C146" s="102"/>
      <c r="D146" s="102"/>
      <c r="E146" s="102"/>
      <c r="F146" s="102"/>
      <c r="G146" s="393">
        <f>G144+G137+G113+G86+G76</f>
        <v>78912000</v>
      </c>
      <c r="H146" s="393">
        <f>H144+H137+H113+H86+H76</f>
        <v>60235609</v>
      </c>
      <c r="I146" s="100">
        <f>H146/G146*100</f>
        <v>76.33263508718574</v>
      </c>
    </row>
    <row r="147" spans="1:9" ht="16.5">
      <c r="A147" s="102"/>
      <c r="B147" s="102"/>
      <c r="C147" s="102"/>
      <c r="D147" s="102"/>
      <c r="E147" s="102"/>
      <c r="F147" s="102"/>
      <c r="G147" s="399"/>
      <c r="H147" s="399"/>
      <c r="I147" s="100"/>
    </row>
    <row r="148" spans="1:9" ht="15.75">
      <c r="A148" s="103" t="s">
        <v>164</v>
      </c>
      <c r="B148" s="473" t="s">
        <v>165</v>
      </c>
      <c r="C148" s="473"/>
      <c r="D148" s="473"/>
      <c r="E148" s="473"/>
      <c r="F148" s="473"/>
      <c r="G148" s="393"/>
      <c r="H148" s="312"/>
      <c r="I148" s="90"/>
    </row>
    <row r="149" spans="1:9" ht="15.75">
      <c r="A149" s="15"/>
      <c r="B149" s="88" t="s">
        <v>47</v>
      </c>
      <c r="C149" s="473" t="s">
        <v>166</v>
      </c>
      <c r="D149" s="473"/>
      <c r="E149" s="473"/>
      <c r="F149" s="473"/>
      <c r="G149" s="398"/>
      <c r="H149" s="312"/>
      <c r="I149" s="90"/>
    </row>
    <row r="150" spans="1:9" ht="15.75">
      <c r="A150" s="15"/>
      <c r="B150" s="88"/>
      <c r="C150" s="97" t="s">
        <v>47</v>
      </c>
      <c r="D150" s="474" t="s">
        <v>167</v>
      </c>
      <c r="E150" s="474"/>
      <c r="F150" s="474"/>
      <c r="G150" s="398">
        <v>1115000</v>
      </c>
      <c r="H150" s="312">
        <v>70404000</v>
      </c>
      <c r="I150" s="90">
        <f>H150/G150*100</f>
        <v>6314.260089686099</v>
      </c>
    </row>
    <row r="151" spans="1:9" ht="15.75">
      <c r="A151" s="18"/>
      <c r="B151" s="18"/>
      <c r="C151" s="18" t="s">
        <v>27</v>
      </c>
      <c r="D151" s="18" t="s">
        <v>555</v>
      </c>
      <c r="E151" s="18"/>
      <c r="F151" s="18"/>
      <c r="G151" s="396"/>
      <c r="H151" s="397">
        <v>1121209</v>
      </c>
      <c r="I151" s="90"/>
    </row>
    <row r="152" spans="1:9" ht="16.5">
      <c r="A152" s="102" t="s">
        <v>165</v>
      </c>
      <c r="B152" s="102"/>
      <c r="C152" s="102"/>
      <c r="D152" s="102"/>
      <c r="E152" s="102"/>
      <c r="F152" s="102"/>
      <c r="G152" s="394">
        <f>G150</f>
        <v>1115000</v>
      </c>
      <c r="H152" s="393">
        <f>H150+H151</f>
        <v>71525209</v>
      </c>
      <c r="I152" s="90">
        <f>H152/G152*100</f>
        <v>6414.816950672646</v>
      </c>
    </row>
    <row r="153" spans="1:9" ht="15.75">
      <c r="A153" s="18"/>
      <c r="B153" s="18"/>
      <c r="C153" s="18"/>
      <c r="D153" s="18"/>
      <c r="E153" s="18"/>
      <c r="F153" s="18"/>
      <c r="G153" s="396"/>
      <c r="H153" s="395"/>
      <c r="I153" s="90"/>
    </row>
    <row r="154" spans="1:9" ht="18.75">
      <c r="A154" s="17" t="s">
        <v>168</v>
      </c>
      <c r="B154" s="17"/>
      <c r="C154" s="17"/>
      <c r="D154" s="17"/>
      <c r="E154" s="17"/>
      <c r="F154" s="17"/>
      <c r="G154" s="394">
        <f>G146+G152</f>
        <v>80027000</v>
      </c>
      <c r="H154" s="393">
        <f>H146+H152</f>
        <v>131760818</v>
      </c>
      <c r="I154" s="100">
        <f>H154/G154*100</f>
        <v>164.64545465905255</v>
      </c>
    </row>
  </sheetData>
  <sheetProtection/>
  <mergeCells count="36">
    <mergeCell ref="A5:I5"/>
    <mergeCell ref="B16:F16"/>
    <mergeCell ref="A11:F13"/>
    <mergeCell ref="A6:I6"/>
    <mergeCell ref="A7:I7"/>
    <mergeCell ref="A8:I8"/>
    <mergeCell ref="D18:F18"/>
    <mergeCell ref="C49:F49"/>
    <mergeCell ref="A53:F55"/>
    <mergeCell ref="E19:F19"/>
    <mergeCell ref="D35:F35"/>
    <mergeCell ref="D40:F40"/>
    <mergeCell ref="D42:F42"/>
    <mergeCell ref="B68:F68"/>
    <mergeCell ref="C70:F70"/>
    <mergeCell ref="D72:F72"/>
    <mergeCell ref="D57:F57"/>
    <mergeCell ref="E58:F58"/>
    <mergeCell ref="C61:F61"/>
    <mergeCell ref="E64:F64"/>
    <mergeCell ref="B84:F84"/>
    <mergeCell ref="D82:F82"/>
    <mergeCell ref="C81:F81"/>
    <mergeCell ref="B79:F79"/>
    <mergeCell ref="D83:F83"/>
    <mergeCell ref="B74:F74"/>
    <mergeCell ref="C149:F149"/>
    <mergeCell ref="D150:F150"/>
    <mergeCell ref="E44:F44"/>
    <mergeCell ref="D142:F142"/>
    <mergeCell ref="D141:F141"/>
    <mergeCell ref="A144:F144"/>
    <mergeCell ref="B148:F148"/>
    <mergeCell ref="A76:F76"/>
    <mergeCell ref="C117:F117"/>
    <mergeCell ref="A86:F8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165" customWidth="1"/>
    <col min="2" max="2" width="61.125" style="165" customWidth="1"/>
    <col min="3" max="6" width="26.25390625" style="165" customWidth="1"/>
    <col min="7" max="16384" width="9.125" style="165" customWidth="1"/>
  </cols>
  <sheetData>
    <row r="2" spans="1:6" s="160" customFormat="1" ht="15.75">
      <c r="A2" s="125"/>
      <c r="C2" s="161"/>
      <c r="D2" s="335"/>
      <c r="E2" s="335"/>
      <c r="F2" s="335"/>
    </row>
    <row r="3" spans="1:6" s="160" customFormat="1" ht="15.75">
      <c r="A3" s="125"/>
      <c r="C3" s="161"/>
      <c r="D3" s="335"/>
      <c r="E3" s="335"/>
      <c r="F3" s="335"/>
    </row>
    <row r="4" spans="1:6" s="160" customFormat="1" ht="15.75">
      <c r="A4" s="125" t="s">
        <v>513</v>
      </c>
      <c r="C4" s="161"/>
      <c r="D4" s="335"/>
      <c r="E4" s="335"/>
      <c r="F4" s="335"/>
    </row>
    <row r="5" spans="2:6" s="65" customFormat="1" ht="15" customHeight="1">
      <c r="B5" s="522"/>
      <c r="C5" s="522"/>
      <c r="D5" s="522"/>
      <c r="E5" s="522"/>
      <c r="F5" s="522"/>
    </row>
    <row r="6" spans="3:6" s="162" customFormat="1" ht="15" customHeight="1">
      <c r="C6" s="163"/>
      <c r="D6" s="334"/>
      <c r="E6" s="334"/>
      <c r="F6" s="334"/>
    </row>
    <row r="7" spans="2:6" s="123" customFormat="1" ht="15" customHeight="1">
      <c r="B7" s="491" t="s">
        <v>44</v>
      </c>
      <c r="C7" s="491"/>
      <c r="D7" s="491"/>
      <c r="E7" s="491"/>
      <c r="F7" s="491"/>
    </row>
    <row r="8" spans="2:6" s="123" customFormat="1" ht="15.75">
      <c r="B8" s="523" t="s">
        <v>313</v>
      </c>
      <c r="C8" s="523"/>
      <c r="D8" s="523"/>
      <c r="E8" s="523"/>
      <c r="F8" s="523"/>
    </row>
    <row r="9" spans="2:6" s="123" customFormat="1" ht="15" customHeight="1">
      <c r="B9" s="491" t="s">
        <v>470</v>
      </c>
      <c r="C9" s="491"/>
      <c r="D9" s="491"/>
      <c r="E9" s="491"/>
      <c r="F9" s="491"/>
    </row>
    <row r="10" spans="2:6" s="160" customFormat="1" ht="12" customHeight="1" thickBot="1">
      <c r="B10" s="161"/>
      <c r="C10" s="164"/>
      <c r="D10" s="333"/>
      <c r="E10" s="333"/>
      <c r="F10" s="450" t="s">
        <v>547</v>
      </c>
    </row>
    <row r="11" spans="1:6" s="160" customFormat="1" ht="16.5" customHeight="1" thickBot="1">
      <c r="A11" s="502" t="s">
        <v>202</v>
      </c>
      <c r="B11" s="505" t="s">
        <v>203</v>
      </c>
      <c r="C11" s="508" t="s">
        <v>314</v>
      </c>
      <c r="D11" s="511" t="s">
        <v>315</v>
      </c>
      <c r="E11" s="511"/>
      <c r="F11" s="512"/>
    </row>
    <row r="12" spans="1:6" s="160" customFormat="1" ht="33" customHeight="1" thickBot="1">
      <c r="A12" s="503"/>
      <c r="B12" s="506"/>
      <c r="C12" s="509"/>
      <c r="D12" s="330" t="s">
        <v>316</v>
      </c>
      <c r="E12" s="332" t="s">
        <v>317</v>
      </c>
      <c r="F12" s="331" t="s">
        <v>318</v>
      </c>
    </row>
    <row r="13" spans="1:6" s="160" customFormat="1" ht="22.5" customHeight="1">
      <c r="A13" s="503"/>
      <c r="B13" s="506"/>
      <c r="C13" s="509"/>
      <c r="D13" s="513" t="s">
        <v>319</v>
      </c>
      <c r="E13" s="514"/>
      <c r="F13" s="515"/>
    </row>
    <row r="14" spans="1:6" ht="12.75">
      <c r="A14" s="503"/>
      <c r="B14" s="506"/>
      <c r="C14" s="509"/>
      <c r="D14" s="516"/>
      <c r="E14" s="517"/>
      <c r="F14" s="518"/>
    </row>
    <row r="15" spans="1:6" ht="3" customHeight="1" thickBot="1">
      <c r="A15" s="504"/>
      <c r="B15" s="507"/>
      <c r="C15" s="510"/>
      <c r="D15" s="519"/>
      <c r="E15" s="520"/>
      <c r="F15" s="521"/>
    </row>
    <row r="16" spans="1:6" ht="30">
      <c r="A16" s="166" t="s">
        <v>219</v>
      </c>
      <c r="B16" s="167" t="s">
        <v>220</v>
      </c>
      <c r="C16" s="329">
        <f aca="true" t="shared" si="0" ref="C16:C29">SUM(D16:F16)</f>
        <v>258708</v>
      </c>
      <c r="D16" s="329">
        <f>3125000-3056000+189708</f>
        <v>258708</v>
      </c>
      <c r="E16" s="329"/>
      <c r="F16" s="328"/>
    </row>
    <row r="17" spans="1:6" ht="15">
      <c r="A17" s="117" t="s">
        <v>221</v>
      </c>
      <c r="B17" s="114" t="s">
        <v>39</v>
      </c>
      <c r="C17" s="327">
        <f t="shared" si="0"/>
        <v>52000</v>
      </c>
      <c r="D17" s="327">
        <v>52000</v>
      </c>
      <c r="E17" s="327"/>
      <c r="F17" s="326"/>
    </row>
    <row r="18" spans="1:6" ht="15">
      <c r="A18" s="117" t="s">
        <v>222</v>
      </c>
      <c r="B18" s="114" t="s">
        <v>223</v>
      </c>
      <c r="C18" s="327">
        <f t="shared" si="0"/>
        <v>956000</v>
      </c>
      <c r="D18" s="327">
        <f>820000+2000000-2000000</f>
        <v>820000</v>
      </c>
      <c r="E18" s="327">
        <v>136000</v>
      </c>
      <c r="F18" s="326"/>
    </row>
    <row r="19" spans="1:6" ht="15">
      <c r="A19" s="117" t="s">
        <v>320</v>
      </c>
      <c r="B19" s="114" t="s">
        <v>321</v>
      </c>
      <c r="C19" s="327">
        <f t="shared" si="0"/>
        <v>40537624</v>
      </c>
      <c r="D19" s="327">
        <f>28514021+112611+195840+47498+23876-88130+11938-5550+604520+10000000+1121000</f>
        <v>40537624</v>
      </c>
      <c r="E19" s="327"/>
      <c r="F19" s="326"/>
    </row>
    <row r="20" spans="1:6" ht="15">
      <c r="A20" s="117" t="s">
        <v>534</v>
      </c>
      <c r="B20" s="114" t="s">
        <v>533</v>
      </c>
      <c r="C20" s="327">
        <f t="shared" si="0"/>
        <v>70404000</v>
      </c>
      <c r="D20" s="327">
        <f>3059000+2000000+23205000+42061196+78727+77</f>
        <v>70404000</v>
      </c>
      <c r="E20" s="327"/>
      <c r="F20" s="326"/>
    </row>
    <row r="21" spans="1:6" ht="15">
      <c r="A21" s="117" t="s">
        <v>532</v>
      </c>
      <c r="B21" s="114" t="s">
        <v>531</v>
      </c>
      <c r="C21" s="327">
        <f t="shared" si="0"/>
        <v>1800277</v>
      </c>
      <c r="D21" s="327">
        <f>1116669+359364+324244</f>
        <v>1800277</v>
      </c>
      <c r="E21" s="327"/>
      <c r="F21" s="326"/>
    </row>
    <row r="22" spans="1:6" ht="15">
      <c r="A22" s="117" t="s">
        <v>226</v>
      </c>
      <c r="B22" s="114" t="s">
        <v>227</v>
      </c>
      <c r="C22" s="327">
        <f t="shared" si="0"/>
        <v>6313000</v>
      </c>
      <c r="D22" s="327">
        <v>6313000</v>
      </c>
      <c r="E22" s="327"/>
      <c r="F22" s="326"/>
    </row>
    <row r="23" spans="1:6" ht="15">
      <c r="A23" s="117" t="s">
        <v>236</v>
      </c>
      <c r="B23" s="114" t="s">
        <v>37</v>
      </c>
      <c r="C23" s="327">
        <f t="shared" si="0"/>
        <v>0</v>
      </c>
      <c r="D23" s="327">
        <f>23205000-23205000</f>
        <v>0</v>
      </c>
      <c r="E23" s="327"/>
      <c r="F23" s="326"/>
    </row>
    <row r="24" spans="1:6" ht="15">
      <c r="A24" s="117" t="s">
        <v>322</v>
      </c>
      <c r="B24" s="114" t="s">
        <v>323</v>
      </c>
      <c r="C24" s="327">
        <f t="shared" si="0"/>
        <v>489000</v>
      </c>
      <c r="D24" s="327">
        <v>489000</v>
      </c>
      <c r="E24" s="327"/>
      <c r="F24" s="326"/>
    </row>
    <row r="25" spans="1:6" ht="15">
      <c r="A25" s="117" t="s">
        <v>324</v>
      </c>
      <c r="B25" s="114" t="s">
        <v>325</v>
      </c>
      <c r="C25" s="327">
        <f t="shared" si="0"/>
        <v>317000</v>
      </c>
      <c r="D25" s="327"/>
      <c r="E25" s="327">
        <v>317000</v>
      </c>
      <c r="F25" s="326"/>
    </row>
    <row r="26" spans="1:6" ht="15">
      <c r="A26" s="117" t="s">
        <v>324</v>
      </c>
      <c r="B26" s="120" t="s">
        <v>471</v>
      </c>
      <c r="C26" s="327">
        <f t="shared" si="0"/>
        <v>954000</v>
      </c>
      <c r="D26" s="327"/>
      <c r="E26" s="327">
        <v>954000</v>
      </c>
      <c r="F26" s="326"/>
    </row>
    <row r="27" spans="1:6" ht="15">
      <c r="A27" s="170">
        <v>104051</v>
      </c>
      <c r="B27" s="114" t="s">
        <v>380</v>
      </c>
      <c r="C27" s="327">
        <f t="shared" si="0"/>
        <v>46000</v>
      </c>
      <c r="D27" s="327"/>
      <c r="E27" s="327"/>
      <c r="F27" s="326">
        <v>46000</v>
      </c>
    </row>
    <row r="28" spans="1:6" ht="15">
      <c r="A28" s="117" t="s">
        <v>244</v>
      </c>
      <c r="B28" s="120" t="s">
        <v>379</v>
      </c>
      <c r="C28" s="327">
        <f t="shared" si="0"/>
        <v>1825000</v>
      </c>
      <c r="D28" s="327">
        <v>1825000</v>
      </c>
      <c r="E28" s="327"/>
      <c r="F28" s="326"/>
    </row>
    <row r="29" spans="1:6" ht="30.75" thickBot="1">
      <c r="A29" s="170">
        <v>900020</v>
      </c>
      <c r="B29" s="114" t="s">
        <v>326</v>
      </c>
      <c r="C29" s="327">
        <f t="shared" si="0"/>
        <v>7808000</v>
      </c>
      <c r="D29" s="327">
        <v>7808000</v>
      </c>
      <c r="E29" s="327"/>
      <c r="F29" s="326"/>
    </row>
    <row r="30" spans="1:6" ht="30" customHeight="1" thickBot="1">
      <c r="A30" s="171"/>
      <c r="B30" s="171" t="s">
        <v>2</v>
      </c>
      <c r="C30" s="325">
        <f>SUM(C16:C29)</f>
        <v>131760609</v>
      </c>
      <c r="D30" s="325">
        <f>SUM(D16:D29)</f>
        <v>130307609</v>
      </c>
      <c r="E30" s="325">
        <f>SUM(E16:E29)</f>
        <v>1407000</v>
      </c>
      <c r="F30" s="325">
        <f>SUM(F16:F29)</f>
        <v>46000</v>
      </c>
    </row>
  </sheetData>
  <sheetProtection/>
  <mergeCells count="9">
    <mergeCell ref="A11:A15"/>
    <mergeCell ref="B11:B15"/>
    <mergeCell ref="C11:C15"/>
    <mergeCell ref="D11:F11"/>
    <mergeCell ref="D13:F15"/>
    <mergeCell ref="B5:F5"/>
    <mergeCell ref="B7:F7"/>
    <mergeCell ref="B8:F8"/>
    <mergeCell ref="B9:F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43"/>
  <sheetViews>
    <sheetView zoomScalePageLayoutView="0" workbookViewId="0" topLeftCell="B1">
      <selection activeCell="B4" sqref="B4:T4"/>
    </sheetView>
  </sheetViews>
  <sheetFormatPr defaultColWidth="9.00390625" defaultRowHeight="12.75"/>
  <cols>
    <col min="1" max="1" width="5.25390625" style="11" customWidth="1"/>
    <col min="2" max="2" width="9.125" style="11" customWidth="1"/>
    <col min="3" max="3" width="44.125" style="11" customWidth="1"/>
    <col min="4" max="4" width="13.00390625" style="11" customWidth="1"/>
    <col min="5" max="5" width="12.625" style="11" customWidth="1"/>
    <col min="6" max="6" width="10.375" style="11" customWidth="1"/>
    <col min="7" max="7" width="12.125" style="11" customWidth="1"/>
    <col min="8" max="8" width="10.375" style="11" customWidth="1"/>
    <col min="9" max="9" width="11.375" style="11" customWidth="1"/>
    <col min="10" max="10" width="11.75390625" style="11" customWidth="1"/>
    <col min="11" max="11" width="10.25390625" style="11" customWidth="1"/>
    <col min="12" max="12" width="11.875" style="11" customWidth="1"/>
    <col min="13" max="13" width="10.625" style="11" customWidth="1"/>
    <col min="14" max="14" width="12.125" style="11" customWidth="1"/>
    <col min="15" max="15" width="15.25390625" style="11" customWidth="1"/>
    <col min="16" max="16" width="9.875" style="11" customWidth="1"/>
    <col min="17" max="17" width="10.625" style="11" customWidth="1"/>
    <col min="18" max="18" width="11.625" style="11" customWidth="1"/>
    <col min="19" max="16384" width="9.125" style="11" customWidth="1"/>
  </cols>
  <sheetData>
    <row r="1" spans="2:20" ht="15.75">
      <c r="B1" s="125"/>
      <c r="L1" s="541"/>
      <c r="M1" s="541"/>
      <c r="N1" s="541"/>
      <c r="O1" s="541"/>
      <c r="P1" s="541"/>
      <c r="Q1" s="541"/>
      <c r="R1" s="541"/>
      <c r="S1" s="541"/>
      <c r="T1" s="541"/>
    </row>
    <row r="2" spans="2:20" ht="15.75">
      <c r="B2" s="125"/>
      <c r="L2" s="87"/>
      <c r="M2" s="87"/>
      <c r="N2" s="87"/>
      <c r="O2" s="87"/>
      <c r="P2" s="87"/>
      <c r="Q2" s="87"/>
      <c r="R2" s="87"/>
      <c r="S2" s="87"/>
      <c r="T2" s="87"/>
    </row>
    <row r="3" spans="2:17" ht="15.75" customHeight="1">
      <c r="B3" s="524" t="s">
        <v>514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</row>
    <row r="4" spans="2:20" s="111" customFormat="1" ht="15.75" customHeight="1"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</row>
    <row r="5" spans="2:17" s="111" customFormat="1" ht="15.7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20" s="111" customFormat="1" ht="15.75" customHeight="1">
      <c r="B6" s="525" t="s">
        <v>44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</row>
    <row r="7" spans="2:20" s="111" customFormat="1" ht="15.75" customHeight="1">
      <c r="B7" s="525" t="s">
        <v>201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</row>
    <row r="8" spans="2:20" s="111" customFormat="1" ht="15.75" customHeight="1">
      <c r="B8" s="525" t="s">
        <v>469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</row>
    <row r="9" spans="19:20" s="111" customFormat="1" ht="15.75" thickBot="1">
      <c r="S9" s="542" t="s">
        <v>535</v>
      </c>
      <c r="T9" s="542"/>
    </row>
    <row r="10" spans="1:20" s="112" customFormat="1" ht="20.25" customHeight="1" thickBot="1">
      <c r="A10" s="780" t="s">
        <v>581</v>
      </c>
      <c r="B10" s="551" t="s">
        <v>202</v>
      </c>
      <c r="C10" s="535" t="s">
        <v>203</v>
      </c>
      <c r="D10" s="529" t="s">
        <v>204</v>
      </c>
      <c r="E10" s="532" t="s">
        <v>205</v>
      </c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4"/>
      <c r="S10" s="546" t="s">
        <v>3</v>
      </c>
      <c r="T10" s="547"/>
    </row>
    <row r="11" spans="1:20" s="112" customFormat="1" ht="38.25" customHeight="1" thickBot="1">
      <c r="A11" s="779"/>
      <c r="B11" s="552"/>
      <c r="C11" s="536"/>
      <c r="D11" s="530"/>
      <c r="E11" s="538" t="s">
        <v>80</v>
      </c>
      <c r="F11" s="539"/>
      <c r="G11" s="539"/>
      <c r="H11" s="539"/>
      <c r="I11" s="539"/>
      <c r="J11" s="540"/>
      <c r="K11" s="532" t="s">
        <v>81</v>
      </c>
      <c r="L11" s="533"/>
      <c r="M11" s="533"/>
      <c r="N11" s="534"/>
      <c r="O11" s="548" t="s">
        <v>206</v>
      </c>
      <c r="P11" s="549"/>
      <c r="Q11" s="549"/>
      <c r="R11" s="550"/>
      <c r="S11" s="556" t="s">
        <v>8</v>
      </c>
      <c r="T11" s="557"/>
    </row>
    <row r="12" spans="1:20" s="112" customFormat="1" ht="21" customHeight="1" thickBot="1">
      <c r="A12" s="779"/>
      <c r="B12" s="552"/>
      <c r="C12" s="536"/>
      <c r="D12" s="530"/>
      <c r="E12" s="529" t="s">
        <v>207</v>
      </c>
      <c r="F12" s="529" t="s">
        <v>208</v>
      </c>
      <c r="G12" s="529" t="s">
        <v>209</v>
      </c>
      <c r="H12" s="529" t="s">
        <v>210</v>
      </c>
      <c r="I12" s="529" t="s">
        <v>211</v>
      </c>
      <c r="J12" s="558" t="s">
        <v>212</v>
      </c>
      <c r="K12" s="543" t="s">
        <v>213</v>
      </c>
      <c r="L12" s="543" t="s">
        <v>82</v>
      </c>
      <c r="M12" s="529" t="s">
        <v>327</v>
      </c>
      <c r="N12" s="526" t="s">
        <v>328</v>
      </c>
      <c r="O12" s="529" t="s">
        <v>472</v>
      </c>
      <c r="P12" s="529" t="s">
        <v>214</v>
      </c>
      <c r="Q12" s="529" t="s">
        <v>215</v>
      </c>
      <c r="R12" s="526" t="s">
        <v>329</v>
      </c>
      <c r="S12" s="156" t="s">
        <v>216</v>
      </c>
      <c r="T12" s="157" t="s">
        <v>217</v>
      </c>
    </row>
    <row r="13" spans="1:20" s="112" customFormat="1" ht="18.75" customHeight="1">
      <c r="A13" s="779"/>
      <c r="B13" s="552"/>
      <c r="C13" s="536"/>
      <c r="D13" s="530"/>
      <c r="E13" s="530"/>
      <c r="F13" s="530"/>
      <c r="G13" s="530"/>
      <c r="H13" s="530"/>
      <c r="I13" s="530"/>
      <c r="J13" s="559"/>
      <c r="K13" s="544"/>
      <c r="L13" s="544"/>
      <c r="M13" s="530"/>
      <c r="N13" s="527"/>
      <c r="O13" s="530"/>
      <c r="P13" s="530"/>
      <c r="Q13" s="530"/>
      <c r="R13" s="527"/>
      <c r="S13" s="554" t="s">
        <v>218</v>
      </c>
      <c r="T13" s="555"/>
    </row>
    <row r="14" spans="1:20" s="112" customFormat="1" ht="20.25" customHeight="1" thickBot="1">
      <c r="A14" s="778"/>
      <c r="B14" s="553"/>
      <c r="C14" s="537"/>
      <c r="D14" s="531"/>
      <c r="E14" s="531"/>
      <c r="F14" s="531"/>
      <c r="G14" s="531"/>
      <c r="H14" s="531"/>
      <c r="I14" s="531"/>
      <c r="J14" s="560"/>
      <c r="K14" s="545"/>
      <c r="L14" s="545"/>
      <c r="M14" s="531"/>
      <c r="N14" s="528"/>
      <c r="O14" s="531"/>
      <c r="P14" s="531"/>
      <c r="Q14" s="531"/>
      <c r="R14" s="528"/>
      <c r="S14" s="556"/>
      <c r="T14" s="557"/>
    </row>
    <row r="15" spans="1:20" s="111" customFormat="1" ht="30">
      <c r="A15" s="777" t="s">
        <v>580</v>
      </c>
      <c r="B15" s="113" t="s">
        <v>219</v>
      </c>
      <c r="C15" s="114" t="s">
        <v>220</v>
      </c>
      <c r="D15" s="424">
        <f>J15+N15+P15+Q15</f>
        <v>50576750</v>
      </c>
      <c r="E15" s="423">
        <v>9724090</v>
      </c>
      <c r="F15" s="422">
        <v>2637628</v>
      </c>
      <c r="G15" s="422">
        <v>3812702</v>
      </c>
      <c r="H15" s="422"/>
      <c r="I15" s="422">
        <v>34122478</v>
      </c>
      <c r="J15" s="421">
        <f>SUM(E15:I15)</f>
        <v>50296898</v>
      </c>
      <c r="K15" s="420">
        <v>39852</v>
      </c>
      <c r="L15" s="420"/>
      <c r="M15" s="420">
        <v>240000</v>
      </c>
      <c r="N15" s="419">
        <f>SUM(K15:M15)</f>
        <v>279852</v>
      </c>
      <c r="O15" s="419"/>
      <c r="P15" s="418"/>
      <c r="Q15" s="417"/>
      <c r="R15" s="417"/>
      <c r="S15" s="116">
        <f>0.5+0.1+0.2-0.3</f>
        <v>0.5</v>
      </c>
      <c r="T15" s="155">
        <v>0.5</v>
      </c>
    </row>
    <row r="16" spans="1:20" s="111" customFormat="1" ht="15">
      <c r="A16" s="775" t="s">
        <v>579</v>
      </c>
      <c r="B16" s="117" t="s">
        <v>221</v>
      </c>
      <c r="C16" s="114" t="s">
        <v>39</v>
      </c>
      <c r="D16" s="424">
        <f>J16+N16+P16+Q16</f>
        <v>64000</v>
      </c>
      <c r="E16" s="423"/>
      <c r="F16" s="422"/>
      <c r="G16" s="422">
        <v>64000</v>
      </c>
      <c r="H16" s="422"/>
      <c r="I16" s="422"/>
      <c r="J16" s="421">
        <f>SUM(E16:I16)</f>
        <v>64000</v>
      </c>
      <c r="K16" s="420"/>
      <c r="L16" s="420"/>
      <c r="M16" s="420"/>
      <c r="N16" s="419"/>
      <c r="O16" s="419"/>
      <c r="P16" s="418"/>
      <c r="Q16" s="417"/>
      <c r="R16" s="417"/>
      <c r="S16" s="118"/>
      <c r="T16" s="115"/>
    </row>
    <row r="17" spans="1:20" s="111" customFormat="1" ht="29.25" customHeight="1">
      <c r="A17" s="776" t="s">
        <v>578</v>
      </c>
      <c r="B17" s="117" t="s">
        <v>222</v>
      </c>
      <c r="C17" s="114" t="s">
        <v>223</v>
      </c>
      <c r="D17" s="424">
        <f>J17+N17+R17</f>
        <v>5467032</v>
      </c>
      <c r="E17" s="423"/>
      <c r="F17" s="422"/>
      <c r="G17" s="422">
        <v>489832</v>
      </c>
      <c r="H17" s="422"/>
      <c r="I17" s="422"/>
      <c r="J17" s="421">
        <f>SUM(E17:I17)</f>
        <v>489832</v>
      </c>
      <c r="K17" s="420">
        <f>2000000+2596200+381000</f>
        <v>4977200</v>
      </c>
      <c r="L17" s="420"/>
      <c r="M17" s="420"/>
      <c r="N17" s="419">
        <f>SUM(K17:M17)</f>
        <v>4977200</v>
      </c>
      <c r="O17" s="419"/>
      <c r="P17" s="418"/>
      <c r="Q17" s="417"/>
      <c r="R17" s="417"/>
      <c r="S17" s="119"/>
      <c r="T17" s="115"/>
    </row>
    <row r="18" spans="1:20" s="111" customFormat="1" ht="30" customHeight="1">
      <c r="A18" s="775" t="s">
        <v>577</v>
      </c>
      <c r="B18" s="117" t="s">
        <v>320</v>
      </c>
      <c r="C18" s="114" t="s">
        <v>321</v>
      </c>
      <c r="D18" s="424">
        <f>J18+N18+R18</f>
        <v>3358267</v>
      </c>
      <c r="E18" s="423"/>
      <c r="F18" s="422"/>
      <c r="G18" s="422"/>
      <c r="H18" s="422"/>
      <c r="I18" s="422">
        <v>918299</v>
      </c>
      <c r="J18" s="421">
        <f>SUM(E18:I18)</f>
        <v>918299</v>
      </c>
      <c r="K18" s="420"/>
      <c r="L18" s="420"/>
      <c r="M18" s="420"/>
      <c r="N18" s="419"/>
      <c r="O18" s="419">
        <f>1139077+179682+1121209</f>
        <v>2439968</v>
      </c>
      <c r="P18" s="418"/>
      <c r="Q18" s="417"/>
      <c r="R18" s="417">
        <f>O18+P18+Q18</f>
        <v>2439968</v>
      </c>
      <c r="S18" s="116"/>
      <c r="T18" s="115"/>
    </row>
    <row r="19" spans="1:20" s="111" customFormat="1" ht="24" customHeight="1">
      <c r="A19" s="775" t="s">
        <v>576</v>
      </c>
      <c r="B19" s="117" t="s">
        <v>539</v>
      </c>
      <c r="C19" s="114" t="s">
        <v>538</v>
      </c>
      <c r="D19" s="424">
        <f>J19+N19+R19</f>
        <v>10396875</v>
      </c>
      <c r="E19" s="423"/>
      <c r="F19" s="422"/>
      <c r="G19" s="422">
        <v>396875</v>
      </c>
      <c r="H19" s="422"/>
      <c r="I19" s="422"/>
      <c r="J19" s="421">
        <f>SUM(E19:I19)</f>
        <v>396875</v>
      </c>
      <c r="K19" s="420"/>
      <c r="L19" s="420">
        <v>10000000</v>
      </c>
      <c r="M19" s="420"/>
      <c r="N19" s="419">
        <f>SUM(K19:M19)</f>
        <v>10000000</v>
      </c>
      <c r="O19" s="419"/>
      <c r="P19" s="418"/>
      <c r="Q19" s="417"/>
      <c r="R19" s="417"/>
      <c r="S19" s="116"/>
      <c r="T19" s="115"/>
    </row>
    <row r="20" spans="1:20" s="111" customFormat="1" ht="14.25" customHeight="1">
      <c r="A20" s="775" t="s">
        <v>575</v>
      </c>
      <c r="B20" s="117" t="s">
        <v>532</v>
      </c>
      <c r="C20" s="114" t="s">
        <v>531</v>
      </c>
      <c r="D20" s="424">
        <f>J20+N20+R20</f>
        <v>1948820</v>
      </c>
      <c r="E20" s="423">
        <f>15000+618705+26385+308019+22877+7867+316620+277044+5037+60000</f>
        <v>1657554</v>
      </c>
      <c r="F20" s="422">
        <v>291266</v>
      </c>
      <c r="G20" s="422"/>
      <c r="H20" s="422"/>
      <c r="I20" s="422"/>
      <c r="J20" s="421">
        <f>SUM(E20:I20)</f>
        <v>1948820</v>
      </c>
      <c r="K20" s="420"/>
      <c r="L20" s="420"/>
      <c r="M20" s="420"/>
      <c r="N20" s="419"/>
      <c r="O20" s="419"/>
      <c r="P20" s="418"/>
      <c r="Q20" s="417"/>
      <c r="R20" s="417"/>
      <c r="S20" s="116">
        <v>2</v>
      </c>
      <c r="T20" s="115">
        <v>2</v>
      </c>
    </row>
    <row r="21" spans="1:20" s="111" customFormat="1" ht="19.5" customHeight="1">
      <c r="A21" s="776" t="s">
        <v>574</v>
      </c>
      <c r="B21" s="117" t="s">
        <v>477</v>
      </c>
      <c r="C21" s="114" t="s">
        <v>478</v>
      </c>
      <c r="D21" s="424">
        <f>J21+N21+R21</f>
        <v>19021</v>
      </c>
      <c r="E21" s="423"/>
      <c r="F21" s="422"/>
      <c r="G21" s="422">
        <v>19021</v>
      </c>
      <c r="H21" s="422"/>
      <c r="I21" s="422"/>
      <c r="J21" s="421">
        <f>SUM(E21:I21)</f>
        <v>19021</v>
      </c>
      <c r="K21" s="420"/>
      <c r="L21" s="420"/>
      <c r="M21" s="420"/>
      <c r="N21" s="419"/>
      <c r="O21" s="419"/>
      <c r="P21" s="418"/>
      <c r="Q21" s="417"/>
      <c r="R21" s="417"/>
      <c r="S21" s="116"/>
      <c r="T21" s="115"/>
    </row>
    <row r="22" spans="1:20" s="111" customFormat="1" ht="30">
      <c r="A22" s="776" t="s">
        <v>573</v>
      </c>
      <c r="B22" s="117" t="s">
        <v>224</v>
      </c>
      <c r="C22" s="114" t="s">
        <v>225</v>
      </c>
      <c r="D22" s="424">
        <f>J22+N22+P22+Q22</f>
        <v>27000</v>
      </c>
      <c r="E22" s="423"/>
      <c r="F22" s="422"/>
      <c r="G22" s="422">
        <v>27000</v>
      </c>
      <c r="H22" s="422"/>
      <c r="I22" s="422"/>
      <c r="J22" s="421">
        <f>SUM(E22:I22)</f>
        <v>27000</v>
      </c>
      <c r="K22" s="420"/>
      <c r="L22" s="420"/>
      <c r="M22" s="420"/>
      <c r="N22" s="419"/>
      <c r="O22" s="419"/>
      <c r="P22" s="418"/>
      <c r="Q22" s="417"/>
      <c r="R22" s="417"/>
      <c r="S22" s="116"/>
      <c r="T22" s="115"/>
    </row>
    <row r="23" spans="1:20" s="111" customFormat="1" ht="30">
      <c r="A23" s="775" t="s">
        <v>572</v>
      </c>
      <c r="B23" s="117" t="s">
        <v>226</v>
      </c>
      <c r="C23" s="114" t="s">
        <v>227</v>
      </c>
      <c r="D23" s="424">
        <f>J23+N23+P23+Q23</f>
        <v>6014000</v>
      </c>
      <c r="E23" s="423"/>
      <c r="F23" s="422"/>
      <c r="G23" s="422">
        <v>3474000</v>
      </c>
      <c r="H23" s="422"/>
      <c r="I23" s="422"/>
      <c r="J23" s="421">
        <f>SUM(E23:I23)</f>
        <v>3474000</v>
      </c>
      <c r="K23" s="420">
        <v>2540000</v>
      </c>
      <c r="L23" s="420"/>
      <c r="M23" s="420"/>
      <c r="N23" s="419">
        <f>SUM(K23:M23)</f>
        <v>2540000</v>
      </c>
      <c r="O23" s="419"/>
      <c r="P23" s="418"/>
      <c r="Q23" s="417"/>
      <c r="R23" s="417"/>
      <c r="S23" s="119"/>
      <c r="T23" s="115"/>
    </row>
    <row r="24" spans="1:20" s="111" customFormat="1" ht="15">
      <c r="A24" s="775" t="s">
        <v>276</v>
      </c>
      <c r="B24" s="117" t="s">
        <v>228</v>
      </c>
      <c r="C24" s="114" t="s">
        <v>229</v>
      </c>
      <c r="D24" s="424">
        <f>J24+N24+P24+Q24</f>
        <v>960000</v>
      </c>
      <c r="E24" s="423"/>
      <c r="F24" s="422"/>
      <c r="G24" s="422"/>
      <c r="H24" s="422"/>
      <c r="I24" s="422"/>
      <c r="J24" s="421"/>
      <c r="K24" s="420"/>
      <c r="L24" s="420"/>
      <c r="M24" s="420">
        <f>600000-240000+600000</f>
        <v>960000</v>
      </c>
      <c r="N24" s="419">
        <f>SUM(K24:M24)</f>
        <v>960000</v>
      </c>
      <c r="O24" s="419"/>
      <c r="P24" s="418"/>
      <c r="Q24" s="417"/>
      <c r="R24" s="417"/>
      <c r="S24" s="119"/>
      <c r="T24" s="115"/>
    </row>
    <row r="25" spans="1:20" s="111" customFormat="1" ht="15">
      <c r="A25" s="775" t="s">
        <v>278</v>
      </c>
      <c r="B25" s="117" t="s">
        <v>230</v>
      </c>
      <c r="C25" s="114" t="s">
        <v>231</v>
      </c>
      <c r="D25" s="424">
        <f>J25+N25+P25+Q25</f>
        <v>1900000</v>
      </c>
      <c r="E25" s="423"/>
      <c r="F25" s="422"/>
      <c r="G25" s="422">
        <v>1900000</v>
      </c>
      <c r="H25" s="420"/>
      <c r="I25" s="422"/>
      <c r="J25" s="421">
        <f>SUM(E25:I25)</f>
        <v>1900000</v>
      </c>
      <c r="K25" s="420"/>
      <c r="L25" s="420"/>
      <c r="M25" s="420"/>
      <c r="N25" s="419"/>
      <c r="O25" s="419"/>
      <c r="P25" s="418"/>
      <c r="Q25" s="417"/>
      <c r="R25" s="417"/>
      <c r="S25" s="119"/>
      <c r="T25" s="115"/>
    </row>
    <row r="26" spans="1:20" s="111" customFormat="1" ht="15">
      <c r="A26" s="775" t="s">
        <v>280</v>
      </c>
      <c r="B26" s="117" t="s">
        <v>232</v>
      </c>
      <c r="C26" s="114" t="s">
        <v>233</v>
      </c>
      <c r="D26" s="424">
        <f>J26+N26+P26+Q26</f>
        <v>635000</v>
      </c>
      <c r="E26" s="423"/>
      <c r="F26" s="422"/>
      <c r="G26" s="422">
        <v>635000</v>
      </c>
      <c r="H26" s="420"/>
      <c r="I26" s="422"/>
      <c r="J26" s="421">
        <f>SUM(E26:I26)</f>
        <v>635000</v>
      </c>
      <c r="K26" s="420"/>
      <c r="L26" s="420"/>
      <c r="M26" s="420"/>
      <c r="N26" s="419"/>
      <c r="O26" s="419"/>
      <c r="P26" s="418"/>
      <c r="Q26" s="417"/>
      <c r="R26" s="417"/>
      <c r="S26" s="119"/>
      <c r="T26" s="115"/>
    </row>
    <row r="27" spans="1:20" s="111" customFormat="1" ht="30">
      <c r="A27" s="775" t="s">
        <v>285</v>
      </c>
      <c r="B27" s="117" t="s">
        <v>234</v>
      </c>
      <c r="C27" s="114" t="s">
        <v>235</v>
      </c>
      <c r="D27" s="424">
        <f>J27+N27+P27+Q27</f>
        <v>2375049</v>
      </c>
      <c r="E27" s="423">
        <v>749494</v>
      </c>
      <c r="F27" s="422">
        <v>103555</v>
      </c>
      <c r="G27" s="422">
        <v>889000</v>
      </c>
      <c r="H27" s="420"/>
      <c r="I27" s="422"/>
      <c r="J27" s="421">
        <f>SUM(E27:I27)</f>
        <v>1742049</v>
      </c>
      <c r="K27" s="420">
        <v>633000</v>
      </c>
      <c r="L27" s="420"/>
      <c r="M27" s="420"/>
      <c r="N27" s="419">
        <f>SUM(K27:M27)</f>
        <v>633000</v>
      </c>
      <c r="O27" s="419"/>
      <c r="P27" s="418"/>
      <c r="Q27" s="417"/>
      <c r="R27" s="417"/>
      <c r="S27" s="119">
        <v>0.5</v>
      </c>
      <c r="T27" s="115">
        <v>0.5</v>
      </c>
    </row>
    <row r="28" spans="1:20" s="111" customFormat="1" ht="15">
      <c r="A28" s="775" t="s">
        <v>287</v>
      </c>
      <c r="B28" s="117" t="s">
        <v>236</v>
      </c>
      <c r="C28" s="114" t="s">
        <v>37</v>
      </c>
      <c r="D28" s="424">
        <f>J28+N28+P28+Q28</f>
        <v>24028856</v>
      </c>
      <c r="E28" s="423"/>
      <c r="F28" s="422"/>
      <c r="G28" s="422">
        <v>223758</v>
      </c>
      <c r="H28" s="420"/>
      <c r="I28" s="422"/>
      <c r="J28" s="421">
        <f>SUM(E28:I28)</f>
        <v>223758</v>
      </c>
      <c r="K28" s="420">
        <v>175098</v>
      </c>
      <c r="L28" s="420">
        <f>23205000+425000</f>
        <v>23630000</v>
      </c>
      <c r="M28" s="420"/>
      <c r="N28" s="419">
        <f>SUM(K28:M28)</f>
        <v>23805098</v>
      </c>
      <c r="O28" s="419"/>
      <c r="P28" s="418"/>
      <c r="Q28" s="417"/>
      <c r="R28" s="417"/>
      <c r="S28" s="119"/>
      <c r="T28" s="115"/>
    </row>
    <row r="29" spans="1:20" s="111" customFormat="1" ht="31.5" customHeight="1">
      <c r="A29" s="775" t="s">
        <v>289</v>
      </c>
      <c r="B29" s="117" t="s">
        <v>237</v>
      </c>
      <c r="C29" s="114" t="s">
        <v>238</v>
      </c>
      <c r="D29" s="424">
        <f>J29+N29+P29+Q29</f>
        <v>675000</v>
      </c>
      <c r="E29" s="423"/>
      <c r="F29" s="422"/>
      <c r="G29" s="422"/>
      <c r="H29" s="422"/>
      <c r="I29" s="422">
        <v>675000</v>
      </c>
      <c r="J29" s="421">
        <f>SUM(E29:I29)</f>
        <v>675000</v>
      </c>
      <c r="K29" s="420"/>
      <c r="L29" s="420"/>
      <c r="M29" s="420"/>
      <c r="N29" s="419">
        <f>SUM(K29:M29)</f>
        <v>0</v>
      </c>
      <c r="O29" s="419"/>
      <c r="P29" s="418"/>
      <c r="Q29" s="417"/>
      <c r="R29" s="417"/>
      <c r="S29" s="119"/>
      <c r="T29" s="115"/>
    </row>
    <row r="30" spans="1:20" s="111" customFormat="1" ht="15">
      <c r="A30" s="775" t="s">
        <v>296</v>
      </c>
      <c r="B30" s="117" t="s">
        <v>239</v>
      </c>
      <c r="C30" s="114" t="s">
        <v>40</v>
      </c>
      <c r="D30" s="424">
        <f>J30+N30+P30+Q30</f>
        <v>878560</v>
      </c>
      <c r="E30" s="423">
        <v>484580</v>
      </c>
      <c r="F30" s="422">
        <v>132320</v>
      </c>
      <c r="G30" s="422">
        <v>83000</v>
      </c>
      <c r="H30" s="422"/>
      <c r="I30" s="422"/>
      <c r="J30" s="421">
        <f>SUM(E30:I30)</f>
        <v>699900</v>
      </c>
      <c r="K30" s="420">
        <v>178660</v>
      </c>
      <c r="L30" s="420"/>
      <c r="M30" s="420"/>
      <c r="N30" s="419">
        <f>SUM(K30:M30)</f>
        <v>178660</v>
      </c>
      <c r="O30" s="419"/>
      <c r="P30" s="418"/>
      <c r="Q30" s="417"/>
      <c r="R30" s="417"/>
      <c r="S30" s="119">
        <v>0.2</v>
      </c>
      <c r="T30" s="115">
        <v>0.2</v>
      </c>
    </row>
    <row r="31" spans="1:20" s="111" customFormat="1" ht="30">
      <c r="A31" s="775" t="s">
        <v>299</v>
      </c>
      <c r="B31" s="117" t="s">
        <v>473</v>
      </c>
      <c r="C31" s="114" t="s">
        <v>474</v>
      </c>
      <c r="D31" s="424">
        <f>J31+N31+P31+Q31</f>
        <v>2756072</v>
      </c>
      <c r="E31" s="423">
        <v>1837776</v>
      </c>
      <c r="F31" s="422">
        <v>507296</v>
      </c>
      <c r="G31" s="422">
        <v>411000</v>
      </c>
      <c r="H31" s="422"/>
      <c r="I31" s="422"/>
      <c r="J31" s="421">
        <f>SUM(E31:I31)</f>
        <v>2756072</v>
      </c>
      <c r="K31" s="420"/>
      <c r="L31" s="420"/>
      <c r="M31" s="420"/>
      <c r="N31" s="419">
        <f>SUM(K31:M31)</f>
        <v>0</v>
      </c>
      <c r="O31" s="419"/>
      <c r="P31" s="418"/>
      <c r="Q31" s="417"/>
      <c r="R31" s="417"/>
      <c r="S31" s="119"/>
      <c r="T31" s="115"/>
    </row>
    <row r="32" spans="1:20" s="111" customFormat="1" ht="15">
      <c r="A32" s="775" t="s">
        <v>301</v>
      </c>
      <c r="B32" s="117" t="s">
        <v>475</v>
      </c>
      <c r="C32" s="114" t="s">
        <v>557</v>
      </c>
      <c r="D32" s="424">
        <f>J32+N32+P32+Q32</f>
        <v>380579</v>
      </c>
      <c r="E32" s="423">
        <f>291000+15177</f>
        <v>306177</v>
      </c>
      <c r="F32" s="422">
        <v>74402</v>
      </c>
      <c r="G32" s="422"/>
      <c r="H32" s="422"/>
      <c r="I32" s="422"/>
      <c r="J32" s="421">
        <f>SUM(E32:I32)</f>
        <v>380579</v>
      </c>
      <c r="K32" s="420"/>
      <c r="L32" s="420"/>
      <c r="M32" s="420"/>
      <c r="N32" s="419">
        <f>SUM(K32:M32)</f>
        <v>0</v>
      </c>
      <c r="O32" s="419"/>
      <c r="P32" s="418"/>
      <c r="Q32" s="417"/>
      <c r="R32" s="417"/>
      <c r="S32" s="119"/>
      <c r="T32" s="115"/>
    </row>
    <row r="33" spans="1:20" s="111" customFormat="1" ht="15">
      <c r="A33" s="775" t="s">
        <v>373</v>
      </c>
      <c r="B33" s="117" t="s">
        <v>240</v>
      </c>
      <c r="C33" s="114" t="s">
        <v>38</v>
      </c>
      <c r="D33" s="424">
        <f>J33+N33+P33+Q33</f>
        <v>340000</v>
      </c>
      <c r="E33" s="423"/>
      <c r="F33" s="422"/>
      <c r="G33" s="422"/>
      <c r="H33" s="422"/>
      <c r="I33" s="422">
        <f>240000+100000</f>
        <v>340000</v>
      </c>
      <c r="J33" s="421">
        <f>SUM(E33:I33)</f>
        <v>340000</v>
      </c>
      <c r="K33" s="420"/>
      <c r="L33" s="420"/>
      <c r="M33" s="420"/>
      <c r="N33" s="419">
        <f>SUM(K33:M33)</f>
        <v>0</v>
      </c>
      <c r="O33" s="419"/>
      <c r="P33" s="418"/>
      <c r="Q33" s="417"/>
      <c r="R33" s="417"/>
      <c r="S33" s="119"/>
      <c r="T33" s="115"/>
    </row>
    <row r="34" spans="1:20" s="111" customFormat="1" ht="15">
      <c r="A34" s="775" t="s">
        <v>375</v>
      </c>
      <c r="B34" s="117" t="s">
        <v>241</v>
      </c>
      <c r="C34" s="114" t="s">
        <v>242</v>
      </c>
      <c r="D34" s="424">
        <f>J34+N34+P34+Q34</f>
        <v>50000</v>
      </c>
      <c r="E34" s="423"/>
      <c r="F34" s="422"/>
      <c r="G34" s="422"/>
      <c r="H34" s="422">
        <v>50000</v>
      </c>
      <c r="I34" s="422"/>
      <c r="J34" s="421">
        <f>SUM(E34:I34)</f>
        <v>50000</v>
      </c>
      <c r="K34" s="420"/>
      <c r="L34" s="420"/>
      <c r="M34" s="420"/>
      <c r="N34" s="419">
        <f>SUM(K34:M34)</f>
        <v>0</v>
      </c>
      <c r="O34" s="419"/>
      <c r="P34" s="418"/>
      <c r="Q34" s="417"/>
      <c r="R34" s="417"/>
      <c r="S34" s="119"/>
      <c r="T34" s="115"/>
    </row>
    <row r="35" spans="1:20" s="111" customFormat="1" ht="15">
      <c r="A35" s="775" t="s">
        <v>571</v>
      </c>
      <c r="B35" s="117" t="s">
        <v>322</v>
      </c>
      <c r="C35" s="114" t="s">
        <v>323</v>
      </c>
      <c r="D35" s="424">
        <f>J35+N35+P35+Q35</f>
        <v>7012920</v>
      </c>
      <c r="E35" s="423">
        <f>2567000+101750-94500+51975+154205+14730</f>
        <v>2795160</v>
      </c>
      <c r="F35" s="422">
        <v>545535</v>
      </c>
      <c r="G35" s="422">
        <f>3448000+22225+150000</f>
        <v>3620225</v>
      </c>
      <c r="H35" s="422"/>
      <c r="I35" s="422"/>
      <c r="J35" s="421">
        <f>SUM(E35:I35)</f>
        <v>6960920</v>
      </c>
      <c r="K35" s="420">
        <v>52000</v>
      </c>
      <c r="L35" s="420"/>
      <c r="M35" s="420"/>
      <c r="N35" s="419">
        <f>SUM(K35:M35)</f>
        <v>52000</v>
      </c>
      <c r="O35" s="419"/>
      <c r="P35" s="418"/>
      <c r="Q35" s="417"/>
      <c r="R35" s="417"/>
      <c r="S35" s="158">
        <v>1</v>
      </c>
      <c r="T35" s="159">
        <v>1</v>
      </c>
    </row>
    <row r="36" spans="1:20" s="111" customFormat="1" ht="30">
      <c r="A36" s="775" t="s">
        <v>570</v>
      </c>
      <c r="B36" s="117" t="s">
        <v>324</v>
      </c>
      <c r="C36" s="114" t="s">
        <v>325</v>
      </c>
      <c r="D36" s="424">
        <f>J36+N36+P36+Q36</f>
        <v>1344959</v>
      </c>
      <c r="E36" s="423">
        <f>453000+20350+10395+2840-40936</f>
        <v>445649</v>
      </c>
      <c r="F36" s="422">
        <v>105157</v>
      </c>
      <c r="G36" s="422">
        <v>785153</v>
      </c>
      <c r="H36" s="422"/>
      <c r="I36" s="422"/>
      <c r="J36" s="421">
        <f>SUM(E36:I36)</f>
        <v>1335959</v>
      </c>
      <c r="K36" s="420">
        <v>9000</v>
      </c>
      <c r="L36" s="420"/>
      <c r="M36" s="420"/>
      <c r="N36" s="419">
        <f>SUM(K36:M36)</f>
        <v>9000</v>
      </c>
      <c r="O36" s="419"/>
      <c r="P36" s="418"/>
      <c r="Q36" s="417"/>
      <c r="R36" s="417"/>
      <c r="S36" s="119"/>
      <c r="T36" s="115"/>
    </row>
    <row r="37" spans="1:20" s="111" customFormat="1" ht="15">
      <c r="A37" s="775" t="s">
        <v>569</v>
      </c>
      <c r="B37" s="117" t="s">
        <v>324</v>
      </c>
      <c r="C37" s="120" t="s">
        <v>476</v>
      </c>
      <c r="D37" s="424">
        <f>J37+N37+P37+Q37</f>
        <v>1750338</v>
      </c>
      <c r="E37" s="423">
        <f>654000+46250+8505-11200-50499-15177-99862</f>
        <v>532017</v>
      </c>
      <c r="F37" s="422">
        <v>164710</v>
      </c>
      <c r="G37" s="422">
        <v>1040611</v>
      </c>
      <c r="H37" s="422"/>
      <c r="I37" s="422"/>
      <c r="J37" s="421">
        <f>SUM(E37:I37)</f>
        <v>1737338</v>
      </c>
      <c r="K37" s="420">
        <v>13000</v>
      </c>
      <c r="L37" s="420"/>
      <c r="M37" s="420"/>
      <c r="N37" s="419">
        <f>SUM(K37:M37)</f>
        <v>13000</v>
      </c>
      <c r="O37" s="419"/>
      <c r="P37" s="418"/>
      <c r="Q37" s="417"/>
      <c r="R37" s="417"/>
      <c r="S37" s="119"/>
      <c r="T37" s="115"/>
    </row>
    <row r="38" spans="1:20" s="111" customFormat="1" ht="30">
      <c r="A38" s="775" t="s">
        <v>568</v>
      </c>
      <c r="B38" s="117">
        <v>104051</v>
      </c>
      <c r="C38" s="114" t="s">
        <v>380</v>
      </c>
      <c r="D38" s="424">
        <f>J38+N38+P38+Q38</f>
        <v>46000</v>
      </c>
      <c r="E38" s="423"/>
      <c r="F38" s="422"/>
      <c r="G38" s="422"/>
      <c r="H38" s="422">
        <v>46000</v>
      </c>
      <c r="I38" s="422"/>
      <c r="J38" s="421">
        <f>SUM(E38:I38)</f>
        <v>46000</v>
      </c>
      <c r="K38" s="420"/>
      <c r="L38" s="420"/>
      <c r="M38" s="420"/>
      <c r="N38" s="419">
        <f>SUM(K38:M38)</f>
        <v>0</v>
      </c>
      <c r="O38" s="419"/>
      <c r="P38" s="418"/>
      <c r="Q38" s="417"/>
      <c r="R38" s="417"/>
      <c r="S38" s="119"/>
      <c r="T38" s="115"/>
    </row>
    <row r="39" spans="1:20" s="111" customFormat="1" ht="30">
      <c r="A39" s="775" t="s">
        <v>567</v>
      </c>
      <c r="B39" s="117">
        <v>106020</v>
      </c>
      <c r="C39" s="114" t="s">
        <v>243</v>
      </c>
      <c r="D39" s="424">
        <f>J39+N39+P39+Q39</f>
        <v>600000</v>
      </c>
      <c r="E39" s="423"/>
      <c r="F39" s="422"/>
      <c r="G39" s="422"/>
      <c r="H39" s="422">
        <v>600000</v>
      </c>
      <c r="I39" s="422"/>
      <c r="J39" s="421">
        <f>SUM(E39:I39)</f>
        <v>600000</v>
      </c>
      <c r="K39" s="420"/>
      <c r="L39" s="420"/>
      <c r="M39" s="420"/>
      <c r="N39" s="419">
        <f>SUM(K39:M39)</f>
        <v>0</v>
      </c>
      <c r="O39" s="419"/>
      <c r="P39" s="418"/>
      <c r="Q39" s="417"/>
      <c r="R39" s="417"/>
      <c r="S39" s="119">
        <v>0.6</v>
      </c>
      <c r="T39" s="115">
        <v>0.6</v>
      </c>
    </row>
    <row r="40" spans="1:20" s="111" customFormat="1" ht="15">
      <c r="A40" s="775" t="s">
        <v>566</v>
      </c>
      <c r="B40" s="117" t="s">
        <v>244</v>
      </c>
      <c r="C40" s="120" t="s">
        <v>379</v>
      </c>
      <c r="D40" s="424">
        <f>J40+N40+P40+Q40</f>
        <v>4091020</v>
      </c>
      <c r="E40" s="423">
        <f>1359000+16650+23625+29600+6978-25750</f>
        <v>1410103</v>
      </c>
      <c r="F40" s="422">
        <v>320826</v>
      </c>
      <c r="G40" s="422">
        <f>2108000+95250+84000+45841</f>
        <v>2333091</v>
      </c>
      <c r="H40" s="422"/>
      <c r="I40" s="422"/>
      <c r="J40" s="421">
        <f>SUM(E40:I40)</f>
        <v>4064020</v>
      </c>
      <c r="K40" s="420">
        <v>27000</v>
      </c>
      <c r="L40" s="420"/>
      <c r="M40" s="420"/>
      <c r="N40" s="419">
        <f>SUM(K40:M40)</f>
        <v>27000</v>
      </c>
      <c r="O40" s="419"/>
      <c r="P40" s="418"/>
      <c r="Q40" s="417"/>
      <c r="R40" s="417"/>
      <c r="S40" s="119"/>
      <c r="T40" s="115"/>
    </row>
    <row r="41" spans="1:20" s="111" customFormat="1" ht="15">
      <c r="A41" s="775" t="s">
        <v>565</v>
      </c>
      <c r="B41" s="117">
        <v>107052</v>
      </c>
      <c r="C41" s="121" t="s">
        <v>245</v>
      </c>
      <c r="D41" s="424">
        <f>J41+N41+P41+Q41</f>
        <v>702000</v>
      </c>
      <c r="E41" s="423"/>
      <c r="F41" s="422"/>
      <c r="G41" s="422">
        <v>62000</v>
      </c>
      <c r="H41" s="422"/>
      <c r="I41" s="422">
        <v>640000</v>
      </c>
      <c r="J41" s="421">
        <f>SUM(E41:I41)</f>
        <v>702000</v>
      </c>
      <c r="K41" s="420"/>
      <c r="L41" s="420"/>
      <c r="M41" s="420"/>
      <c r="N41" s="419">
        <f>SUM(K41:M41)</f>
        <v>0</v>
      </c>
      <c r="O41" s="419"/>
      <c r="P41" s="418"/>
      <c r="Q41" s="417"/>
      <c r="R41" s="417"/>
      <c r="S41" s="119"/>
      <c r="T41" s="115"/>
    </row>
    <row r="42" spans="1:20" s="111" customFormat="1" ht="27.75" customHeight="1" thickBot="1">
      <c r="A42" s="774" t="s">
        <v>564</v>
      </c>
      <c r="B42" s="117">
        <v>107060</v>
      </c>
      <c r="C42" s="114" t="s">
        <v>246</v>
      </c>
      <c r="D42" s="424">
        <f>J42+N42+P42+Q42</f>
        <v>3362700</v>
      </c>
      <c r="E42" s="423"/>
      <c r="F42" s="422"/>
      <c r="G42" s="422">
        <f>604520+43180</f>
        <v>647700</v>
      </c>
      <c r="H42" s="422">
        <v>2715000</v>
      </c>
      <c r="I42" s="422"/>
      <c r="J42" s="421">
        <f>SUM(E42:I42)</f>
        <v>3362700</v>
      </c>
      <c r="K42" s="420"/>
      <c r="L42" s="420"/>
      <c r="M42" s="420"/>
      <c r="N42" s="419">
        <f>SUM(K42:M42)</f>
        <v>0</v>
      </c>
      <c r="O42" s="419"/>
      <c r="P42" s="418"/>
      <c r="Q42" s="417"/>
      <c r="R42" s="417"/>
      <c r="S42" s="116">
        <v>0.4</v>
      </c>
      <c r="T42" s="115">
        <v>0.4</v>
      </c>
    </row>
    <row r="43" spans="1:20" s="336" customFormat="1" ht="18.75" customHeight="1" thickBot="1">
      <c r="A43" s="773" t="s">
        <v>563</v>
      </c>
      <c r="B43" s="339"/>
      <c r="C43" s="338" t="s">
        <v>330</v>
      </c>
      <c r="D43" s="416">
        <f>SUM(D15:D42)</f>
        <v>131760818</v>
      </c>
      <c r="E43" s="416">
        <f>SUM(E15:E42)</f>
        <v>19942600</v>
      </c>
      <c r="F43" s="416">
        <f>SUM(F15:F42)</f>
        <v>4882695</v>
      </c>
      <c r="G43" s="416">
        <f>SUM(G15:G42)</f>
        <v>20913968</v>
      </c>
      <c r="H43" s="416">
        <f>SUM(H15:H42)</f>
        <v>3411000</v>
      </c>
      <c r="I43" s="416">
        <f>SUM(I15:I42)</f>
        <v>36695777</v>
      </c>
      <c r="J43" s="416">
        <f>SUM(J15:J42)</f>
        <v>85846040</v>
      </c>
      <c r="K43" s="416">
        <f>SUM(K15:K42)</f>
        <v>8644810</v>
      </c>
      <c r="L43" s="416">
        <f>SUM(L15:L42)</f>
        <v>33630000</v>
      </c>
      <c r="M43" s="416">
        <f>SUM(M15:M42)</f>
        <v>1200000</v>
      </c>
      <c r="N43" s="416">
        <f>SUM(N15:N42)</f>
        <v>43474810</v>
      </c>
      <c r="O43" s="416">
        <f>SUM(O15:O42)</f>
        <v>2439968</v>
      </c>
      <c r="P43" s="416">
        <f>SUM(P15:P42)</f>
        <v>0</v>
      </c>
      <c r="Q43" s="416">
        <f>SUM(Q15:Q42)</f>
        <v>0</v>
      </c>
      <c r="R43" s="416">
        <f>SUM(R15:R42)</f>
        <v>2439968</v>
      </c>
      <c r="S43" s="337">
        <f>SUM(S15:S42)</f>
        <v>5.2</v>
      </c>
      <c r="T43" s="337">
        <f>SUM(T15:T42)</f>
        <v>5.2</v>
      </c>
    </row>
  </sheetData>
  <sheetProtection/>
  <mergeCells count="32">
    <mergeCell ref="L1:T1"/>
    <mergeCell ref="B3:Q3"/>
    <mergeCell ref="B4:T4"/>
    <mergeCell ref="B6:T6"/>
    <mergeCell ref="B7:T7"/>
    <mergeCell ref="B8:T8"/>
    <mergeCell ref="S9:T9"/>
    <mergeCell ref="B10:B14"/>
    <mergeCell ref="C10:C14"/>
    <mergeCell ref="D10:D14"/>
    <mergeCell ref="E10:R10"/>
    <mergeCell ref="S10:T10"/>
    <mergeCell ref="E11:J11"/>
    <mergeCell ref="K11:N11"/>
    <mergeCell ref="O11:R11"/>
    <mergeCell ref="S11:T11"/>
    <mergeCell ref="E12:E14"/>
    <mergeCell ref="F12:F14"/>
    <mergeCell ref="G12:G14"/>
    <mergeCell ref="H12:H14"/>
    <mergeCell ref="I12:I14"/>
    <mergeCell ref="J12:J14"/>
    <mergeCell ref="A10:A14"/>
    <mergeCell ref="Q12:Q14"/>
    <mergeCell ref="R12:R14"/>
    <mergeCell ref="S13:T14"/>
    <mergeCell ref="K12:K14"/>
    <mergeCell ref="L12:L14"/>
    <mergeCell ref="M12:M14"/>
    <mergeCell ref="N12:N14"/>
    <mergeCell ref="O12:O14"/>
    <mergeCell ref="P12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165" customWidth="1"/>
    <col min="2" max="2" width="63.125" style="165" customWidth="1"/>
    <col min="3" max="6" width="26.25390625" style="165" customWidth="1"/>
    <col min="7" max="16384" width="9.125" style="165" customWidth="1"/>
  </cols>
  <sheetData>
    <row r="1" spans="1:6" s="160" customFormat="1" ht="15.75">
      <c r="A1" s="125"/>
      <c r="C1" s="161"/>
      <c r="D1" s="335"/>
      <c r="E1" s="335"/>
      <c r="F1" s="335"/>
    </row>
    <row r="2" spans="1:6" s="160" customFormat="1" ht="15.75">
      <c r="A2" s="125"/>
      <c r="C2" s="161"/>
      <c r="D2" s="335"/>
      <c r="E2" s="335"/>
      <c r="F2" s="335"/>
    </row>
    <row r="3" spans="1:6" s="65" customFormat="1" ht="15" customHeight="1">
      <c r="A3" s="561" t="s">
        <v>515</v>
      </c>
      <c r="B3" s="562"/>
      <c r="C3" s="562"/>
      <c r="D3" s="562"/>
      <c r="E3" s="562"/>
      <c r="F3" s="562"/>
    </row>
    <row r="4" spans="2:6" s="162" customFormat="1" ht="15" customHeight="1">
      <c r="B4" s="491"/>
      <c r="C4" s="563"/>
      <c r="D4" s="563"/>
      <c r="E4" s="563"/>
      <c r="F4" s="563"/>
    </row>
    <row r="5" spans="2:6" s="123" customFormat="1" ht="15" customHeight="1">
      <c r="B5" s="491" t="s">
        <v>44</v>
      </c>
      <c r="C5" s="491"/>
      <c r="D5" s="491"/>
      <c r="E5" s="491"/>
      <c r="F5" s="491"/>
    </row>
    <row r="6" spans="2:6" s="123" customFormat="1" ht="15.75">
      <c r="B6" s="523" t="s">
        <v>331</v>
      </c>
      <c r="C6" s="523"/>
      <c r="D6" s="523"/>
      <c r="E6" s="523"/>
      <c r="F6" s="523"/>
    </row>
    <row r="7" spans="2:6" s="123" customFormat="1" ht="15" customHeight="1">
      <c r="B7" s="491" t="s">
        <v>470</v>
      </c>
      <c r="C7" s="491"/>
      <c r="D7" s="491"/>
      <c r="E7" s="491"/>
      <c r="F7" s="491"/>
    </row>
    <row r="8" spans="2:6" s="160" customFormat="1" ht="12" customHeight="1" thickBot="1">
      <c r="B8" s="161"/>
      <c r="C8" s="164"/>
      <c r="D8" s="333"/>
      <c r="E8" s="333"/>
      <c r="F8" s="450" t="s">
        <v>547</v>
      </c>
    </row>
    <row r="9" spans="1:6" s="160" customFormat="1" ht="16.5" customHeight="1" thickBot="1">
      <c r="A9" s="502" t="s">
        <v>202</v>
      </c>
      <c r="B9" s="505" t="s">
        <v>203</v>
      </c>
      <c r="C9" s="508" t="s">
        <v>332</v>
      </c>
      <c r="D9" s="511" t="s">
        <v>315</v>
      </c>
      <c r="E9" s="511"/>
      <c r="F9" s="512"/>
    </row>
    <row r="10" spans="1:6" s="160" customFormat="1" ht="33" customHeight="1" thickBot="1">
      <c r="A10" s="503"/>
      <c r="B10" s="506"/>
      <c r="C10" s="509"/>
      <c r="D10" s="330" t="s">
        <v>316</v>
      </c>
      <c r="E10" s="332" t="s">
        <v>317</v>
      </c>
      <c r="F10" s="331" t="s">
        <v>318</v>
      </c>
    </row>
    <row r="11" spans="1:6" s="160" customFormat="1" ht="22.5" customHeight="1">
      <c r="A11" s="503"/>
      <c r="B11" s="506"/>
      <c r="C11" s="509"/>
      <c r="D11" s="513" t="s">
        <v>319</v>
      </c>
      <c r="E11" s="514"/>
      <c r="F11" s="515"/>
    </row>
    <row r="12" spans="1:6" ht="12.75">
      <c r="A12" s="503"/>
      <c r="B12" s="506"/>
      <c r="C12" s="509"/>
      <c r="D12" s="516"/>
      <c r="E12" s="517"/>
      <c r="F12" s="518"/>
    </row>
    <row r="13" spans="1:6" ht="3" customHeight="1" thickBot="1">
      <c r="A13" s="504"/>
      <c r="B13" s="507"/>
      <c r="C13" s="510"/>
      <c r="D13" s="519"/>
      <c r="E13" s="520"/>
      <c r="F13" s="521"/>
    </row>
    <row r="14" spans="1:6" ht="30">
      <c r="A14" s="113" t="s">
        <v>219</v>
      </c>
      <c r="B14" s="114" t="s">
        <v>220</v>
      </c>
      <c r="C14" s="329">
        <f>SUM(D14:F14)</f>
        <v>50576750</v>
      </c>
      <c r="D14" s="329">
        <f>13849000+40900494+15556-396875-2596200-425000+13032+3000-381000-600000-116030-149900+116030+6700+1808+149376+40332-11800-100000-797404+98631</f>
        <v>49619750</v>
      </c>
      <c r="E14" s="329">
        <f>717000+240000</f>
        <v>957000</v>
      </c>
      <c r="F14" s="329"/>
    </row>
    <row r="15" spans="1:6" ht="15">
      <c r="A15" s="117" t="s">
        <v>221</v>
      </c>
      <c r="B15" s="114" t="s">
        <v>39</v>
      </c>
      <c r="C15" s="327">
        <f>SUM(D15:F15)</f>
        <v>64000</v>
      </c>
      <c r="D15" s="327">
        <v>64000</v>
      </c>
      <c r="E15" s="327"/>
      <c r="F15" s="327"/>
    </row>
    <row r="16" spans="1:6" ht="15">
      <c r="A16" s="117" t="s">
        <v>222</v>
      </c>
      <c r="B16" s="114" t="s">
        <v>223</v>
      </c>
      <c r="C16" s="327">
        <f>SUM(D16:F16)</f>
        <v>5467032</v>
      </c>
      <c r="D16" s="327">
        <f>245000+381000-158750+403582</f>
        <v>870832</v>
      </c>
      <c r="E16" s="327">
        <f>2000000+2596200</f>
        <v>4596200</v>
      </c>
      <c r="F16" s="327"/>
    </row>
    <row r="17" spans="1:6" ht="15">
      <c r="A17" s="117" t="s">
        <v>320</v>
      </c>
      <c r="B17" s="114" t="s">
        <v>321</v>
      </c>
      <c r="C17" s="327">
        <f>SUM(D17:F17)</f>
        <v>3358267</v>
      </c>
      <c r="D17" s="327">
        <f>1139000+179759+884145+1121209+34154</f>
        <v>3358267</v>
      </c>
      <c r="E17" s="327"/>
      <c r="F17" s="327"/>
    </row>
    <row r="18" spans="1:6" ht="15">
      <c r="A18" s="117" t="s">
        <v>532</v>
      </c>
      <c r="B18" s="114" t="s">
        <v>531</v>
      </c>
      <c r="C18" s="327">
        <f>SUM(D18:F18)</f>
        <v>1948820</v>
      </c>
      <c r="D18" s="327"/>
      <c r="E18" s="327">
        <f>777025+359998+7867+34595+316620+42744+405887+4084</f>
        <v>1948820</v>
      </c>
      <c r="F18" s="327"/>
    </row>
    <row r="19" spans="1:6" ht="15">
      <c r="A19" s="117" t="s">
        <v>539</v>
      </c>
      <c r="B19" s="114" t="s">
        <v>540</v>
      </c>
      <c r="C19" s="327">
        <f>SUM(D19:F19)</f>
        <v>10396875</v>
      </c>
      <c r="D19" s="327">
        <f>396875+10000000</f>
        <v>10396875</v>
      </c>
      <c r="E19" s="327"/>
      <c r="F19" s="327"/>
    </row>
    <row r="20" spans="1:6" ht="27" customHeight="1">
      <c r="A20" s="117" t="s">
        <v>224</v>
      </c>
      <c r="B20" s="114" t="s">
        <v>225</v>
      </c>
      <c r="C20" s="327">
        <f>SUM(D20:F20)</f>
        <v>27000</v>
      </c>
      <c r="D20" s="327">
        <v>27000</v>
      </c>
      <c r="E20" s="327"/>
      <c r="F20" s="327"/>
    </row>
    <row r="21" spans="1:6" ht="15">
      <c r="A21" s="117" t="s">
        <v>477</v>
      </c>
      <c r="B21" s="114" t="s">
        <v>478</v>
      </c>
      <c r="C21" s="327">
        <f>SUM(D21:F21)</f>
        <v>19021</v>
      </c>
      <c r="D21" s="275">
        <v>19021</v>
      </c>
      <c r="E21" s="122"/>
      <c r="F21" s="122"/>
    </row>
    <row r="22" spans="1:6" ht="15">
      <c r="A22" s="117" t="s">
        <v>226</v>
      </c>
      <c r="B22" s="114" t="s">
        <v>227</v>
      </c>
      <c r="C22" s="327">
        <f>SUM(D22:F22)</f>
        <v>6014000</v>
      </c>
      <c r="D22" s="327">
        <f>6313000-299000</f>
        <v>6014000</v>
      </c>
      <c r="E22" s="327"/>
      <c r="F22" s="327"/>
    </row>
    <row r="23" spans="1:6" ht="15">
      <c r="A23" s="117" t="s">
        <v>228</v>
      </c>
      <c r="B23" s="114" t="s">
        <v>229</v>
      </c>
      <c r="C23" s="327">
        <f>SUM(D23:F23)</f>
        <v>960000</v>
      </c>
      <c r="D23" s="327"/>
      <c r="E23" s="327">
        <f>600000-240000+600000</f>
        <v>960000</v>
      </c>
      <c r="F23" s="327"/>
    </row>
    <row r="24" spans="1:6" ht="15">
      <c r="A24" s="117" t="s">
        <v>230</v>
      </c>
      <c r="B24" s="114" t="s">
        <v>231</v>
      </c>
      <c r="C24" s="327">
        <f>SUM(D24:F24)</f>
        <v>1900000</v>
      </c>
      <c r="D24" s="327">
        <v>1900000</v>
      </c>
      <c r="E24" s="327"/>
      <c r="F24" s="327"/>
    </row>
    <row r="25" spans="1:6" ht="15">
      <c r="A25" s="117" t="s">
        <v>232</v>
      </c>
      <c r="B25" s="114" t="s">
        <v>233</v>
      </c>
      <c r="C25" s="327">
        <f>SUM(D25:F25)</f>
        <v>635000</v>
      </c>
      <c r="D25" s="327">
        <v>635000</v>
      </c>
      <c r="E25" s="327"/>
      <c r="F25" s="327"/>
    </row>
    <row r="26" spans="1:6" ht="15">
      <c r="A26" s="117" t="s">
        <v>234</v>
      </c>
      <c r="B26" s="114" t="s">
        <v>235</v>
      </c>
      <c r="C26" s="327">
        <f>SUM(D26:F26)</f>
        <v>2375049</v>
      </c>
      <c r="D26" s="327">
        <f>2281000+61348+2667+149900+11800+4084-172750</f>
        <v>2338049</v>
      </c>
      <c r="E26" s="327">
        <v>37000</v>
      </c>
      <c r="F26" s="327"/>
    </row>
    <row r="27" spans="1:6" ht="15">
      <c r="A27" s="117" t="s">
        <v>236</v>
      </c>
      <c r="B27" s="114" t="s">
        <v>37</v>
      </c>
      <c r="C27" s="327">
        <f>SUM(D27:F27)</f>
        <v>24028856</v>
      </c>
      <c r="D27" s="327">
        <f>23265000+425000+229890+108966</f>
        <v>24028856</v>
      </c>
      <c r="E27" s="327"/>
      <c r="F27" s="327"/>
    </row>
    <row r="28" spans="1:6" ht="15">
      <c r="A28" s="117" t="s">
        <v>237</v>
      </c>
      <c r="B28" s="114" t="s">
        <v>238</v>
      </c>
      <c r="C28" s="327">
        <f>SUM(D28:F28)</f>
        <v>675000</v>
      </c>
      <c r="D28" s="327">
        <v>675000</v>
      </c>
      <c r="E28" s="327"/>
      <c r="F28" s="327"/>
    </row>
    <row r="29" spans="1:6" ht="15">
      <c r="A29" s="117" t="s">
        <v>239</v>
      </c>
      <c r="B29" s="114" t="s">
        <v>40</v>
      </c>
      <c r="C29" s="327">
        <f>SUM(D29:F29)</f>
        <v>878560</v>
      </c>
      <c r="D29" s="327">
        <f>833000+5690+6224+2680+724+14453+789</f>
        <v>863560</v>
      </c>
      <c r="E29" s="327">
        <v>15000</v>
      </c>
      <c r="F29" s="327"/>
    </row>
    <row r="30" spans="1:6" ht="15">
      <c r="A30" s="117" t="s">
        <v>473</v>
      </c>
      <c r="B30" s="114" t="s">
        <v>479</v>
      </c>
      <c r="C30" s="327">
        <f>SUM(D30:F30)</f>
        <v>2756072</v>
      </c>
      <c r="D30" s="327">
        <f>2463000+18821+23051+11200+9420+2544+66127+84909</f>
        <v>2679072</v>
      </c>
      <c r="E30" s="327">
        <v>77000</v>
      </c>
      <c r="F30" s="327"/>
    </row>
    <row r="31" spans="1:6" ht="15">
      <c r="A31" s="117" t="s">
        <v>475</v>
      </c>
      <c r="B31" s="114" t="s">
        <v>480</v>
      </c>
      <c r="C31" s="327">
        <f>SUM(D31:F31)</f>
        <v>380579</v>
      </c>
      <c r="D31" s="327">
        <f>362000+15177+3402</f>
        <v>380579</v>
      </c>
      <c r="E31" s="327"/>
      <c r="F31" s="327"/>
    </row>
    <row r="32" spans="1:6" ht="15">
      <c r="A32" s="117" t="s">
        <v>240</v>
      </c>
      <c r="B32" s="114" t="s">
        <v>38</v>
      </c>
      <c r="C32" s="327">
        <f>SUM(D32:F32)</f>
        <v>340000</v>
      </c>
      <c r="D32" s="327"/>
      <c r="E32" s="327">
        <f>240000+100000</f>
        <v>340000</v>
      </c>
      <c r="F32" s="327"/>
    </row>
    <row r="33" spans="1:6" ht="15">
      <c r="A33" s="117" t="s">
        <v>241</v>
      </c>
      <c r="B33" s="114" t="s">
        <v>242</v>
      </c>
      <c r="C33" s="327">
        <f>SUM(D33:F33)</f>
        <v>50000</v>
      </c>
      <c r="D33" s="327"/>
      <c r="E33" s="327">
        <v>50000</v>
      </c>
      <c r="F33" s="327"/>
    </row>
    <row r="34" spans="1:6" ht="15">
      <c r="A34" s="117" t="s">
        <v>322</v>
      </c>
      <c r="B34" s="114" t="s">
        <v>323</v>
      </c>
      <c r="C34" s="327">
        <f>SUM(D34:F34)</f>
        <v>7012920</v>
      </c>
      <c r="D34" s="327">
        <f>6654000+59225+195840+22225+168630-200000</f>
        <v>6899920</v>
      </c>
      <c r="E34" s="327">
        <v>113000</v>
      </c>
      <c r="F34" s="327"/>
    </row>
    <row r="35" spans="1:6" ht="15">
      <c r="A35" s="117" t="s">
        <v>324</v>
      </c>
      <c r="B35" s="114" t="s">
        <v>325</v>
      </c>
      <c r="C35" s="327">
        <f>SUM(D35:F35)</f>
        <v>1344959</v>
      </c>
      <c r="D35" s="327"/>
      <c r="E35" s="327">
        <f>1226000+30745+22225+12801+53188</f>
        <v>1344959</v>
      </c>
      <c r="F35" s="327"/>
    </row>
    <row r="36" spans="1:6" ht="15">
      <c r="A36" s="117" t="s">
        <v>324</v>
      </c>
      <c r="B36" s="114" t="s">
        <v>481</v>
      </c>
      <c r="C36" s="327">
        <f>SUM(D36:F36)</f>
        <v>1750338</v>
      </c>
      <c r="D36" s="327"/>
      <c r="E36" s="327">
        <f>1877000+54755-11200-50499-37595+19050-47985-53188</f>
        <v>1750338</v>
      </c>
      <c r="F36" s="327"/>
    </row>
    <row r="37" spans="1:6" ht="15">
      <c r="A37" s="117">
        <v>104051</v>
      </c>
      <c r="B37" s="121" t="s">
        <v>380</v>
      </c>
      <c r="C37" s="327">
        <f>SUM(D37:F37)</f>
        <v>46000</v>
      </c>
      <c r="D37" s="327"/>
      <c r="E37" s="327"/>
      <c r="F37" s="327">
        <v>46000</v>
      </c>
    </row>
    <row r="38" spans="1:6" ht="15">
      <c r="A38" s="117">
        <v>106020</v>
      </c>
      <c r="B38" s="114" t="s">
        <v>243</v>
      </c>
      <c r="C38" s="327">
        <f>SUM(D38:F38)</f>
        <v>600000</v>
      </c>
      <c r="D38" s="327">
        <v>600000</v>
      </c>
      <c r="E38" s="327"/>
      <c r="F38" s="327"/>
    </row>
    <row r="39" spans="1:13" ht="15">
      <c r="A39" s="117" t="s">
        <v>244</v>
      </c>
      <c r="B39" s="120" t="s">
        <v>379</v>
      </c>
      <c r="C39" s="327">
        <f>SUM(D39:F39)</f>
        <v>4091020</v>
      </c>
      <c r="D39" s="327">
        <f>3806000+40275+29600+95250+127662-66767</f>
        <v>4032020</v>
      </c>
      <c r="E39" s="327">
        <v>59000</v>
      </c>
      <c r="F39" s="327"/>
      <c r="G39" s="292"/>
      <c r="H39" s="292"/>
      <c r="I39" s="292"/>
      <c r="J39" s="292"/>
      <c r="K39" s="292"/>
      <c r="L39" s="292"/>
      <c r="M39" s="292"/>
    </row>
    <row r="40" spans="1:13" ht="15">
      <c r="A40" s="117">
        <v>107052</v>
      </c>
      <c r="B40" s="121" t="s">
        <v>245</v>
      </c>
      <c r="C40" s="327">
        <f>SUM(D40:F40)</f>
        <v>702000</v>
      </c>
      <c r="D40" s="276">
        <v>702000</v>
      </c>
      <c r="E40" s="122"/>
      <c r="F40" s="122"/>
      <c r="G40" s="293"/>
      <c r="H40" s="293"/>
      <c r="I40" s="294"/>
      <c r="J40" s="295"/>
      <c r="K40" s="295"/>
      <c r="L40" s="295"/>
      <c r="M40" s="294"/>
    </row>
    <row r="41" spans="1:6" ht="15.75" thickBot="1">
      <c r="A41" s="117">
        <v>107060</v>
      </c>
      <c r="B41" s="114" t="s">
        <v>246</v>
      </c>
      <c r="C41" s="327">
        <f>SUM(D41:F41)</f>
        <v>3362700</v>
      </c>
      <c r="D41" s="327">
        <f>647700+2715000</f>
        <v>3362700</v>
      </c>
      <c r="E41" s="327"/>
      <c r="F41" s="327"/>
    </row>
    <row r="42" spans="1:6" ht="33" customHeight="1" thickBot="1">
      <c r="A42" s="168"/>
      <c r="B42" s="169" t="s">
        <v>2</v>
      </c>
      <c r="C42" s="325">
        <f>SUM(C14:C41)</f>
        <v>131760818</v>
      </c>
      <c r="D42" s="325">
        <f>SUM(D14:D41)</f>
        <v>119466501</v>
      </c>
      <c r="E42" s="325">
        <f>SUM(E14:E41)</f>
        <v>12248317</v>
      </c>
      <c r="F42" s="325">
        <f>SUM(F14:F41)</f>
        <v>46000</v>
      </c>
    </row>
  </sheetData>
  <sheetProtection/>
  <mergeCells count="10">
    <mergeCell ref="A3:F3"/>
    <mergeCell ref="B4:F4"/>
    <mergeCell ref="B5:F5"/>
    <mergeCell ref="B6:F6"/>
    <mergeCell ref="B7:F7"/>
    <mergeCell ref="A9:A13"/>
    <mergeCell ref="B9:B13"/>
    <mergeCell ref="C9:C13"/>
    <mergeCell ref="D9:F9"/>
    <mergeCell ref="D11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4:J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875" style="0" customWidth="1"/>
    <col min="4" max="4" width="30.875" style="0" customWidth="1"/>
    <col min="5" max="5" width="15.00390625" style="0" customWidth="1"/>
    <col min="6" max="6" width="14.625" style="0" customWidth="1"/>
    <col min="7" max="7" width="6.125" style="0" customWidth="1"/>
    <col min="8" max="8" width="1.37890625" style="0" customWidth="1"/>
    <col min="9" max="9" width="2.875" style="0" hidden="1" customWidth="1"/>
  </cols>
  <sheetData>
    <row r="4" ht="12.75">
      <c r="A4" t="s">
        <v>516</v>
      </c>
    </row>
    <row r="6" spans="1:9" ht="12.75">
      <c r="A6" s="566"/>
      <c r="B6" s="566"/>
      <c r="C6" s="566"/>
      <c r="D6" s="566"/>
      <c r="E6" s="566"/>
      <c r="F6" s="566"/>
      <c r="G6" s="566"/>
      <c r="H6" s="566"/>
      <c r="I6" s="566"/>
    </row>
    <row r="8" spans="1:9" ht="16.5" customHeight="1">
      <c r="A8" s="567" t="s">
        <v>4</v>
      </c>
      <c r="B8" s="567"/>
      <c r="C8" s="567"/>
      <c r="D8" s="567"/>
      <c r="E8" s="567"/>
      <c r="F8" s="567"/>
      <c r="G8" s="567"/>
      <c r="H8" s="567"/>
      <c r="I8" s="567"/>
    </row>
    <row r="9" spans="1:9" ht="15" customHeight="1">
      <c r="A9" s="567" t="s">
        <v>548</v>
      </c>
      <c r="B9" s="567"/>
      <c r="C9" s="567"/>
      <c r="D9" s="567"/>
      <c r="E9" s="567"/>
      <c r="F9" s="567"/>
      <c r="G9" s="567"/>
      <c r="H9" s="567"/>
      <c r="I9" s="567"/>
    </row>
    <row r="10" spans="1:9" ht="15" customHeight="1">
      <c r="A10" s="567" t="s">
        <v>482</v>
      </c>
      <c r="B10" s="567"/>
      <c r="C10" s="567"/>
      <c r="D10" s="567"/>
      <c r="E10" s="567"/>
      <c r="F10" s="567"/>
      <c r="G10" s="567"/>
      <c r="H10" s="567"/>
      <c r="I10" s="567"/>
    </row>
    <row r="11" spans="1:9" ht="15" customHeight="1">
      <c r="A11" s="459"/>
      <c r="B11" s="459"/>
      <c r="C11" s="459"/>
      <c r="D11" s="459"/>
      <c r="E11" s="459"/>
      <c r="F11" s="459"/>
      <c r="G11" s="459"/>
      <c r="H11" s="459"/>
      <c r="I11" s="459"/>
    </row>
    <row r="12" spans="1:9" ht="15" customHeight="1" thickBot="1">
      <c r="A12" s="459"/>
      <c r="B12" s="459"/>
      <c r="C12" s="459"/>
      <c r="D12" s="459"/>
      <c r="E12" s="459"/>
      <c r="F12" s="386" t="s">
        <v>547</v>
      </c>
      <c r="G12" s="459"/>
      <c r="H12" s="459"/>
      <c r="I12" s="459"/>
    </row>
    <row r="13" spans="1:7" ht="12.75">
      <c r="A13" s="458"/>
      <c r="B13" s="457"/>
      <c r="C13" s="457"/>
      <c r="D13" s="457"/>
      <c r="E13" s="457"/>
      <c r="F13" s="570" t="s">
        <v>11</v>
      </c>
      <c r="G13" s="454"/>
    </row>
    <row r="14" spans="1:7" ht="15">
      <c r="A14" s="568" t="s">
        <v>0</v>
      </c>
      <c r="B14" s="569"/>
      <c r="C14" s="569"/>
      <c r="D14" s="569"/>
      <c r="E14" s="569"/>
      <c r="F14" s="571"/>
      <c r="G14" s="454"/>
    </row>
    <row r="15" spans="1:7" ht="13.5" thickBot="1">
      <c r="A15" s="456"/>
      <c r="B15" s="455"/>
      <c r="C15" s="455"/>
      <c r="D15" s="455"/>
      <c r="E15" s="455"/>
      <c r="F15" s="572"/>
      <c r="G15" s="454"/>
    </row>
    <row r="17" spans="1:4" ht="12.75">
      <c r="A17" s="288" t="s">
        <v>247</v>
      </c>
      <c r="B17" s="288"/>
      <c r="C17" s="288"/>
      <c r="D17" s="288"/>
    </row>
    <row r="19" spans="1:5" ht="28.5" customHeight="1">
      <c r="A19" s="462" t="s">
        <v>54</v>
      </c>
      <c r="B19" s="564" t="s">
        <v>248</v>
      </c>
      <c r="C19" s="479"/>
      <c r="D19" s="479"/>
      <c r="E19" s="453"/>
    </row>
    <row r="20" spans="1:6" ht="12.75">
      <c r="A20" s="285" t="s">
        <v>27</v>
      </c>
      <c r="B20" t="s">
        <v>83</v>
      </c>
      <c r="F20" s="440">
        <v>69700</v>
      </c>
    </row>
    <row r="21" spans="1:6" ht="12.75">
      <c r="A21" s="285" t="s">
        <v>48</v>
      </c>
      <c r="B21" t="s">
        <v>28</v>
      </c>
      <c r="F21" s="440">
        <f>92000+116030+300</f>
        <v>208330</v>
      </c>
    </row>
    <row r="22" spans="1:6" ht="21" customHeight="1">
      <c r="A22" s="285" t="s">
        <v>48</v>
      </c>
      <c r="B22" s="791" t="s">
        <v>588</v>
      </c>
      <c r="C22" s="479"/>
      <c r="D22" s="479"/>
      <c r="F22" s="440">
        <v>918299</v>
      </c>
    </row>
    <row r="23" spans="1:6" ht="32.25" customHeight="1">
      <c r="A23" s="285" t="s">
        <v>111</v>
      </c>
      <c r="B23" s="791" t="s">
        <v>587</v>
      </c>
      <c r="C23" s="479"/>
      <c r="D23" s="479"/>
      <c r="F23" s="440">
        <v>640000</v>
      </c>
    </row>
    <row r="25" spans="1:6" ht="29.25" customHeight="1">
      <c r="A25" s="564" t="s">
        <v>249</v>
      </c>
      <c r="B25" s="562"/>
      <c r="C25" s="562"/>
      <c r="D25" s="562"/>
      <c r="F25" s="289">
        <f>F20+F21+F22+F23</f>
        <v>1836329</v>
      </c>
    </row>
    <row r="27" spans="1:4" ht="30.75" customHeight="1">
      <c r="A27" s="462" t="s">
        <v>57</v>
      </c>
      <c r="B27" s="564" t="s">
        <v>250</v>
      </c>
      <c r="C27" s="565"/>
      <c r="D27" s="565"/>
    </row>
    <row r="28" ht="12.75">
      <c r="A28" s="285"/>
    </row>
    <row r="29" spans="1:6" ht="12.75">
      <c r="A29" s="285" t="s">
        <v>47</v>
      </c>
      <c r="B29" t="s">
        <v>25</v>
      </c>
      <c r="F29" s="440">
        <f>40000+100000</f>
        <v>140000</v>
      </c>
    </row>
    <row r="30" spans="1:6" ht="12.75">
      <c r="A30" s="285" t="s">
        <v>27</v>
      </c>
      <c r="B30" t="s">
        <v>26</v>
      </c>
      <c r="F30" s="440">
        <v>80000</v>
      </c>
    </row>
    <row r="31" spans="1:6" ht="12.75">
      <c r="A31" s="285" t="s">
        <v>48</v>
      </c>
      <c r="B31" t="s">
        <v>50</v>
      </c>
      <c r="F31" s="440">
        <v>120000</v>
      </c>
    </row>
    <row r="32" spans="1:6" ht="12.75">
      <c r="A32" s="285" t="s">
        <v>111</v>
      </c>
      <c r="B32" t="s">
        <v>51</v>
      </c>
      <c r="F32" s="440">
        <v>75000</v>
      </c>
    </row>
    <row r="33" spans="1:6" ht="12.75">
      <c r="A33" s="285" t="s">
        <v>113</v>
      </c>
      <c r="B33" t="s">
        <v>84</v>
      </c>
      <c r="F33" s="440">
        <v>600000</v>
      </c>
    </row>
    <row r="35" spans="1:6" ht="31.5" customHeight="1">
      <c r="A35" s="564" t="s">
        <v>251</v>
      </c>
      <c r="B35" s="562"/>
      <c r="C35" s="562"/>
      <c r="D35" s="562"/>
      <c r="F35" s="289">
        <f>F29+F30+F31+F32+F33</f>
        <v>1015000</v>
      </c>
    </row>
    <row r="37" spans="1:6" ht="15.75">
      <c r="A37" s="452" t="s">
        <v>252</v>
      </c>
      <c r="B37" s="452"/>
      <c r="C37" s="452"/>
      <c r="D37" s="452"/>
      <c r="E37" s="452"/>
      <c r="F37" s="451">
        <f>F25+F35</f>
        <v>2851329</v>
      </c>
    </row>
    <row r="39" spans="1:10" ht="17.25" customHeight="1">
      <c r="A39" s="15" t="s">
        <v>586</v>
      </c>
      <c r="B39" s="18"/>
      <c r="C39" s="18"/>
      <c r="D39" s="18"/>
      <c r="E39" s="782"/>
      <c r="F39" s="790"/>
      <c r="G39" s="12"/>
      <c r="H39" s="12"/>
      <c r="I39" s="12"/>
      <c r="J39" s="12"/>
    </row>
    <row r="40" spans="1:10" ht="15.75">
      <c r="A40" s="15"/>
      <c r="B40" s="18"/>
      <c r="C40" s="18"/>
      <c r="D40" s="18"/>
      <c r="E40" s="16"/>
      <c r="F40" s="18"/>
      <c r="G40" s="18"/>
      <c r="H40" s="18"/>
      <c r="I40" s="18"/>
      <c r="J40" s="18"/>
    </row>
    <row r="41" spans="1:10" ht="48.75" customHeight="1">
      <c r="A41" s="463" t="s">
        <v>54</v>
      </c>
      <c r="B41" s="475" t="s">
        <v>585</v>
      </c>
      <c r="C41" s="475"/>
      <c r="D41" s="475"/>
      <c r="E41" s="475"/>
      <c r="F41" s="12"/>
      <c r="G41" s="340"/>
      <c r="H41" s="340"/>
      <c r="I41" s="340"/>
      <c r="J41" s="12"/>
    </row>
    <row r="42" spans="1:10" ht="15.75">
      <c r="A42" s="789" t="s">
        <v>47</v>
      </c>
      <c r="B42" s="788" t="s">
        <v>584</v>
      </c>
      <c r="C42" s="788"/>
      <c r="D42" s="788"/>
      <c r="E42" s="18"/>
      <c r="F42" s="787">
        <v>1200000</v>
      </c>
      <c r="G42" s="786"/>
      <c r="H42" s="786">
        <v>600000</v>
      </c>
      <c r="I42" s="785" t="e">
        <f>H42/G42*100</f>
        <v>#DIV/0!</v>
      </c>
      <c r="J42" s="785"/>
    </row>
    <row r="43" spans="1:10" ht="15.75">
      <c r="A43" s="18"/>
      <c r="B43" s="18"/>
      <c r="C43" s="18"/>
      <c r="D43" s="18"/>
      <c r="E43" s="18"/>
      <c r="F43" s="784"/>
      <c r="G43" s="18"/>
      <c r="H43" s="18"/>
      <c r="I43" s="18"/>
      <c r="J43" s="18"/>
    </row>
    <row r="44" spans="1:10" ht="15.75">
      <c r="A44" s="475" t="s">
        <v>583</v>
      </c>
      <c r="B44" s="475"/>
      <c r="C44" s="475"/>
      <c r="D44" s="475"/>
      <c r="E44" s="18"/>
      <c r="F44" s="430">
        <f>SUM(F42:F43)</f>
        <v>1200000</v>
      </c>
      <c r="G44" s="302"/>
      <c r="H44" s="302">
        <f>SUM(H42:H43)</f>
        <v>600000</v>
      </c>
      <c r="I44" s="781" t="e">
        <f>H44/G44*100</f>
        <v>#DIV/0!</v>
      </c>
      <c r="J44" s="781"/>
    </row>
    <row r="45" spans="1:10" ht="15.75">
      <c r="A45" s="18"/>
      <c r="B45" s="18"/>
      <c r="C45" s="18"/>
      <c r="D45" s="18"/>
      <c r="E45" s="18"/>
      <c r="F45" s="784"/>
      <c r="G45" s="18"/>
      <c r="H45" s="18"/>
      <c r="I45" s="18"/>
      <c r="J45" s="18"/>
    </row>
    <row r="46" spans="1:10" ht="15">
      <c r="A46" s="783" t="s">
        <v>582</v>
      </c>
      <c r="B46" s="12"/>
      <c r="C46" s="12"/>
      <c r="D46" s="12"/>
      <c r="E46" s="782"/>
      <c r="F46" s="430">
        <f>F44</f>
        <v>1200000</v>
      </c>
      <c r="G46" s="302"/>
      <c r="H46" s="302">
        <f>H44</f>
        <v>600000</v>
      </c>
      <c r="I46" s="781" t="e">
        <f>I44</f>
        <v>#DIV/0!</v>
      </c>
      <c r="J46" s="781"/>
    </row>
    <row r="47" spans="1:10" ht="15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6" ht="15.75">
      <c r="A48" s="452" t="s">
        <v>7</v>
      </c>
      <c r="B48" s="452"/>
      <c r="C48" s="452"/>
      <c r="D48" s="452"/>
      <c r="E48" s="452"/>
      <c r="F48" s="451">
        <f>F37+F46</f>
        <v>4051329</v>
      </c>
    </row>
  </sheetData>
  <sheetProtection/>
  <mergeCells count="15">
    <mergeCell ref="A44:D44"/>
    <mergeCell ref="A25:D25"/>
    <mergeCell ref="A35:D35"/>
    <mergeCell ref="B22:D22"/>
    <mergeCell ref="B23:D23"/>
    <mergeCell ref="B41:E41"/>
    <mergeCell ref="B42:D42"/>
    <mergeCell ref="B19:D19"/>
    <mergeCell ref="B27:D27"/>
    <mergeCell ref="A6:I6"/>
    <mergeCell ref="A8:I8"/>
    <mergeCell ref="A9:I9"/>
    <mergeCell ref="A10:I10"/>
    <mergeCell ref="F13:F15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7.875" style="32" customWidth="1"/>
    <col min="2" max="2" width="12.125" style="32" customWidth="1"/>
    <col min="3" max="3" width="16.00390625" style="316" customWidth="1"/>
    <col min="4" max="16384" width="9.125" style="32" customWidth="1"/>
  </cols>
  <sheetData>
    <row r="1" spans="1:4" ht="15.75">
      <c r="A1" s="125"/>
      <c r="B1" s="125"/>
      <c r="C1" s="125"/>
      <c r="D1" s="86"/>
    </row>
    <row r="2" spans="1:4" ht="15">
      <c r="A2" s="87"/>
      <c r="B2" s="87"/>
      <c r="C2" s="87"/>
      <c r="D2" s="86"/>
    </row>
    <row r="3" spans="1:3" ht="15.75" customHeight="1">
      <c r="A3" s="575" t="s">
        <v>517</v>
      </c>
      <c r="B3" s="575"/>
      <c r="C3" s="575"/>
    </row>
    <row r="4" spans="1:3" ht="15.75" customHeight="1">
      <c r="A4" s="385"/>
      <c r="B4" s="385"/>
      <c r="C4" s="385"/>
    </row>
    <row r="5" spans="1:3" ht="15">
      <c r="A5" s="577"/>
      <c r="B5" s="562"/>
      <c r="C5" s="562"/>
    </row>
    <row r="6" spans="1:3" s="13" customFormat="1" ht="15.75" customHeight="1">
      <c r="A6" s="576" t="s">
        <v>42</v>
      </c>
      <c r="B6" s="576"/>
      <c r="C6" s="576"/>
    </row>
    <row r="7" spans="1:6" s="18" customFormat="1" ht="15.75">
      <c r="A7" s="574" t="s">
        <v>43</v>
      </c>
      <c r="B7" s="574"/>
      <c r="C7" s="574"/>
      <c r="D7" s="44"/>
      <c r="E7" s="44"/>
      <c r="F7" s="44"/>
    </row>
    <row r="8" spans="1:6" s="12" customFormat="1" ht="15">
      <c r="A8" s="573" t="s">
        <v>493</v>
      </c>
      <c r="B8" s="573"/>
      <c r="C8" s="573"/>
      <c r="D8" s="43"/>
      <c r="E8" s="43"/>
      <c r="F8" s="43"/>
    </row>
    <row r="9" spans="2:3" ht="15.75" customHeight="1" thickBot="1">
      <c r="B9" s="33"/>
      <c r="C9" s="346" t="s">
        <v>530</v>
      </c>
    </row>
    <row r="10" spans="1:3" ht="15" customHeight="1">
      <c r="A10" s="34"/>
      <c r="B10" s="35" t="s">
        <v>19</v>
      </c>
      <c r="C10" s="345" t="s">
        <v>34</v>
      </c>
    </row>
    <row r="11" spans="1:3" ht="15.75" customHeight="1">
      <c r="A11" s="36" t="s">
        <v>0</v>
      </c>
      <c r="B11" s="37"/>
      <c r="C11" s="344" t="s">
        <v>35</v>
      </c>
    </row>
    <row r="12" spans="1:3" ht="32.25" thickBot="1">
      <c r="A12" s="38"/>
      <c r="B12" s="39" t="s">
        <v>10</v>
      </c>
      <c r="C12" s="343" t="s">
        <v>36</v>
      </c>
    </row>
    <row r="13" ht="11.25" customHeight="1">
      <c r="C13" s="32"/>
    </row>
    <row r="14" ht="11.25" customHeight="1">
      <c r="B14" s="340"/>
    </row>
    <row r="15" spans="1:3" ht="15.75">
      <c r="A15" s="40" t="s">
        <v>29</v>
      </c>
      <c r="B15" s="340"/>
      <c r="C15" s="316">
        <f>B14*0.9</f>
        <v>0</v>
      </c>
    </row>
    <row r="16" spans="1:2" ht="15.75">
      <c r="A16" s="40" t="s">
        <v>9</v>
      </c>
      <c r="B16" s="340"/>
    </row>
    <row r="17" ht="15" customHeight="1">
      <c r="B17" s="340"/>
    </row>
    <row r="18" spans="1:2" ht="15.75">
      <c r="A18" s="32" t="s">
        <v>85</v>
      </c>
      <c r="B18" s="342">
        <v>350000</v>
      </c>
    </row>
    <row r="19" spans="1:2" ht="30">
      <c r="A19" s="153" t="s">
        <v>381</v>
      </c>
      <c r="B19" s="427">
        <v>600000</v>
      </c>
    </row>
    <row r="20" spans="1:2" ht="15.75">
      <c r="A20" s="153" t="s">
        <v>382</v>
      </c>
      <c r="B20" s="427">
        <v>715000</v>
      </c>
    </row>
    <row r="21" spans="1:2" ht="15.75">
      <c r="A21" s="153" t="s">
        <v>383</v>
      </c>
      <c r="B21" s="427">
        <v>440000</v>
      </c>
    </row>
    <row r="22" spans="1:2" ht="30">
      <c r="A22" s="153" t="s">
        <v>384</v>
      </c>
      <c r="B22" s="431">
        <v>46000</v>
      </c>
    </row>
    <row r="23" spans="1:2" ht="15.75">
      <c r="A23" s="32" t="s">
        <v>90</v>
      </c>
      <c r="B23" s="431">
        <v>210000</v>
      </c>
    </row>
    <row r="24" spans="1:2" ht="14.25" customHeight="1">
      <c r="A24" s="32" t="s">
        <v>549</v>
      </c>
      <c r="B24" s="429">
        <v>1000000</v>
      </c>
    </row>
    <row r="25" spans="1:2" ht="15.75">
      <c r="A25" s="40" t="s">
        <v>29</v>
      </c>
      <c r="B25" s="429"/>
    </row>
    <row r="26" spans="1:3" ht="15">
      <c r="A26" s="40" t="s">
        <v>30</v>
      </c>
      <c r="B26" s="430">
        <f>SUM(B18:B25)</f>
        <v>3361000</v>
      </c>
      <c r="C26" s="302"/>
    </row>
    <row r="27" ht="11.25" customHeight="1">
      <c r="B27" s="429"/>
    </row>
    <row r="28" spans="1:3" ht="15">
      <c r="A28" s="40" t="s">
        <v>31</v>
      </c>
      <c r="B28" s="430">
        <f>B26</f>
        <v>3361000</v>
      </c>
      <c r="C28" s="302">
        <f>C26</f>
        <v>0</v>
      </c>
    </row>
    <row r="29" ht="11.25" customHeight="1">
      <c r="B29" s="429"/>
    </row>
    <row r="30" spans="1:3" s="40" customFormat="1" ht="15.75">
      <c r="A30" s="40" t="s">
        <v>306</v>
      </c>
      <c r="B30" s="305"/>
      <c r="C30" s="315"/>
    </row>
    <row r="31" ht="11.25" customHeight="1">
      <c r="B31" s="427"/>
    </row>
    <row r="32" spans="1:2" ht="30" customHeight="1">
      <c r="A32" s="153" t="s">
        <v>307</v>
      </c>
      <c r="B32" s="427">
        <f>600000-240000+600000</f>
        <v>960000</v>
      </c>
    </row>
    <row r="33" spans="1:2" ht="33.75" customHeight="1">
      <c r="A33" s="428" t="s">
        <v>541</v>
      </c>
      <c r="B33" s="427">
        <v>240000</v>
      </c>
    </row>
    <row r="34" spans="1:2" ht="15.75">
      <c r="A34" s="40" t="s">
        <v>308</v>
      </c>
      <c r="B34" s="305">
        <f>B32+B33</f>
        <v>1200000</v>
      </c>
    </row>
    <row r="35" spans="1:2" ht="15.75">
      <c r="A35" s="40"/>
      <c r="B35" s="305"/>
    </row>
    <row r="36" spans="1:5" ht="15">
      <c r="A36" t="s">
        <v>558</v>
      </c>
      <c r="B36" s="289">
        <v>50000</v>
      </c>
      <c r="C36"/>
      <c r="D36"/>
      <c r="E36" s="440"/>
    </row>
    <row r="37" ht="15" customHeight="1">
      <c r="B37" s="427"/>
    </row>
    <row r="38" spans="1:3" s="42" customFormat="1" ht="16.5">
      <c r="A38" s="41" t="s">
        <v>32</v>
      </c>
      <c r="B38" s="426"/>
      <c r="C38" s="316"/>
    </row>
    <row r="39" spans="1:3" s="42" customFormat="1" ht="16.5">
      <c r="A39" s="41" t="s">
        <v>33</v>
      </c>
      <c r="B39" s="425">
        <f>B28+B34+B36</f>
        <v>4611000</v>
      </c>
      <c r="C39" s="341">
        <f>C28</f>
        <v>0</v>
      </c>
    </row>
    <row r="43" ht="15">
      <c r="C43" s="32"/>
    </row>
    <row r="44" ht="15.75">
      <c r="C44" s="13"/>
    </row>
    <row r="45" ht="15.75">
      <c r="C45" s="13"/>
    </row>
    <row r="46" ht="15.75">
      <c r="C46" s="315"/>
    </row>
  </sheetData>
  <sheetProtection/>
  <mergeCells count="5">
    <mergeCell ref="A8:C8"/>
    <mergeCell ref="A7:C7"/>
    <mergeCell ref="A3:C3"/>
    <mergeCell ref="A6:C6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0.375" style="14" customWidth="1"/>
    <col min="2" max="2" width="21.875" style="14" customWidth="1"/>
    <col min="3" max="16384" width="9.125" style="14" customWidth="1"/>
  </cols>
  <sheetData>
    <row r="1" spans="1:3" s="173" customFormat="1" ht="15">
      <c r="A1" s="172"/>
      <c r="B1" s="172"/>
      <c r="C1" s="172"/>
    </row>
    <row r="2" spans="1:3" s="173" customFormat="1" ht="10.5" customHeight="1">
      <c r="A2" s="172"/>
      <c r="B2" s="172"/>
      <c r="C2" s="172"/>
    </row>
    <row r="3" spans="1:3" s="173" customFormat="1" ht="15">
      <c r="A3" s="172" t="s">
        <v>518</v>
      </c>
      <c r="B3" s="172"/>
      <c r="C3" s="172"/>
    </row>
    <row r="4" spans="1:3" s="173" customFormat="1" ht="15">
      <c r="A4" s="172"/>
      <c r="B4" s="172"/>
      <c r="C4" s="172"/>
    </row>
    <row r="5" spans="1:2" ht="15.75">
      <c r="A5" s="579"/>
      <c r="B5" s="580"/>
    </row>
    <row r="6" spans="1:2" s="175" customFormat="1" ht="18.75">
      <c r="A6" s="174" t="s">
        <v>333</v>
      </c>
      <c r="B6" s="174"/>
    </row>
    <row r="7" spans="1:2" s="175" customFormat="1" ht="18.75">
      <c r="A7" s="578" t="s">
        <v>334</v>
      </c>
      <c r="B7" s="578"/>
    </row>
    <row r="8" spans="1:2" s="175" customFormat="1" ht="19.5" thickBot="1">
      <c r="A8" s="578" t="s">
        <v>470</v>
      </c>
      <c r="B8" s="578"/>
    </row>
    <row r="9" spans="1:2" ht="15.75">
      <c r="A9" s="176"/>
      <c r="B9" s="177" t="s">
        <v>10</v>
      </c>
    </row>
    <row r="10" spans="1:2" ht="12" customHeight="1">
      <c r="A10" s="178" t="s">
        <v>335</v>
      </c>
      <c r="B10" s="178"/>
    </row>
    <row r="11" spans="1:2" ht="16.5" customHeight="1" thickBot="1">
      <c r="A11" s="179"/>
      <c r="B11" s="180" t="s">
        <v>536</v>
      </c>
    </row>
    <row r="12" spans="1:2" ht="16.5" customHeight="1">
      <c r="A12" s="181"/>
      <c r="B12" s="182"/>
    </row>
    <row r="13" spans="1:2" ht="18.75" customHeight="1">
      <c r="A13" s="204" t="s">
        <v>510</v>
      </c>
      <c r="B13" s="182"/>
    </row>
    <row r="14" spans="1:2" ht="15.75">
      <c r="A14" s="183" t="s">
        <v>485</v>
      </c>
      <c r="B14" s="439">
        <f>80000-4960</f>
        <v>75040</v>
      </c>
    </row>
    <row r="15" spans="1:2" ht="15.75">
      <c r="A15" s="183" t="s">
        <v>336</v>
      </c>
      <c r="B15" s="433">
        <v>22000</v>
      </c>
    </row>
    <row r="16" spans="1:2" ht="15.75">
      <c r="A16" s="181" t="s">
        <v>2</v>
      </c>
      <c r="B16" s="403">
        <f>SUM(B14:B15)</f>
        <v>97040</v>
      </c>
    </row>
    <row r="17" spans="1:2" ht="12.75" customHeight="1">
      <c r="A17" s="181"/>
      <c r="B17" s="403"/>
    </row>
    <row r="18" spans="1:2" ht="15.75">
      <c r="A18" s="204" t="s">
        <v>508</v>
      </c>
      <c r="B18" s="435"/>
    </row>
    <row r="19" spans="1:2" ht="15.75">
      <c r="A19" s="183" t="s">
        <v>509</v>
      </c>
      <c r="B19" s="408">
        <v>2000000</v>
      </c>
    </row>
    <row r="20" spans="1:2" ht="15.75">
      <c r="A20" s="183" t="s">
        <v>542</v>
      </c>
      <c r="B20" s="436">
        <v>2596200</v>
      </c>
    </row>
    <row r="21" spans="1:2" ht="15.75">
      <c r="A21" s="181" t="s">
        <v>2</v>
      </c>
      <c r="B21" s="403">
        <f>SUM(B19:B20)</f>
        <v>4596200</v>
      </c>
    </row>
    <row r="22" spans="1:2" ht="15.75">
      <c r="A22" s="181"/>
      <c r="B22" s="403"/>
    </row>
    <row r="23" spans="1:2" ht="15.75">
      <c r="A23" s="183" t="s">
        <v>553</v>
      </c>
      <c r="B23" s="408">
        <v>300000</v>
      </c>
    </row>
    <row r="24" spans="1:2" ht="15.75">
      <c r="A24" s="183" t="s">
        <v>336</v>
      </c>
      <c r="B24" s="436">
        <v>81000</v>
      </c>
    </row>
    <row r="25" spans="1:2" ht="15.75">
      <c r="A25" s="181" t="s">
        <v>2</v>
      </c>
      <c r="B25" s="403">
        <v>381000</v>
      </c>
    </row>
    <row r="26" ht="12" customHeight="1">
      <c r="B26" s="437"/>
    </row>
    <row r="27" spans="1:2" ht="15.75">
      <c r="A27" s="205" t="s">
        <v>386</v>
      </c>
      <c r="B27" s="437"/>
    </row>
    <row r="28" spans="1:2" ht="15.75">
      <c r="A28" s="347" t="s">
        <v>552</v>
      </c>
      <c r="B28" s="438">
        <f>366000+9433+118032+4960</f>
        <v>498425</v>
      </c>
    </row>
    <row r="29" spans="1:2" ht="16.5" customHeight="1">
      <c r="A29" s="183" t="s">
        <v>336</v>
      </c>
      <c r="B29" s="436">
        <f>99000+2367+31868</f>
        <v>133235</v>
      </c>
    </row>
    <row r="30" spans="1:2" ht="13.5" customHeight="1">
      <c r="A30" s="181" t="s">
        <v>2</v>
      </c>
      <c r="B30" s="403">
        <f>SUM(B28:B29)</f>
        <v>631660</v>
      </c>
    </row>
    <row r="31" spans="1:2" ht="13.5" customHeight="1">
      <c r="A31" s="181"/>
      <c r="B31" s="403"/>
    </row>
    <row r="32" spans="1:2" ht="13.5" customHeight="1">
      <c r="A32" s="181" t="s">
        <v>551</v>
      </c>
      <c r="B32" s="403"/>
    </row>
    <row r="33" spans="1:2" ht="13.5" customHeight="1">
      <c r="A33" s="183" t="s">
        <v>550</v>
      </c>
      <c r="B33" s="408">
        <v>2000000</v>
      </c>
    </row>
    <row r="34" spans="1:2" ht="13.5" customHeight="1">
      <c r="A34" s="183" t="s">
        <v>336</v>
      </c>
      <c r="B34" s="460">
        <v>540000</v>
      </c>
    </row>
    <row r="35" spans="1:2" ht="13.5" customHeight="1">
      <c r="A35" s="181" t="s">
        <v>2</v>
      </c>
      <c r="B35" s="403">
        <f>B33+B34</f>
        <v>2540000</v>
      </c>
    </row>
    <row r="36" spans="1:2" ht="13.5" customHeight="1">
      <c r="A36" s="181"/>
      <c r="B36" s="403"/>
    </row>
    <row r="37" spans="1:2" ht="13.5" customHeight="1">
      <c r="A37" s="277" t="s">
        <v>561</v>
      </c>
      <c r="B37" s="403"/>
    </row>
    <row r="38" spans="1:2" ht="13.5" customHeight="1">
      <c r="A38" s="183" t="s">
        <v>491</v>
      </c>
      <c r="B38" s="408">
        <v>142000</v>
      </c>
    </row>
    <row r="39" spans="1:2" ht="13.5" customHeight="1">
      <c r="A39" s="183" t="s">
        <v>336</v>
      </c>
      <c r="B39" s="436">
        <v>38000</v>
      </c>
    </row>
    <row r="40" spans="1:2" ht="13.5" customHeight="1">
      <c r="A40" s="181" t="s">
        <v>2</v>
      </c>
      <c r="B40" s="403">
        <f>B38+B39</f>
        <v>180000</v>
      </c>
    </row>
    <row r="41" spans="1:2" ht="13.5" customHeight="1">
      <c r="A41" s="181"/>
      <c r="B41" s="403"/>
    </row>
    <row r="42" spans="1:2" ht="13.5" customHeight="1">
      <c r="A42" s="277" t="s">
        <v>560</v>
      </c>
      <c r="B42" s="403"/>
    </row>
    <row r="43" spans="1:2" ht="13.5" customHeight="1">
      <c r="A43" s="183" t="s">
        <v>559</v>
      </c>
      <c r="B43" s="408">
        <v>92843</v>
      </c>
    </row>
    <row r="44" spans="1:2" ht="13.5" customHeight="1">
      <c r="A44" s="183" t="s">
        <v>336</v>
      </c>
      <c r="B44" s="436">
        <v>25067</v>
      </c>
    </row>
    <row r="45" spans="1:2" ht="13.5" customHeight="1">
      <c r="A45" s="181" t="s">
        <v>2</v>
      </c>
      <c r="B45" s="403">
        <f>B43+B44</f>
        <v>117910</v>
      </c>
    </row>
    <row r="46" spans="1:2" ht="13.5" customHeight="1">
      <c r="A46" s="181"/>
      <c r="B46" s="403"/>
    </row>
    <row r="47" spans="1:2" ht="13.5" customHeight="1">
      <c r="A47" s="277" t="s">
        <v>486</v>
      </c>
      <c r="B47" s="435"/>
    </row>
    <row r="48" spans="1:2" ht="13.5" customHeight="1">
      <c r="A48" s="278" t="s">
        <v>487</v>
      </c>
      <c r="B48" s="434">
        <v>41000</v>
      </c>
    </row>
    <row r="49" spans="1:2" ht="13.5" customHeight="1">
      <c r="A49" s="183" t="s">
        <v>336</v>
      </c>
      <c r="B49" s="433">
        <v>11000</v>
      </c>
    </row>
    <row r="50" spans="1:2" ht="13.5" customHeight="1">
      <c r="A50" s="181" t="s">
        <v>2</v>
      </c>
      <c r="B50" s="403">
        <f>SUM(B48:B49)</f>
        <v>52000</v>
      </c>
    </row>
    <row r="51" spans="1:2" ht="13.5" customHeight="1">
      <c r="A51" s="181"/>
      <c r="B51" s="403"/>
    </row>
    <row r="52" spans="1:2" ht="13.5" customHeight="1">
      <c r="A52" s="181"/>
      <c r="B52" s="403"/>
    </row>
    <row r="53" spans="1:2" ht="13.5" customHeight="1">
      <c r="A53" s="181"/>
      <c r="B53" s="403"/>
    </row>
    <row r="54" spans="1:2" ht="13.5" customHeight="1">
      <c r="A54" s="277" t="s">
        <v>488</v>
      </c>
      <c r="B54" s="403"/>
    </row>
    <row r="55" spans="1:2" ht="13.5" customHeight="1">
      <c r="A55" s="278" t="s">
        <v>487</v>
      </c>
      <c r="B55" s="434">
        <v>7000</v>
      </c>
    </row>
    <row r="56" spans="1:2" ht="13.5" customHeight="1">
      <c r="A56" s="183" t="s">
        <v>336</v>
      </c>
      <c r="B56" s="433">
        <v>2000</v>
      </c>
    </row>
    <row r="57" spans="1:2" ht="13.5" customHeight="1">
      <c r="A57" s="181" t="s">
        <v>2</v>
      </c>
      <c r="B57" s="403">
        <f>SUM(B55:B56)</f>
        <v>9000</v>
      </c>
    </row>
    <row r="58" spans="1:2" ht="13.5" customHeight="1">
      <c r="A58" s="181"/>
      <c r="B58" s="403"/>
    </row>
    <row r="59" spans="1:2" ht="13.5" customHeight="1">
      <c r="A59" s="181"/>
      <c r="B59" s="403"/>
    </row>
    <row r="60" spans="1:2" ht="13.5" customHeight="1">
      <c r="A60" s="181"/>
      <c r="B60" s="403"/>
    </row>
    <row r="61" spans="1:2" ht="13.5" customHeight="1">
      <c r="A61" s="277" t="s">
        <v>489</v>
      </c>
      <c r="B61" s="403"/>
    </row>
    <row r="62" spans="1:2" ht="13.5" customHeight="1">
      <c r="A62" s="278" t="s">
        <v>487</v>
      </c>
      <c r="B62" s="434">
        <v>10000</v>
      </c>
    </row>
    <row r="63" spans="1:2" ht="13.5" customHeight="1">
      <c r="A63" s="183" t="s">
        <v>336</v>
      </c>
      <c r="B63" s="433">
        <v>3000</v>
      </c>
    </row>
    <row r="64" spans="1:2" ht="13.5" customHeight="1">
      <c r="A64" s="181" t="s">
        <v>2</v>
      </c>
      <c r="B64" s="403">
        <f>SUM(B62:B63)</f>
        <v>13000</v>
      </c>
    </row>
    <row r="65" spans="1:2" ht="13.5" customHeight="1">
      <c r="A65" s="181"/>
      <c r="B65" s="403"/>
    </row>
    <row r="66" spans="1:2" ht="13.5" customHeight="1">
      <c r="A66" s="279" t="s">
        <v>490</v>
      </c>
      <c r="B66" s="403"/>
    </row>
    <row r="67" spans="1:2" ht="13.5" customHeight="1">
      <c r="A67" s="278" t="s">
        <v>487</v>
      </c>
      <c r="B67" s="434">
        <v>21000</v>
      </c>
    </row>
    <row r="68" spans="1:2" ht="13.5" customHeight="1">
      <c r="A68" s="183" t="s">
        <v>336</v>
      </c>
      <c r="B68" s="433">
        <v>6000</v>
      </c>
    </row>
    <row r="69" spans="1:2" ht="13.5" customHeight="1">
      <c r="A69" s="181" t="s">
        <v>2</v>
      </c>
      <c r="B69" s="403">
        <f>SUM(B67:B68)</f>
        <v>27000</v>
      </c>
    </row>
    <row r="70" spans="1:2" ht="13.5" customHeight="1">
      <c r="A70" s="181"/>
      <c r="B70" s="432"/>
    </row>
    <row r="71" spans="1:2" ht="15.75">
      <c r="A71" s="181" t="s">
        <v>337</v>
      </c>
      <c r="B71" s="403">
        <f>B16+B30+B50+B57+B64+B69+B21+B40+B35+B25+B45</f>
        <v>8644810</v>
      </c>
    </row>
  </sheetData>
  <sheetProtection/>
  <mergeCells count="3">
    <mergeCell ref="A7:B7"/>
    <mergeCell ref="A8:B8"/>
    <mergeCell ref="A5:B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 Patrik</cp:lastModifiedBy>
  <cp:lastPrinted>2016-02-17T09:02:11Z</cp:lastPrinted>
  <dcterms:created xsi:type="dcterms:W3CDTF">2002-11-26T17:22:50Z</dcterms:created>
  <dcterms:modified xsi:type="dcterms:W3CDTF">2017-05-02T09:44:25Z</dcterms:modified>
  <cp:category/>
  <cp:version/>
  <cp:contentType/>
  <cp:contentStatus/>
</cp:coreProperties>
</file>