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4" activeTab="9"/>
  </bookViews>
  <sheets>
    <sheet name="bor." sheetId="1" r:id="rId1"/>
    <sheet name="Mérleg" sheetId="2" r:id="rId2"/>
    <sheet name="Bevételek" sheetId="3" r:id="rId3"/>
    <sheet name="Bev.köt.önként.váll." sheetId="4" r:id="rId4"/>
    <sheet name="Korm.funkciók" sheetId="5" r:id="rId5"/>
    <sheet name="kiadások, köt.önként váll." sheetId="6" r:id="rId6"/>
    <sheet name="Pé. átadások" sheetId="7" r:id="rId7"/>
    <sheet name="Beruházások" sheetId="8" r:id="rId8"/>
    <sheet name="közgazd. mérleg" sheetId="9" r:id="rId9"/>
    <sheet name="Előirány.fel.ütemt." sheetId="10" r:id="rId10"/>
  </sheets>
  <definedNames/>
  <calcPr fullCalcOnLoad="1"/>
</workbook>
</file>

<file path=xl/sharedStrings.xml><?xml version="1.0" encoding="utf-8"?>
<sst xmlns="http://schemas.openxmlformats.org/spreadsheetml/2006/main" count="610" uniqueCount="378">
  <si>
    <t>Területfejlesztési igazgatás</t>
  </si>
  <si>
    <t>2014. évi költségvetési rendeletének</t>
  </si>
  <si>
    <t>Egyéb működési bevételek</t>
  </si>
  <si>
    <t>Felhalmozási célú önkormányzati támogatások bevételei</t>
  </si>
  <si>
    <t>Felhalmozási célú önkormányzati támogatások bevételei összesen:</t>
  </si>
  <si>
    <t>EGYÉB MŰKÖDÉSI ÉS FELHALMOZÁSI KIADÁSAI</t>
  </si>
  <si>
    <t>tervezett előirányzat</t>
  </si>
  <si>
    <t>EGYÉB MŰKÖDÉSI KIADÁSOK</t>
  </si>
  <si>
    <t>EGYÉB MŰKÖDÉSI CÉLÚ TÁMOGATÁSOK ÁLLAMHÁZTARTÁSON BELÜLRE</t>
  </si>
  <si>
    <t>Sárvári Közös Önkormányzati Hivatal részére</t>
  </si>
  <si>
    <t>Sárvár és Kistérsége  részére belső ellenőrzési feladatokra</t>
  </si>
  <si>
    <t>EGYÉB MŰKÖDÉSI CÉLÚ TÁMOGATÁSOK ÁLLAMHÁZTARTÁSON BELÜLRE ÖSSZESEN:</t>
  </si>
  <si>
    <t>Vasi Volán részére működési hozzájárulás</t>
  </si>
  <si>
    <t>EGYÉB MŰKÖDÉSI CÉLÚ TÁMOGATÁSOK ÁLLAMHÁZTARTÁSON KÍVÜLRE ÖSSZESEN:</t>
  </si>
  <si>
    <t>EGYÉB MŰKÖDÉSI  KIADÁSOK ÖSSZESEN:</t>
  </si>
  <si>
    <t>EGYÉB FELHALMOZÁSI KIADÁSOK</t>
  </si>
  <si>
    <t>EGYÉB FELHALMOZÁSI CÉLÚ KIADÁSOK ÁLLAMHÁZTARTÁSON KÍVÜLRE</t>
  </si>
  <si>
    <t>Lakáshoz jutás támogatása</t>
  </si>
  <si>
    <t>FELHALMOZÁSI CÉLÚ VISSZATÉRÍTENDŐ TÁMOGATÁS NYÚJTÁSA</t>
  </si>
  <si>
    <t>Porpác Község Önkormányzata Önkéntes Tűzoltó Egyesülete részére pályázatai lebonyolításának támogatása</t>
  </si>
  <si>
    <t>EGYÉB FELHALMOZÁSI CÉLÚ KIADÁSOK ÁLLAMHÁZTARTÁSON KÍVÜLRE ÖSSZESEN:</t>
  </si>
  <si>
    <t>EGYÉB FELHALMOZÁSI KIADÁSOK ÖSSZESEN:</t>
  </si>
  <si>
    <t>BERUHÁZÁSI KIADÁSOK</t>
  </si>
  <si>
    <t>tervezett  előirányzat   ( e Ft)</t>
  </si>
  <si>
    <t>013350 Önkormányzati vagyonnal való gazdálkodással kapcsolatos  feladatok</t>
  </si>
  <si>
    <t>Porpác Kossuth u. 1. sz. alatt irodabútorok beszerzése</t>
  </si>
  <si>
    <t>Előzetesen felszámított általános forgalmi adó</t>
  </si>
  <si>
    <t>Összesen:</t>
  </si>
  <si>
    <t>063020 Víztermelés, kezelés ellátás</t>
  </si>
  <si>
    <t>Porpác-Bögöt ívóvízminőség javítása KEOP-7.1.0/11-2012-0060</t>
  </si>
  <si>
    <t>(Porjektmenedzsment, közbeszerzés, tanulmányok és vizsgálatok készítése</t>
  </si>
  <si>
    <t>tájékoztatás és nyilvánosság</t>
  </si>
  <si>
    <t>BERUHÁZÁSOK ÖSSZESEN:</t>
  </si>
  <si>
    <t>Rendkívüli önkormányzati támogatás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</si>
  <si>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</si>
  <si>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 e Ft-ban)</t>
  </si>
  <si>
    <t>tervezett</t>
  </si>
  <si>
    <t>2014. év</t>
  </si>
  <si>
    <t>Porpác község Önkormányzata</t>
  </si>
  <si>
    <t>Megnevezés</t>
  </si>
  <si>
    <t>adatok e Ft-ban</t>
  </si>
  <si>
    <t>PORPÁC KÖZSÉG ÖNKORMÁNYZATA</t>
  </si>
  <si>
    <t>sor-</t>
  </si>
  <si>
    <t>Összesen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</si>
  <si>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</si>
  <si>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</si>
  <si>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</si>
  <si>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</si>
  <si>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</si>
  <si>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</si>
  <si>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</si>
  <si>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</si>
  <si>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</si>
  <si>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</si>
  <si>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</si>
  <si>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</si>
  <si>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</si>
  <si>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</si>
  <si>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</si>
  <si>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</si>
  <si>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</si>
  <si>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</si>
  <si>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</si>
  <si>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</si>
  <si>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</si>
  <si>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</si>
  <si>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</si>
  <si>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</si>
  <si>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</si>
  <si>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</si>
  <si>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</si>
  <si>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</si>
  <si>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</si>
  <si>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</si>
  <si>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</si>
  <si>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</si>
  <si>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</si>
  <si>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</si>
  <si>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</si>
  <si>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</si>
  <si>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</si>
  <si>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</si>
  <si>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</si>
  <si>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</si>
  <si>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</si>
  <si>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</si>
  <si>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</si>
  <si>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</si>
  <si>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</si>
  <si>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</si>
  <si>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</si>
  <si>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</si>
  <si>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</si>
  <si>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</si>
  <si>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</si>
  <si>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</si>
  <si>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</si>
  <si>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</si>
  <si>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</si>
  <si>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</si>
  <si>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</si>
  <si>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</si>
  <si>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</si>
  <si>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</si>
  <si>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</si>
  <si>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</si>
  <si>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</si>
  <si>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</si>
  <si>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</si>
  <si>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</si>
  <si>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Hitel-, kölcsöntörlesztés államháztartáson kívülre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</si>
  <si>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</si>
  <si>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</si>
  <si>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</si>
  <si>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</si>
  <si>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</si>
  <si>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2014. évre</t>
  </si>
  <si>
    <t>BEVÉTELEK:</t>
  </si>
  <si>
    <t>MŰKÖDÉSI TÁMOGATÁSOK ÁLLAMHÁZTARTÁSON BELÜLRŐL</t>
  </si>
  <si>
    <t>e Ft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</si>
  <si>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</si>
  <si>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</si>
  <si>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</si>
  <si>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</si>
  <si>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</si>
  <si>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</si>
  <si>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</si>
  <si>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</si>
  <si>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</si>
  <si>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</si>
  <si>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</si>
  <si>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</si>
  <si>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</si>
  <si>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 xml:space="preserve">e Ft </t>
  </si>
  <si>
    <t>KIADÁSOK:</t>
  </si>
  <si>
    <t>MŰKÖDÉSI KIADÁSOK</t>
  </si>
  <si>
    <t xml:space="preserve"> ebből: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</si>
  <si>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</si>
  <si>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</si>
  <si>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</si>
  <si>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társadalom, szociálpolitikai és egyéb társadalombiztosítási juttatások</t>
  </si>
  <si>
    <t xml:space="preserve">       - egyéb működési kiadások</t>
  </si>
  <si>
    <t>FELHALMOZÁSI KIADÁSOK</t>
  </si>
  <si>
    <t xml:space="preserve">       - Beruházások</t>
  </si>
  <si>
    <t xml:space="preserve">       - Felújítások</t>
  </si>
  <si>
    <t xml:space="preserve">       - egyéb felhalmozási kiadások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</si>
  <si>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</si>
  <si>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</si>
  <si>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</si>
  <si>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</si>
  <si>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</si>
  <si>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</si>
  <si>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</si>
  <si>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</si>
  <si>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</si>
  <si>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2013. év</t>
  </si>
  <si>
    <t>változás %-a</t>
  </si>
  <si>
    <t>tény</t>
  </si>
  <si>
    <t>adatok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</si>
  <si>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</si>
  <si>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</si>
  <si>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</si>
  <si>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</si>
  <si>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</si>
  <si>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a.</t>
  </si>
  <si>
    <t>önkormányzati hivatal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</si>
  <si>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</si>
  <si>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</si>
  <si>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</si>
  <si>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</si>
  <si>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</si>
  <si>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</si>
  <si>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</si>
  <si>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</si>
  <si>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</si>
  <si>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</si>
  <si>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</si>
  <si>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r>
      <t>egyéb kötelező önkormányzati f</t>
    </r>
    <r>
      <rPr>
        <sz val="10"/>
        <rFont val="Arial Narrow"/>
        <family val="2"/>
      </rPr>
      <t>eladatok támogatása</t>
    </r>
  </si>
  <si>
    <t>Települési önkormányzatok működésének támogatása összesen:</t>
  </si>
  <si>
    <t>Települési önkormányzatok szociális, gyermekjóléti  feladatainak támogatása</t>
  </si>
  <si>
    <t>Egyes jövedelempótló támogatások kiegészítése</t>
  </si>
  <si>
    <t>Hozzájárulás a pénzbeni szociális ellátásokhoz</t>
  </si>
  <si>
    <t>Egyes szociális és gyermekjóléti feladatok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</si>
  <si>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</si>
  <si>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</si>
  <si>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Könyvtári, közművelődési és múzeumi feladatok támogatása</t>
  </si>
  <si>
    <t>d.</t>
  </si>
  <si>
    <t>települési önkormányzatok nyilvános könyvtári és közművelődési feladatainak támogatása</t>
  </si>
  <si>
    <t>Települési önkormányzatok kulturális feladatainak támogatása összesen:</t>
  </si>
  <si>
    <t>Beszámítás</t>
  </si>
  <si>
    <t>Működési célú központosított előirányzatok</t>
  </si>
  <si>
    <t>lakott külterületekkel kapcsolatos feladatok támogatása</t>
  </si>
  <si>
    <t>Egyéb működési célú központi támogatás</t>
  </si>
  <si>
    <t>szerkezetáltalakítási tartalékból folyósított támogatás</t>
  </si>
  <si>
    <t>bérkompezáció</t>
  </si>
  <si>
    <t>HELYI ÖNKORMÁNYZATOK MŰKÖDÉSÉNEK ÁLTALÁNOS TÁMOGATÁSA ÖSSZESEN:</t>
  </si>
  <si>
    <t>II.</t>
  </si>
  <si>
    <t>Egyéb működési célú támogatások bevételei államháztartáson belülről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</si>
  <si>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</si>
  <si>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</si>
  <si>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</si>
  <si>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</si>
  <si>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</si>
  <si>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</si>
  <si>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Ívóvízminőség javítása KEOP pályázat</t>
  </si>
  <si>
    <t>Bögöt község 50 % részarány</t>
  </si>
  <si>
    <t>Ívóvízminőség javítása KEOP pályázat önrész támogatása</t>
  </si>
  <si>
    <t>Ívóvízminőség javítása KEOP -7.1.0/11-2012-0060 támogatás</t>
  </si>
  <si>
    <t>Egyéb felhalmozási célú támogatások bevételei államháztartáson belülről összesen:</t>
  </si>
  <si>
    <t>FELHALMOZÁSI CÉLÚ TÁMOGATÁSOK ÁLLAMHÁZTARTÁSON BELÜLRŐL ÖSSZESEN: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</si>
  <si>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</si>
  <si>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</si>
  <si>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</si>
  <si>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</si>
  <si>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</si>
  <si>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</si>
  <si>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</si>
  <si>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</si>
  <si>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</si>
  <si>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</si>
  <si>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</si>
  <si>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</si>
  <si>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</si>
  <si>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</si>
  <si>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</si>
  <si>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</si>
  <si>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</si>
  <si>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</si>
  <si>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Továbbszámlázott szolgáltatás</t>
  </si>
  <si>
    <t>Készletértékesítés</t>
  </si>
  <si>
    <t>MŰKÖDÉSI BEVÉTELEK ÖSSZESEN:</t>
  </si>
  <si>
    <t>V.</t>
  </si>
  <si>
    <t>Ingatlanok értékesítése</t>
  </si>
  <si>
    <t xml:space="preserve">a. </t>
  </si>
  <si>
    <t>Önkormányzati ingatlanok értékesítése</t>
  </si>
  <si>
    <t>Saját felhalmozási és tőkejellegű bevételek</t>
  </si>
  <si>
    <t>Vasi Víz Zrt. vízközmű használati díj</t>
  </si>
  <si>
    <t>Vasi Víz Zrt. tőkeleértékes</t>
  </si>
  <si>
    <t>Pénzügyi befektetések bevételei</t>
  </si>
  <si>
    <t>FELHALMOZÁSI BEVÉTELEK ÖSSZESEN:</t>
  </si>
  <si>
    <t>KÖLTSÉGVETÉSI BEVÉTELEK</t>
  </si>
  <si>
    <t>VI.</t>
  </si>
  <si>
    <t>FINANSZÍROZÁSI BEVÉTELEK</t>
  </si>
  <si>
    <t xml:space="preserve"> 2013. évi feladatokra előző évi költségvetési maradvány igénybevétele</t>
  </si>
  <si>
    <t>Költségvetési maradvány igénybevétele belső hiány finanszírozására</t>
  </si>
  <si>
    <t>FINANSZÍROZÁSI BEVÉTELEK ÖSSZESEN: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</si>
  <si>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</si>
  <si>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</si>
  <si>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</si>
  <si>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</si>
  <si>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</si>
  <si>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</si>
  <si>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állandó főgl. Létszám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</si>
  <si>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</si>
  <si>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</si>
  <si>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</si>
  <si>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</si>
  <si>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</si>
  <si>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</si>
  <si>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</si>
  <si>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irányító szervi támogatás folyósítása</t>
  </si>
  <si>
    <t>hitel- törlesztés</t>
  </si>
  <si>
    <t>részesedés vásárlása</t>
  </si>
  <si>
    <t>finanszírozá- 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</si>
  <si>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</si>
  <si>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</si>
  <si>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</si>
  <si>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</si>
  <si>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041232</t>
  </si>
  <si>
    <t>Téli közfoglalkoztatás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</si>
  <si>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</si>
  <si>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</si>
  <si>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</si>
  <si>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</si>
  <si>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061030</t>
  </si>
  <si>
    <t>Lakáshoz jutást segítő támogatások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</si>
  <si>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</si>
  <si>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</si>
  <si>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</si>
  <si>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</si>
  <si>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</si>
  <si>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</si>
  <si>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</si>
  <si>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</si>
  <si>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</si>
  <si>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</si>
  <si>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086090</t>
  </si>
  <si>
    <t>Mindenféle egyéb szabadidős szolg.</t>
  </si>
  <si>
    <t>Gyermekvédelmi pénzbeli és természetbeni ellátások</t>
  </si>
  <si>
    <t>Munkanélküli aktív korúak ellátásai</t>
  </si>
  <si>
    <t>Lakásfenntartással, lakhatással összefüggő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</si>
  <si>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</si>
  <si>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</si>
  <si>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</si>
  <si>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</si>
  <si>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KÖTELEZŐ, ÖNKÉNT VÁLLALT ÉS  ÁLLAMI ( ÁLLAMIGAZGATÁSI ) FELADATAINAK KIADÁSAI</t>
  </si>
  <si>
    <t>kormány- zati funkció száma</t>
  </si>
  <si>
    <t>e b b ő l</t>
  </si>
  <si>
    <t>kötelező</t>
  </si>
  <si>
    <t xml:space="preserve">önként vállalt </t>
  </si>
  <si>
    <t>állami ( államigazgatási )</t>
  </si>
  <si>
    <t>f e l a d a t</t>
  </si>
  <si>
    <t>Munkanélküli aktív korúak ellátása</t>
  </si>
  <si>
    <t>Egyéb szociális természetbeni és pénzbeni ellátások</t>
  </si>
  <si>
    <t>PORPÁC KÖZSÉG ÖNKORMÁNYZATA  BEVÉTELI ELŐIRÁNYZATAI</t>
  </si>
  <si>
    <t>KÖTELEZŐ, ÖNKÉNT VÁLLALAT ÁLLAMI ( ÁLLAMIGAZGATÁSI ) FELADATOK SZERINTI BONTÁSBAN</t>
  </si>
  <si>
    <t>bevétel        összesen:</t>
  </si>
  <si>
    <t>018010</t>
  </si>
  <si>
    <t>Önkormányzatok elszámolásai a központi költségvetéssel</t>
  </si>
  <si>
    <t>Önkormányzatok funkcióra nem sorolható bevételei államháztartások kívülről</t>
  </si>
  <si>
    <t>módosított</t>
  </si>
  <si>
    <t>041140</t>
  </si>
  <si>
    <t>Területfejlesztési igazgazgatás</t>
  </si>
  <si>
    <t xml:space="preserve">Területfejlesztési igazgatás </t>
  </si>
  <si>
    <t>Adósságkonszolidációban részt nem vett önkormányzatok fejlesztési támogatása</t>
  </si>
  <si>
    <t>Felhalmozási célú visszatérítendő támogatások, kölcsönök igénybevétele állaháztartáson belül</t>
  </si>
  <si>
    <t>Sárvár város Önkormányzata kölcsön nyújtása</t>
  </si>
  <si>
    <t>Felhalmozási célú visszatérítendő támogatások, kölcsönök igénybevétele államháztartáson belül</t>
  </si>
  <si>
    <t>013350</t>
  </si>
  <si>
    <t>Önkormányzati vagyonnal való gazdálkodással kapcsolatos feladatok</t>
  </si>
  <si>
    <t xml:space="preserve"> 4. számú módosítása</t>
  </si>
  <si>
    <t>Helyi önk. Kiegészítő támogatásai - Mo. szeretlek pályázat</t>
  </si>
  <si>
    <t>011130 Önkormányzatok és önkormányzati hivatalok jogalkotó és általános igazgatási tevékenysége</t>
  </si>
  <si>
    <t>Karácsonyi fényfűzér beszerzése</t>
  </si>
  <si>
    <t>Egyéb szolgáltatások nyújtása miatti bevétel</t>
  </si>
  <si>
    <t>041233</t>
  </si>
  <si>
    <t>Hosszabb időtartamú közfoglalkoztatás</t>
  </si>
  <si>
    <t>Nyári diákmunka támogatása</t>
  </si>
  <si>
    <t>Magyar Államkincstár részére adatszolgáltatási díj</t>
  </si>
  <si>
    <t>EGYÉB ELVONÁSOK, BEFIZETÉSEK KIADÁSAI</t>
  </si>
  <si>
    <t xml:space="preserve"> 2014. évi előirányzat-felhasználási ütemterve</t>
  </si>
  <si>
    <t>(e Ft-ban)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</si>
  <si>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</si>
  <si>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</si>
  <si>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</si>
  <si>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</si>
  <si>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</si>
  <si>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</si>
  <si>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</si>
  <si>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</si>
  <si>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</si>
  <si>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</si>
  <si>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</si>
  <si>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</si>
  <si>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</si>
  <si>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</si>
  <si>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</si>
  <si>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</si>
  <si>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</si>
  <si>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</si>
  <si>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</si>
  <si>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</si>
  <si>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egyéb működési célú átvett pénzeszközök</t>
  </si>
  <si>
    <t>felhalmozási célú átvett pénzeszközök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</si>
  <si>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</si>
  <si>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</si>
  <si>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</si>
  <si>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</si>
  <si>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</si>
  <si>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</si>
  <si>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</si>
  <si>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</si>
  <si>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</si>
  <si>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</si>
  <si>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</si>
  <si>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</si>
  <si>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</si>
  <si>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</si>
  <si>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</si>
  <si>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1. sz. melléklet a 14/2014. (XII.10.)  önkormányzati rendelethez</t>
  </si>
  <si>
    <t>2.sz. melléklet a .14/2014. (XII.10.)  önkormányzati rendelethez</t>
  </si>
  <si>
    <t>2/A. sz. melléklet a 14/2014. (XII.10.)  önkormányzati rendelethez</t>
  </si>
  <si>
    <t>3. sz. melléklet a .14/2014. (XII.10.)  sz. önkormányzati rendelethez</t>
  </si>
  <si>
    <t>4. sz. melléklet a 14/2014. (XII.10.)  sz. önkormányzati rendelethez</t>
  </si>
  <si>
    <t>5. sz. melléklet a14/2014. (XII.10.) sz. önkormányzati rendelethez</t>
  </si>
  <si>
    <t>6 sz. melléklet a 14/2014. (XII.10.) sz. önkormányzati rendelethez</t>
  </si>
  <si>
    <t>7. melléklet a 14/2014. (XII.10.)  önkormányzati rendelethez</t>
  </si>
  <si>
    <t>8. melléklet a 14/2014. (XII.10.) 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</si>
</sst>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</numFmts>
  <fonts count="5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22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0"/>
      <name val="Arial CE"/>
      <family val="0"/>
    </font>
    <font>
      <b/>
      <u val="singleAccounting"/>
      <sz val="12"/>
      <name val="Arial Narrow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4" fontId="4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56" applyFont="1" applyAlignment="1">
      <alignment horizontal="right"/>
      <protection/>
    </xf>
    <xf numFmtId="0" fontId="32" fillId="0" borderId="0" xfId="62" applyFont="1">
      <alignment/>
      <protection/>
    </xf>
    <xf numFmtId="0" fontId="30" fillId="0" borderId="0" xfId="62" applyFont="1">
      <alignment/>
      <protection/>
    </xf>
    <xf numFmtId="0" fontId="32" fillId="0" borderId="0" xfId="62" applyFont="1" applyAlignment="1">
      <alignment horizontal="center"/>
      <protection/>
    </xf>
    <xf numFmtId="168" fontId="30" fillId="0" borderId="0" xfId="40" applyNumberFormat="1" applyFont="1" applyAlignment="1">
      <alignment horizontal="center"/>
    </xf>
    <xf numFmtId="168" fontId="30" fillId="0" borderId="0" xfId="40" applyNumberFormat="1" applyFont="1" applyAlignment="1">
      <alignment/>
    </xf>
    <xf numFmtId="168" fontId="28" fillId="0" borderId="0" xfId="40" applyNumberFormat="1" applyFont="1" applyAlignment="1">
      <alignment/>
    </xf>
    <xf numFmtId="168" fontId="30" fillId="0" borderId="0" xfId="40" applyNumberFormat="1" applyFont="1" applyAlignment="1">
      <alignment horizontal="right"/>
    </xf>
    <xf numFmtId="0" fontId="30" fillId="0" borderId="0" xfId="62" applyFont="1" applyBorder="1">
      <alignment/>
      <protection/>
    </xf>
    <xf numFmtId="168" fontId="30" fillId="0" borderId="0" xfId="40" applyNumberFormat="1" applyFont="1" applyBorder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0" fillId="0" borderId="0" xfId="0" applyFont="1" applyAlignment="1">
      <alignment horizontal="center"/>
    </xf>
    <xf numFmtId="0" fontId="8" fillId="0" borderId="0" xfId="57" applyFont="1">
      <alignment/>
      <protection/>
    </xf>
    <xf numFmtId="168" fontId="8" fillId="0" borderId="0" xfId="40" applyNumberFormat="1" applyFont="1" applyAlignment="1">
      <alignment/>
    </xf>
    <xf numFmtId="0" fontId="30" fillId="0" borderId="0" xfId="57" applyFont="1">
      <alignment/>
      <protection/>
    </xf>
    <xf numFmtId="168" fontId="30" fillId="0" borderId="0" xfId="40" applyNumberFormat="1" applyFont="1" applyAlignment="1">
      <alignment/>
    </xf>
    <xf numFmtId="0" fontId="30" fillId="0" borderId="0" xfId="57" applyFont="1" applyAlignment="1">
      <alignment horizontal="right"/>
      <protection/>
    </xf>
    <xf numFmtId="0" fontId="31" fillId="0" borderId="0" xfId="0" applyFont="1" applyAlignment="1">
      <alignment/>
    </xf>
    <xf numFmtId="0" fontId="28" fillId="0" borderId="10" xfId="57" applyFont="1" applyBorder="1" applyAlignment="1">
      <alignment/>
      <protection/>
    </xf>
    <xf numFmtId="0" fontId="28" fillId="0" borderId="10" xfId="57" applyFont="1" applyBorder="1" applyAlignment="1">
      <alignment horizontal="center"/>
      <protection/>
    </xf>
    <xf numFmtId="168" fontId="28" fillId="0" borderId="10" xfId="40" applyNumberFormat="1" applyFont="1" applyBorder="1" applyAlignment="1">
      <alignment horizontal="center"/>
    </xf>
    <xf numFmtId="0" fontId="28" fillId="0" borderId="11" xfId="57" applyFont="1" applyBorder="1">
      <alignment/>
      <protection/>
    </xf>
    <xf numFmtId="0" fontId="28" fillId="0" borderId="11" xfId="57" applyFont="1" applyBorder="1" applyAlignment="1">
      <alignment horizontal="center"/>
      <protection/>
    </xf>
    <xf numFmtId="168" fontId="28" fillId="0" borderId="11" xfId="40" applyNumberFormat="1" applyFont="1" applyBorder="1" applyAlignment="1">
      <alignment horizontal="center"/>
    </xf>
    <xf numFmtId="0" fontId="28" fillId="0" borderId="12" xfId="57" applyFont="1" applyBorder="1">
      <alignment/>
      <protection/>
    </xf>
    <xf numFmtId="0" fontId="28" fillId="0" borderId="12" xfId="57" applyFont="1" applyBorder="1" applyAlignment="1">
      <alignment horizontal="center"/>
      <protection/>
    </xf>
    <xf numFmtId="168" fontId="28" fillId="0" borderId="12" xfId="40" applyNumberFormat="1" applyFont="1" applyBorder="1" applyAlignment="1">
      <alignment horizontal="center"/>
    </xf>
    <xf numFmtId="0" fontId="30" fillId="0" borderId="0" xfId="57" applyFont="1" applyBorder="1" applyAlignment="1">
      <alignment horizontal="right"/>
      <protection/>
    </xf>
    <xf numFmtId="0" fontId="30" fillId="0" borderId="0" xfId="57" applyFont="1" applyBorder="1" applyAlignment="1">
      <alignment/>
      <protection/>
    </xf>
    <xf numFmtId="168" fontId="30" fillId="0" borderId="0" xfId="40" applyNumberFormat="1" applyFont="1" applyBorder="1" applyAlignment="1">
      <alignment/>
    </xf>
    <xf numFmtId="0" fontId="30" fillId="0" borderId="0" xfId="57" applyFont="1" applyBorder="1" applyAlignment="1">
      <alignment wrapText="1"/>
      <protection/>
    </xf>
    <xf numFmtId="0" fontId="30" fillId="0" borderId="13" xfId="57" applyFont="1" applyBorder="1" applyAlignment="1">
      <alignment horizontal="right"/>
      <protection/>
    </xf>
    <xf numFmtId="0" fontId="30" fillId="0" borderId="13" xfId="57" applyFont="1" applyBorder="1" applyAlignment="1">
      <alignment/>
      <protection/>
    </xf>
    <xf numFmtId="168" fontId="30" fillId="0" borderId="13" xfId="40" applyNumberFormat="1" applyFont="1" applyBorder="1" applyAlignment="1">
      <alignment/>
    </xf>
    <xf numFmtId="0" fontId="40" fillId="0" borderId="0" xfId="0" applyFont="1" applyAlignment="1">
      <alignment/>
    </xf>
    <xf numFmtId="0" fontId="30" fillId="0" borderId="0" xfId="57" applyFont="1" applyAlignment="1">
      <alignment/>
      <protection/>
    </xf>
    <xf numFmtId="0" fontId="28" fillId="0" borderId="14" xfId="57" applyFont="1" applyBorder="1" applyAlignment="1">
      <alignment horizontal="right"/>
      <protection/>
    </xf>
    <xf numFmtId="0" fontId="28" fillId="0" borderId="14" xfId="57" applyFont="1" applyBorder="1">
      <alignment/>
      <protection/>
    </xf>
    <xf numFmtId="168" fontId="28" fillId="0" borderId="14" xfId="40" applyNumberFormat="1" applyFont="1" applyBorder="1" applyAlignment="1">
      <alignment/>
    </xf>
    <xf numFmtId="0" fontId="28" fillId="0" borderId="0" xfId="57" applyFont="1" applyBorder="1" applyAlignment="1">
      <alignment horizontal="right"/>
      <protection/>
    </xf>
    <xf numFmtId="0" fontId="28" fillId="0" borderId="0" xfId="57" applyFont="1" applyBorder="1">
      <alignment/>
      <protection/>
    </xf>
    <xf numFmtId="168" fontId="28" fillId="0" borderId="0" xfId="40" applyNumberFormat="1" applyFont="1" applyBorder="1" applyAlignment="1">
      <alignment/>
    </xf>
    <xf numFmtId="0" fontId="28" fillId="0" borderId="0" xfId="58" applyFont="1" applyBorder="1" applyAlignment="1">
      <alignment horizontal="center"/>
      <protection/>
    </xf>
    <xf numFmtId="0" fontId="40" fillId="0" borderId="13" xfId="0" applyFont="1" applyBorder="1" applyAlignment="1">
      <alignment/>
    </xf>
    <xf numFmtId="168" fontId="28" fillId="0" borderId="13" xfId="40" applyNumberFormat="1" applyFont="1" applyBorder="1" applyAlignment="1">
      <alignment/>
    </xf>
    <xf numFmtId="0" fontId="28" fillId="0" borderId="14" xfId="58" applyFont="1" applyBorder="1" applyAlignment="1">
      <alignment horizontal="right"/>
      <protection/>
    </xf>
    <xf numFmtId="0" fontId="28" fillId="0" borderId="14" xfId="58" applyFont="1" applyBorder="1">
      <alignment/>
      <protection/>
    </xf>
    <xf numFmtId="168" fontId="28" fillId="0" borderId="14" xfId="58" applyNumberFormat="1" applyFont="1" applyBorder="1" applyAlignment="1">
      <alignment/>
      <protection/>
    </xf>
    <xf numFmtId="0" fontId="28" fillId="0" borderId="0" xfId="57" applyFont="1" applyAlignment="1">
      <alignment/>
      <protection/>
    </xf>
    <xf numFmtId="0" fontId="28" fillId="0" borderId="13" xfId="57" applyFont="1" applyBorder="1" applyAlignment="1">
      <alignment horizontal="right"/>
      <protection/>
    </xf>
    <xf numFmtId="0" fontId="28" fillId="0" borderId="13" xfId="57" applyFont="1" applyBorder="1" applyAlignment="1">
      <alignment/>
      <protection/>
    </xf>
    <xf numFmtId="0" fontId="28" fillId="0" borderId="0" xfId="62" applyFont="1" applyAlignment="1">
      <alignment horizontal="center"/>
      <protection/>
    </xf>
    <xf numFmtId="0" fontId="30" fillId="0" borderId="0" xfId="57" applyFont="1" applyBorder="1" applyAlignment="1">
      <alignment horizontal="center"/>
      <protection/>
    </xf>
    <xf numFmtId="0" fontId="30" fillId="0" borderId="0" xfId="59" applyFont="1">
      <alignment/>
      <protection/>
    </xf>
    <xf numFmtId="0" fontId="38" fillId="0" borderId="0" xfId="59" applyFont="1">
      <alignment/>
      <protection/>
    </xf>
    <xf numFmtId="0" fontId="28" fillId="0" borderId="0" xfId="59" applyFont="1">
      <alignment/>
      <protection/>
    </xf>
    <xf numFmtId="0" fontId="30" fillId="0" borderId="0" xfId="59" applyFont="1" applyAlignment="1">
      <alignment wrapText="1"/>
      <protection/>
    </xf>
    <xf numFmtId="168" fontId="30" fillId="0" borderId="0" xfId="40" applyNumberFormat="1" applyFont="1" applyAlignment="1">
      <alignment wrapText="1"/>
    </xf>
    <xf numFmtId="0" fontId="30" fillId="0" borderId="0" xfId="59" applyFont="1" applyAlignment="1">
      <alignment horizontal="left"/>
      <protection/>
    </xf>
    <xf numFmtId="0" fontId="28" fillId="0" borderId="0" xfId="57" applyFont="1">
      <alignment/>
      <protection/>
    </xf>
    <xf numFmtId="0" fontId="33" fillId="0" borderId="0" xfId="57" applyFont="1" applyAlignment="1">
      <alignment horizontal="center"/>
      <protection/>
    </xf>
    <xf numFmtId="168" fontId="28" fillId="0" borderId="0" xfId="40" applyNumberFormat="1" applyFont="1" applyAlignment="1">
      <alignment horizontal="right"/>
    </xf>
    <xf numFmtId="0" fontId="28" fillId="0" borderId="0" xfId="59" applyFont="1" applyAlignment="1">
      <alignment horizontal="left" wrapText="1"/>
      <protection/>
    </xf>
    <xf numFmtId="0" fontId="33" fillId="0" borderId="0" xfId="60" applyFont="1" applyAlignment="1">
      <alignment/>
      <protection/>
    </xf>
    <xf numFmtId="0" fontId="32" fillId="0" borderId="0" xfId="57" applyFont="1" applyAlignment="1">
      <alignment horizontal="center"/>
      <protection/>
    </xf>
    <xf numFmtId="0" fontId="32" fillId="0" borderId="0" xfId="57" applyFont="1">
      <alignment/>
      <protection/>
    </xf>
    <xf numFmtId="168" fontId="32" fillId="0" borderId="0" xfId="40" applyNumberFormat="1" applyFont="1" applyAlignment="1">
      <alignment/>
    </xf>
    <xf numFmtId="168" fontId="32" fillId="0" borderId="15" xfId="40" applyNumberFormat="1" applyFont="1" applyBorder="1" applyAlignment="1">
      <alignment horizontal="center"/>
    </xf>
    <xf numFmtId="0" fontId="32" fillId="0" borderId="0" xfId="57" applyFont="1" applyBorder="1" applyAlignment="1">
      <alignment horizontal="center" vertical="center"/>
      <protection/>
    </xf>
    <xf numFmtId="168" fontId="32" fillId="0" borderId="11" xfId="40" applyNumberFormat="1" applyFont="1" applyBorder="1" applyAlignment="1">
      <alignment horizontal="center"/>
    </xf>
    <xf numFmtId="168" fontId="32" fillId="0" borderId="16" xfId="40" applyNumberFormat="1" applyFont="1" applyBorder="1" applyAlignment="1">
      <alignment horizontal="center"/>
    </xf>
    <xf numFmtId="168" fontId="32" fillId="0" borderId="12" xfId="40" applyNumberFormat="1" applyFont="1" applyBorder="1" applyAlignment="1">
      <alignment horizontal="center"/>
    </xf>
    <xf numFmtId="168" fontId="32" fillId="0" borderId="17" xfId="40" applyNumberFormat="1" applyFont="1" applyBorder="1" applyAlignment="1">
      <alignment horizontal="center"/>
    </xf>
    <xf numFmtId="0" fontId="33" fillId="0" borderId="0" xfId="60" applyFont="1" applyAlignment="1">
      <alignment vertical="justify"/>
      <protection/>
    </xf>
    <xf numFmtId="0" fontId="33" fillId="0" borderId="0" xfId="60" applyFont="1" applyAlignment="1">
      <alignment horizontal="left" wrapText="1"/>
      <protection/>
    </xf>
    <xf numFmtId="0" fontId="33" fillId="0" borderId="0" xfId="60" applyFont="1" applyAlignment="1">
      <alignment wrapText="1"/>
      <protection/>
    </xf>
    <xf numFmtId="168" fontId="33" fillId="0" borderId="0" xfId="40" applyNumberFormat="1" applyFont="1" applyAlignment="1">
      <alignment wrapText="1"/>
    </xf>
    <xf numFmtId="0" fontId="33" fillId="0" borderId="0" xfId="60" applyFont="1">
      <alignment/>
      <protection/>
    </xf>
    <xf numFmtId="168" fontId="33" fillId="0" borderId="0" xfId="40" applyNumberFormat="1" applyFont="1" applyAlignment="1">
      <alignment/>
    </xf>
    <xf numFmtId="0" fontId="32" fillId="0" borderId="0" xfId="60" applyFont="1">
      <alignment/>
      <protection/>
    </xf>
    <xf numFmtId="164" fontId="30" fillId="0" borderId="0" xfId="60" applyNumberFormat="1" applyFont="1">
      <alignment/>
      <protection/>
    </xf>
    <xf numFmtId="0" fontId="32" fillId="0" borderId="0" xfId="60" applyFont="1" applyAlignment="1">
      <alignment vertical="justify"/>
      <protection/>
    </xf>
    <xf numFmtId="0" fontId="32" fillId="0" borderId="0" xfId="60" applyFont="1" applyAlignment="1">
      <alignment wrapText="1"/>
      <protection/>
    </xf>
    <xf numFmtId="0" fontId="32" fillId="0" borderId="0" xfId="60" applyFont="1" applyAlignment="1">
      <alignment/>
      <protection/>
    </xf>
    <xf numFmtId="0" fontId="41" fillId="0" borderId="0" xfId="60" applyFont="1" applyAlignment="1">
      <alignment wrapText="1"/>
      <protection/>
    </xf>
    <xf numFmtId="168" fontId="31" fillId="0" borderId="0" xfId="40" applyNumberFormat="1" applyFont="1" applyAlignment="1">
      <alignment wrapText="1"/>
    </xf>
    <xf numFmtId="168" fontId="28" fillId="0" borderId="0" xfId="40" applyNumberFormat="1" applyFont="1" applyAlignment="1">
      <alignment wrapText="1"/>
    </xf>
    <xf numFmtId="0" fontId="41" fillId="0" borderId="0" xfId="60" applyFont="1">
      <alignment/>
      <protection/>
    </xf>
    <xf numFmtId="168" fontId="31" fillId="0" borderId="0" xfId="40" applyNumberFormat="1" applyFont="1" applyAlignment="1">
      <alignment/>
    </xf>
    <xf numFmtId="0" fontId="28" fillId="0" borderId="0" xfId="60" applyFont="1" applyAlignment="1">
      <alignment wrapText="1"/>
      <protection/>
    </xf>
    <xf numFmtId="0" fontId="30" fillId="0" borderId="0" xfId="60" applyFont="1" applyAlignment="1">
      <alignment wrapText="1"/>
      <protection/>
    </xf>
    <xf numFmtId="0" fontId="33" fillId="0" borderId="0" xfId="57" applyFont="1" applyBorder="1" applyAlignment="1">
      <alignment horizontal="left" vertical="center"/>
      <protection/>
    </xf>
    <xf numFmtId="168" fontId="30" fillId="0" borderId="0" xfId="40" applyNumberFormat="1" applyFont="1" applyBorder="1" applyAlignment="1">
      <alignment horizontal="center"/>
    </xf>
    <xf numFmtId="0" fontId="32" fillId="0" borderId="0" xfId="57" applyFont="1" applyBorder="1" applyAlignment="1">
      <alignment horizontal="left" vertical="center"/>
      <protection/>
    </xf>
    <xf numFmtId="0" fontId="33" fillId="0" borderId="0" xfId="57" applyFont="1">
      <alignment/>
      <protection/>
    </xf>
    <xf numFmtId="0" fontId="33" fillId="0" borderId="0" xfId="57" applyFont="1" applyBorder="1" applyAlignment="1">
      <alignment horizontal="center" vertical="center"/>
      <protection/>
    </xf>
    <xf numFmtId="168" fontId="28" fillId="0" borderId="0" xfId="40" applyNumberFormat="1" applyFont="1" applyBorder="1" applyAlignment="1">
      <alignment horizontal="center"/>
    </xf>
    <xf numFmtId="164" fontId="28" fillId="0" borderId="0" xfId="60" applyNumberFormat="1" applyFont="1">
      <alignment/>
      <protection/>
    </xf>
    <xf numFmtId="168" fontId="32" fillId="0" borderId="0" xfId="40" applyNumberFormat="1" applyFont="1" applyBorder="1" applyAlignment="1">
      <alignment horizontal="center"/>
    </xf>
    <xf numFmtId="164" fontId="32" fillId="0" borderId="0" xfId="60" applyNumberFormat="1" applyFont="1">
      <alignment/>
      <protection/>
    </xf>
    <xf numFmtId="0" fontId="32" fillId="0" borderId="0" xfId="57" applyFont="1" applyAlignment="1">
      <alignment horizontal="left"/>
      <protection/>
    </xf>
    <xf numFmtId="168" fontId="28" fillId="0" borderId="0" xfId="60" applyNumberFormat="1" applyFont="1" applyBorder="1" applyAlignment="1">
      <alignment wrapText="1"/>
      <protection/>
    </xf>
    <xf numFmtId="168" fontId="28" fillId="0" borderId="0" xfId="60" applyNumberFormat="1" applyFont="1" applyAlignment="1">
      <alignment wrapText="1"/>
      <protection/>
    </xf>
    <xf numFmtId="0" fontId="30" fillId="0" borderId="0" xfId="60" applyFont="1">
      <alignment/>
      <protection/>
    </xf>
    <xf numFmtId="0" fontId="32" fillId="0" borderId="0" xfId="60" applyFont="1" applyAlignment="1">
      <alignment horizontal="left"/>
      <protection/>
    </xf>
    <xf numFmtId="177" fontId="30" fillId="0" borderId="0" xfId="60" applyNumberFormat="1" applyFont="1" applyAlignment="1">
      <alignment horizontal="center" wrapText="1"/>
      <protection/>
    </xf>
    <xf numFmtId="0" fontId="28" fillId="0" borderId="0" xfId="60" applyFont="1">
      <alignment/>
      <protection/>
    </xf>
    <xf numFmtId="164" fontId="33" fillId="0" borderId="0" xfId="60" applyNumberFormat="1" applyFont="1">
      <alignment/>
      <protection/>
    </xf>
    <xf numFmtId="168" fontId="28" fillId="0" borderId="0" xfId="60" applyNumberFormat="1" applyFont="1">
      <alignment/>
      <protection/>
    </xf>
    <xf numFmtId="41" fontId="30" fillId="0" borderId="0" xfId="60" applyNumberFormat="1" applyFont="1">
      <alignment/>
      <protection/>
    </xf>
    <xf numFmtId="41" fontId="28" fillId="0" borderId="0" xfId="40" applyNumberFormat="1" applyFont="1" applyAlignment="1">
      <alignment horizontal="left" wrapText="1"/>
    </xf>
    <xf numFmtId="0" fontId="33" fillId="0" borderId="0" xfId="60" applyFont="1" applyAlignment="1">
      <alignment horizontal="left" vertical="justify" wrapText="1"/>
      <protection/>
    </xf>
    <xf numFmtId="0" fontId="41" fillId="0" borderId="0" xfId="62" applyFont="1" applyAlignment="1">
      <alignment horizontal="center"/>
      <protection/>
    </xf>
    <xf numFmtId="0" fontId="32" fillId="0" borderId="18" xfId="62" applyFont="1" applyBorder="1" applyAlignment="1" quotePrefix="1">
      <alignment horizontal="center" vertical="center" wrapText="1"/>
      <protection/>
    </xf>
    <xf numFmtId="0" fontId="32" fillId="0" borderId="13" xfId="62" applyFont="1" applyBorder="1" applyAlignment="1">
      <alignment horizontal="right"/>
      <protection/>
    </xf>
    <xf numFmtId="0" fontId="32" fillId="0" borderId="13" xfId="62" applyFont="1" applyBorder="1">
      <alignment/>
      <protection/>
    </xf>
    <xf numFmtId="0" fontId="32" fillId="0" borderId="19" xfId="62" applyFont="1" applyBorder="1">
      <alignment/>
      <protection/>
    </xf>
    <xf numFmtId="0" fontId="32" fillId="0" borderId="18" xfId="62" applyFont="1" applyBorder="1">
      <alignment/>
      <protection/>
    </xf>
    <xf numFmtId="0" fontId="29" fillId="0" borderId="20" xfId="0" applyFont="1" applyBorder="1" applyAlignment="1">
      <alignment/>
    </xf>
    <xf numFmtId="0" fontId="32" fillId="0" borderId="21" xfId="62" applyFont="1" applyBorder="1" applyAlignment="1" quotePrefix="1">
      <alignment horizontal="center" vertical="center" wrapText="1"/>
      <protection/>
    </xf>
    <xf numFmtId="0" fontId="32" fillId="0" borderId="22" xfId="62" applyFont="1" applyBorder="1">
      <alignment/>
      <protection/>
    </xf>
    <xf numFmtId="0" fontId="32" fillId="0" borderId="22" xfId="62" applyFont="1" applyBorder="1" applyAlignment="1" quotePrefix="1">
      <alignment horizontal="center" vertical="center" wrapText="1"/>
      <protection/>
    </xf>
    <xf numFmtId="0" fontId="32" fillId="0" borderId="21" xfId="62" applyFont="1" applyBorder="1">
      <alignment/>
      <protection/>
    </xf>
    <xf numFmtId="0" fontId="29" fillId="0" borderId="23" xfId="0" applyFont="1" applyBorder="1" applyAlignment="1">
      <alignment/>
    </xf>
    <xf numFmtId="0" fontId="28" fillId="0" borderId="24" xfId="62" applyFont="1" applyBorder="1" applyAlignment="1">
      <alignment horizontal="right"/>
      <protection/>
    </xf>
    <xf numFmtId="0" fontId="43" fillId="0" borderId="14" xfId="62" applyFont="1" applyBorder="1">
      <alignment/>
      <protection/>
    </xf>
    <xf numFmtId="0" fontId="28" fillId="0" borderId="14" xfId="0" applyFont="1" applyBorder="1" applyAlignment="1">
      <alignment/>
    </xf>
    <xf numFmtId="0" fontId="42" fillId="0" borderId="25" xfId="62" applyFont="1" applyBorder="1">
      <alignment/>
      <protection/>
    </xf>
    <xf numFmtId="0" fontId="32" fillId="0" borderId="26" xfId="62" applyFont="1" applyBorder="1" applyAlignment="1">
      <alignment horizontal="right"/>
      <protection/>
    </xf>
    <xf numFmtId="0" fontId="42" fillId="0" borderId="27" xfId="62" applyFont="1" applyBorder="1">
      <alignment/>
      <protection/>
    </xf>
    <xf numFmtId="0" fontId="41" fillId="0" borderId="28" xfId="62" applyFont="1" applyBorder="1">
      <alignment/>
      <protection/>
    </xf>
    <xf numFmtId="0" fontId="41" fillId="0" borderId="29" xfId="62" applyFont="1" applyBorder="1">
      <alignment/>
      <protection/>
    </xf>
    <xf numFmtId="0" fontId="32" fillId="0" borderId="30" xfId="62" applyFont="1" applyBorder="1">
      <alignment/>
      <protection/>
    </xf>
    <xf numFmtId="0" fontId="32" fillId="0" borderId="31" xfId="62" applyFont="1" applyBorder="1">
      <alignment/>
      <protection/>
    </xf>
    <xf numFmtId="0" fontId="32" fillId="0" borderId="26" xfId="62" applyFont="1" applyBorder="1">
      <alignment/>
      <protection/>
    </xf>
    <xf numFmtId="0" fontId="30" fillId="0" borderId="0" xfId="61" applyFont="1">
      <alignment/>
      <protection/>
    </xf>
    <xf numFmtId="0" fontId="30" fillId="0" borderId="0" xfId="62" applyFont="1" applyAlignment="1">
      <alignment horizontal="center"/>
      <protection/>
    </xf>
    <xf numFmtId="0" fontId="30" fillId="0" borderId="0" xfId="62" applyFont="1" applyAlignment="1">
      <alignment horizontal="right"/>
      <protection/>
    </xf>
    <xf numFmtId="0" fontId="31" fillId="0" borderId="0" xfId="62" applyFont="1" applyAlignment="1">
      <alignment horizontal="center"/>
      <protection/>
    </xf>
    <xf numFmtId="0" fontId="30" fillId="0" borderId="32" xfId="62" applyFont="1" applyBorder="1" applyAlignment="1" quotePrefix="1">
      <alignment horizontal="center" vertical="center" wrapText="1"/>
      <protection/>
    </xf>
    <xf numFmtId="0" fontId="30" fillId="0" borderId="33" xfId="62" applyFont="1" applyBorder="1" applyAlignment="1">
      <alignment horizontal="left" wrapText="1"/>
      <protection/>
    </xf>
    <xf numFmtId="0" fontId="30" fillId="0" borderId="0" xfId="62" applyFont="1" applyBorder="1" applyAlignment="1">
      <alignment horizontal="right"/>
      <protection/>
    </xf>
    <xf numFmtId="0" fontId="31" fillId="0" borderId="0" xfId="62" applyFont="1" applyBorder="1">
      <alignment/>
      <protection/>
    </xf>
    <xf numFmtId="0" fontId="30" fillId="0" borderId="20" xfId="62" applyFont="1" applyBorder="1" applyAlignment="1" quotePrefix="1">
      <alignment horizontal="center" vertical="center" wrapText="1"/>
      <protection/>
    </xf>
    <xf numFmtId="0" fontId="30" fillId="0" borderId="21" xfId="62" applyFont="1" applyBorder="1" applyAlignment="1">
      <alignment wrapText="1"/>
      <protection/>
    </xf>
    <xf numFmtId="0" fontId="30" fillId="0" borderId="21" xfId="62" applyFont="1" applyBorder="1">
      <alignment/>
      <protection/>
    </xf>
    <xf numFmtId="0" fontId="30" fillId="0" borderId="24" xfId="62" applyFont="1" applyBorder="1">
      <alignment/>
      <protection/>
    </xf>
    <xf numFmtId="0" fontId="28" fillId="0" borderId="24" xfId="62" applyFont="1" applyBorder="1">
      <alignment/>
      <protection/>
    </xf>
    <xf numFmtId="0" fontId="31" fillId="0" borderId="0" xfId="62" applyFont="1" applyBorder="1" applyAlignment="1">
      <alignment horizontal="right"/>
      <protection/>
    </xf>
    <xf numFmtId="0" fontId="30" fillId="0" borderId="0" xfId="61" applyFont="1" applyBorder="1">
      <alignment/>
      <protection/>
    </xf>
    <xf numFmtId="0" fontId="30" fillId="0" borderId="0" xfId="61" applyFont="1" applyAlignment="1">
      <alignment horizontal="left" indent="14"/>
      <protection/>
    </xf>
    <xf numFmtId="41" fontId="30" fillId="0" borderId="32" xfId="62" applyNumberFormat="1" applyFont="1" applyBorder="1" applyAlignment="1">
      <alignment horizontal="right"/>
      <protection/>
    </xf>
    <xf numFmtId="41" fontId="30" fillId="0" borderId="34" xfId="62" applyNumberFormat="1" applyFont="1" applyBorder="1" applyAlignment="1">
      <alignment horizontal="right"/>
      <protection/>
    </xf>
    <xf numFmtId="41" fontId="30" fillId="0" borderId="35" xfId="62" applyNumberFormat="1" applyFont="1" applyBorder="1" applyAlignment="1">
      <alignment horizontal="right"/>
      <protection/>
    </xf>
    <xf numFmtId="41" fontId="30" fillId="0" borderId="36" xfId="62" applyNumberFormat="1" applyFont="1" applyBorder="1" applyAlignment="1">
      <alignment horizontal="right"/>
      <protection/>
    </xf>
    <xf numFmtId="41" fontId="30" fillId="0" borderId="37" xfId="62" applyNumberFormat="1" applyFont="1" applyBorder="1" applyAlignment="1">
      <alignment horizontal="right"/>
      <protection/>
    </xf>
    <xf numFmtId="41" fontId="30" fillId="0" borderId="29" xfId="62" applyNumberFormat="1" applyFont="1" applyBorder="1" applyAlignment="1">
      <alignment horizontal="right"/>
      <protection/>
    </xf>
    <xf numFmtId="41" fontId="30" fillId="0" borderId="13" xfId="62" applyNumberFormat="1" applyFont="1" applyBorder="1" applyAlignment="1">
      <alignment horizontal="right"/>
      <protection/>
    </xf>
    <xf numFmtId="41" fontId="30" fillId="0" borderId="25" xfId="62" applyNumberFormat="1" applyFont="1" applyBorder="1" applyAlignment="1">
      <alignment horizontal="right"/>
      <protection/>
    </xf>
    <xf numFmtId="41" fontId="30" fillId="0" borderId="38" xfId="62" applyNumberFormat="1" applyFont="1" applyBorder="1" applyAlignment="1">
      <alignment horizontal="right"/>
      <protection/>
    </xf>
    <xf numFmtId="41" fontId="30" fillId="0" borderId="39" xfId="62" applyNumberFormat="1" applyFont="1" applyBorder="1" applyAlignment="1">
      <alignment horizontal="right"/>
      <protection/>
    </xf>
    <xf numFmtId="41" fontId="30" fillId="0" borderId="40" xfId="62" applyNumberFormat="1" applyFont="1" applyBorder="1" applyAlignment="1">
      <alignment horizontal="right"/>
      <protection/>
    </xf>
    <xf numFmtId="41" fontId="28" fillId="0" borderId="14" xfId="62" applyNumberFormat="1" applyFont="1" applyBorder="1" applyAlignment="1">
      <alignment horizontal="right"/>
      <protection/>
    </xf>
    <xf numFmtId="41" fontId="28" fillId="0" borderId="41" xfId="62" applyNumberFormat="1" applyFont="1" applyBorder="1" applyAlignment="1">
      <alignment horizontal="right"/>
      <protection/>
    </xf>
    <xf numFmtId="41" fontId="28" fillId="0" borderId="24" xfId="62" applyNumberFormat="1" applyFont="1" applyBorder="1" applyAlignment="1">
      <alignment horizontal="right"/>
      <protection/>
    </xf>
    <xf numFmtId="0" fontId="30" fillId="0" borderId="0" xfId="0" applyFont="1" applyAlignment="1">
      <alignment horizontal="right"/>
    </xf>
    <xf numFmtId="0" fontId="30" fillId="0" borderId="18" xfId="62" applyFont="1" applyBorder="1" applyAlignment="1" quotePrefix="1">
      <alignment horizontal="center" vertical="center" wrapText="1"/>
      <protection/>
    </xf>
    <xf numFmtId="0" fontId="30" fillId="0" borderId="32" xfId="62" applyFont="1" applyBorder="1" applyAlignment="1">
      <alignment horizontal="left" wrapText="1"/>
      <protection/>
    </xf>
    <xf numFmtId="41" fontId="30" fillId="0" borderId="42" xfId="62" applyNumberFormat="1" applyFont="1" applyBorder="1" applyAlignment="1">
      <alignment horizontal="right"/>
      <protection/>
    </xf>
    <xf numFmtId="0" fontId="30" fillId="0" borderId="0" xfId="62" applyFont="1" applyBorder="1" applyAlignment="1">
      <alignment/>
      <protection/>
    </xf>
    <xf numFmtId="0" fontId="30" fillId="0" borderId="21" xfId="62" applyFont="1" applyBorder="1" applyAlignment="1" quotePrefix="1">
      <alignment horizontal="center" vertical="center" wrapText="1"/>
      <protection/>
    </xf>
    <xf numFmtId="0" fontId="30" fillId="0" borderId="20" xfId="62" applyFont="1" applyBorder="1" applyAlignment="1">
      <alignment horizontal="left" wrapText="1"/>
      <protection/>
    </xf>
    <xf numFmtId="41" fontId="30" fillId="0" borderId="20" xfId="62" applyNumberFormat="1" applyFont="1" applyBorder="1" applyAlignment="1">
      <alignment horizontal="right"/>
      <protection/>
    </xf>
    <xf numFmtId="41" fontId="30" fillId="0" borderId="43" xfId="62" applyNumberFormat="1" applyFont="1" applyBorder="1" applyAlignment="1">
      <alignment horizontal="right"/>
      <protection/>
    </xf>
    <xf numFmtId="41" fontId="30" fillId="0" borderId="44" xfId="62" applyNumberFormat="1" applyFont="1" applyBorder="1" applyAlignment="1">
      <alignment horizontal="right"/>
      <protection/>
    </xf>
    <xf numFmtId="0" fontId="28" fillId="0" borderId="14" xfId="62" applyFont="1" applyBorder="1">
      <alignment/>
      <protection/>
    </xf>
    <xf numFmtId="41" fontId="28" fillId="0" borderId="45" xfId="62" applyNumberFormat="1" applyFont="1" applyBorder="1" applyAlignment="1">
      <alignment horizontal="right"/>
      <protection/>
    </xf>
    <xf numFmtId="0" fontId="30" fillId="0" borderId="46" xfId="62" applyFont="1" applyBorder="1" applyAlignment="1" quotePrefix="1">
      <alignment horizontal="center" vertical="center" wrapText="1"/>
      <protection/>
    </xf>
    <xf numFmtId="0" fontId="30" fillId="0" borderId="11" xfId="62" applyFont="1" applyBorder="1" applyAlignment="1">
      <alignment horizontal="left" wrapText="1"/>
      <protection/>
    </xf>
    <xf numFmtId="41" fontId="30" fillId="0" borderId="16" xfId="62" applyNumberFormat="1" applyFont="1" applyBorder="1" applyAlignment="1">
      <alignment horizontal="right"/>
      <protection/>
    </xf>
    <xf numFmtId="41" fontId="28" fillId="0" borderId="47" xfId="62" applyNumberFormat="1" applyFont="1" applyBorder="1" applyAlignment="1">
      <alignment horizontal="right"/>
      <protection/>
    </xf>
    <xf numFmtId="0" fontId="32" fillId="0" borderId="33" xfId="62" applyFont="1" applyBorder="1" applyAlignment="1" quotePrefix="1">
      <alignment horizontal="center" vertical="center" wrapText="1"/>
      <protection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32" fillId="0" borderId="29" xfId="62" applyFont="1" applyBorder="1" applyAlignment="1">
      <alignment horizontal="right"/>
      <protection/>
    </xf>
    <xf numFmtId="0" fontId="32" fillId="0" borderId="48" xfId="62" applyFont="1" applyBorder="1" applyAlignment="1">
      <alignment horizontal="right"/>
      <protection/>
    </xf>
    <xf numFmtId="0" fontId="28" fillId="0" borderId="41" xfId="62" applyFont="1" applyBorder="1" applyAlignment="1">
      <alignment horizontal="right"/>
      <protection/>
    </xf>
    <xf numFmtId="0" fontId="33" fillId="0" borderId="32" xfId="62" applyFont="1" applyBorder="1" applyAlignment="1">
      <alignment horizontal="right"/>
      <protection/>
    </xf>
    <xf numFmtId="0" fontId="33" fillId="0" borderId="20" xfId="62" applyFont="1" applyBorder="1" applyAlignment="1">
      <alignment horizontal="right"/>
      <protection/>
    </xf>
    <xf numFmtId="0" fontId="28" fillId="0" borderId="14" xfId="62" applyFont="1" applyBorder="1" applyAlignment="1">
      <alignment horizontal="right"/>
      <protection/>
    </xf>
    <xf numFmtId="0" fontId="32" fillId="0" borderId="0" xfId="60" applyFont="1" applyAlignment="1">
      <alignment horizontal="left" wrapText="1"/>
      <protection/>
    </xf>
    <xf numFmtId="0" fontId="30" fillId="0" borderId="22" xfId="62" applyFont="1" applyBorder="1" applyAlignment="1" quotePrefix="1">
      <alignment horizontal="center" vertical="center" wrapText="1"/>
      <protection/>
    </xf>
    <xf numFmtId="0" fontId="30" fillId="0" borderId="37" xfId="62" applyFont="1" applyBorder="1" applyAlignment="1">
      <alignment horizontal="left" wrapText="1"/>
      <protection/>
    </xf>
    <xf numFmtId="41" fontId="30" fillId="0" borderId="49" xfId="62" applyNumberFormat="1" applyFont="1" applyBorder="1" applyAlignment="1">
      <alignment horizontal="right"/>
      <protection/>
    </xf>
    <xf numFmtId="41" fontId="30" fillId="0" borderId="11" xfId="62" applyNumberFormat="1" applyFont="1" applyBorder="1" applyAlignment="1">
      <alignment horizontal="right"/>
      <protection/>
    </xf>
    <xf numFmtId="0" fontId="28" fillId="0" borderId="0" xfId="62" applyFont="1">
      <alignment/>
      <protection/>
    </xf>
    <xf numFmtId="41" fontId="30" fillId="0" borderId="12" xfId="62" applyNumberFormat="1" applyFont="1" applyBorder="1" applyAlignment="1">
      <alignment horizontal="right"/>
      <protection/>
    </xf>
    <xf numFmtId="0" fontId="33" fillId="0" borderId="44" xfId="62" applyFont="1" applyBorder="1" applyAlignment="1">
      <alignment horizontal="right"/>
      <protection/>
    </xf>
    <xf numFmtId="0" fontId="28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/>
    </xf>
    <xf numFmtId="41" fontId="30" fillId="0" borderId="0" xfId="0" applyNumberFormat="1" applyFont="1" applyAlignment="1">
      <alignment horizontal="center"/>
    </xf>
    <xf numFmtId="0" fontId="28" fillId="0" borderId="0" xfId="0" applyFont="1" applyAlignment="1">
      <alignment wrapText="1"/>
    </xf>
    <xf numFmtId="0" fontId="0" fillId="0" borderId="0" xfId="0" applyAlignment="1">
      <alignment/>
    </xf>
    <xf numFmtId="168" fontId="28" fillId="0" borderId="0" xfId="40" applyNumberFormat="1" applyFont="1" applyAlignment="1">
      <alignment horizontal="center"/>
    </xf>
    <xf numFmtId="41" fontId="28" fillId="0" borderId="0" xfId="40" applyNumberFormat="1" applyFont="1" applyAlignment="1">
      <alignment horizontal="center"/>
    </xf>
    <xf numFmtId="41" fontId="28" fillId="0" borderId="0" xfId="0" applyNumberFormat="1" applyFont="1" applyAlignment="1">
      <alignment horizontal="center"/>
    </xf>
    <xf numFmtId="0" fontId="33" fillId="0" borderId="0" xfId="63" applyFont="1" applyAlignment="1">
      <alignment horizontal="center"/>
      <protection/>
    </xf>
    <xf numFmtId="0" fontId="32" fillId="0" borderId="0" xfId="63" applyFont="1">
      <alignment/>
      <protection/>
    </xf>
    <xf numFmtId="0" fontId="32" fillId="0" borderId="0" xfId="63" applyFont="1" applyAlignment="1">
      <alignment horizontal="center"/>
      <protection/>
    </xf>
    <xf numFmtId="0" fontId="30" fillId="0" borderId="0" xfId="63" applyFont="1">
      <alignment/>
      <protection/>
    </xf>
    <xf numFmtId="41" fontId="28" fillId="0" borderId="0" xfId="40" applyNumberFormat="1" applyFont="1" applyAlignment="1">
      <alignment/>
    </xf>
    <xf numFmtId="41" fontId="51" fillId="0" borderId="0" xfId="40" applyNumberFormat="1" applyFont="1" applyAlignment="1">
      <alignment/>
    </xf>
    <xf numFmtId="0" fontId="28" fillId="0" borderId="0" xfId="63" applyFont="1">
      <alignment/>
      <protection/>
    </xf>
    <xf numFmtId="0" fontId="38" fillId="0" borderId="0" xfId="63" applyFont="1">
      <alignment/>
      <protection/>
    </xf>
    <xf numFmtId="41" fontId="30" fillId="0" borderId="0" xfId="40" applyNumberFormat="1" applyFont="1" applyAlignment="1">
      <alignment/>
    </xf>
    <xf numFmtId="41" fontId="39" fillId="0" borderId="0" xfId="40" applyNumberFormat="1" applyFont="1" applyAlignment="1">
      <alignment/>
    </xf>
    <xf numFmtId="0" fontId="30" fillId="0" borderId="0" xfId="63" applyFont="1" applyBorder="1">
      <alignment/>
      <protection/>
    </xf>
    <xf numFmtId="0" fontId="50" fillId="0" borderId="0" xfId="0" applyFont="1" applyAlignment="1">
      <alignment wrapText="1"/>
    </xf>
    <xf numFmtId="0" fontId="38" fillId="0" borderId="0" xfId="62" applyFont="1" applyBorder="1" applyAlignment="1">
      <alignment horizontal="left" wrapText="1"/>
      <protection/>
    </xf>
    <xf numFmtId="41" fontId="32" fillId="0" borderId="30" xfId="62" applyNumberFormat="1" applyFont="1" applyBorder="1">
      <alignment/>
      <protection/>
    </xf>
    <xf numFmtId="0" fontId="30" fillId="0" borderId="22" xfId="62" applyFont="1" applyBorder="1" applyAlignment="1">
      <alignment horizontal="left" wrapText="1"/>
      <protection/>
    </xf>
    <xf numFmtId="0" fontId="30" fillId="0" borderId="21" xfId="62" applyFont="1" applyBorder="1" applyAlignment="1">
      <alignment horizontal="left" wrapText="1"/>
      <protection/>
    </xf>
    <xf numFmtId="0" fontId="32" fillId="0" borderId="18" xfId="62" applyFont="1" applyBorder="1" applyAlignment="1">
      <alignment horizontal="left" wrapText="1"/>
      <protection/>
    </xf>
    <xf numFmtId="0" fontId="32" fillId="0" borderId="21" xfId="62" applyFont="1" applyBorder="1" applyAlignment="1">
      <alignment horizontal="left" wrapText="1"/>
      <protection/>
    </xf>
    <xf numFmtId="0" fontId="32" fillId="0" borderId="22" xfId="62" applyFont="1" applyBorder="1" applyAlignment="1">
      <alignment horizontal="left" wrapText="1"/>
      <protection/>
    </xf>
    <xf numFmtId="0" fontId="32" fillId="0" borderId="21" xfId="62" applyFont="1" applyBorder="1" applyAlignment="1">
      <alignment wrapText="1"/>
      <protection/>
    </xf>
    <xf numFmtId="0" fontId="32" fillId="0" borderId="33" xfId="62" applyFont="1" applyBorder="1" applyAlignment="1">
      <alignment wrapText="1"/>
      <protection/>
    </xf>
    <xf numFmtId="0" fontId="33" fillId="0" borderId="21" xfId="62" applyFont="1" applyBorder="1" applyAlignment="1">
      <alignment horizontal="right"/>
      <protection/>
    </xf>
    <xf numFmtId="41" fontId="30" fillId="0" borderId="28" xfId="62" applyNumberFormat="1" applyFont="1" applyBorder="1" applyAlignment="1">
      <alignment horizontal="right"/>
      <protection/>
    </xf>
    <xf numFmtId="41" fontId="30" fillId="0" borderId="50" xfId="62" applyNumberFormat="1" applyFont="1" applyBorder="1" applyAlignment="1">
      <alignment horizontal="right"/>
      <protection/>
    </xf>
    <xf numFmtId="41" fontId="30" fillId="0" borderId="51" xfId="62" applyNumberFormat="1" applyFont="1" applyBorder="1" applyAlignment="1">
      <alignment horizontal="right"/>
      <protection/>
    </xf>
    <xf numFmtId="41" fontId="30" fillId="0" borderId="52" xfId="62" applyNumberFormat="1" applyFont="1" applyBorder="1" applyAlignment="1">
      <alignment horizontal="right"/>
      <protection/>
    </xf>
    <xf numFmtId="0" fontId="0" fillId="0" borderId="20" xfId="0" applyBorder="1" applyAlignment="1">
      <alignment/>
    </xf>
    <xf numFmtId="0" fontId="8" fillId="0" borderId="0" xfId="0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Border="1" applyAlignment="1">
      <alignment/>
    </xf>
    <xf numFmtId="168" fontId="8" fillId="0" borderId="0" xfId="40" applyNumberFormat="1" applyFont="1" applyAlignment="1">
      <alignment/>
    </xf>
    <xf numFmtId="168" fontId="8" fillId="0" borderId="0" xfId="4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53" xfId="0" applyFont="1" applyBorder="1" applyAlignment="1">
      <alignment/>
    </xf>
    <xf numFmtId="168" fontId="4" fillId="0" borderId="10" xfId="40" applyNumberFormat="1" applyFont="1" applyBorder="1" applyAlignment="1">
      <alignment/>
    </xf>
    <xf numFmtId="168" fontId="4" fillId="0" borderId="54" xfId="40" applyNumberFormat="1" applyFont="1" applyBorder="1" applyAlignment="1">
      <alignment/>
    </xf>
    <xf numFmtId="168" fontId="4" fillId="0" borderId="55" xfId="40" applyNumberFormat="1" applyFont="1" applyBorder="1" applyAlignment="1">
      <alignment/>
    </xf>
    <xf numFmtId="168" fontId="4" fillId="0" borderId="56" xfId="40" applyNumberFormat="1" applyFont="1" applyBorder="1" applyAlignment="1">
      <alignment/>
    </xf>
    <xf numFmtId="168" fontId="8" fillId="0" borderId="56" xfId="40" applyNumberFormat="1" applyFont="1" applyBorder="1" applyAlignment="1">
      <alignment/>
    </xf>
    <xf numFmtId="168" fontId="8" fillId="0" borderId="55" xfId="40" applyNumberFormat="1" applyFont="1" applyBorder="1" applyAlignment="1">
      <alignment/>
    </xf>
    <xf numFmtId="168" fontId="8" fillId="0" borderId="10" xfId="4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46" xfId="0" applyFont="1" applyBorder="1" applyAlignment="1">
      <alignment horizontal="center"/>
    </xf>
    <xf numFmtId="168" fontId="8" fillId="0" borderId="11" xfId="40" applyNumberFormat="1" applyFont="1" applyBorder="1" applyAlignment="1">
      <alignment horizontal="center"/>
    </xf>
    <xf numFmtId="168" fontId="8" fillId="0" borderId="57" xfId="40" applyNumberFormat="1" applyFont="1" applyBorder="1" applyAlignment="1">
      <alignment horizontal="center"/>
    </xf>
    <xf numFmtId="168" fontId="8" fillId="0" borderId="58" xfId="40" applyNumberFormat="1" applyFont="1" applyBorder="1" applyAlignment="1">
      <alignment horizontal="center"/>
    </xf>
    <xf numFmtId="168" fontId="8" fillId="0" borderId="59" xfId="40" applyNumberFormat="1" applyFont="1" applyBorder="1" applyAlignment="1">
      <alignment horizontal="center"/>
    </xf>
    <xf numFmtId="168" fontId="4" fillId="0" borderId="11" xfId="4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60" xfId="0" applyFont="1" applyBorder="1" applyAlignment="1">
      <alignment/>
    </xf>
    <xf numFmtId="168" fontId="8" fillId="0" borderId="12" xfId="40" applyNumberFormat="1" applyFont="1" applyBorder="1" applyAlignment="1">
      <alignment/>
    </xf>
    <xf numFmtId="168" fontId="8" fillId="0" borderId="61" xfId="40" applyNumberFormat="1" applyFont="1" applyBorder="1" applyAlignment="1">
      <alignment/>
    </xf>
    <xf numFmtId="168" fontId="8" fillId="0" borderId="62" xfId="40" applyNumberFormat="1" applyFont="1" applyBorder="1" applyAlignment="1">
      <alignment/>
    </xf>
    <xf numFmtId="168" fontId="8" fillId="0" borderId="63" xfId="40" applyNumberFormat="1" applyFont="1" applyBorder="1" applyAlignment="1">
      <alignment/>
    </xf>
    <xf numFmtId="0" fontId="8" fillId="0" borderId="64" xfId="0" applyFont="1" applyBorder="1" applyAlignment="1">
      <alignment/>
    </xf>
    <xf numFmtId="0" fontId="4" fillId="0" borderId="0" xfId="0" applyFont="1" applyBorder="1" applyAlignment="1">
      <alignment/>
    </xf>
    <xf numFmtId="168" fontId="8" fillId="0" borderId="59" xfId="40" applyNumberFormat="1" applyFont="1" applyBorder="1" applyAlignment="1">
      <alignment/>
    </xf>
    <xf numFmtId="168" fontId="8" fillId="0" borderId="57" xfId="40" applyNumberFormat="1" applyFont="1" applyBorder="1" applyAlignment="1">
      <alignment/>
    </xf>
    <xf numFmtId="168" fontId="8" fillId="0" borderId="58" xfId="40" applyNumberFormat="1" applyFont="1" applyBorder="1" applyAlignment="1">
      <alignment/>
    </xf>
    <xf numFmtId="168" fontId="8" fillId="0" borderId="65" xfId="40" applyNumberFormat="1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168" fontId="8" fillId="0" borderId="13" xfId="40" applyNumberFormat="1" applyFont="1" applyBorder="1" applyAlignment="1">
      <alignment/>
    </xf>
    <xf numFmtId="168" fontId="8" fillId="0" borderId="25" xfId="4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168" fontId="8" fillId="0" borderId="13" xfId="40" applyNumberFormat="1" applyFont="1" applyBorder="1" applyAlignment="1">
      <alignment/>
    </xf>
    <xf numFmtId="0" fontId="8" fillId="0" borderId="13" xfId="0" applyFont="1" applyBorder="1" applyAlignment="1">
      <alignment/>
    </xf>
    <xf numFmtId="168" fontId="34" fillId="0" borderId="13" xfId="40" applyNumberFormat="1" applyFont="1" applyFill="1" applyBorder="1" applyAlignment="1">
      <alignment/>
    </xf>
    <xf numFmtId="168" fontId="34" fillId="0" borderId="19" xfId="40" applyNumberFormat="1" applyFont="1" applyFill="1" applyBorder="1" applyAlignment="1">
      <alignment/>
    </xf>
    <xf numFmtId="168" fontId="8" fillId="0" borderId="13" xfId="40" applyNumberFormat="1" applyFont="1" applyFill="1" applyBorder="1" applyAlignment="1">
      <alignment/>
    </xf>
    <xf numFmtId="168" fontId="8" fillId="0" borderId="19" xfId="40" applyNumberFormat="1" applyFont="1" applyFill="1" applyBorder="1" applyAlignment="1">
      <alignment/>
    </xf>
    <xf numFmtId="0" fontId="8" fillId="0" borderId="66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4" fillId="0" borderId="14" xfId="0" applyFont="1" applyBorder="1" applyAlignment="1">
      <alignment/>
    </xf>
    <xf numFmtId="168" fontId="4" fillId="0" borderId="67" xfId="40" applyNumberFormat="1" applyFont="1" applyBorder="1" applyAlignment="1">
      <alignment/>
    </xf>
    <xf numFmtId="168" fontId="4" fillId="0" borderId="14" xfId="40" applyNumberFormat="1" applyFont="1" applyBorder="1" applyAlignment="1">
      <alignment/>
    </xf>
    <xf numFmtId="0" fontId="8" fillId="0" borderId="64" xfId="0" applyFont="1" applyBorder="1" applyAlignment="1">
      <alignment horizontal="center"/>
    </xf>
    <xf numFmtId="0" fontId="4" fillId="0" borderId="35" xfId="0" applyFont="1" applyBorder="1" applyAlignment="1">
      <alignment/>
    </xf>
    <xf numFmtId="168" fontId="8" fillId="0" borderId="68" xfId="40" applyNumberFormat="1" applyFont="1" applyBorder="1" applyAlignment="1">
      <alignment/>
    </xf>
    <xf numFmtId="168" fontId="8" fillId="0" borderId="19" xfId="40" applyNumberFormat="1" applyFont="1" applyBorder="1" applyAlignment="1">
      <alignment/>
    </xf>
    <xf numFmtId="0" fontId="8" fillId="0" borderId="14" xfId="0" applyFont="1" applyBorder="1" applyAlignment="1">
      <alignment/>
    </xf>
    <xf numFmtId="0" fontId="4" fillId="0" borderId="24" xfId="0" applyFont="1" applyBorder="1" applyAlignment="1">
      <alignment/>
    </xf>
    <xf numFmtId="168" fontId="8" fillId="0" borderId="69" xfId="40" applyNumberFormat="1" applyFont="1" applyBorder="1" applyAlignment="1">
      <alignment/>
    </xf>
    <xf numFmtId="168" fontId="8" fillId="0" borderId="70" xfId="40" applyNumberFormat="1" applyFont="1" applyBorder="1" applyAlignment="1">
      <alignment/>
    </xf>
    <xf numFmtId="0" fontId="32" fillId="0" borderId="47" xfId="57" applyFont="1" applyBorder="1" applyAlignment="1">
      <alignment horizontal="center" vertical="center"/>
      <protection/>
    </xf>
    <xf numFmtId="0" fontId="32" fillId="0" borderId="53" xfId="57" applyFont="1" applyBorder="1" applyAlignment="1">
      <alignment horizontal="center" vertical="center"/>
      <protection/>
    </xf>
    <xf numFmtId="0" fontId="32" fillId="0" borderId="71" xfId="57" applyFont="1" applyBorder="1" applyAlignment="1">
      <alignment horizontal="center" vertical="center"/>
      <protection/>
    </xf>
    <xf numFmtId="0" fontId="32" fillId="0" borderId="46" xfId="57" applyFont="1" applyBorder="1" applyAlignment="1">
      <alignment horizontal="center" vertical="center"/>
      <protection/>
    </xf>
    <xf numFmtId="0" fontId="32" fillId="0" borderId="0" xfId="57" applyFont="1" applyBorder="1" applyAlignment="1">
      <alignment horizontal="center" vertical="center"/>
      <protection/>
    </xf>
    <xf numFmtId="0" fontId="32" fillId="0" borderId="60" xfId="57" applyFont="1" applyBorder="1" applyAlignment="1">
      <alignment horizontal="center" vertical="center"/>
      <protection/>
    </xf>
    <xf numFmtId="0" fontId="32" fillId="0" borderId="47" xfId="57" applyFont="1" applyBorder="1" applyAlignment="1">
      <alignment horizontal="right"/>
      <protection/>
    </xf>
    <xf numFmtId="0" fontId="0" fillId="0" borderId="0" xfId="0" applyAlignment="1">
      <alignment horizontal="left" wrapText="1"/>
    </xf>
    <xf numFmtId="0" fontId="33" fillId="0" borderId="0" xfId="60" applyFont="1" applyAlignment="1">
      <alignment horizontal="left" wrapText="1"/>
      <protection/>
    </xf>
    <xf numFmtId="0" fontId="28" fillId="0" borderId="0" xfId="57" applyFont="1" applyAlignment="1">
      <alignment horizontal="center"/>
      <protection/>
    </xf>
    <xf numFmtId="0" fontId="33" fillId="0" borderId="0" xfId="57" applyFont="1" applyAlignment="1">
      <alignment horizontal="center"/>
      <protection/>
    </xf>
    <xf numFmtId="0" fontId="36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Border="1" applyAlignment="1">
      <alignment horizontal="center"/>
    </xf>
    <xf numFmtId="0" fontId="28" fillId="0" borderId="0" xfId="59" applyFont="1" applyAlignment="1">
      <alignment horizontal="center"/>
      <protection/>
    </xf>
    <xf numFmtId="0" fontId="32" fillId="0" borderId="0" xfId="57" applyFont="1" applyAlignment="1">
      <alignment horizontal="left" wrapText="1"/>
      <protection/>
    </xf>
    <xf numFmtId="0" fontId="32" fillId="0" borderId="0" xfId="60" applyFont="1" applyAlignment="1">
      <alignment horizontal="left" wrapText="1"/>
      <protection/>
    </xf>
    <xf numFmtId="168" fontId="32" fillId="0" borderId="67" xfId="40" applyNumberFormat="1" applyFont="1" applyBorder="1" applyAlignment="1">
      <alignment horizontal="center"/>
    </xf>
    <xf numFmtId="168" fontId="32" fillId="0" borderId="72" xfId="40" applyNumberFormat="1" applyFont="1" applyBorder="1" applyAlignment="1">
      <alignment horizontal="center"/>
    </xf>
    <xf numFmtId="0" fontId="32" fillId="0" borderId="10" xfId="57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0" xfId="60" applyFont="1" applyAlignment="1">
      <alignment horizontal="left" wrapText="1"/>
      <protection/>
    </xf>
    <xf numFmtId="0" fontId="33" fillId="0" borderId="0" xfId="60" applyFont="1" applyAlignment="1">
      <alignment horizontal="left"/>
      <protection/>
    </xf>
    <xf numFmtId="0" fontId="32" fillId="0" borderId="0" xfId="57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0" fillId="0" borderId="0" xfId="61" applyFont="1" applyAlignment="1">
      <alignment horizontal="right"/>
      <protection/>
    </xf>
    <xf numFmtId="0" fontId="30" fillId="0" borderId="0" xfId="0" applyFont="1" applyAlignment="1">
      <alignment/>
    </xf>
    <xf numFmtId="0" fontId="30" fillId="0" borderId="0" xfId="62" applyFont="1" applyAlignment="1">
      <alignment horizontal="center"/>
      <protection/>
    </xf>
    <xf numFmtId="0" fontId="28" fillId="0" borderId="0" xfId="62" applyFont="1" applyAlignment="1">
      <alignment horizontal="center"/>
      <protection/>
    </xf>
    <xf numFmtId="0" fontId="30" fillId="0" borderId="10" xfId="62" applyFont="1" applyBorder="1" applyAlignment="1">
      <alignment horizontal="center" vertical="center" wrapText="1"/>
      <protection/>
    </xf>
    <xf numFmtId="0" fontId="30" fillId="0" borderId="11" xfId="62" applyFont="1" applyBorder="1" applyAlignment="1">
      <alignment horizontal="center" vertical="center" wrapText="1"/>
      <protection/>
    </xf>
    <xf numFmtId="0" fontId="30" fillId="0" borderId="12" xfId="62" applyFont="1" applyBorder="1" applyAlignment="1">
      <alignment horizontal="center" vertical="center" wrapText="1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1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0" fontId="30" fillId="0" borderId="24" xfId="57" applyFont="1" applyBorder="1" applyAlignment="1">
      <alignment horizontal="center"/>
      <protection/>
    </xf>
    <xf numFmtId="0" fontId="30" fillId="0" borderId="41" xfId="57" applyFont="1" applyBorder="1" applyAlignment="1">
      <alignment horizontal="center"/>
      <protection/>
    </xf>
    <xf numFmtId="0" fontId="30" fillId="0" borderId="45" xfId="57" applyFont="1" applyBorder="1" applyAlignment="1">
      <alignment horizontal="center"/>
      <protection/>
    </xf>
    <xf numFmtId="0" fontId="30" fillId="0" borderId="46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9" fillId="0" borderId="0" xfId="62" applyFont="1" applyAlignment="1">
      <alignment horizontal="right"/>
      <protection/>
    </xf>
    <xf numFmtId="0" fontId="29" fillId="0" borderId="0" xfId="0" applyFont="1" applyAlignment="1">
      <alignment horizontal="right"/>
    </xf>
    <xf numFmtId="0" fontId="32" fillId="0" borderId="0" xfId="62" applyFont="1" applyAlignment="1">
      <alignment horizontal="center"/>
      <protection/>
    </xf>
    <xf numFmtId="0" fontId="39" fillId="0" borderId="0" xfId="62" applyFont="1" applyAlignment="1">
      <alignment horizontal="center"/>
      <protection/>
    </xf>
    <xf numFmtId="0" fontId="32" fillId="0" borderId="10" xfId="62" applyFont="1" applyBorder="1" applyAlignment="1">
      <alignment horizontal="center" vertical="center" wrapText="1"/>
      <protection/>
    </xf>
    <xf numFmtId="0" fontId="32" fillId="0" borderId="11" xfId="62" applyFont="1" applyBorder="1" applyAlignment="1">
      <alignment horizontal="center" vertical="center" wrapText="1"/>
      <protection/>
    </xf>
    <xf numFmtId="0" fontId="32" fillId="0" borderId="53" xfId="62" applyFont="1" applyBorder="1" applyAlignment="1">
      <alignment horizontal="center" vertical="center"/>
      <protection/>
    </xf>
    <xf numFmtId="0" fontId="32" fillId="0" borderId="46" xfId="62" applyFont="1" applyBorder="1" applyAlignment="1">
      <alignment horizontal="center" vertic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32" fillId="0" borderId="46" xfId="57" applyFont="1" applyBorder="1" applyAlignment="1">
      <alignment horizontal="center" vertical="center" wrapText="1"/>
      <protection/>
    </xf>
    <xf numFmtId="0" fontId="32" fillId="0" borderId="60" xfId="57" applyFont="1" applyBorder="1" applyAlignment="1">
      <alignment horizontal="center" vertical="center" wrapText="1"/>
      <protection/>
    </xf>
    <xf numFmtId="0" fontId="32" fillId="0" borderId="24" xfId="57" applyFont="1" applyBorder="1" applyAlignment="1">
      <alignment horizontal="center"/>
      <protection/>
    </xf>
    <xf numFmtId="0" fontId="32" fillId="0" borderId="41" xfId="57" applyFont="1" applyBorder="1" applyAlignment="1">
      <alignment horizontal="center"/>
      <protection/>
    </xf>
    <xf numFmtId="0" fontId="32" fillId="0" borderId="10" xfId="57" applyFont="1" applyBorder="1" applyAlignment="1">
      <alignment horizontal="center" vertical="center"/>
      <protection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32" fillId="0" borderId="11" xfId="57" applyFont="1" applyBorder="1" applyAlignment="1">
      <alignment horizontal="center"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32" fillId="0" borderId="12" xfId="57" applyFont="1" applyBorder="1" applyAlignment="1">
      <alignment horizontal="center" vertical="center" wrapText="1"/>
      <protection/>
    </xf>
    <xf numFmtId="0" fontId="35" fillId="0" borderId="10" xfId="57" applyFont="1" applyBorder="1" applyAlignment="1">
      <alignment horizontal="center" vertical="center" wrapText="1"/>
      <protection/>
    </xf>
    <xf numFmtId="0" fontId="35" fillId="0" borderId="11" xfId="57" applyFont="1" applyBorder="1" applyAlignment="1">
      <alignment horizontal="center" vertical="center" wrapText="1"/>
      <protection/>
    </xf>
    <xf numFmtId="0" fontId="35" fillId="0" borderId="12" xfId="57" applyFont="1" applyBorder="1" applyAlignment="1">
      <alignment horizontal="center" vertical="center" wrapText="1"/>
      <protection/>
    </xf>
    <xf numFmtId="0" fontId="32" fillId="0" borderId="15" xfId="57" applyFont="1" applyBorder="1" applyAlignment="1">
      <alignment horizontal="center" vertical="center" wrapText="1"/>
      <protection/>
    </xf>
    <xf numFmtId="0" fontId="32" fillId="0" borderId="16" xfId="57" applyFont="1" applyBorder="1" applyAlignment="1">
      <alignment horizontal="center" vertical="center" wrapText="1"/>
      <protection/>
    </xf>
    <xf numFmtId="0" fontId="32" fillId="0" borderId="17" xfId="57" applyFont="1" applyBorder="1" applyAlignment="1">
      <alignment horizontal="center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0" fontId="35" fillId="0" borderId="11" xfId="61" applyFont="1" applyBorder="1" applyAlignment="1">
      <alignment horizontal="center" vertical="center" wrapText="1"/>
      <protection/>
    </xf>
    <xf numFmtId="0" fontId="35" fillId="0" borderId="12" xfId="61" applyFont="1" applyBorder="1" applyAlignment="1">
      <alignment horizontal="center" vertical="center" wrapText="1"/>
      <protection/>
    </xf>
    <xf numFmtId="0" fontId="35" fillId="0" borderId="53" xfId="57" applyFont="1" applyBorder="1" applyAlignment="1">
      <alignment horizontal="center" vertical="center" wrapText="1"/>
      <protection/>
    </xf>
    <xf numFmtId="0" fontId="35" fillId="0" borderId="46" xfId="57" applyFont="1" applyBorder="1" applyAlignment="1">
      <alignment horizontal="center" vertical="center" wrapText="1"/>
      <protection/>
    </xf>
    <xf numFmtId="0" fontId="35" fillId="0" borderId="60" xfId="57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4" fontId="32" fillId="0" borderId="24" xfId="65" applyFont="1" applyBorder="1" applyAlignment="1">
      <alignment horizontal="center"/>
    </xf>
    <xf numFmtId="44" fontId="32" fillId="0" borderId="41" xfId="65" applyFont="1" applyBorder="1" applyAlignment="1">
      <alignment horizontal="center"/>
    </xf>
    <xf numFmtId="44" fontId="32" fillId="0" borderId="45" xfId="65" applyFont="1" applyBorder="1" applyAlignment="1">
      <alignment horizontal="center"/>
    </xf>
    <xf numFmtId="0" fontId="32" fillId="0" borderId="45" xfId="57" applyFont="1" applyBorder="1" applyAlignment="1">
      <alignment horizontal="center"/>
      <protection/>
    </xf>
    <xf numFmtId="0" fontId="32" fillId="0" borderId="41" xfId="57" applyFont="1" applyBorder="1" applyAlignment="1">
      <alignment horizontal="center" wrapText="1"/>
      <protection/>
    </xf>
    <xf numFmtId="0" fontId="30" fillId="0" borderId="60" xfId="0" applyFont="1" applyBorder="1" applyAlignment="1">
      <alignment horizontal="center" vertical="center"/>
    </xf>
    <xf numFmtId="0" fontId="8" fillId="0" borderId="0" xfId="56" applyFont="1" applyAlignment="1">
      <alignment horizontal="right"/>
      <protection/>
    </xf>
    <xf numFmtId="0" fontId="4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8" fillId="0" borderId="73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0" fillId="0" borderId="0" xfId="56" applyFont="1" applyAlignment="1">
      <alignment horizontal="right"/>
      <protection/>
    </xf>
    <xf numFmtId="0" fontId="28" fillId="0" borderId="0" xfId="63" applyFont="1" applyAlignment="1">
      <alignment horizontal="center"/>
      <protection/>
    </xf>
    <xf numFmtId="0" fontId="33" fillId="0" borderId="0" xfId="0" applyFont="1" applyAlignment="1">
      <alignment horizontal="center"/>
    </xf>
    <xf numFmtId="0" fontId="28" fillId="0" borderId="10" xfId="63" applyFont="1" applyBorder="1" applyAlignment="1">
      <alignment horizontal="center" vertical="center"/>
      <protection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8" fillId="0" borderId="10" xfId="63" applyFont="1" applyBorder="1" applyAlignment="1">
      <alignment horizontal="center" vertical="center" wrapText="1"/>
      <protection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8" fillId="0" borderId="0" xfId="62" applyFont="1" applyBorder="1" applyAlignment="1" quotePrefix="1">
      <alignment horizontal="left" vertical="center" wrapText="1"/>
      <protection/>
    </xf>
    <xf numFmtId="0" fontId="50" fillId="0" borderId="0" xfId="0" applyFont="1" applyBorder="1" applyAlignment="1">
      <alignment horizontal="left" wrapText="1"/>
    </xf>
    <xf numFmtId="0" fontId="38" fillId="0" borderId="0" xfId="62" applyFont="1" applyBorder="1" applyAlignment="1">
      <alignment horizontal="left" wrapText="1"/>
      <protection/>
    </xf>
    <xf numFmtId="0" fontId="50" fillId="0" borderId="0" xfId="0" applyFont="1" applyBorder="1" applyAlignment="1">
      <alignment wrapText="1"/>
    </xf>
    <xf numFmtId="0" fontId="28" fillId="0" borderId="71" xfId="57" applyFont="1" applyBorder="1" applyAlignment="1">
      <alignment horizontal="center"/>
      <protection/>
    </xf>
    <xf numFmtId="0" fontId="30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/>
      <protection/>
    </xf>
    <xf numFmtId="0" fontId="28" fillId="0" borderId="0" xfId="58" applyFont="1" applyBorder="1" applyAlignment="1">
      <alignment horizontal="center"/>
      <protection/>
    </xf>
    <xf numFmtId="0" fontId="31" fillId="0" borderId="0" xfId="57" applyFont="1" applyAlignment="1">
      <alignment horizontal="right"/>
      <protection/>
    </xf>
    <xf numFmtId="0" fontId="30" fillId="0" borderId="0" xfId="0" applyFont="1" applyAlignment="1">
      <alignment horizontal="right"/>
    </xf>
    <xf numFmtId="0" fontId="30" fillId="0" borderId="0" xfId="57" applyFont="1" applyAlignment="1">
      <alignment horizontal="right"/>
      <protection/>
    </xf>
    <xf numFmtId="0" fontId="52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vétel" xfId="56"/>
    <cellStyle name="Normál_KTGV99" xfId="57"/>
    <cellStyle name="Normál_mérleg" xfId="58"/>
    <cellStyle name="Normál_Munka1" xfId="59"/>
    <cellStyle name="Normál_Munka2" xfId="60"/>
    <cellStyle name="Normál_Munka3" xfId="61"/>
    <cellStyle name="Normál_PHKV99" xfId="62"/>
    <cellStyle name="Normál_PHKV99_2014. évi költségvetés- mellékletek-1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A34">
      <selection activeCell="N44" sqref="N44:U44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21"/>
      <c r="O38" s="21"/>
      <c r="P38" s="21"/>
      <c r="Q38" s="21"/>
      <c r="R38" s="21"/>
      <c r="S38" s="21"/>
      <c r="T38" s="21"/>
      <c r="U38" s="21"/>
    </row>
    <row r="39" spans="9:21" ht="27.75">
      <c r="I39" s="5"/>
      <c r="J39" s="2"/>
      <c r="N39" s="320" t="s">
        <v>38</v>
      </c>
      <c r="O39" s="320"/>
      <c r="P39" s="320"/>
      <c r="Q39" s="320"/>
      <c r="R39" s="320"/>
      <c r="S39" s="320"/>
      <c r="T39" s="320"/>
      <c r="U39" s="320"/>
    </row>
    <row r="40" spans="9:21" ht="2.25" customHeight="1">
      <c r="I40" s="3"/>
      <c r="J40" s="2"/>
      <c r="N40" s="21"/>
      <c r="O40" s="22"/>
      <c r="P40" s="23"/>
      <c r="Q40" s="23"/>
      <c r="R40" s="23"/>
      <c r="S40" s="23"/>
      <c r="T40" s="23"/>
      <c r="U40" s="23"/>
    </row>
    <row r="41" spans="9:21" ht="27.75">
      <c r="I41" s="4"/>
      <c r="J41" s="2"/>
      <c r="N41" s="320" t="s">
        <v>1</v>
      </c>
      <c r="O41" s="320"/>
      <c r="P41" s="320"/>
      <c r="Q41" s="320"/>
      <c r="R41" s="320"/>
      <c r="S41" s="320"/>
      <c r="T41" s="320"/>
      <c r="U41" s="320"/>
    </row>
    <row r="42" spans="9:21" ht="12.75" customHeight="1" hidden="1">
      <c r="I42" s="3"/>
      <c r="J42" s="2"/>
      <c r="N42" s="21"/>
      <c r="O42" s="22"/>
      <c r="P42" s="23"/>
      <c r="Q42" s="23"/>
      <c r="R42" s="23"/>
      <c r="S42" s="23"/>
      <c r="T42" s="23"/>
      <c r="U42" s="23"/>
    </row>
    <row r="43" spans="9:21" ht="27.75">
      <c r="I43" s="4"/>
      <c r="J43" s="2"/>
      <c r="N43" s="320" t="s">
        <v>320</v>
      </c>
      <c r="O43" s="320"/>
      <c r="P43" s="320"/>
      <c r="Q43" s="320"/>
      <c r="R43" s="320"/>
      <c r="S43" s="320"/>
      <c r="T43" s="320"/>
      <c r="U43" s="320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322"/>
      <c r="O44" s="322"/>
      <c r="P44" s="322"/>
      <c r="Q44" s="322"/>
      <c r="R44" s="322"/>
      <c r="S44" s="322"/>
      <c r="T44" s="322"/>
      <c r="U44" s="322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20"/>
      <c r="O45" s="321"/>
      <c r="P45" s="321"/>
      <c r="Q45" s="321"/>
      <c r="R45" s="321"/>
      <c r="S45" s="321"/>
      <c r="T45" s="321"/>
      <c r="U45" s="20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DB7F" sheet="1" selectLockedCells="1" selectUnlockedCells="1"/>
  <mergeCells count="5">
    <mergeCell ref="N39:U39"/>
    <mergeCell ref="N41:U41"/>
    <mergeCell ref="N43:U43"/>
    <mergeCell ref="O45:T45"/>
    <mergeCell ref="N44:U4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0" zoomScaleNormal="80" workbookViewId="0" topLeftCell="A1">
      <selection activeCell="A1" sqref="A1:O3"/>
    </sheetView>
  </sheetViews>
  <sheetFormatPr defaultColWidth="9.00390625" defaultRowHeight="12.75"/>
  <cols>
    <col min="1" max="1" width="4.875" style="0" customWidth="1"/>
    <col min="2" max="2" width="42.375" style="0" customWidth="1"/>
    <col min="3" max="4" width="11.00390625" style="0" customWidth="1"/>
    <col min="5" max="5" width="11.875" style="0" customWidth="1"/>
    <col min="6" max="6" width="10.75390625" style="0" customWidth="1"/>
    <col min="7" max="7" width="10.875" style="0" customWidth="1"/>
    <col min="8" max="8" width="10.75390625" style="0" customWidth="1"/>
    <col min="9" max="9" width="9.375" style="0" bestFit="1" customWidth="1"/>
    <col min="10" max="10" width="10.625" style="0" customWidth="1"/>
    <col min="11" max="11" width="11.00390625" style="0" customWidth="1"/>
    <col min="12" max="12" width="10.625" style="0" customWidth="1"/>
    <col min="13" max="13" width="10.375" style="0" customWidth="1"/>
    <col min="14" max="14" width="10.75390625" style="0" customWidth="1"/>
    <col min="15" max="15" width="12.625" style="0" customWidth="1"/>
  </cols>
  <sheetData>
    <row r="1" spans="1:15" ht="14.25" customHeight="1">
      <c r="A1" s="438" t="s">
        <v>377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2.75" hidden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</row>
    <row r="3" spans="1:15" ht="12.75" hidden="1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1:15" ht="15.75">
      <c r="A4" s="252"/>
      <c r="B4" s="439" t="s">
        <v>41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</row>
    <row r="5" spans="1:15" ht="15.75">
      <c r="A5" s="252"/>
      <c r="B5" s="439" t="s">
        <v>330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</row>
    <row r="6" spans="1:15" ht="16.5" thickBot="1">
      <c r="A6" s="252"/>
      <c r="B6" s="252"/>
      <c r="C6" s="253"/>
      <c r="D6" s="253"/>
      <c r="E6" s="253"/>
      <c r="F6" s="254"/>
      <c r="G6" s="253"/>
      <c r="H6" s="253"/>
      <c r="I6" s="253"/>
      <c r="J6" s="253"/>
      <c r="K6" s="255"/>
      <c r="L6" s="255"/>
      <c r="M6" s="255"/>
      <c r="N6" s="255"/>
      <c r="O6" s="256" t="s">
        <v>331</v>
      </c>
    </row>
    <row r="7" spans="1:15" ht="15.75">
      <c r="A7" s="257" t="s">
        <v>42</v>
      </c>
      <c r="B7" s="258"/>
      <c r="C7" s="259"/>
      <c r="D7" s="260"/>
      <c r="E7" s="261"/>
      <c r="F7" s="262"/>
      <c r="G7" s="262"/>
      <c r="H7" s="262"/>
      <c r="I7" s="262"/>
      <c r="J7" s="262"/>
      <c r="K7" s="263"/>
      <c r="L7" s="263"/>
      <c r="M7" s="263"/>
      <c r="N7" s="264"/>
      <c r="O7" s="265"/>
    </row>
    <row r="8" spans="1:15" ht="15.75">
      <c r="A8" s="266"/>
      <c r="B8" s="267" t="s">
        <v>39</v>
      </c>
      <c r="C8" s="268" t="s">
        <v>332</v>
      </c>
      <c r="D8" s="269" t="s">
        <v>333</v>
      </c>
      <c r="E8" s="270" t="s">
        <v>334</v>
      </c>
      <c r="F8" s="271" t="s">
        <v>335</v>
      </c>
      <c r="G8" s="271" t="s">
        <v>336</v>
      </c>
      <c r="H8" s="271" t="s">
        <v>337</v>
      </c>
      <c r="I8" s="271" t="s">
        <v>338</v>
      </c>
      <c r="J8" s="271" t="s">
        <v>339</v>
      </c>
      <c r="K8" s="271" t="s">
        <v>340</v>
      </c>
      <c r="L8" s="271" t="s">
        <v>341</v>
      </c>
      <c r="M8" s="271" t="s">
        <v>342</v>
      </c>
      <c r="N8" s="270" t="s">
        <v>343</v>
      </c>
      <c r="O8" s="272" t="s">
        <v>43</v>
      </c>
    </row>
    <row r="9" spans="1:15" ht="16.5" thickBot="1">
      <c r="A9" s="273" t="s">
        <v>44</v>
      </c>
      <c r="B9" s="274"/>
      <c r="C9" s="275"/>
      <c r="D9" s="276"/>
      <c r="E9" s="277"/>
      <c r="F9" s="278"/>
      <c r="G9" s="278"/>
      <c r="H9" s="278"/>
      <c r="I9" s="278"/>
      <c r="J9" s="278"/>
      <c r="K9" s="278"/>
      <c r="L9" s="278"/>
      <c r="M9" s="278"/>
      <c r="N9" s="277"/>
      <c r="O9" s="275"/>
    </row>
    <row r="10" spans="1:15" ht="15.75">
      <c r="A10" s="279"/>
      <c r="B10" s="280" t="s">
        <v>344</v>
      </c>
      <c r="C10" s="281"/>
      <c r="D10" s="282"/>
      <c r="E10" s="283"/>
      <c r="F10" s="281"/>
      <c r="G10" s="281"/>
      <c r="H10" s="281"/>
      <c r="I10" s="281"/>
      <c r="J10" s="281"/>
      <c r="K10" s="281"/>
      <c r="L10" s="281"/>
      <c r="M10" s="281"/>
      <c r="N10" s="283"/>
      <c r="O10" s="284"/>
    </row>
    <row r="11" spans="1:15" ht="28.5" customHeight="1">
      <c r="A11" s="285" t="s">
        <v>45</v>
      </c>
      <c r="B11" s="286" t="s">
        <v>345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8"/>
    </row>
    <row r="12" spans="1:15" ht="31.5">
      <c r="A12" s="285"/>
      <c r="B12" s="286" t="s">
        <v>346</v>
      </c>
      <c r="C12" s="287">
        <f>174+1113+3</f>
        <v>1290</v>
      </c>
      <c r="D12" s="287">
        <f aca="true" t="shared" si="0" ref="D12:L12">174+621</f>
        <v>795</v>
      </c>
      <c r="E12" s="287">
        <f t="shared" si="0"/>
        <v>795</v>
      </c>
      <c r="F12" s="287">
        <f t="shared" si="0"/>
        <v>795</v>
      </c>
      <c r="G12" s="287">
        <f t="shared" si="0"/>
        <v>795</v>
      </c>
      <c r="H12" s="287">
        <f t="shared" si="0"/>
        <v>795</v>
      </c>
      <c r="I12" s="287">
        <f t="shared" si="0"/>
        <v>795</v>
      </c>
      <c r="J12" s="287">
        <f t="shared" si="0"/>
        <v>795</v>
      </c>
      <c r="K12" s="287">
        <f t="shared" si="0"/>
        <v>795</v>
      </c>
      <c r="L12" s="287">
        <f t="shared" si="0"/>
        <v>795</v>
      </c>
      <c r="M12" s="287">
        <f>174+621+195</f>
        <v>990</v>
      </c>
      <c r="N12" s="287">
        <f>174+621+2000</f>
        <v>2795</v>
      </c>
      <c r="O12" s="288">
        <f>SUM(C12:N12)</f>
        <v>12230</v>
      </c>
    </row>
    <row r="13" spans="1:15" ht="31.5">
      <c r="A13" s="285"/>
      <c r="B13" s="289" t="s">
        <v>347</v>
      </c>
      <c r="C13" s="287">
        <v>90</v>
      </c>
      <c r="D13" s="287">
        <v>89</v>
      </c>
      <c r="E13" s="287">
        <v>180</v>
      </c>
      <c r="F13" s="287">
        <v>180</v>
      </c>
      <c r="G13" s="287">
        <v>180</v>
      </c>
      <c r="H13" s="287"/>
      <c r="I13" s="287">
        <v>74</v>
      </c>
      <c r="J13" s="287">
        <f>23+88</f>
        <v>111</v>
      </c>
      <c r="K13" s="287">
        <f>88+228</f>
        <v>316</v>
      </c>
      <c r="L13" s="287">
        <v>88</v>
      </c>
      <c r="M13" s="287">
        <f>23+77</f>
        <v>100</v>
      </c>
      <c r="N13" s="287">
        <v>123</v>
      </c>
      <c r="O13" s="288">
        <f>SUM(C13:N13)</f>
        <v>1531</v>
      </c>
    </row>
    <row r="14" spans="1:15" ht="31.5">
      <c r="A14" s="285" t="s">
        <v>46</v>
      </c>
      <c r="B14" s="289" t="s">
        <v>348</v>
      </c>
      <c r="C14" s="287">
        <v>477</v>
      </c>
      <c r="D14" s="287"/>
      <c r="E14" s="287"/>
      <c r="F14" s="287">
        <f>497+2950+1500</f>
        <v>4947</v>
      </c>
      <c r="G14" s="287"/>
      <c r="H14" s="287"/>
      <c r="I14" s="287"/>
      <c r="J14" s="287"/>
      <c r="K14" s="287"/>
      <c r="L14" s="287"/>
      <c r="M14" s="287"/>
      <c r="N14" s="287">
        <v>1000</v>
      </c>
      <c r="O14" s="288">
        <f aca="true" t="shared" si="1" ref="O14:O22">SUM(C14:N14)</f>
        <v>6424</v>
      </c>
    </row>
    <row r="15" spans="1:15" ht="15.75">
      <c r="A15" s="285" t="s">
        <v>47</v>
      </c>
      <c r="B15" s="289" t="s">
        <v>349</v>
      </c>
      <c r="C15" s="290"/>
      <c r="D15" s="290">
        <v>30</v>
      </c>
      <c r="E15" s="290">
        <v>710</v>
      </c>
      <c r="F15" s="290">
        <v>40</v>
      </c>
      <c r="G15" s="290">
        <v>40</v>
      </c>
      <c r="H15" s="290">
        <v>40</v>
      </c>
      <c r="I15" s="290">
        <v>50</v>
      </c>
      <c r="J15" s="290">
        <v>200</v>
      </c>
      <c r="K15" s="290">
        <f>500+25</f>
        <v>525</v>
      </c>
      <c r="L15" s="290">
        <v>90</v>
      </c>
      <c r="M15" s="290">
        <v>60</v>
      </c>
      <c r="N15" s="290">
        <v>80</v>
      </c>
      <c r="O15" s="288">
        <f t="shared" si="1"/>
        <v>1865</v>
      </c>
    </row>
    <row r="16" spans="1:15" ht="15.75">
      <c r="A16" s="285" t="s">
        <v>48</v>
      </c>
      <c r="B16" s="291" t="s">
        <v>350</v>
      </c>
      <c r="C16" s="290">
        <v>30</v>
      </c>
      <c r="D16" s="290">
        <v>30</v>
      </c>
      <c r="E16" s="290">
        <f>30+2277</f>
        <v>2307</v>
      </c>
      <c r="F16" s="290">
        <v>30</v>
      </c>
      <c r="G16" s="290">
        <v>608</v>
      </c>
      <c r="H16" s="290">
        <v>30</v>
      </c>
      <c r="I16" s="290">
        <v>30</v>
      </c>
      <c r="J16" s="290">
        <v>30</v>
      </c>
      <c r="K16" s="290">
        <f>30+320</f>
        <v>350</v>
      </c>
      <c r="L16" s="290">
        <v>30</v>
      </c>
      <c r="M16" s="290">
        <f>30+23</f>
        <v>53</v>
      </c>
      <c r="N16" s="290">
        <f>32+75+49</f>
        <v>156</v>
      </c>
      <c r="O16" s="288">
        <f t="shared" si="1"/>
        <v>3684</v>
      </c>
    </row>
    <row r="17" spans="1:15" ht="15.75">
      <c r="A17" s="285" t="s">
        <v>49</v>
      </c>
      <c r="B17" s="291" t="s">
        <v>351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88">
        <f t="shared" si="1"/>
        <v>0</v>
      </c>
    </row>
    <row r="18" spans="1:15" ht="15.75">
      <c r="A18" s="285" t="s">
        <v>50</v>
      </c>
      <c r="B18" s="291" t="s">
        <v>51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3"/>
      <c r="O18" s="288">
        <f t="shared" si="1"/>
        <v>0</v>
      </c>
    </row>
    <row r="19" spans="1:15" ht="27" customHeight="1">
      <c r="A19" s="285"/>
      <c r="B19" s="289" t="s">
        <v>352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5"/>
      <c r="O19" s="288">
        <f t="shared" si="1"/>
        <v>0</v>
      </c>
    </row>
    <row r="20" spans="1:15" ht="16.5" customHeight="1">
      <c r="A20" s="285" t="s">
        <v>52</v>
      </c>
      <c r="B20" s="291" t="s">
        <v>353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5"/>
      <c r="O20" s="288">
        <f t="shared" si="1"/>
        <v>0</v>
      </c>
    </row>
    <row r="21" spans="1:15" ht="31.5">
      <c r="A21" s="285"/>
      <c r="B21" s="289" t="s">
        <v>354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5"/>
      <c r="O21" s="288">
        <f t="shared" si="1"/>
        <v>0</v>
      </c>
    </row>
    <row r="22" spans="1:15" ht="15.75">
      <c r="A22" s="285" t="s">
        <v>53</v>
      </c>
      <c r="B22" s="291" t="s">
        <v>355</v>
      </c>
      <c r="C22" s="294">
        <v>2181</v>
      </c>
      <c r="D22" s="294"/>
      <c r="E22" s="294">
        <v>3547</v>
      </c>
      <c r="F22" s="294">
        <v>7</v>
      </c>
      <c r="G22" s="294"/>
      <c r="H22" s="294"/>
      <c r="I22" s="294"/>
      <c r="J22" s="294"/>
      <c r="K22" s="294"/>
      <c r="L22" s="294"/>
      <c r="M22" s="294"/>
      <c r="N22" s="295"/>
      <c r="O22" s="288">
        <f t="shared" si="1"/>
        <v>5735</v>
      </c>
    </row>
    <row r="23" spans="1:15" ht="16.5" thickBot="1">
      <c r="A23" s="296" t="s">
        <v>54</v>
      </c>
      <c r="B23" s="297" t="s">
        <v>356</v>
      </c>
      <c r="C23" s="294"/>
      <c r="D23" s="294">
        <f>C42</f>
        <v>3047</v>
      </c>
      <c r="E23" s="294">
        <f aca="true" t="shared" si="2" ref="E23:N23">D42</f>
        <v>2897</v>
      </c>
      <c r="F23" s="294">
        <f t="shared" si="2"/>
        <v>904</v>
      </c>
      <c r="G23" s="294">
        <f t="shared" si="2"/>
        <v>4429</v>
      </c>
      <c r="H23" s="294">
        <f t="shared" si="2"/>
        <v>3094</v>
      </c>
      <c r="I23" s="294">
        <f t="shared" si="2"/>
        <v>47</v>
      </c>
      <c r="J23" s="294">
        <f t="shared" si="2"/>
        <v>0</v>
      </c>
      <c r="K23" s="294">
        <f t="shared" si="2"/>
        <v>0</v>
      </c>
      <c r="L23" s="294">
        <f t="shared" si="2"/>
        <v>468</v>
      </c>
      <c r="M23" s="294">
        <f t="shared" si="2"/>
        <v>154</v>
      </c>
      <c r="N23" s="294">
        <f t="shared" si="2"/>
        <v>74</v>
      </c>
      <c r="O23" s="288"/>
    </row>
    <row r="24" spans="1:15" ht="16.5" thickBot="1">
      <c r="A24" s="298"/>
      <c r="B24" s="298" t="s">
        <v>357</v>
      </c>
      <c r="C24" s="299">
        <f>SUM(C12:C23)</f>
        <v>4068</v>
      </c>
      <c r="D24" s="299">
        <f aca="true" t="shared" si="3" ref="D24:O24">SUM(D12:D23)</f>
        <v>3991</v>
      </c>
      <c r="E24" s="299">
        <f t="shared" si="3"/>
        <v>10436</v>
      </c>
      <c r="F24" s="299">
        <f t="shared" si="3"/>
        <v>6903</v>
      </c>
      <c r="G24" s="299">
        <f t="shared" si="3"/>
        <v>6052</v>
      </c>
      <c r="H24" s="299">
        <f t="shared" si="3"/>
        <v>3959</v>
      </c>
      <c r="I24" s="299">
        <f t="shared" si="3"/>
        <v>996</v>
      </c>
      <c r="J24" s="299">
        <f t="shared" si="3"/>
        <v>1136</v>
      </c>
      <c r="K24" s="299">
        <f t="shared" si="3"/>
        <v>1986</v>
      </c>
      <c r="L24" s="299">
        <f t="shared" si="3"/>
        <v>1471</v>
      </c>
      <c r="M24" s="299">
        <f t="shared" si="3"/>
        <v>1357</v>
      </c>
      <c r="N24" s="299">
        <f t="shared" si="3"/>
        <v>4228</v>
      </c>
      <c r="O24" s="300">
        <f t="shared" si="3"/>
        <v>31469</v>
      </c>
    </row>
    <row r="25" spans="1:15" ht="15.75">
      <c r="A25" s="301"/>
      <c r="B25" s="302" t="s">
        <v>358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303"/>
    </row>
    <row r="26" spans="1:15" ht="15.75">
      <c r="A26" s="285" t="s">
        <v>55</v>
      </c>
      <c r="B26" s="291" t="s">
        <v>56</v>
      </c>
      <c r="C26" s="287">
        <v>431</v>
      </c>
      <c r="D26" s="287">
        <v>430</v>
      </c>
      <c r="E26" s="287">
        <f>431-17</f>
        <v>414</v>
      </c>
      <c r="F26" s="287">
        <f>430-17</f>
        <v>413</v>
      </c>
      <c r="G26" s="287">
        <f>431-17</f>
        <v>414</v>
      </c>
      <c r="H26" s="287">
        <f>430-17</f>
        <v>413</v>
      </c>
      <c r="I26" s="287">
        <f>431-17+65</f>
        <v>479</v>
      </c>
      <c r="J26" s="287">
        <f>430-17+78</f>
        <v>491</v>
      </c>
      <c r="K26" s="287">
        <f>431-17+77</f>
        <v>491</v>
      </c>
      <c r="L26" s="287">
        <f>430-17+78+103+79</f>
        <v>673</v>
      </c>
      <c r="M26" s="287">
        <f>430-17+103+115</f>
        <v>631</v>
      </c>
      <c r="N26" s="287">
        <f>431-17-2+103</f>
        <v>515</v>
      </c>
      <c r="O26" s="288">
        <f aca="true" t="shared" si="4" ref="O26:O40">SUM(C26:N26)</f>
        <v>5795</v>
      </c>
    </row>
    <row r="27" spans="1:15" ht="31.5">
      <c r="A27" s="285" t="s">
        <v>57</v>
      </c>
      <c r="B27" s="289" t="s">
        <v>359</v>
      </c>
      <c r="C27" s="287">
        <v>109</v>
      </c>
      <c r="D27" s="287">
        <v>108</v>
      </c>
      <c r="E27" s="287">
        <f>109-5</f>
        <v>104</v>
      </c>
      <c r="F27" s="287">
        <f>108-5</f>
        <v>103</v>
      </c>
      <c r="G27" s="287">
        <f>109-5</f>
        <v>104</v>
      </c>
      <c r="H27" s="287">
        <f>108-5</f>
        <v>103</v>
      </c>
      <c r="I27" s="287">
        <f>110-5+9</f>
        <v>114</v>
      </c>
      <c r="J27" s="287">
        <f>108-5+10</f>
        <v>113</v>
      </c>
      <c r="K27" s="287">
        <f>110-5+11</f>
        <v>116</v>
      </c>
      <c r="L27" s="287">
        <f>108-5+10+21</f>
        <v>134</v>
      </c>
      <c r="M27" s="287">
        <f>108-5</f>
        <v>103</v>
      </c>
      <c r="N27" s="287">
        <f>110-5+42</f>
        <v>147</v>
      </c>
      <c r="O27" s="288">
        <f t="shared" si="4"/>
        <v>1358</v>
      </c>
    </row>
    <row r="28" spans="1:15" ht="15.75">
      <c r="A28" s="285" t="s">
        <v>58</v>
      </c>
      <c r="B28" s="291" t="s">
        <v>59</v>
      </c>
      <c r="C28" s="287">
        <v>255</v>
      </c>
      <c r="D28" s="287">
        <v>260</v>
      </c>
      <c r="E28" s="287">
        <f>280-25</f>
        <v>255</v>
      </c>
      <c r="F28" s="287">
        <f>260-25+7</f>
        <v>242</v>
      </c>
      <c r="G28" s="287">
        <f>285-25</f>
        <v>260</v>
      </c>
      <c r="H28" s="287">
        <f>255-25</f>
        <v>230</v>
      </c>
      <c r="I28" s="287">
        <f>262-25-115</f>
        <v>122</v>
      </c>
      <c r="J28" s="287">
        <f>255-25-64</f>
        <v>166</v>
      </c>
      <c r="K28" s="287">
        <f>260-25+115+160+80</f>
        <v>590</v>
      </c>
      <c r="L28" s="287">
        <f>255-25+64</f>
        <v>294</v>
      </c>
      <c r="M28" s="287">
        <f>255-25+195-115</f>
        <v>310</v>
      </c>
      <c r="N28" s="287">
        <f>255-25-2-2+49-25</f>
        <v>250</v>
      </c>
      <c r="O28" s="288">
        <f t="shared" si="4"/>
        <v>3234</v>
      </c>
    </row>
    <row r="29" spans="1:15" ht="15.75">
      <c r="A29" s="285" t="s">
        <v>60</v>
      </c>
      <c r="B29" s="291" t="s">
        <v>61</v>
      </c>
      <c r="C29" s="287">
        <v>226</v>
      </c>
      <c r="D29" s="287">
        <v>226</v>
      </c>
      <c r="E29" s="287">
        <f>226-10</f>
        <v>216</v>
      </c>
      <c r="F29" s="287">
        <f>226-10</f>
        <v>216</v>
      </c>
      <c r="G29" s="287">
        <f>226-10</f>
        <v>216</v>
      </c>
      <c r="H29" s="287">
        <f>226-10</f>
        <v>216</v>
      </c>
      <c r="I29" s="287">
        <f>226+23-10</f>
        <v>239</v>
      </c>
      <c r="J29" s="287">
        <f>226+150-10</f>
        <v>366</v>
      </c>
      <c r="K29" s="287">
        <f>226-10+105</f>
        <v>321</v>
      </c>
      <c r="L29" s="287">
        <f>226-10</f>
        <v>216</v>
      </c>
      <c r="M29" s="287">
        <f>226+23-10</f>
        <v>239</v>
      </c>
      <c r="N29" s="287">
        <f>226-10</f>
        <v>216</v>
      </c>
      <c r="O29" s="288">
        <f t="shared" si="4"/>
        <v>2913</v>
      </c>
    </row>
    <row r="30" spans="1:15" ht="15.75">
      <c r="A30" s="285" t="s">
        <v>62</v>
      </c>
      <c r="B30" s="291" t="s">
        <v>360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304"/>
      <c r="O30" s="288"/>
    </row>
    <row r="31" spans="1:15" ht="15.75">
      <c r="A31" s="285"/>
      <c r="B31" s="291" t="s">
        <v>361</v>
      </c>
      <c r="C31" s="287"/>
      <c r="D31" s="287">
        <v>70</v>
      </c>
      <c r="E31" s="287"/>
      <c r="F31" s="287"/>
      <c r="G31" s="287"/>
      <c r="H31" s="287"/>
      <c r="I31" s="287">
        <v>0</v>
      </c>
      <c r="J31" s="287">
        <v>0</v>
      </c>
      <c r="K31" s="287"/>
      <c r="L31" s="287">
        <v>0</v>
      </c>
      <c r="M31" s="287">
        <v>0</v>
      </c>
      <c r="N31" s="287">
        <f>2000+25</f>
        <v>2025</v>
      </c>
      <c r="O31" s="288">
        <f t="shared" si="4"/>
        <v>2095</v>
      </c>
    </row>
    <row r="32" spans="1:15" ht="15.75">
      <c r="A32" s="285"/>
      <c r="B32" s="291" t="s">
        <v>362</v>
      </c>
      <c r="C32" s="287"/>
      <c r="D32" s="287"/>
      <c r="E32" s="287">
        <v>43</v>
      </c>
      <c r="F32" s="287"/>
      <c r="G32" s="287"/>
      <c r="H32" s="287"/>
      <c r="I32" s="287">
        <v>42</v>
      </c>
      <c r="J32" s="287"/>
      <c r="K32" s="287"/>
      <c r="L32" s="287"/>
      <c r="M32" s="287"/>
      <c r="N32" s="287"/>
      <c r="O32" s="288">
        <f t="shared" si="4"/>
        <v>85</v>
      </c>
    </row>
    <row r="33" spans="1:15" ht="15.75">
      <c r="A33" s="285" t="s">
        <v>63</v>
      </c>
      <c r="B33" s="291" t="s">
        <v>64</v>
      </c>
      <c r="C33" s="287"/>
      <c r="D33" s="287"/>
      <c r="E33" s="287"/>
      <c r="F33" s="287"/>
      <c r="G33" s="287">
        <v>1964</v>
      </c>
      <c r="H33" s="287">
        <v>165</v>
      </c>
      <c r="I33" s="287"/>
      <c r="J33" s="287"/>
      <c r="K33" s="287"/>
      <c r="L33" s="287"/>
      <c r="M33" s="287"/>
      <c r="N33" s="287">
        <f>75</f>
        <v>75</v>
      </c>
      <c r="O33" s="288">
        <f t="shared" si="4"/>
        <v>2204</v>
      </c>
    </row>
    <row r="34" spans="1:15" ht="15.75">
      <c r="A34" s="285" t="s">
        <v>65</v>
      </c>
      <c r="B34" s="291" t="s">
        <v>66</v>
      </c>
      <c r="C34" s="287"/>
      <c r="D34" s="287"/>
      <c r="E34" s="287"/>
      <c r="F34" s="287"/>
      <c r="G34" s="287"/>
      <c r="H34" s="287">
        <v>2785</v>
      </c>
      <c r="I34" s="287"/>
      <c r="J34" s="287"/>
      <c r="K34" s="287"/>
      <c r="L34" s="287"/>
      <c r="M34" s="287"/>
      <c r="N34" s="287"/>
      <c r="O34" s="288">
        <f t="shared" si="4"/>
        <v>2785</v>
      </c>
    </row>
    <row r="35" spans="1:15" ht="15.75">
      <c r="A35" s="285" t="s">
        <v>67</v>
      </c>
      <c r="B35" s="291" t="s">
        <v>68</v>
      </c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8">
        <f t="shared" si="4"/>
        <v>0</v>
      </c>
    </row>
    <row r="36" spans="1:15" ht="15.75">
      <c r="A36" s="285"/>
      <c r="B36" s="291" t="s">
        <v>361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8">
        <f t="shared" si="4"/>
        <v>0</v>
      </c>
    </row>
    <row r="37" spans="1:15" ht="15.75">
      <c r="A37" s="285"/>
      <c r="B37" s="291" t="s">
        <v>362</v>
      </c>
      <c r="C37" s="287"/>
      <c r="D37" s="287"/>
      <c r="E37" s="287">
        <v>8500</v>
      </c>
      <c r="F37" s="287">
        <v>1500</v>
      </c>
      <c r="G37" s="287"/>
      <c r="H37" s="287"/>
      <c r="I37" s="287"/>
      <c r="J37" s="287"/>
      <c r="K37" s="287"/>
      <c r="L37" s="287"/>
      <c r="M37" s="287"/>
      <c r="N37" s="287">
        <v>1000</v>
      </c>
      <c r="O37" s="288">
        <f t="shared" si="4"/>
        <v>11000</v>
      </c>
    </row>
    <row r="38" spans="1:15" ht="15.75">
      <c r="A38" s="285" t="s">
        <v>69</v>
      </c>
      <c r="B38" s="291" t="s">
        <v>70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8">
        <f t="shared" si="4"/>
        <v>0</v>
      </c>
    </row>
    <row r="39" spans="1:15" ht="15.75">
      <c r="A39" s="285" t="s">
        <v>363</v>
      </c>
      <c r="B39" s="291" t="s">
        <v>364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8">
        <f t="shared" si="4"/>
        <v>0</v>
      </c>
    </row>
    <row r="40" spans="1:15" ht="16.5" thickBot="1">
      <c r="A40" s="296" t="s">
        <v>365</v>
      </c>
      <c r="B40" s="297" t="s">
        <v>366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8">
        <f t="shared" si="4"/>
        <v>0</v>
      </c>
    </row>
    <row r="41" spans="1:15" ht="16.5" thickBot="1">
      <c r="A41" s="298"/>
      <c r="B41" s="298" t="s">
        <v>367</v>
      </c>
      <c r="C41" s="299">
        <f>SUM(C26:C40)</f>
        <v>1021</v>
      </c>
      <c r="D41" s="299">
        <f aca="true" t="shared" si="5" ref="D41:O41">SUM(D26:D40)</f>
        <v>1094</v>
      </c>
      <c r="E41" s="299">
        <f t="shared" si="5"/>
        <v>9532</v>
      </c>
      <c r="F41" s="299">
        <f t="shared" si="5"/>
        <v>2474</v>
      </c>
      <c r="G41" s="299">
        <f t="shared" si="5"/>
        <v>2958</v>
      </c>
      <c r="H41" s="299">
        <f t="shared" si="5"/>
        <v>3912</v>
      </c>
      <c r="I41" s="299">
        <f t="shared" si="5"/>
        <v>996</v>
      </c>
      <c r="J41" s="299">
        <f t="shared" si="5"/>
        <v>1136</v>
      </c>
      <c r="K41" s="299">
        <f t="shared" si="5"/>
        <v>1518</v>
      </c>
      <c r="L41" s="299">
        <f t="shared" si="5"/>
        <v>1317</v>
      </c>
      <c r="M41" s="299">
        <f t="shared" si="5"/>
        <v>1283</v>
      </c>
      <c r="N41" s="299">
        <f t="shared" si="5"/>
        <v>4228</v>
      </c>
      <c r="O41" s="300">
        <f t="shared" si="5"/>
        <v>31469</v>
      </c>
    </row>
    <row r="42" spans="1:15" ht="16.5" thickBot="1">
      <c r="A42" s="305"/>
      <c r="B42" s="306" t="s">
        <v>368</v>
      </c>
      <c r="C42" s="307">
        <f aca="true" t="shared" si="6" ref="C42:N42">C24-C41</f>
        <v>3047</v>
      </c>
      <c r="D42" s="307">
        <f t="shared" si="6"/>
        <v>2897</v>
      </c>
      <c r="E42" s="307">
        <f t="shared" si="6"/>
        <v>904</v>
      </c>
      <c r="F42" s="307">
        <f t="shared" si="6"/>
        <v>4429</v>
      </c>
      <c r="G42" s="307">
        <f t="shared" si="6"/>
        <v>3094</v>
      </c>
      <c r="H42" s="307">
        <f t="shared" si="6"/>
        <v>47</v>
      </c>
      <c r="I42" s="307">
        <f t="shared" si="6"/>
        <v>0</v>
      </c>
      <c r="J42" s="307">
        <f t="shared" si="6"/>
        <v>0</v>
      </c>
      <c r="K42" s="307">
        <f t="shared" si="6"/>
        <v>468</v>
      </c>
      <c r="L42" s="307">
        <f t="shared" si="6"/>
        <v>154</v>
      </c>
      <c r="M42" s="307">
        <f t="shared" si="6"/>
        <v>74</v>
      </c>
      <c r="N42" s="307">
        <f t="shared" si="6"/>
        <v>0</v>
      </c>
      <c r="O42" s="308"/>
    </row>
  </sheetData>
  <sheetProtection password="DB7F" sheet="1" objects="1" scenarios="1" selectLockedCells="1" selectUnlockedCells="1"/>
  <mergeCells count="3">
    <mergeCell ref="A1:O3"/>
    <mergeCell ref="B4:O4"/>
    <mergeCell ref="B5:O5"/>
  </mergeCells>
  <printOptions/>
  <pageMargins left="0.17" right="0.17" top="0.32" bottom="0.35" header="0.22" footer="0.31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" sqref="A1:E1"/>
    </sheetView>
  </sheetViews>
  <sheetFormatPr defaultColWidth="9.00390625" defaultRowHeight="12.75"/>
  <cols>
    <col min="1" max="1" width="58.625" style="0" customWidth="1"/>
    <col min="2" max="2" width="11.875" style="0" customWidth="1"/>
    <col min="3" max="3" width="4.375" style="0" customWidth="1"/>
    <col min="4" max="4" width="12.25390625" style="0" customWidth="1"/>
    <col min="5" max="5" width="6.75390625" style="0" customWidth="1"/>
    <col min="6" max="6" width="1.00390625" style="0" customWidth="1"/>
    <col min="7" max="7" width="0.875" style="0" hidden="1" customWidth="1"/>
    <col min="8" max="8" width="9.125" style="0" hidden="1" customWidth="1"/>
    <col min="9" max="9" width="15.625" style="0" hidden="1" customWidth="1"/>
    <col min="10" max="10" width="12.375" style="0" hidden="1" customWidth="1"/>
    <col min="11" max="11" width="9.125" style="0" hidden="1" customWidth="1"/>
    <col min="12" max="12" width="0.875" style="0" customWidth="1"/>
  </cols>
  <sheetData>
    <row r="1" spans="1:5" ht="12.75">
      <c r="A1" s="323" t="s">
        <v>369</v>
      </c>
      <c r="B1" s="323"/>
      <c r="C1" s="323"/>
      <c r="D1" s="323"/>
      <c r="E1" s="323"/>
    </row>
    <row r="3" spans="1:5" ht="15.75">
      <c r="A3" s="325"/>
      <c r="B3" s="325"/>
      <c r="C3" s="325"/>
      <c r="D3" s="325"/>
      <c r="E3" s="325"/>
    </row>
    <row r="4" spans="1:5" ht="15.75">
      <c r="A4" s="66"/>
      <c r="B4" s="15"/>
      <c r="C4" s="66"/>
      <c r="D4" s="16"/>
      <c r="E4" s="66"/>
    </row>
    <row r="5" spans="1:5" ht="15.75">
      <c r="A5" s="325" t="s">
        <v>41</v>
      </c>
      <c r="B5" s="325"/>
      <c r="C5" s="325"/>
      <c r="D5" s="325"/>
      <c r="E5" s="325"/>
    </row>
    <row r="6" spans="1:5" ht="15.75">
      <c r="A6" s="325" t="s">
        <v>115</v>
      </c>
      <c r="B6" s="325"/>
      <c r="C6" s="325"/>
      <c r="D6" s="325"/>
      <c r="E6" s="325"/>
    </row>
    <row r="7" spans="1:5" ht="15.75">
      <c r="A7" s="325" t="s">
        <v>116</v>
      </c>
      <c r="B7" s="325"/>
      <c r="C7" s="325"/>
      <c r="D7" s="325"/>
      <c r="E7" s="325"/>
    </row>
    <row r="8" spans="1:5" ht="7.5" customHeight="1">
      <c r="A8" s="66"/>
      <c r="B8" s="15"/>
      <c r="C8" s="66"/>
      <c r="D8" s="16"/>
      <c r="E8" s="66"/>
    </row>
    <row r="9" spans="1:5" ht="15.75">
      <c r="A9" s="67" t="s">
        <v>117</v>
      </c>
      <c r="B9" s="15"/>
      <c r="C9" s="66"/>
      <c r="D9" s="16"/>
      <c r="E9" s="66"/>
    </row>
    <row r="10" spans="1:5" ht="15.75">
      <c r="A10" s="68" t="s">
        <v>118</v>
      </c>
      <c r="B10" s="15"/>
      <c r="C10" s="66"/>
      <c r="D10" s="16">
        <f>B11+B12</f>
        <v>13761</v>
      </c>
      <c r="E10" s="66" t="s">
        <v>119</v>
      </c>
    </row>
    <row r="11" spans="1:5" ht="31.5">
      <c r="A11" s="69" t="s">
        <v>120</v>
      </c>
      <c r="B11" s="70">
        <f>Bevételek!I39</f>
        <v>12230</v>
      </c>
      <c r="C11" s="69" t="s">
        <v>119</v>
      </c>
      <c r="D11" s="16"/>
      <c r="E11" s="66"/>
    </row>
    <row r="12" spans="1:5" ht="31.5">
      <c r="A12" s="69" t="s">
        <v>121</v>
      </c>
      <c r="B12" s="70">
        <f>Bevételek!I47</f>
        <v>1531</v>
      </c>
      <c r="C12" s="69" t="s">
        <v>119</v>
      </c>
      <c r="D12" s="16"/>
      <c r="E12" s="66"/>
    </row>
    <row r="13" spans="1:5" ht="15.75">
      <c r="A13" s="68" t="s">
        <v>122</v>
      </c>
      <c r="B13" s="15"/>
      <c r="C13" s="66"/>
      <c r="D13" s="16">
        <f>Bevételek!I64</f>
        <v>6424</v>
      </c>
      <c r="E13" s="66" t="s">
        <v>119</v>
      </c>
    </row>
    <row r="14" spans="1:5" ht="15.75">
      <c r="A14" s="68" t="s">
        <v>123</v>
      </c>
      <c r="B14" s="15"/>
      <c r="C14" s="66"/>
      <c r="D14" s="16">
        <f>Bevételek!I77</f>
        <v>1865</v>
      </c>
      <c r="E14" s="66" t="s">
        <v>119</v>
      </c>
    </row>
    <row r="15" spans="1:5" ht="15.75">
      <c r="A15" s="68" t="s">
        <v>124</v>
      </c>
      <c r="B15" s="15"/>
      <c r="C15" s="66"/>
      <c r="D15" s="16">
        <f>Bevételek!I92</f>
        <v>3684</v>
      </c>
      <c r="E15" s="66" t="s">
        <v>119</v>
      </c>
    </row>
    <row r="16" spans="1:5" ht="15.75">
      <c r="A16" s="68" t="s">
        <v>125</v>
      </c>
      <c r="B16" s="16"/>
      <c r="C16" s="68"/>
      <c r="D16" s="16">
        <v>0</v>
      </c>
      <c r="E16" s="66" t="s">
        <v>119</v>
      </c>
    </row>
    <row r="17" spans="1:5" ht="15.75">
      <c r="A17" s="68" t="s">
        <v>126</v>
      </c>
      <c r="B17" s="15"/>
      <c r="C17" s="66"/>
      <c r="D17" s="16">
        <v>0</v>
      </c>
      <c r="E17" s="66" t="s">
        <v>119</v>
      </c>
    </row>
    <row r="18" spans="1:5" ht="31.5">
      <c r="A18" s="69" t="s">
        <v>127</v>
      </c>
      <c r="B18" s="70">
        <v>0</v>
      </c>
      <c r="C18" s="69" t="s">
        <v>119</v>
      </c>
      <c r="D18" s="69"/>
      <c r="E18" s="66"/>
    </row>
    <row r="19" spans="1:5" ht="15.75">
      <c r="A19" s="71" t="s">
        <v>128</v>
      </c>
      <c r="B19" s="70">
        <v>0</v>
      </c>
      <c r="C19" s="66" t="s">
        <v>119</v>
      </c>
      <c r="D19" s="16"/>
      <c r="E19" s="66"/>
    </row>
    <row r="20" spans="1:5" ht="15.75">
      <c r="A20" s="68" t="s">
        <v>129</v>
      </c>
      <c r="B20" s="15"/>
      <c r="C20" s="66"/>
      <c r="D20" s="16">
        <v>0</v>
      </c>
      <c r="E20" s="66" t="s">
        <v>119</v>
      </c>
    </row>
    <row r="21" spans="1:5" ht="31.5">
      <c r="A21" s="69" t="s">
        <v>130</v>
      </c>
      <c r="B21" s="15"/>
      <c r="C21" s="66" t="s">
        <v>119</v>
      </c>
      <c r="D21" s="16"/>
      <c r="E21" s="66"/>
    </row>
    <row r="22" spans="1:5" ht="15.75">
      <c r="A22" s="66" t="s">
        <v>131</v>
      </c>
      <c r="B22" s="17"/>
      <c r="C22" s="66" t="s">
        <v>119</v>
      </c>
      <c r="D22" s="16"/>
      <c r="E22" s="66"/>
    </row>
    <row r="23" spans="1:5" ht="15.75">
      <c r="A23" s="68" t="s">
        <v>132</v>
      </c>
      <c r="B23" s="16"/>
      <c r="C23" s="68"/>
      <c r="D23" s="16">
        <f>D10+D14+D15+D13</f>
        <v>25734</v>
      </c>
      <c r="E23" s="68" t="s">
        <v>133</v>
      </c>
    </row>
    <row r="24" spans="1:5" ht="15.75">
      <c r="A24" s="67" t="s">
        <v>134</v>
      </c>
      <c r="B24" s="15"/>
      <c r="C24" s="66"/>
      <c r="D24" s="16"/>
      <c r="E24" s="66"/>
    </row>
    <row r="25" spans="1:5" ht="15.75">
      <c r="A25" s="72" t="s">
        <v>135</v>
      </c>
      <c r="B25" s="15"/>
      <c r="C25" s="66"/>
      <c r="D25" s="16">
        <f>B27+B28+B29+B30+B31</f>
        <v>15480</v>
      </c>
      <c r="E25" s="66" t="s">
        <v>119</v>
      </c>
    </row>
    <row r="26" spans="1:5" ht="15.75">
      <c r="A26" s="27" t="s">
        <v>136</v>
      </c>
      <c r="B26" s="15"/>
      <c r="C26" s="66"/>
      <c r="D26" s="16"/>
      <c r="E26" s="66"/>
    </row>
    <row r="27" spans="1:5" ht="15.75">
      <c r="A27" s="66" t="s">
        <v>137</v>
      </c>
      <c r="B27" s="15">
        <f>'Korm.funkciók'!D33</f>
        <v>5795</v>
      </c>
      <c r="C27" s="66" t="s">
        <v>119</v>
      </c>
      <c r="D27" s="16"/>
      <c r="E27" s="66"/>
    </row>
    <row r="28" spans="1:5" ht="15.75">
      <c r="A28" s="66" t="s">
        <v>138</v>
      </c>
      <c r="B28" s="15">
        <f>'Korm.funkciók'!E33</f>
        <v>1358</v>
      </c>
      <c r="C28" s="66" t="s">
        <v>119</v>
      </c>
      <c r="D28" s="16"/>
      <c r="E28" s="66"/>
    </row>
    <row r="29" spans="1:5" ht="15.75">
      <c r="A29" s="66" t="s">
        <v>139</v>
      </c>
      <c r="B29" s="15">
        <f>'Korm.funkciók'!F33</f>
        <v>3234</v>
      </c>
      <c r="C29" s="66" t="s">
        <v>119</v>
      </c>
      <c r="D29" s="16"/>
      <c r="E29" s="66"/>
    </row>
    <row r="30" spans="1:5" ht="15.75">
      <c r="A30" s="12" t="s">
        <v>140</v>
      </c>
      <c r="B30" s="15">
        <f>'Korm.funkciók'!G33</f>
        <v>2913</v>
      </c>
      <c r="C30" s="66" t="s">
        <v>119</v>
      </c>
      <c r="D30" s="16"/>
      <c r="E30" s="66"/>
    </row>
    <row r="31" spans="1:5" ht="15.75">
      <c r="A31" s="66" t="s">
        <v>141</v>
      </c>
      <c r="B31" s="15">
        <f>'Korm.funkciók'!H33</f>
        <v>2180</v>
      </c>
      <c r="C31" s="66" t="s">
        <v>119</v>
      </c>
      <c r="D31" s="16"/>
      <c r="E31" s="66"/>
    </row>
    <row r="32" spans="1:5" ht="15.75">
      <c r="A32" s="72" t="s">
        <v>142</v>
      </c>
      <c r="B32" s="16"/>
      <c r="C32" s="68"/>
      <c r="D32" s="74">
        <f>B34+B35+B36</f>
        <v>15989</v>
      </c>
      <c r="E32" s="68" t="s">
        <v>119</v>
      </c>
    </row>
    <row r="33" spans="1:5" ht="15.75">
      <c r="A33" s="27" t="s">
        <v>136</v>
      </c>
      <c r="B33" s="15"/>
      <c r="C33" s="66"/>
      <c r="D33" s="16"/>
      <c r="E33" s="66"/>
    </row>
    <row r="34" spans="1:5" ht="15.75">
      <c r="A34" s="66" t="s">
        <v>143</v>
      </c>
      <c r="B34" s="17">
        <f>'Korm.funkciók'!J33</f>
        <v>2204</v>
      </c>
      <c r="C34" s="66" t="s">
        <v>119</v>
      </c>
      <c r="D34" s="16"/>
      <c r="E34" s="66"/>
    </row>
    <row r="35" spans="1:5" ht="15.75">
      <c r="A35" s="66" t="s">
        <v>144</v>
      </c>
      <c r="B35" s="17">
        <f>'Korm.funkciók'!K33</f>
        <v>2785</v>
      </c>
      <c r="C35" s="66" t="s">
        <v>119</v>
      </c>
      <c r="D35" s="16"/>
      <c r="E35" s="66"/>
    </row>
    <row r="36" spans="1:5" ht="15.75">
      <c r="A36" s="66" t="s">
        <v>145</v>
      </c>
      <c r="B36" s="17">
        <f>'Korm.funkciók'!L33</f>
        <v>11000</v>
      </c>
      <c r="C36" s="66" t="s">
        <v>119</v>
      </c>
      <c r="D36" s="16"/>
      <c r="E36" s="66"/>
    </row>
    <row r="37" spans="1:5" ht="15.75">
      <c r="A37" s="66"/>
      <c r="B37" s="17"/>
      <c r="C37" s="66"/>
      <c r="D37" s="16"/>
      <c r="E37" s="66"/>
    </row>
    <row r="38" spans="1:5" ht="15.75">
      <c r="A38" s="68" t="s">
        <v>146</v>
      </c>
      <c r="B38" s="17"/>
      <c r="C38" s="66"/>
      <c r="D38" s="16"/>
      <c r="E38" s="66" t="s">
        <v>119</v>
      </c>
    </row>
    <row r="39" spans="1:5" ht="15.75">
      <c r="A39" s="66" t="s">
        <v>147</v>
      </c>
      <c r="B39" s="15"/>
      <c r="C39" s="66" t="s">
        <v>119</v>
      </c>
      <c r="D39" s="16"/>
      <c r="E39" s="66"/>
    </row>
    <row r="40" spans="1:5" ht="15.75">
      <c r="A40" s="66" t="s">
        <v>148</v>
      </c>
      <c r="B40" s="15"/>
      <c r="C40" s="66" t="s">
        <v>119</v>
      </c>
      <c r="D40" s="16"/>
      <c r="E40" s="66"/>
    </row>
    <row r="41" spans="1:5" ht="23.25" customHeight="1">
      <c r="A41" s="68" t="s">
        <v>149</v>
      </c>
      <c r="B41" s="16"/>
      <c r="C41" s="68"/>
      <c r="D41" s="16">
        <f>D25+D32</f>
        <v>31469</v>
      </c>
      <c r="E41" s="68" t="s">
        <v>133</v>
      </c>
    </row>
    <row r="42" spans="1:5" ht="23.25" customHeight="1">
      <c r="A42" s="68" t="s">
        <v>150</v>
      </c>
      <c r="B42" s="16"/>
      <c r="C42" s="68"/>
      <c r="D42" s="16">
        <f>D23-D41</f>
        <v>-5735</v>
      </c>
      <c r="E42" s="68" t="s">
        <v>119</v>
      </c>
    </row>
    <row r="43" spans="1:5" ht="15.75">
      <c r="A43" s="75" t="s">
        <v>151</v>
      </c>
      <c r="B43" s="16"/>
      <c r="C43" s="68"/>
      <c r="D43" s="16">
        <f>847+364+970+3547+7</f>
        <v>5735</v>
      </c>
      <c r="E43" s="68" t="s">
        <v>119</v>
      </c>
    </row>
    <row r="44" spans="1:5" ht="25.5" customHeight="1">
      <c r="A44" s="68" t="s">
        <v>152</v>
      </c>
      <c r="B44" s="16"/>
      <c r="C44" s="68"/>
      <c r="D44" s="16">
        <f>D42+D43</f>
        <v>0</v>
      </c>
      <c r="E44" s="68" t="s">
        <v>119</v>
      </c>
    </row>
    <row r="55" spans="6:13" ht="20.25">
      <c r="F55" s="195"/>
      <c r="G55" s="195"/>
      <c r="H55" s="195"/>
      <c r="I55" s="195"/>
      <c r="J55" s="195"/>
      <c r="K55" s="195"/>
      <c r="L55" s="195"/>
      <c r="M55" s="195"/>
    </row>
    <row r="56" spans="6:13" ht="20.25">
      <c r="F56" s="195"/>
      <c r="G56" s="195"/>
      <c r="H56" s="195"/>
      <c r="I56" s="195"/>
      <c r="J56" s="195"/>
      <c r="K56" s="195"/>
      <c r="L56" s="195"/>
      <c r="M56" s="195"/>
    </row>
    <row r="57" spans="6:13" ht="20.25">
      <c r="F57" s="197"/>
      <c r="G57" s="197"/>
      <c r="H57" s="197"/>
      <c r="I57" s="197"/>
      <c r="J57" s="197"/>
      <c r="K57" s="197"/>
      <c r="L57" s="197"/>
      <c r="M57" s="197"/>
    </row>
    <row r="58" spans="6:13" ht="3.75" customHeight="1">
      <c r="F58" s="197"/>
      <c r="G58" s="197"/>
      <c r="H58" s="197"/>
      <c r="I58" s="197"/>
      <c r="J58" s="197"/>
      <c r="K58" s="197"/>
      <c r="L58" s="197"/>
      <c r="M58" s="197"/>
    </row>
    <row r="59" spans="6:13" ht="22.5" customHeight="1">
      <c r="F59" s="197"/>
      <c r="G59" s="197"/>
      <c r="H59" s="197"/>
      <c r="I59" s="197"/>
      <c r="J59" s="197"/>
      <c r="K59" s="197"/>
      <c r="L59" s="197"/>
      <c r="M59" s="197"/>
    </row>
    <row r="60" spans="6:13" ht="36.75" customHeight="1">
      <c r="F60" s="197"/>
      <c r="G60" s="197"/>
      <c r="H60" s="324"/>
      <c r="I60" s="324"/>
      <c r="J60" s="324"/>
      <c r="K60" s="324"/>
      <c r="L60" s="197"/>
      <c r="M60" s="197"/>
    </row>
    <row r="61" spans="6:13" ht="20.25">
      <c r="F61" s="197"/>
      <c r="G61" s="197"/>
      <c r="H61" s="324"/>
      <c r="I61" s="324"/>
      <c r="J61" s="324"/>
      <c r="K61" s="324"/>
      <c r="L61" s="197"/>
      <c r="M61" s="197"/>
    </row>
    <row r="62" spans="6:13" ht="18" customHeight="1">
      <c r="F62" s="197"/>
      <c r="G62" s="197"/>
      <c r="H62" s="196"/>
      <c r="I62" s="196"/>
      <c r="J62" s="196"/>
      <c r="K62" s="196"/>
      <c r="L62" s="197"/>
      <c r="M62" s="197"/>
    </row>
    <row r="63" spans="6:13" ht="24.75" customHeight="1">
      <c r="F63" s="197"/>
      <c r="G63" s="197"/>
      <c r="H63" s="197"/>
      <c r="I63" s="197"/>
      <c r="J63" s="197"/>
      <c r="K63" s="197"/>
      <c r="L63" s="197"/>
      <c r="M63" s="197"/>
    </row>
    <row r="64" spans="6:13" ht="4.5" customHeight="1">
      <c r="F64" s="197"/>
      <c r="G64" s="197"/>
      <c r="H64" s="197"/>
      <c r="I64" s="197"/>
      <c r="J64" s="197"/>
      <c r="K64" s="197"/>
      <c r="L64" s="197"/>
      <c r="M64" s="197"/>
    </row>
    <row r="65" spans="6:13" ht="20.25">
      <c r="F65" s="197"/>
      <c r="G65" s="197"/>
      <c r="H65" s="197"/>
      <c r="I65" s="197"/>
      <c r="J65" s="197"/>
      <c r="K65" s="197"/>
      <c r="L65" s="197"/>
      <c r="M65" s="197"/>
    </row>
    <row r="66" spans="6:13" ht="20.25">
      <c r="F66" s="197"/>
      <c r="G66" s="197"/>
      <c r="H66" s="197"/>
      <c r="I66" s="197"/>
      <c r="J66" s="197"/>
      <c r="K66" s="197"/>
      <c r="L66" s="197"/>
      <c r="M66" s="197"/>
    </row>
    <row r="67" spans="6:13" ht="20.25">
      <c r="F67" s="195"/>
      <c r="G67" s="195"/>
      <c r="H67" s="195"/>
      <c r="I67" s="195"/>
      <c r="J67" s="195"/>
      <c r="K67" s="195"/>
      <c r="L67" s="195"/>
      <c r="M67" s="195"/>
    </row>
    <row r="68" spans="6:13" ht="20.25">
      <c r="F68" s="195"/>
      <c r="G68" s="195"/>
      <c r="H68" s="195"/>
      <c r="I68" s="195"/>
      <c r="J68" s="195"/>
      <c r="K68" s="195"/>
      <c r="L68" s="195"/>
      <c r="M68" s="195"/>
    </row>
    <row r="69" spans="6:13" ht="20.25">
      <c r="F69" s="195"/>
      <c r="G69" s="195"/>
      <c r="H69" s="195"/>
      <c r="I69" s="195"/>
      <c r="J69" s="195"/>
      <c r="K69" s="195"/>
      <c r="L69" s="195"/>
      <c r="M69" s="195"/>
    </row>
  </sheetData>
  <sheetProtection password="DB7F" sheet="1" objects="1" scenarios="1" selectLockedCells="1" selectUnlockedCells="1"/>
  <mergeCells count="7">
    <mergeCell ref="A1:E1"/>
    <mergeCell ref="H60:K60"/>
    <mergeCell ref="H61:K61"/>
    <mergeCell ref="A3:E3"/>
    <mergeCell ref="A5:E5"/>
    <mergeCell ref="A6:E6"/>
    <mergeCell ref="A7:E7"/>
  </mergeCells>
  <printOptions/>
  <pageMargins left="0.56" right="0.34" top="0.56" bottom="0.46" header="0.5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1">
      <selection activeCell="A1" sqref="A1:J1"/>
    </sheetView>
  </sheetViews>
  <sheetFormatPr defaultColWidth="9.00390625" defaultRowHeight="12.75"/>
  <cols>
    <col min="1" max="1" width="3.25390625" style="0" customWidth="1"/>
    <col min="2" max="2" width="2.375" style="0" customWidth="1"/>
    <col min="3" max="4" width="2.25390625" style="0" customWidth="1"/>
    <col min="5" max="5" width="3.75390625" style="0" customWidth="1"/>
    <col min="6" max="6" width="46.25390625" style="0" customWidth="1"/>
    <col min="7" max="7" width="10.00390625" style="0" customWidth="1"/>
    <col min="8" max="8" width="9.75390625" style="0" customWidth="1"/>
    <col min="9" max="9" width="10.00390625" style="0" customWidth="1"/>
    <col min="10" max="10" width="8.875" style="0" customWidth="1"/>
  </cols>
  <sheetData>
    <row r="1" spans="1:10" ht="12.75">
      <c r="A1" s="323" t="s">
        <v>370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ht="6.7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5.75">
      <c r="A3" s="318" t="s">
        <v>41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0" ht="15.75">
      <c r="A4" s="318" t="s">
        <v>153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0" ht="16.5">
      <c r="A5" s="319" t="s">
        <v>37</v>
      </c>
      <c r="B5" s="319"/>
      <c r="C5" s="319"/>
      <c r="D5" s="319"/>
      <c r="E5" s="319"/>
      <c r="F5" s="319"/>
      <c r="G5" s="319"/>
      <c r="H5" s="319"/>
      <c r="I5" s="319"/>
      <c r="J5" s="319"/>
    </row>
    <row r="6" spans="1:10" ht="17.25" thickBot="1">
      <c r="A6" s="77"/>
      <c r="B6" s="77"/>
      <c r="C6" s="73"/>
      <c r="D6" s="73"/>
      <c r="E6" s="73"/>
      <c r="F6" s="78"/>
      <c r="G6" s="79"/>
      <c r="H6" s="79"/>
      <c r="I6" s="315" t="s">
        <v>35</v>
      </c>
      <c r="J6" s="315"/>
    </row>
    <row r="7" spans="1:10" ht="17.25" thickBot="1">
      <c r="A7" s="310" t="s">
        <v>154</v>
      </c>
      <c r="B7" s="311"/>
      <c r="C7" s="311"/>
      <c r="D7" s="311"/>
      <c r="E7" s="311"/>
      <c r="F7" s="311"/>
      <c r="G7" s="328" t="s">
        <v>155</v>
      </c>
      <c r="H7" s="329"/>
      <c r="I7" s="80" t="s">
        <v>37</v>
      </c>
      <c r="J7" s="330" t="s">
        <v>156</v>
      </c>
    </row>
    <row r="8" spans="1:10" ht="16.5">
      <c r="A8" s="312"/>
      <c r="B8" s="313"/>
      <c r="C8" s="313"/>
      <c r="D8" s="313"/>
      <c r="E8" s="313"/>
      <c r="F8" s="313"/>
      <c r="G8" s="82" t="s">
        <v>36</v>
      </c>
      <c r="H8" s="82" t="s">
        <v>157</v>
      </c>
      <c r="I8" s="83" t="s">
        <v>36</v>
      </c>
      <c r="J8" s="331"/>
    </row>
    <row r="9" spans="1:10" ht="17.25" thickBot="1">
      <c r="A9" s="314"/>
      <c r="B9" s="309"/>
      <c r="C9" s="309"/>
      <c r="D9" s="309"/>
      <c r="E9" s="309"/>
      <c r="F9" s="309"/>
      <c r="G9" s="84" t="s">
        <v>73</v>
      </c>
      <c r="H9" s="84" t="s">
        <v>158</v>
      </c>
      <c r="I9" s="85" t="s">
        <v>73</v>
      </c>
      <c r="J9" s="332"/>
    </row>
    <row r="10" spans="1:10" ht="34.5" customHeight="1">
      <c r="A10" s="76" t="s">
        <v>159</v>
      </c>
      <c r="B10" s="317" t="s">
        <v>160</v>
      </c>
      <c r="C10" s="317"/>
      <c r="D10" s="317"/>
      <c r="E10" s="317"/>
      <c r="F10" s="317"/>
      <c r="G10" s="88"/>
      <c r="H10" s="88"/>
      <c r="I10" s="89"/>
      <c r="J10" s="88"/>
    </row>
    <row r="11" spans="1:10" ht="18" customHeight="1">
      <c r="A11" s="90"/>
      <c r="B11" s="90" t="s">
        <v>159</v>
      </c>
      <c r="C11" s="90" t="s">
        <v>161</v>
      </c>
      <c r="D11" s="90"/>
      <c r="E11" s="90"/>
      <c r="F11" s="90"/>
      <c r="G11" s="91"/>
      <c r="H11" s="91"/>
      <c r="I11" s="91"/>
      <c r="J11" s="90"/>
    </row>
    <row r="12" spans="1:10" ht="18.75" customHeight="1">
      <c r="A12" s="90"/>
      <c r="B12" s="90"/>
      <c r="C12" s="86" t="s">
        <v>159</v>
      </c>
      <c r="D12" s="317" t="s">
        <v>162</v>
      </c>
      <c r="E12" s="317"/>
      <c r="F12" s="317"/>
      <c r="G12" s="89"/>
      <c r="H12" s="89"/>
      <c r="I12" s="89"/>
      <c r="J12" s="88"/>
    </row>
    <row r="13" spans="1:10" ht="19.5" customHeight="1">
      <c r="A13" s="90"/>
      <c r="B13" s="90"/>
      <c r="C13" s="90"/>
      <c r="D13" s="76" t="s">
        <v>45</v>
      </c>
      <c r="E13" s="317" t="s">
        <v>163</v>
      </c>
      <c r="F13" s="317"/>
      <c r="G13" s="89"/>
      <c r="H13" s="89"/>
      <c r="I13" s="89"/>
      <c r="J13" s="88"/>
    </row>
    <row r="14" spans="1:10" ht="16.5">
      <c r="A14" s="92"/>
      <c r="B14" s="92"/>
      <c r="C14" s="92"/>
      <c r="D14" s="92"/>
      <c r="E14" s="92" t="s">
        <v>164</v>
      </c>
      <c r="F14" s="92" t="s">
        <v>165</v>
      </c>
      <c r="G14" s="15">
        <v>1890</v>
      </c>
      <c r="H14" s="15">
        <v>1860</v>
      </c>
      <c r="I14" s="15"/>
      <c r="J14" s="93"/>
    </row>
    <row r="15" spans="1:10" ht="33">
      <c r="A15" s="92"/>
      <c r="B15" s="92"/>
      <c r="C15" s="92"/>
      <c r="D15" s="92"/>
      <c r="E15" s="94" t="s">
        <v>166</v>
      </c>
      <c r="F15" s="95" t="s">
        <v>167</v>
      </c>
      <c r="G15" s="70"/>
      <c r="H15" s="70"/>
      <c r="I15" s="70"/>
      <c r="J15" s="93"/>
    </row>
    <row r="16" spans="1:10" ht="33">
      <c r="A16" s="92"/>
      <c r="B16" s="92"/>
      <c r="C16" s="92"/>
      <c r="D16" s="92"/>
      <c r="E16" s="94" t="s">
        <v>168</v>
      </c>
      <c r="F16" s="95" t="s">
        <v>169</v>
      </c>
      <c r="G16" s="15">
        <v>861</v>
      </c>
      <c r="H16" s="15">
        <v>861</v>
      </c>
      <c r="I16" s="15">
        <v>863</v>
      </c>
      <c r="J16" s="93">
        <f>I16/G16*100</f>
        <v>100.23228803716609</v>
      </c>
    </row>
    <row r="17" spans="1:10" ht="16.5">
      <c r="A17" s="92"/>
      <c r="B17" s="92"/>
      <c r="C17" s="92"/>
      <c r="D17" s="92"/>
      <c r="E17" s="92" t="s">
        <v>170</v>
      </c>
      <c r="F17" s="95" t="s">
        <v>171</v>
      </c>
      <c r="G17" s="15">
        <v>428</v>
      </c>
      <c r="H17" s="15">
        <v>428</v>
      </c>
      <c r="I17" s="15">
        <v>510</v>
      </c>
      <c r="J17" s="93">
        <f>I17/G17*100</f>
        <v>119.1588785046729</v>
      </c>
    </row>
    <row r="18" spans="1:10" ht="18.75" customHeight="1">
      <c r="A18" s="92"/>
      <c r="B18" s="92"/>
      <c r="C18" s="92"/>
      <c r="D18" s="92"/>
      <c r="E18" s="94" t="s">
        <v>172</v>
      </c>
      <c r="F18" s="95" t="s">
        <v>173</v>
      </c>
      <c r="G18" s="15"/>
      <c r="H18" s="15"/>
      <c r="I18" s="15">
        <v>100</v>
      </c>
      <c r="J18" s="93"/>
    </row>
    <row r="19" spans="1:10" ht="16.5">
      <c r="A19" s="92"/>
      <c r="B19" s="92"/>
      <c r="C19" s="92"/>
      <c r="D19" s="92"/>
      <c r="E19" s="92" t="s">
        <v>174</v>
      </c>
      <c r="F19" s="95" t="s">
        <v>175</v>
      </c>
      <c r="G19" s="15">
        <v>175</v>
      </c>
      <c r="H19" s="15">
        <v>175</v>
      </c>
      <c r="I19" s="15">
        <v>808</v>
      </c>
      <c r="J19" s="93">
        <f>I19/G19*100</f>
        <v>461.7142857142857</v>
      </c>
    </row>
    <row r="20" spans="1:10" ht="16.5">
      <c r="A20" s="92"/>
      <c r="B20" s="92"/>
      <c r="C20" s="92"/>
      <c r="D20" s="92"/>
      <c r="E20" s="96" t="s">
        <v>176</v>
      </c>
      <c r="F20" s="96" t="s">
        <v>177</v>
      </c>
      <c r="G20" s="15">
        <v>3000</v>
      </c>
      <c r="H20" s="15">
        <v>3000</v>
      </c>
      <c r="I20" s="15">
        <v>4000</v>
      </c>
      <c r="J20" s="93">
        <f>I20/G20*100</f>
        <v>133.33333333333331</v>
      </c>
    </row>
    <row r="21" spans="1:10" ht="30" customHeight="1">
      <c r="A21" s="92"/>
      <c r="B21" s="92"/>
      <c r="C21" s="97"/>
      <c r="D21" s="333" t="s">
        <v>178</v>
      </c>
      <c r="E21" s="333"/>
      <c r="F21" s="333"/>
      <c r="G21" s="98">
        <f>G14+G15+G16+G17+G18+G19+G20</f>
        <v>6354</v>
      </c>
      <c r="H21" s="98">
        <f>H14+H15+H16+H17+H18+H19+H20</f>
        <v>6324</v>
      </c>
      <c r="I21" s="98">
        <f>I16+I17+I18+I19+I20</f>
        <v>6281</v>
      </c>
      <c r="J21" s="93">
        <f>I21/G21*100</f>
        <v>98.8511174063582</v>
      </c>
    </row>
    <row r="22" spans="1:10" ht="33" customHeight="1">
      <c r="A22" s="92"/>
      <c r="B22" s="92"/>
      <c r="C22" s="86" t="s">
        <v>47</v>
      </c>
      <c r="D22" s="317" t="s">
        <v>179</v>
      </c>
      <c r="E22" s="317"/>
      <c r="F22" s="317"/>
      <c r="G22" s="99"/>
      <c r="H22" s="99"/>
      <c r="I22" s="99"/>
      <c r="J22" s="93"/>
    </row>
    <row r="23" spans="1:10" ht="16.5">
      <c r="A23" s="92"/>
      <c r="B23" s="92"/>
      <c r="C23" s="92"/>
      <c r="D23" s="92" t="s">
        <v>45</v>
      </c>
      <c r="E23" s="92" t="s">
        <v>180</v>
      </c>
      <c r="F23" s="92"/>
      <c r="G23" s="15"/>
      <c r="H23" s="15">
        <v>1553</v>
      </c>
      <c r="I23" s="15">
        <v>2088</v>
      </c>
      <c r="J23" s="93"/>
    </row>
    <row r="24" spans="1:10" ht="16.5">
      <c r="A24" s="92"/>
      <c r="B24" s="92"/>
      <c r="C24" s="92"/>
      <c r="D24" s="92" t="s">
        <v>46</v>
      </c>
      <c r="E24" s="92" t="s">
        <v>181</v>
      </c>
      <c r="F24" s="92"/>
      <c r="G24" s="15">
        <v>368</v>
      </c>
      <c r="H24" s="15">
        <v>368</v>
      </c>
      <c r="I24" s="15">
        <v>774</v>
      </c>
      <c r="J24" s="93">
        <f>I24/G24*100</f>
        <v>210.32608695652172</v>
      </c>
    </row>
    <row r="25" spans="1:10" ht="16.5">
      <c r="A25" s="92"/>
      <c r="B25" s="92"/>
      <c r="C25" s="92"/>
      <c r="D25" s="92" t="s">
        <v>47</v>
      </c>
      <c r="E25" s="92" t="s">
        <v>182</v>
      </c>
      <c r="F25" s="92"/>
      <c r="G25" s="15">
        <v>205</v>
      </c>
      <c r="H25" s="15">
        <v>205</v>
      </c>
      <c r="I25" s="15">
        <v>766</v>
      </c>
      <c r="J25" s="93">
        <f>I25/G25*100</f>
        <v>373.6585365853659</v>
      </c>
    </row>
    <row r="26" spans="1:10" ht="30.75" customHeight="1">
      <c r="A26" s="100"/>
      <c r="B26" s="100"/>
      <c r="C26" s="333" t="s">
        <v>183</v>
      </c>
      <c r="D26" s="333"/>
      <c r="E26" s="333"/>
      <c r="F26" s="333"/>
      <c r="G26" s="101">
        <f>G24+G25</f>
        <v>573</v>
      </c>
      <c r="H26" s="101">
        <f>H23+H24+H25</f>
        <v>2126</v>
      </c>
      <c r="I26" s="101">
        <f>I23+I24+I25</f>
        <v>3628</v>
      </c>
      <c r="J26" s="93">
        <f>I26/G26*100</f>
        <v>633.1588132635253</v>
      </c>
    </row>
    <row r="27" spans="1:10" ht="32.25" customHeight="1">
      <c r="A27" s="92"/>
      <c r="B27" s="92"/>
      <c r="C27" s="76" t="s">
        <v>48</v>
      </c>
      <c r="D27" s="317" t="s">
        <v>184</v>
      </c>
      <c r="E27" s="317"/>
      <c r="F27" s="317"/>
      <c r="G27" s="99"/>
      <c r="H27" s="99"/>
      <c r="I27" s="99"/>
      <c r="J27" s="102"/>
    </row>
    <row r="28" spans="1:10" ht="17.25" customHeight="1">
      <c r="A28" s="92"/>
      <c r="B28" s="92"/>
      <c r="C28" s="92"/>
      <c r="D28" s="94" t="s">
        <v>45</v>
      </c>
      <c r="E28" s="327" t="s">
        <v>185</v>
      </c>
      <c r="F28" s="327"/>
      <c r="G28" s="70"/>
      <c r="H28" s="70"/>
      <c r="I28" s="70"/>
      <c r="J28" s="103"/>
    </row>
    <row r="29" spans="1:10" ht="30.75" customHeight="1">
      <c r="A29" s="92"/>
      <c r="B29" s="92"/>
      <c r="C29" s="92"/>
      <c r="D29" s="92"/>
      <c r="E29" s="94" t="s">
        <v>186</v>
      </c>
      <c r="F29" s="95" t="s">
        <v>187</v>
      </c>
      <c r="G29" s="15">
        <v>177</v>
      </c>
      <c r="H29" s="15">
        <v>177</v>
      </c>
      <c r="I29" s="70">
        <v>171</v>
      </c>
      <c r="J29" s="93">
        <f>I29/G29*100</f>
        <v>96.61016949152543</v>
      </c>
    </row>
    <row r="30" spans="1:10" ht="30.75" customHeight="1">
      <c r="A30" s="100"/>
      <c r="B30" s="100"/>
      <c r="C30" s="333" t="s">
        <v>188</v>
      </c>
      <c r="D30" s="333"/>
      <c r="E30" s="333"/>
      <c r="F30" s="333"/>
      <c r="G30" s="101">
        <f>G29</f>
        <v>177</v>
      </c>
      <c r="H30" s="101">
        <f>H29</f>
        <v>177</v>
      </c>
      <c r="I30" s="101">
        <f>I29</f>
        <v>171</v>
      </c>
      <c r="J30" s="93">
        <f>I30/G30*100</f>
        <v>96.61016949152543</v>
      </c>
    </row>
    <row r="31" spans="1:10" ht="16.5">
      <c r="A31" s="92"/>
      <c r="B31" s="90"/>
      <c r="C31" s="90" t="s">
        <v>49</v>
      </c>
      <c r="D31" s="334" t="s">
        <v>189</v>
      </c>
      <c r="E31" s="334"/>
      <c r="F31" s="334"/>
      <c r="G31" s="15">
        <v>-340</v>
      </c>
      <c r="H31" s="15">
        <v>-340</v>
      </c>
      <c r="I31" s="15">
        <v>-92</v>
      </c>
      <c r="J31" s="93">
        <f>I31/G31*100</f>
        <v>27.058823529411764</v>
      </c>
    </row>
    <row r="32" spans="1:10" ht="14.25" customHeight="1">
      <c r="A32" s="92"/>
      <c r="B32" s="92"/>
      <c r="C32" s="104" t="s">
        <v>50</v>
      </c>
      <c r="D32" s="90" t="s">
        <v>190</v>
      </c>
      <c r="E32" s="81"/>
      <c r="F32" s="81"/>
      <c r="G32" s="105"/>
      <c r="H32" s="105"/>
      <c r="I32" s="105"/>
      <c r="J32" s="93"/>
    </row>
    <row r="33" spans="1:10" ht="16.5">
      <c r="A33" s="92"/>
      <c r="B33" s="92"/>
      <c r="C33" s="78"/>
      <c r="D33" s="81" t="s">
        <v>45</v>
      </c>
      <c r="E33" s="106" t="s">
        <v>191</v>
      </c>
      <c r="F33" s="81"/>
      <c r="G33" s="105"/>
      <c r="H33" s="105">
        <v>47</v>
      </c>
      <c r="I33" s="105">
        <v>47</v>
      </c>
      <c r="J33" s="93"/>
    </row>
    <row r="34" spans="1:10" ht="16.5">
      <c r="A34" s="92"/>
      <c r="B34" s="92"/>
      <c r="C34" s="107" t="s">
        <v>52</v>
      </c>
      <c r="D34" s="104" t="s">
        <v>192</v>
      </c>
      <c r="E34" s="104"/>
      <c r="F34" s="108"/>
      <c r="G34" s="105"/>
      <c r="H34" s="105"/>
      <c r="I34" s="105"/>
      <c r="J34" s="93"/>
    </row>
    <row r="35" spans="1:10" ht="16.5">
      <c r="A35" s="90"/>
      <c r="C35" s="78"/>
      <c r="D35" s="81" t="s">
        <v>45</v>
      </c>
      <c r="E35" s="106" t="s">
        <v>193</v>
      </c>
      <c r="F35" s="81"/>
      <c r="G35" s="105"/>
      <c r="H35" s="105">
        <v>255</v>
      </c>
      <c r="I35" s="105"/>
      <c r="J35" s="93"/>
    </row>
    <row r="36" spans="1:10" ht="20.25" customHeight="1">
      <c r="A36" s="90"/>
      <c r="B36" s="90"/>
      <c r="C36" s="78"/>
      <c r="D36" s="81" t="s">
        <v>46</v>
      </c>
      <c r="E36" s="106" t="s">
        <v>194</v>
      </c>
      <c r="G36" s="105"/>
      <c r="H36" s="105">
        <v>2</v>
      </c>
      <c r="I36" s="105"/>
      <c r="J36" s="93"/>
    </row>
    <row r="37" spans="1:10" ht="20.25" customHeight="1">
      <c r="A37" s="90"/>
      <c r="B37" s="90"/>
      <c r="C37" s="78"/>
      <c r="D37" s="81" t="s">
        <v>47</v>
      </c>
      <c r="E37" s="335" t="s">
        <v>321</v>
      </c>
      <c r="F37" s="336"/>
      <c r="G37" s="105"/>
      <c r="H37" s="105"/>
      <c r="I37" s="105">
        <v>195</v>
      </c>
      <c r="J37" s="93"/>
    </row>
    <row r="38" spans="1:10" ht="20.25" customHeight="1">
      <c r="A38" s="90"/>
      <c r="B38" s="90"/>
      <c r="C38" s="78"/>
      <c r="D38" s="81" t="s">
        <v>48</v>
      </c>
      <c r="E38" s="335" t="s">
        <v>33</v>
      </c>
      <c r="F38" s="336"/>
      <c r="G38" s="105"/>
      <c r="H38" s="105"/>
      <c r="I38" s="105">
        <v>2000</v>
      </c>
      <c r="J38" s="93"/>
    </row>
    <row r="39" spans="1:10" ht="40.5" customHeight="1" thickBot="1">
      <c r="A39" s="90"/>
      <c r="B39" s="317" t="s">
        <v>195</v>
      </c>
      <c r="C39" s="317"/>
      <c r="D39" s="317"/>
      <c r="E39" s="317"/>
      <c r="F39" s="317"/>
      <c r="G39" s="109">
        <f>G21+G26+G30+G31</f>
        <v>6764</v>
      </c>
      <c r="H39" s="109">
        <f>H21+H26+H30+H31+H33+H35+H36</f>
        <v>8591</v>
      </c>
      <c r="I39" s="109">
        <f>I21+I26+I30+I31+I33+I37+I38</f>
        <v>12230</v>
      </c>
      <c r="J39" s="110">
        <f>I39/G39*100</f>
        <v>180.81017149615613</v>
      </c>
    </row>
    <row r="40" spans="1:10" ht="18" customHeight="1" thickBot="1">
      <c r="A40" s="310" t="s">
        <v>154</v>
      </c>
      <c r="B40" s="311"/>
      <c r="C40" s="311"/>
      <c r="D40" s="311"/>
      <c r="E40" s="311"/>
      <c r="F40" s="311"/>
      <c r="G40" s="328" t="s">
        <v>155</v>
      </c>
      <c r="H40" s="329"/>
      <c r="I40" s="80" t="s">
        <v>37</v>
      </c>
      <c r="J40" s="330" t="s">
        <v>156</v>
      </c>
    </row>
    <row r="41" spans="1:10" ht="16.5">
      <c r="A41" s="312"/>
      <c r="B41" s="313"/>
      <c r="C41" s="313"/>
      <c r="D41" s="313"/>
      <c r="E41" s="313"/>
      <c r="F41" s="313"/>
      <c r="G41" s="82" t="s">
        <v>36</v>
      </c>
      <c r="H41" s="82" t="s">
        <v>157</v>
      </c>
      <c r="I41" s="83" t="s">
        <v>36</v>
      </c>
      <c r="J41" s="331"/>
    </row>
    <row r="42" spans="1:10" ht="17.25" thickBot="1">
      <c r="A42" s="314"/>
      <c r="B42" s="309"/>
      <c r="C42" s="309"/>
      <c r="D42" s="309"/>
      <c r="E42" s="309"/>
      <c r="F42" s="309"/>
      <c r="G42" s="84" t="s">
        <v>73</v>
      </c>
      <c r="H42" s="84" t="s">
        <v>158</v>
      </c>
      <c r="I42" s="85" t="s">
        <v>73</v>
      </c>
      <c r="J42" s="332"/>
    </row>
    <row r="43" spans="1:10" ht="33">
      <c r="A43" s="81"/>
      <c r="B43" s="86" t="s">
        <v>196</v>
      </c>
      <c r="C43" s="317" t="s">
        <v>197</v>
      </c>
      <c r="D43" s="317"/>
      <c r="E43" s="317"/>
      <c r="F43" s="317"/>
      <c r="G43" s="88"/>
      <c r="H43" s="88"/>
      <c r="I43" s="89"/>
      <c r="J43" s="112"/>
    </row>
    <row r="44" spans="1:10" ht="16.5">
      <c r="A44" s="81"/>
      <c r="B44" s="81"/>
      <c r="C44" s="78" t="s">
        <v>45</v>
      </c>
      <c r="D44" s="113" t="s">
        <v>198</v>
      </c>
      <c r="E44" s="81"/>
      <c r="F44" s="81"/>
      <c r="G44" s="111"/>
      <c r="H44" s="111"/>
      <c r="I44" s="111">
        <v>46</v>
      </c>
      <c r="J44" s="112"/>
    </row>
    <row r="45" spans="1:10" ht="16.5">
      <c r="A45" s="81"/>
      <c r="B45" s="81"/>
      <c r="C45" s="81" t="s">
        <v>46</v>
      </c>
      <c r="D45" s="326" t="s">
        <v>199</v>
      </c>
      <c r="E45" s="326"/>
      <c r="F45" s="326"/>
      <c r="G45" s="105"/>
      <c r="H45" s="105">
        <v>313</v>
      </c>
      <c r="I45" s="105">
        <f>719+338+351</f>
        <v>1408</v>
      </c>
      <c r="J45" s="93">
        <f>(I45/H45)*100</f>
        <v>449.8402555910543</v>
      </c>
    </row>
    <row r="46" spans="1:10" ht="16.5">
      <c r="A46" s="81"/>
      <c r="B46" s="81"/>
      <c r="C46" s="81" t="s">
        <v>47</v>
      </c>
      <c r="D46" s="326" t="s">
        <v>327</v>
      </c>
      <c r="E46" s="326"/>
      <c r="F46" s="326"/>
      <c r="G46" s="105"/>
      <c r="H46" s="105"/>
      <c r="I46" s="105">
        <v>77</v>
      </c>
      <c r="J46" s="93"/>
    </row>
    <row r="47" spans="1:10" ht="33.75" customHeight="1">
      <c r="A47" s="81"/>
      <c r="B47" s="317" t="s">
        <v>200</v>
      </c>
      <c r="C47" s="317"/>
      <c r="D47" s="317"/>
      <c r="E47" s="317"/>
      <c r="F47" s="317"/>
      <c r="G47" s="109">
        <f>G44</f>
        <v>0</v>
      </c>
      <c r="H47" s="109">
        <f>H45</f>
        <v>313</v>
      </c>
      <c r="I47" s="109">
        <f>I44+I45+I46</f>
        <v>1531</v>
      </c>
      <c r="J47" s="93">
        <f>(I47/H47)*100</f>
        <v>489.13738019169324</v>
      </c>
    </row>
    <row r="48" spans="1:10" ht="34.5" customHeight="1">
      <c r="A48" s="317" t="s">
        <v>201</v>
      </c>
      <c r="B48" s="317"/>
      <c r="C48" s="317"/>
      <c r="D48" s="317"/>
      <c r="E48" s="317"/>
      <c r="F48" s="317"/>
      <c r="G48" s="114">
        <f>G39+G47</f>
        <v>6764</v>
      </c>
      <c r="H48" s="114">
        <f>H39+H47</f>
        <v>8904</v>
      </c>
      <c r="I48" s="115">
        <f>I39+I47</f>
        <v>13761</v>
      </c>
      <c r="J48" s="110">
        <f>I48/G48*100</f>
        <v>203.4447072738025</v>
      </c>
    </row>
    <row r="49" spans="1:10" ht="12.75" customHeight="1">
      <c r="A49" s="87"/>
      <c r="B49" s="87"/>
      <c r="C49" s="87"/>
      <c r="D49" s="87"/>
      <c r="E49" s="87"/>
      <c r="F49" s="87"/>
      <c r="G49" s="114"/>
      <c r="H49" s="114"/>
      <c r="I49" s="115"/>
      <c r="J49" s="110"/>
    </row>
    <row r="50" spans="1:10" ht="31.5" customHeight="1">
      <c r="A50" s="86" t="s">
        <v>196</v>
      </c>
      <c r="B50" s="317" t="s">
        <v>202</v>
      </c>
      <c r="C50" s="317"/>
      <c r="D50" s="317"/>
      <c r="E50" s="317"/>
      <c r="F50" s="317"/>
      <c r="G50" s="102"/>
      <c r="H50" s="102"/>
      <c r="I50" s="99"/>
      <c r="J50" s="93"/>
    </row>
    <row r="51" spans="1:11" ht="33" customHeight="1">
      <c r="A51" s="86"/>
      <c r="B51" s="124" t="s">
        <v>45</v>
      </c>
      <c r="C51" s="317" t="s">
        <v>317</v>
      </c>
      <c r="D51" s="317"/>
      <c r="E51" s="317"/>
      <c r="F51" s="317"/>
      <c r="G51" s="102"/>
      <c r="H51" s="102"/>
      <c r="I51" s="87"/>
      <c r="J51" s="87"/>
      <c r="K51" s="87"/>
    </row>
    <row r="52" spans="1:10" ht="18.75" customHeight="1">
      <c r="A52" s="86"/>
      <c r="B52" s="87"/>
      <c r="C52" s="204" t="s">
        <v>45</v>
      </c>
      <c r="D52" s="327" t="s">
        <v>316</v>
      </c>
      <c r="E52" s="327"/>
      <c r="F52" s="327"/>
      <c r="G52" s="103"/>
      <c r="H52" s="204"/>
      <c r="I52" s="70">
        <f>1500+1000</f>
        <v>2500</v>
      </c>
      <c r="J52" s="93"/>
    </row>
    <row r="53" spans="1:10" ht="33" customHeight="1">
      <c r="A53" s="86"/>
      <c r="B53" s="87"/>
      <c r="C53" s="317" t="s">
        <v>315</v>
      </c>
      <c r="D53" s="317"/>
      <c r="E53" s="317"/>
      <c r="F53" s="317"/>
      <c r="G53" s="103"/>
      <c r="H53" s="204"/>
      <c r="I53" s="99">
        <f>I52</f>
        <v>2500</v>
      </c>
      <c r="J53" s="93"/>
    </row>
    <row r="54" spans="1:10" ht="20.25" customHeight="1">
      <c r="A54" s="86"/>
      <c r="B54" s="87" t="s">
        <v>46</v>
      </c>
      <c r="C54" s="317" t="s">
        <v>3</v>
      </c>
      <c r="D54" s="317"/>
      <c r="E54" s="317"/>
      <c r="F54" s="317"/>
      <c r="G54" s="87"/>
      <c r="H54" s="204"/>
      <c r="I54" s="99"/>
      <c r="J54" s="93"/>
    </row>
    <row r="55" spans="1:10" ht="25.5" customHeight="1">
      <c r="A55" s="86"/>
      <c r="B55" s="87"/>
      <c r="C55" s="87" t="s">
        <v>45</v>
      </c>
      <c r="D55" s="117" t="s">
        <v>206</v>
      </c>
      <c r="E55" s="87"/>
      <c r="F55" s="87"/>
      <c r="G55" s="87"/>
      <c r="H55" s="204"/>
      <c r="I55" s="70">
        <v>477</v>
      </c>
      <c r="J55" s="93"/>
    </row>
    <row r="56" spans="1:10" ht="35.25" customHeight="1">
      <c r="A56" s="86"/>
      <c r="B56" s="87"/>
      <c r="C56" s="317" t="s">
        <v>4</v>
      </c>
      <c r="D56" s="317"/>
      <c r="E56" s="317"/>
      <c r="F56" s="317"/>
      <c r="G56" s="87"/>
      <c r="H56" s="204"/>
      <c r="I56" s="99">
        <v>477</v>
      </c>
      <c r="J56" s="93"/>
    </row>
    <row r="57" spans="1:10" ht="33.75" customHeight="1">
      <c r="A57" s="92"/>
      <c r="B57" s="86" t="s">
        <v>47</v>
      </c>
      <c r="C57" s="317" t="s">
        <v>203</v>
      </c>
      <c r="D57" s="317"/>
      <c r="E57" s="317"/>
      <c r="F57" s="317"/>
      <c r="G57" s="102"/>
      <c r="H57" s="102"/>
      <c r="I57" s="99"/>
      <c r="J57" s="93"/>
    </row>
    <row r="58" spans="1:10" ht="18" customHeight="1">
      <c r="A58" s="92"/>
      <c r="B58" s="90"/>
      <c r="C58" s="87" t="s">
        <v>45</v>
      </c>
      <c r="D58" s="117" t="s">
        <v>204</v>
      </c>
      <c r="E58" s="87"/>
      <c r="F58" s="87"/>
      <c r="G58" s="102"/>
      <c r="H58" s="118">
        <v>2206</v>
      </c>
      <c r="I58" s="99"/>
      <c r="J58" s="93"/>
    </row>
    <row r="59" spans="1:10" ht="20.25" customHeight="1">
      <c r="A59" s="92"/>
      <c r="B59" s="90"/>
      <c r="C59" s="87" t="s">
        <v>46</v>
      </c>
      <c r="D59" s="117" t="s">
        <v>205</v>
      </c>
      <c r="E59" s="87"/>
      <c r="F59" s="87"/>
      <c r="G59" s="102"/>
      <c r="H59" s="118">
        <v>17</v>
      </c>
      <c r="I59" s="99"/>
      <c r="J59" s="93"/>
    </row>
    <row r="60" spans="1:10" ht="18.75" customHeight="1">
      <c r="A60" s="92"/>
      <c r="B60" s="90"/>
      <c r="C60" s="87" t="s">
        <v>47</v>
      </c>
      <c r="D60" s="117" t="s">
        <v>206</v>
      </c>
      <c r="E60" s="87"/>
      <c r="F60" s="87"/>
      <c r="G60" s="102"/>
      <c r="H60" s="118"/>
      <c r="I60" s="70"/>
      <c r="J60" s="93"/>
    </row>
    <row r="61" spans="1:10" ht="18.75" customHeight="1">
      <c r="A61" s="92"/>
      <c r="B61" s="90"/>
      <c r="C61" s="87" t="s">
        <v>47</v>
      </c>
      <c r="D61" s="117" t="s">
        <v>207</v>
      </c>
      <c r="E61" s="87"/>
      <c r="F61" s="87"/>
      <c r="G61" s="102"/>
      <c r="H61" s="118"/>
      <c r="I61" s="70">
        <v>497</v>
      </c>
      <c r="J61" s="93"/>
    </row>
    <row r="62" spans="1:10" ht="32.25" customHeight="1">
      <c r="A62" s="92"/>
      <c r="B62" s="90"/>
      <c r="C62" s="87" t="s">
        <v>48</v>
      </c>
      <c r="D62" s="327" t="s">
        <v>314</v>
      </c>
      <c r="E62" s="316"/>
      <c r="F62" s="316"/>
      <c r="G62" s="102"/>
      <c r="H62" s="118"/>
      <c r="I62" s="70">
        <v>2950</v>
      </c>
      <c r="J62" s="93"/>
    </row>
    <row r="63" spans="1:10" ht="35.25" customHeight="1">
      <c r="A63" s="81"/>
      <c r="B63" s="317" t="s">
        <v>208</v>
      </c>
      <c r="C63" s="317"/>
      <c r="D63" s="317"/>
      <c r="E63" s="317"/>
      <c r="F63" s="317"/>
      <c r="G63" s="105"/>
      <c r="H63" s="105">
        <f>H58+H59</f>
        <v>2223</v>
      </c>
      <c r="I63" s="109">
        <f>I57+I58+I59+I60+I61+I62</f>
        <v>3447</v>
      </c>
      <c r="J63" s="93">
        <f>(I63/H63)*100</f>
        <v>155.06072874493927</v>
      </c>
    </row>
    <row r="64" spans="1:10" ht="31.5" customHeight="1">
      <c r="A64" s="317" t="s">
        <v>209</v>
      </c>
      <c r="B64" s="317"/>
      <c r="C64" s="317"/>
      <c r="D64" s="317"/>
      <c r="E64" s="317"/>
      <c r="F64" s="317"/>
      <c r="G64" s="109"/>
      <c r="H64" s="109">
        <f>H63</f>
        <v>2223</v>
      </c>
      <c r="I64" s="109">
        <f>I53+I63+I56</f>
        <v>6424</v>
      </c>
      <c r="J64" s="93">
        <f>(I64/H64)*100</f>
        <v>288.97885739991005</v>
      </c>
    </row>
    <row r="65" spans="1:10" ht="1.5" customHeight="1">
      <c r="A65" s="87"/>
      <c r="B65" s="87"/>
      <c r="C65" s="87"/>
      <c r="D65" s="87"/>
      <c r="E65" s="87"/>
      <c r="F65" s="87"/>
      <c r="G65" s="109"/>
      <c r="H65" s="109"/>
      <c r="I65" s="109"/>
      <c r="J65" s="110"/>
    </row>
    <row r="66" spans="1:10" ht="16.5">
      <c r="A66" s="90" t="s">
        <v>210</v>
      </c>
      <c r="B66" s="90" t="s">
        <v>123</v>
      </c>
      <c r="C66" s="90"/>
      <c r="D66" s="90"/>
      <c r="E66" s="90"/>
      <c r="F66" s="90"/>
      <c r="G66" s="119"/>
      <c r="H66" s="119"/>
      <c r="I66" s="16"/>
      <c r="J66" s="93"/>
    </row>
    <row r="67" spans="1:10" ht="16.5">
      <c r="A67" s="90"/>
      <c r="B67" s="90" t="s">
        <v>45</v>
      </c>
      <c r="C67" s="90" t="s">
        <v>211</v>
      </c>
      <c r="D67" s="90"/>
      <c r="E67" s="90"/>
      <c r="F67" s="90"/>
      <c r="G67" s="119"/>
      <c r="H67" s="119"/>
      <c r="I67" s="16"/>
      <c r="J67" s="93"/>
    </row>
    <row r="68" spans="1:10" ht="16.5">
      <c r="A68" s="90"/>
      <c r="B68" s="90"/>
      <c r="C68" s="92" t="s">
        <v>45</v>
      </c>
      <c r="D68" s="92" t="s">
        <v>212</v>
      </c>
      <c r="E68" s="92"/>
      <c r="F68" s="92"/>
      <c r="G68" s="105">
        <v>100</v>
      </c>
      <c r="H68" s="105">
        <v>327</v>
      </c>
      <c r="I68" s="15">
        <f>100+25</f>
        <v>125</v>
      </c>
      <c r="J68" s="93">
        <f>I68/G68*100</f>
        <v>125</v>
      </c>
    </row>
    <row r="69" spans="1:10" ht="16.5">
      <c r="A69" s="90"/>
      <c r="B69" s="90" t="s">
        <v>46</v>
      </c>
      <c r="C69" s="90" t="s">
        <v>213</v>
      </c>
      <c r="D69" s="90"/>
      <c r="E69" s="90"/>
      <c r="F69" s="90"/>
      <c r="G69" s="119"/>
      <c r="H69" s="119"/>
      <c r="I69" s="16"/>
      <c r="J69" s="93"/>
    </row>
    <row r="70" spans="1:10" ht="16.5">
      <c r="A70" s="92"/>
      <c r="B70" s="92"/>
      <c r="C70" s="92" t="s">
        <v>45</v>
      </c>
      <c r="D70" s="92" t="s">
        <v>214</v>
      </c>
      <c r="E70" s="92"/>
      <c r="F70" s="92"/>
      <c r="G70" s="105">
        <v>1000</v>
      </c>
      <c r="H70" s="105">
        <v>827</v>
      </c>
      <c r="I70" s="15">
        <v>1000</v>
      </c>
      <c r="J70" s="93">
        <f>I70/G70*100</f>
        <v>100</v>
      </c>
    </row>
    <row r="71" spans="1:10" ht="16.5">
      <c r="A71" s="90"/>
      <c r="B71" s="90" t="s">
        <v>47</v>
      </c>
      <c r="C71" s="90" t="s">
        <v>215</v>
      </c>
      <c r="D71" s="90"/>
      <c r="E71" s="90"/>
      <c r="F71" s="90"/>
      <c r="G71" s="105"/>
      <c r="H71" s="105"/>
      <c r="I71" s="16"/>
      <c r="J71" s="93"/>
    </row>
    <row r="72" spans="1:10" ht="16.5">
      <c r="A72" s="92"/>
      <c r="B72" s="92"/>
      <c r="C72" s="92" t="s">
        <v>45</v>
      </c>
      <c r="D72" s="92" t="s">
        <v>216</v>
      </c>
      <c r="E72" s="92"/>
      <c r="F72" s="92"/>
      <c r="G72" s="105">
        <v>329</v>
      </c>
      <c r="H72" s="105">
        <v>630</v>
      </c>
      <c r="I72" s="15">
        <v>630</v>
      </c>
      <c r="J72" s="93">
        <f>I72/G72*100</f>
        <v>191.48936170212767</v>
      </c>
    </row>
    <row r="73" spans="1:10" ht="16.5">
      <c r="A73" s="92"/>
      <c r="B73" s="90" t="s">
        <v>48</v>
      </c>
      <c r="C73" s="90" t="s">
        <v>217</v>
      </c>
      <c r="D73" s="92"/>
      <c r="E73" s="92"/>
      <c r="F73" s="92"/>
      <c r="G73" s="105"/>
      <c r="H73" s="105"/>
      <c r="I73" s="15"/>
      <c r="J73" s="93"/>
    </row>
    <row r="74" spans="1:10" ht="16.5">
      <c r="A74" s="90"/>
      <c r="B74" s="90" t="s">
        <v>49</v>
      </c>
      <c r="C74" s="90" t="s">
        <v>218</v>
      </c>
      <c r="D74" s="90"/>
      <c r="E74" s="90"/>
      <c r="F74" s="90"/>
      <c r="G74" s="105"/>
      <c r="H74" s="105"/>
      <c r="I74" s="16"/>
      <c r="J74" s="93"/>
    </row>
    <row r="75" spans="1:10" ht="16.5">
      <c r="A75" s="90"/>
      <c r="B75" s="90"/>
      <c r="C75" s="92" t="s">
        <v>219</v>
      </c>
      <c r="D75" s="92" t="s">
        <v>220</v>
      </c>
      <c r="E75" s="92"/>
      <c r="F75" s="90"/>
      <c r="G75" s="105">
        <v>20</v>
      </c>
      <c r="H75" s="105">
        <v>7</v>
      </c>
      <c r="I75" s="15">
        <v>10</v>
      </c>
      <c r="J75" s="93">
        <f>I75/G75*100</f>
        <v>50</v>
      </c>
    </row>
    <row r="76" spans="1:10" ht="16.5">
      <c r="A76" s="92"/>
      <c r="B76" s="92"/>
      <c r="C76" s="92" t="s">
        <v>46</v>
      </c>
      <c r="D76" s="92" t="s">
        <v>221</v>
      </c>
      <c r="E76" s="92"/>
      <c r="F76" s="92"/>
      <c r="G76" s="105"/>
      <c r="H76" s="105">
        <v>276</v>
      </c>
      <c r="I76" s="15">
        <v>100</v>
      </c>
      <c r="J76" s="93">
        <f>(I76/H76)*100</f>
        <v>36.231884057971016</v>
      </c>
    </row>
    <row r="77" spans="1:10" ht="18" customHeight="1" thickBot="1">
      <c r="A77" s="90" t="s">
        <v>222</v>
      </c>
      <c r="B77" s="81"/>
      <c r="C77" s="81"/>
      <c r="D77" s="81"/>
      <c r="E77" s="81"/>
      <c r="F77" s="81"/>
      <c r="G77" s="109">
        <f>G70+G72+G68</f>
        <v>1429</v>
      </c>
      <c r="H77" s="109">
        <f>H70+H72+H68+H75+H76</f>
        <v>2067</v>
      </c>
      <c r="I77" s="109">
        <f>I70+I72+I68+I75+I76</f>
        <v>1865</v>
      </c>
      <c r="J77" s="110">
        <f>I77/G77*100</f>
        <v>130.5108467459762</v>
      </c>
    </row>
    <row r="78" spans="1:10" ht="17.25" thickBot="1">
      <c r="A78" s="310" t="s">
        <v>154</v>
      </c>
      <c r="B78" s="311"/>
      <c r="C78" s="311"/>
      <c r="D78" s="311"/>
      <c r="E78" s="311"/>
      <c r="F78" s="311"/>
      <c r="G78" s="328" t="s">
        <v>155</v>
      </c>
      <c r="H78" s="329"/>
      <c r="I78" s="80" t="s">
        <v>37</v>
      </c>
      <c r="J78" s="330" t="s">
        <v>156</v>
      </c>
    </row>
    <row r="79" spans="1:10" ht="16.5">
      <c r="A79" s="312"/>
      <c r="B79" s="313"/>
      <c r="C79" s="313"/>
      <c r="D79" s="313"/>
      <c r="E79" s="313"/>
      <c r="F79" s="313"/>
      <c r="G79" s="82" t="s">
        <v>36</v>
      </c>
      <c r="H79" s="82" t="s">
        <v>157</v>
      </c>
      <c r="I79" s="83" t="s">
        <v>36</v>
      </c>
      <c r="J79" s="331"/>
    </row>
    <row r="80" spans="1:10" ht="23.25" customHeight="1" thickBot="1">
      <c r="A80" s="314"/>
      <c r="B80" s="309"/>
      <c r="C80" s="309"/>
      <c r="D80" s="309"/>
      <c r="E80" s="309"/>
      <c r="F80" s="309"/>
      <c r="G80" s="84" t="s">
        <v>73</v>
      </c>
      <c r="H80" s="84" t="s">
        <v>158</v>
      </c>
      <c r="I80" s="85" t="s">
        <v>73</v>
      </c>
      <c r="J80" s="332"/>
    </row>
    <row r="81" ht="4.5" customHeight="1"/>
    <row r="82" spans="1:10" ht="16.5">
      <c r="A82" s="90" t="s">
        <v>223</v>
      </c>
      <c r="B82" s="90" t="s">
        <v>124</v>
      </c>
      <c r="C82" s="90"/>
      <c r="D82" s="90"/>
      <c r="E82" s="90"/>
      <c r="F82" s="90"/>
      <c r="G82" s="119"/>
      <c r="H82" s="119"/>
      <c r="I82" s="16"/>
      <c r="J82" s="93"/>
    </row>
    <row r="83" spans="1:10" ht="5.25" customHeight="1">
      <c r="A83" s="81"/>
      <c r="B83" s="81"/>
      <c r="C83" s="81"/>
      <c r="D83" s="81"/>
      <c r="E83" s="81"/>
      <c r="F83" s="81"/>
      <c r="G83" s="105"/>
      <c r="H83" s="105"/>
      <c r="I83" s="105"/>
      <c r="J83" s="93"/>
    </row>
    <row r="84" spans="1:10" ht="16.5">
      <c r="A84" s="81"/>
      <c r="B84" s="81" t="s">
        <v>45</v>
      </c>
      <c r="C84" s="335" t="s">
        <v>224</v>
      </c>
      <c r="D84" s="335"/>
      <c r="E84" s="335"/>
      <c r="F84" s="335"/>
      <c r="G84" s="105"/>
      <c r="H84" s="105"/>
      <c r="I84" s="105"/>
      <c r="J84" s="93"/>
    </row>
    <row r="85" spans="1:10" ht="16.5">
      <c r="A85" s="81"/>
      <c r="B85" s="81"/>
      <c r="C85" s="106" t="s">
        <v>45</v>
      </c>
      <c r="D85" s="106" t="s">
        <v>225</v>
      </c>
      <c r="E85" s="106"/>
      <c r="F85" s="106"/>
      <c r="G85" s="105">
        <v>550</v>
      </c>
      <c r="H85" s="105">
        <v>614</v>
      </c>
      <c r="I85" s="105">
        <v>578</v>
      </c>
      <c r="J85" s="93">
        <f>I85/G85*100</f>
        <v>105.09090909090911</v>
      </c>
    </row>
    <row r="86" spans="1:10" ht="16.5">
      <c r="A86" s="81"/>
      <c r="B86" s="81"/>
      <c r="C86" s="106" t="s">
        <v>46</v>
      </c>
      <c r="D86" s="106" t="s">
        <v>324</v>
      </c>
      <c r="E86" s="106"/>
      <c r="F86" s="106"/>
      <c r="G86" s="105"/>
      <c r="H86" s="105"/>
      <c r="I86" s="105">
        <f>75+23</f>
        <v>98</v>
      </c>
      <c r="J86" s="93"/>
    </row>
    <row r="87" spans="1:10" ht="20.25" customHeight="1">
      <c r="A87" s="81"/>
      <c r="B87" s="81"/>
      <c r="C87" s="106" t="s">
        <v>47</v>
      </c>
      <c r="D87" s="106" t="s">
        <v>226</v>
      </c>
      <c r="E87" s="106"/>
      <c r="F87" s="106"/>
      <c r="G87" s="105"/>
      <c r="H87" s="105">
        <v>362</v>
      </c>
      <c r="I87" s="105">
        <v>360</v>
      </c>
      <c r="J87" s="93">
        <f>(I87/H87)*100</f>
        <v>99.4475138121547</v>
      </c>
    </row>
    <row r="88" spans="1:10" ht="19.5" customHeight="1">
      <c r="A88" s="81"/>
      <c r="B88" s="81"/>
      <c r="C88" s="106" t="s">
        <v>48</v>
      </c>
      <c r="D88" s="106" t="s">
        <v>227</v>
      </c>
      <c r="E88" s="81"/>
      <c r="F88" s="81"/>
      <c r="G88" s="105">
        <v>15</v>
      </c>
      <c r="H88" s="105">
        <v>1</v>
      </c>
      <c r="I88" s="105">
        <f>2+2277+80</f>
        <v>2359</v>
      </c>
      <c r="J88" s="93">
        <f>I88/G88*100</f>
        <v>15726.666666666668</v>
      </c>
    </row>
    <row r="89" spans="1:10" ht="18" customHeight="1">
      <c r="A89" s="81"/>
      <c r="B89" s="81"/>
      <c r="C89" s="106" t="s">
        <v>49</v>
      </c>
      <c r="D89" s="106" t="s">
        <v>228</v>
      </c>
      <c r="E89" s="81"/>
      <c r="F89" s="81"/>
      <c r="G89" s="105"/>
      <c r="H89" s="105">
        <v>50</v>
      </c>
      <c r="I89" s="105"/>
      <c r="J89" s="93"/>
    </row>
    <row r="90" spans="1:10" ht="20.25" customHeight="1">
      <c r="A90" s="81"/>
      <c r="B90" s="81"/>
      <c r="C90" s="106" t="s">
        <v>50</v>
      </c>
      <c r="D90" s="106" t="s">
        <v>229</v>
      </c>
      <c r="E90" s="81"/>
      <c r="F90" s="81"/>
      <c r="G90" s="105"/>
      <c r="H90" s="105">
        <v>240</v>
      </c>
      <c r="I90" s="105"/>
      <c r="J90" s="93"/>
    </row>
    <row r="91" spans="1:10" ht="20.25" customHeight="1">
      <c r="A91" s="81"/>
      <c r="B91" s="81"/>
      <c r="C91" s="106" t="s">
        <v>52</v>
      </c>
      <c r="D91" s="335" t="s">
        <v>2</v>
      </c>
      <c r="E91" s="337"/>
      <c r="F91" s="337"/>
      <c r="G91" s="105"/>
      <c r="H91" s="105"/>
      <c r="I91" s="105">
        <f>76+164+49</f>
        <v>289</v>
      </c>
      <c r="J91" s="93"/>
    </row>
    <row r="92" spans="1:10" ht="29.25" customHeight="1">
      <c r="A92" s="90" t="s">
        <v>230</v>
      </c>
      <c r="B92" s="81"/>
      <c r="C92" s="81"/>
      <c r="D92" s="81"/>
      <c r="E92" s="81"/>
      <c r="F92" s="81"/>
      <c r="G92" s="109">
        <f>G85+G87+G88</f>
        <v>565</v>
      </c>
      <c r="H92" s="109">
        <f>H85+H87+H88+H89+H90</f>
        <v>1267</v>
      </c>
      <c r="I92" s="109">
        <f>I85+I87+I88+I91+I86</f>
        <v>3684</v>
      </c>
      <c r="J92" s="110">
        <f>I92/G92*100</f>
        <v>652.0353982300885</v>
      </c>
    </row>
    <row r="93" spans="1:10" ht="28.5" customHeight="1">
      <c r="A93" s="90" t="s">
        <v>231</v>
      </c>
      <c r="B93" s="90" t="s">
        <v>125</v>
      </c>
      <c r="C93" s="90"/>
      <c r="D93" s="90"/>
      <c r="E93" s="90"/>
      <c r="F93" s="90"/>
      <c r="G93" s="90"/>
      <c r="H93" s="90"/>
      <c r="I93" s="91"/>
      <c r="J93" s="120"/>
    </row>
    <row r="94" spans="1:10" ht="16.5">
      <c r="A94" s="92"/>
      <c r="B94" s="92" t="s">
        <v>45</v>
      </c>
      <c r="C94" s="92" t="s">
        <v>232</v>
      </c>
      <c r="D94" s="92"/>
      <c r="E94" s="92"/>
      <c r="F94" s="92"/>
      <c r="G94" s="116"/>
      <c r="H94" s="116"/>
      <c r="I94" s="15"/>
      <c r="J94" s="110"/>
    </row>
    <row r="95" spans="1:10" ht="16.5">
      <c r="A95" s="81"/>
      <c r="B95" s="81"/>
      <c r="C95" s="81" t="s">
        <v>233</v>
      </c>
      <c r="D95" s="106" t="s">
        <v>234</v>
      </c>
      <c r="E95" s="81"/>
      <c r="F95" s="81"/>
      <c r="G95" s="105"/>
      <c r="H95" s="105">
        <v>180</v>
      </c>
      <c r="I95" s="105"/>
      <c r="J95" s="110"/>
    </row>
    <row r="96" spans="1:10" ht="16.5">
      <c r="A96" s="81"/>
      <c r="B96" s="81" t="s">
        <v>46</v>
      </c>
      <c r="C96" s="106" t="s">
        <v>235</v>
      </c>
      <c r="D96" s="106"/>
      <c r="E96" s="81"/>
      <c r="F96" s="81"/>
      <c r="G96" s="105"/>
      <c r="H96" s="105"/>
      <c r="I96" s="105"/>
      <c r="J96" s="110"/>
    </row>
    <row r="97" spans="1:10" ht="16.5">
      <c r="A97" s="81"/>
      <c r="B97" s="81"/>
      <c r="C97" s="81" t="s">
        <v>233</v>
      </c>
      <c r="D97" s="106" t="s">
        <v>236</v>
      </c>
      <c r="E97" s="81"/>
      <c r="F97" s="81"/>
      <c r="G97" s="105"/>
      <c r="H97" s="105">
        <v>1336</v>
      </c>
      <c r="I97" s="105"/>
      <c r="J97" s="110"/>
    </row>
    <row r="98" spans="1:10" ht="16.5">
      <c r="A98" s="81"/>
      <c r="B98" s="81"/>
      <c r="C98" s="81" t="s">
        <v>166</v>
      </c>
      <c r="D98" s="106" t="s">
        <v>237</v>
      </c>
      <c r="E98" s="81"/>
      <c r="F98" s="81"/>
      <c r="G98" s="105"/>
      <c r="H98" s="105">
        <v>781</v>
      </c>
      <c r="I98" s="105"/>
      <c r="J98" s="110"/>
    </row>
    <row r="99" spans="1:10" ht="16.5">
      <c r="A99" s="81"/>
      <c r="B99" s="81" t="s">
        <v>47</v>
      </c>
      <c r="C99" s="106" t="s">
        <v>238</v>
      </c>
      <c r="D99" s="106"/>
      <c r="E99" s="81"/>
      <c r="F99" s="81"/>
      <c r="G99" s="105"/>
      <c r="H99" s="105">
        <v>233</v>
      </c>
      <c r="I99" s="105">
        <v>0</v>
      </c>
      <c r="J99" s="110"/>
    </row>
    <row r="100" spans="1:10" ht="16.5">
      <c r="A100" s="90" t="s">
        <v>239</v>
      </c>
      <c r="B100" s="81"/>
      <c r="C100" s="81"/>
      <c r="D100" s="81"/>
      <c r="E100" s="81"/>
      <c r="F100" s="81"/>
      <c r="G100" s="109"/>
      <c r="H100" s="109">
        <f>H95+H97+H98+H99</f>
        <v>2530</v>
      </c>
      <c r="I100" s="109"/>
      <c r="J100" s="110"/>
    </row>
    <row r="101" spans="1:10" ht="16.5">
      <c r="A101" s="90"/>
      <c r="B101" s="81"/>
      <c r="C101" s="81"/>
      <c r="D101" s="81"/>
      <c r="E101" s="81"/>
      <c r="F101" s="81"/>
      <c r="G101" s="109"/>
      <c r="H101" s="109"/>
      <c r="I101" s="109"/>
      <c r="J101" s="110"/>
    </row>
    <row r="102" spans="1:10" ht="16.5">
      <c r="A102" s="90" t="s">
        <v>240</v>
      </c>
      <c r="B102" s="90"/>
      <c r="C102" s="90"/>
      <c r="D102" s="90"/>
      <c r="E102" s="90"/>
      <c r="F102" s="90"/>
      <c r="G102" s="121">
        <f>G48+G77+G92</f>
        <v>8758</v>
      </c>
      <c r="H102" s="121">
        <f>H48+H64+H77+H92+H100</f>
        <v>16991</v>
      </c>
      <c r="I102" s="121">
        <f>I48+I64+I77+I92+I99</f>
        <v>25734</v>
      </c>
      <c r="J102" s="110">
        <f>I102/G102*100</f>
        <v>293.83420872345283</v>
      </c>
    </row>
    <row r="103" spans="1:10" ht="16.5">
      <c r="A103" s="92"/>
      <c r="B103" s="92"/>
      <c r="C103" s="92"/>
      <c r="D103" s="92"/>
      <c r="E103" s="92"/>
      <c r="F103" s="92"/>
      <c r="G103" s="116"/>
      <c r="H103" s="116"/>
      <c r="I103" s="15"/>
      <c r="J103" s="110"/>
    </row>
    <row r="104" spans="1:10" ht="16.5">
      <c r="A104" s="90" t="s">
        <v>241</v>
      </c>
      <c r="B104" s="317" t="s">
        <v>242</v>
      </c>
      <c r="C104" s="317"/>
      <c r="D104" s="317"/>
      <c r="E104" s="317"/>
      <c r="F104" s="317"/>
      <c r="G104" s="119"/>
      <c r="H104" s="119"/>
      <c r="I104" s="70"/>
      <c r="J104" s="110"/>
    </row>
    <row r="105" spans="1:10" ht="31.5" customHeight="1">
      <c r="A105" s="90"/>
      <c r="B105" s="124" t="s">
        <v>45</v>
      </c>
      <c r="C105" s="317" t="s">
        <v>243</v>
      </c>
      <c r="D105" s="317"/>
      <c r="E105" s="317"/>
      <c r="F105" s="317"/>
      <c r="G105" s="105"/>
      <c r="H105" s="105"/>
      <c r="I105" s="122">
        <f>171+676+364+7</f>
        <v>1218</v>
      </c>
      <c r="J105" s="93"/>
    </row>
    <row r="106" spans="1:10" ht="34.5" customHeight="1">
      <c r="A106" s="92"/>
      <c r="B106" s="86" t="s">
        <v>46</v>
      </c>
      <c r="C106" s="317" t="s">
        <v>244</v>
      </c>
      <c r="D106" s="317"/>
      <c r="E106" s="317"/>
      <c r="F106" s="317"/>
      <c r="G106" s="122">
        <v>1757</v>
      </c>
      <c r="H106" s="122">
        <v>1757</v>
      </c>
      <c r="I106" s="122">
        <f>970+3547</f>
        <v>4517</v>
      </c>
      <c r="J106" s="110">
        <f>(I106/H106)*100</f>
        <v>257.0859419464997</v>
      </c>
    </row>
    <row r="107" spans="1:10" ht="24.75" customHeight="1">
      <c r="A107" s="90" t="s">
        <v>245</v>
      </c>
      <c r="B107" s="90"/>
      <c r="C107" s="90"/>
      <c r="D107" s="90"/>
      <c r="E107" s="90"/>
      <c r="F107" s="90"/>
      <c r="G107" s="121">
        <v>1757</v>
      </c>
      <c r="H107" s="121">
        <v>1757</v>
      </c>
      <c r="I107" s="123">
        <f>I105+I106</f>
        <v>5735</v>
      </c>
      <c r="J107" s="110">
        <f>I107/G107*100</f>
        <v>326.40865110984635</v>
      </c>
    </row>
    <row r="108" spans="1:10" ht="16.5">
      <c r="A108" s="92"/>
      <c r="B108" s="92"/>
      <c r="C108" s="92"/>
      <c r="D108" s="92"/>
      <c r="E108" s="92"/>
      <c r="F108" s="92"/>
      <c r="G108" s="116"/>
      <c r="H108" s="116"/>
      <c r="I108" s="15"/>
      <c r="J108" s="110"/>
    </row>
    <row r="109" spans="1:10" ht="15.75">
      <c r="A109" s="119" t="s">
        <v>246</v>
      </c>
      <c r="B109" s="119"/>
      <c r="C109" s="119"/>
      <c r="D109" s="119"/>
      <c r="E109" s="119"/>
      <c r="F109" s="119"/>
      <c r="G109" s="121">
        <f>G102+G105+G106</f>
        <v>10515</v>
      </c>
      <c r="H109" s="121">
        <f>H102+H105+H106</f>
        <v>18748</v>
      </c>
      <c r="I109" s="121">
        <f>I102+I107</f>
        <v>31469</v>
      </c>
      <c r="J109" s="110">
        <f>I109/G109*100</f>
        <v>299.27722301474085</v>
      </c>
    </row>
  </sheetData>
  <sheetProtection password="DB7F" sheet="1" objects="1" scenarios="1" selectLockedCells="1" selectUnlockedCells="1"/>
  <mergeCells count="48">
    <mergeCell ref="G78:H78"/>
    <mergeCell ref="J78:J80"/>
    <mergeCell ref="C106:F106"/>
    <mergeCell ref="B104:F104"/>
    <mergeCell ref="C105:F105"/>
    <mergeCell ref="D91:F91"/>
    <mergeCell ref="C56:F56"/>
    <mergeCell ref="B63:F63"/>
    <mergeCell ref="A64:F64"/>
    <mergeCell ref="C84:F84"/>
    <mergeCell ref="A78:F80"/>
    <mergeCell ref="G40:H40"/>
    <mergeCell ref="J40:J42"/>
    <mergeCell ref="C43:F43"/>
    <mergeCell ref="D45:F45"/>
    <mergeCell ref="C30:F30"/>
    <mergeCell ref="D31:F31"/>
    <mergeCell ref="B39:F39"/>
    <mergeCell ref="A40:F42"/>
    <mergeCell ref="E37:F37"/>
    <mergeCell ref="E38:F38"/>
    <mergeCell ref="D22:F22"/>
    <mergeCell ref="C26:F26"/>
    <mergeCell ref="D27:F27"/>
    <mergeCell ref="E28:F28"/>
    <mergeCell ref="B10:F10"/>
    <mergeCell ref="D12:F12"/>
    <mergeCell ref="E13:F13"/>
    <mergeCell ref="D21:F21"/>
    <mergeCell ref="A5:J5"/>
    <mergeCell ref="I6:J6"/>
    <mergeCell ref="A7:F9"/>
    <mergeCell ref="G7:H7"/>
    <mergeCell ref="J7:J9"/>
    <mergeCell ref="A1:J1"/>
    <mergeCell ref="A2:J2"/>
    <mergeCell ref="A3:J3"/>
    <mergeCell ref="A4:J4"/>
    <mergeCell ref="D46:F46"/>
    <mergeCell ref="D62:F62"/>
    <mergeCell ref="C51:F51"/>
    <mergeCell ref="D52:F52"/>
    <mergeCell ref="C53:F53"/>
    <mergeCell ref="B47:F47"/>
    <mergeCell ref="A48:F48"/>
    <mergeCell ref="B50:F50"/>
    <mergeCell ref="C57:F57"/>
    <mergeCell ref="C54:F54"/>
  </mergeCells>
  <printOptions/>
  <pageMargins left="0.2" right="0.43" top="0.29" bottom="0.3" header="0.4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8"/>
  <sheetViews>
    <sheetView workbookViewId="0" topLeftCell="A1">
      <selection activeCell="A2" sqref="A2:F2"/>
    </sheetView>
  </sheetViews>
  <sheetFormatPr defaultColWidth="9.00390625" defaultRowHeight="12.75"/>
  <cols>
    <col min="1" max="1" width="11.625" style="0" customWidth="1"/>
    <col min="2" max="2" width="47.875" style="0" customWidth="1"/>
    <col min="3" max="3" width="13.875" style="0" customWidth="1"/>
    <col min="4" max="4" width="15.25390625" style="0" customWidth="1"/>
    <col min="5" max="5" width="14.00390625" style="0" customWidth="1"/>
    <col min="6" max="6" width="23.25390625" style="0" customWidth="1"/>
    <col min="7" max="7" width="1.25" style="0" customWidth="1"/>
    <col min="8" max="15" width="9.125" style="0" hidden="1" customWidth="1"/>
  </cols>
  <sheetData>
    <row r="2" spans="1:15" ht="15.75">
      <c r="A2" s="338" t="s">
        <v>371</v>
      </c>
      <c r="B2" s="339"/>
      <c r="C2" s="339"/>
      <c r="D2" s="339"/>
      <c r="E2" s="339"/>
      <c r="F2" s="339"/>
      <c r="G2" s="178"/>
      <c r="H2" s="148"/>
      <c r="I2" s="148"/>
      <c r="J2" s="148"/>
      <c r="K2" s="148"/>
      <c r="L2" s="148"/>
      <c r="M2" s="148"/>
      <c r="N2" s="148"/>
      <c r="O2" s="148"/>
    </row>
    <row r="3" spans="1:15" ht="15.75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</row>
    <row r="4" spans="1:15" ht="15.75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</row>
    <row r="5" spans="1:15" ht="15.75">
      <c r="A5" s="341" t="s">
        <v>304</v>
      </c>
      <c r="B5" s="341"/>
      <c r="C5" s="341"/>
      <c r="D5" s="341"/>
      <c r="E5" s="341"/>
      <c r="F5" s="341"/>
      <c r="G5" s="64"/>
      <c r="H5" s="64"/>
      <c r="I5" s="64"/>
      <c r="J5" s="64"/>
      <c r="K5" s="64"/>
      <c r="L5" s="64"/>
      <c r="M5" s="64"/>
      <c r="N5" s="64"/>
      <c r="O5" s="64"/>
    </row>
    <row r="6" spans="1:15" ht="15.75">
      <c r="A6" s="341" t="s">
        <v>305</v>
      </c>
      <c r="B6" s="341"/>
      <c r="C6" s="341"/>
      <c r="D6" s="341"/>
      <c r="E6" s="341"/>
      <c r="F6" s="341"/>
      <c r="G6" s="64"/>
      <c r="H6" s="64"/>
      <c r="I6" s="64"/>
      <c r="J6" s="64"/>
      <c r="K6" s="64"/>
      <c r="L6" s="64"/>
      <c r="M6" s="64"/>
      <c r="N6" s="64"/>
      <c r="O6" s="64"/>
    </row>
    <row r="7" spans="1:15" ht="15.75">
      <c r="A7" s="341" t="s">
        <v>37</v>
      </c>
      <c r="B7" s="341"/>
      <c r="C7" s="341"/>
      <c r="D7" s="341"/>
      <c r="E7" s="341"/>
      <c r="F7" s="341"/>
      <c r="G7" s="64"/>
      <c r="H7" s="64"/>
      <c r="I7" s="64"/>
      <c r="J7" s="64"/>
      <c r="K7" s="64"/>
      <c r="L7" s="64"/>
      <c r="M7" s="64"/>
      <c r="N7" s="64"/>
      <c r="O7" s="64"/>
    </row>
    <row r="8" spans="1:15" ht="16.5" thickBot="1">
      <c r="A8" s="149"/>
      <c r="B8" s="149"/>
      <c r="C8" s="149"/>
      <c r="D8" s="149"/>
      <c r="E8" s="149"/>
      <c r="F8" s="150" t="s">
        <v>40</v>
      </c>
      <c r="G8" s="149"/>
      <c r="H8" s="149"/>
      <c r="I8" s="151"/>
      <c r="J8" s="149"/>
      <c r="K8" s="149"/>
      <c r="L8" s="149"/>
      <c r="M8" s="151"/>
      <c r="N8" s="151"/>
      <c r="O8" s="149"/>
    </row>
    <row r="9" spans="1:15" ht="16.5" thickBot="1">
      <c r="A9" s="342" t="s">
        <v>296</v>
      </c>
      <c r="B9" s="345" t="s">
        <v>249</v>
      </c>
      <c r="C9" s="348" t="s">
        <v>306</v>
      </c>
      <c r="D9" s="351" t="s">
        <v>297</v>
      </c>
      <c r="E9" s="352"/>
      <c r="F9" s="353"/>
      <c r="G9" s="65"/>
      <c r="H9" s="65"/>
      <c r="I9" s="65"/>
      <c r="J9" s="65"/>
      <c r="K9" s="65"/>
      <c r="L9" s="65"/>
      <c r="M9" s="65"/>
      <c r="N9" s="65"/>
      <c r="O9" s="65"/>
    </row>
    <row r="10" spans="1:15" ht="15.75">
      <c r="A10" s="343"/>
      <c r="B10" s="346"/>
      <c r="C10" s="349"/>
      <c r="D10" s="354" t="s">
        <v>298</v>
      </c>
      <c r="E10" s="354" t="s">
        <v>299</v>
      </c>
      <c r="F10" s="355" t="s">
        <v>300</v>
      </c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6.5" thickBot="1">
      <c r="A11" s="343"/>
      <c r="B11" s="346"/>
      <c r="C11" s="349"/>
      <c r="D11" s="354"/>
      <c r="E11" s="354"/>
      <c r="F11" s="355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5.75">
      <c r="A12" s="343"/>
      <c r="B12" s="346"/>
      <c r="C12" s="349"/>
      <c r="D12" s="356" t="s">
        <v>301</v>
      </c>
      <c r="E12" s="357"/>
      <c r="F12" s="358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6.5" thickBot="1">
      <c r="A13" s="344"/>
      <c r="B13" s="347"/>
      <c r="C13" s="350"/>
      <c r="D13" s="354"/>
      <c r="E13" s="359"/>
      <c r="F13" s="360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31.5">
      <c r="A14" s="179" t="s">
        <v>264</v>
      </c>
      <c r="B14" s="180" t="s">
        <v>265</v>
      </c>
      <c r="C14" s="164">
        <f aca="true" t="shared" si="0" ref="C14:C23">D14+E14+F14</f>
        <v>2505</v>
      </c>
      <c r="D14" s="248">
        <f>1840-110+2181+10-1740+7+76+164+77</f>
        <v>2505</v>
      </c>
      <c r="E14" s="164"/>
      <c r="F14" s="181"/>
      <c r="G14" s="154"/>
      <c r="H14" s="154"/>
      <c r="I14" s="155"/>
      <c r="J14" s="182"/>
      <c r="K14" s="18"/>
      <c r="L14" s="18"/>
      <c r="M14" s="155"/>
      <c r="N14" s="155"/>
      <c r="O14" s="18"/>
    </row>
    <row r="15" spans="1:15" ht="31.5">
      <c r="A15" s="205" t="s">
        <v>318</v>
      </c>
      <c r="B15" s="206" t="s">
        <v>319</v>
      </c>
      <c r="C15" s="168">
        <f>D15+E15+F15</f>
        <v>3048</v>
      </c>
      <c r="D15" s="249">
        <f>2950+75+23</f>
        <v>3048</v>
      </c>
      <c r="E15" s="168"/>
      <c r="F15" s="207"/>
      <c r="G15" s="154"/>
      <c r="H15" s="154"/>
      <c r="I15" s="155"/>
      <c r="J15" s="182"/>
      <c r="K15" s="18"/>
      <c r="L15" s="18"/>
      <c r="M15" s="155"/>
      <c r="N15" s="155"/>
      <c r="O15" s="18"/>
    </row>
    <row r="16" spans="1:15" ht="31.5">
      <c r="A16" s="183" t="s">
        <v>307</v>
      </c>
      <c r="B16" s="184" t="s">
        <v>308</v>
      </c>
      <c r="C16" s="185">
        <f t="shared" si="0"/>
        <v>12276</v>
      </c>
      <c r="D16" s="247">
        <f>10800-719-2088+2000</f>
        <v>9993</v>
      </c>
      <c r="E16" s="185">
        <v>195</v>
      </c>
      <c r="F16" s="186">
        <v>2088</v>
      </c>
      <c r="G16" s="154"/>
      <c r="H16" s="154"/>
      <c r="I16" s="155"/>
      <c r="J16" s="18"/>
      <c r="K16" s="18"/>
      <c r="L16" s="18"/>
      <c r="M16" s="155"/>
      <c r="N16" s="155"/>
      <c r="O16" s="18"/>
    </row>
    <row r="17" spans="1:15" ht="15.75">
      <c r="A17" s="183" t="s">
        <v>311</v>
      </c>
      <c r="B17" s="184" t="s">
        <v>313</v>
      </c>
      <c r="C17" s="185">
        <f t="shared" si="0"/>
        <v>8404</v>
      </c>
      <c r="D17" s="247"/>
      <c r="E17" s="185">
        <f>2277+3112+435+1500+80+1000</f>
        <v>8404</v>
      </c>
      <c r="F17" s="186"/>
      <c r="G17" s="154"/>
      <c r="H17" s="154"/>
      <c r="I17" s="155"/>
      <c r="J17" s="18"/>
      <c r="K17" s="18"/>
      <c r="L17" s="18"/>
      <c r="M17" s="155"/>
      <c r="N17" s="155"/>
      <c r="O17" s="18"/>
    </row>
    <row r="18" spans="1:15" ht="15.75">
      <c r="A18" s="183" t="s">
        <v>268</v>
      </c>
      <c r="B18" s="184" t="s">
        <v>269</v>
      </c>
      <c r="C18" s="185">
        <f>D18+F18</f>
        <v>1057</v>
      </c>
      <c r="D18" s="247">
        <f>719+338</f>
        <v>1057</v>
      </c>
      <c r="E18" s="251"/>
      <c r="F18" s="186"/>
      <c r="G18" s="154"/>
      <c r="H18" s="154"/>
      <c r="I18" s="155"/>
      <c r="J18" s="18"/>
      <c r="K18" s="18"/>
      <c r="L18" s="18"/>
      <c r="M18" s="155"/>
      <c r="N18" s="155"/>
      <c r="O18" s="18"/>
    </row>
    <row r="19" spans="1:15" ht="15.75">
      <c r="A19" s="183" t="s">
        <v>325</v>
      </c>
      <c r="B19" s="184" t="s">
        <v>326</v>
      </c>
      <c r="C19" s="185">
        <f>D19+F19</f>
        <v>351</v>
      </c>
      <c r="D19" s="247">
        <v>351</v>
      </c>
      <c r="E19" s="251"/>
      <c r="F19" s="186"/>
      <c r="G19" s="154"/>
      <c r="H19" s="154"/>
      <c r="I19" s="155"/>
      <c r="J19" s="18"/>
      <c r="K19" s="18"/>
      <c r="L19" s="18"/>
      <c r="M19" s="155"/>
      <c r="N19" s="155"/>
      <c r="O19" s="18"/>
    </row>
    <row r="20" spans="1:15" ht="15.75">
      <c r="A20" s="183" t="s">
        <v>276</v>
      </c>
      <c r="B20" s="184" t="s">
        <v>277</v>
      </c>
      <c r="C20" s="185">
        <f t="shared" si="0"/>
        <v>974</v>
      </c>
      <c r="D20" s="247">
        <v>974</v>
      </c>
      <c r="E20" s="185"/>
      <c r="F20" s="186"/>
      <c r="G20" s="154"/>
      <c r="H20" s="154"/>
      <c r="I20" s="155"/>
      <c r="J20" s="18"/>
      <c r="K20" s="18"/>
      <c r="L20" s="18"/>
      <c r="M20" s="155"/>
      <c r="N20" s="155"/>
      <c r="O20" s="18"/>
    </row>
    <row r="21" spans="1:15" ht="15.75">
      <c r="A21" s="183" t="s">
        <v>280</v>
      </c>
      <c r="B21" s="184" t="s">
        <v>281</v>
      </c>
      <c r="C21" s="185">
        <f t="shared" si="0"/>
        <v>629</v>
      </c>
      <c r="D21" s="247">
        <f>2+49</f>
        <v>51</v>
      </c>
      <c r="E21" s="185">
        <f>578</f>
        <v>578</v>
      </c>
      <c r="F21" s="186"/>
      <c r="G21" s="154"/>
      <c r="H21" s="154"/>
      <c r="I21" s="155"/>
      <c r="J21" s="18"/>
      <c r="K21" s="18"/>
      <c r="L21" s="18"/>
      <c r="M21" s="155"/>
      <c r="N21" s="155"/>
      <c r="O21" s="18"/>
    </row>
    <row r="22" spans="1:15" ht="15.75">
      <c r="A22" s="183">
        <v>107051</v>
      </c>
      <c r="B22" s="184" t="s">
        <v>291</v>
      </c>
      <c r="C22" s="185">
        <f t="shared" si="0"/>
        <v>360</v>
      </c>
      <c r="D22" s="247">
        <v>360</v>
      </c>
      <c r="E22" s="185"/>
      <c r="F22" s="186"/>
      <c r="G22" s="154"/>
      <c r="H22" s="154"/>
      <c r="I22" s="155"/>
      <c r="J22" s="18"/>
      <c r="K22" s="18"/>
      <c r="L22" s="18"/>
      <c r="M22" s="155"/>
      <c r="N22" s="155"/>
      <c r="O22" s="18"/>
    </row>
    <row r="23" spans="1:15" ht="32.25" thickBot="1">
      <c r="A23" s="190">
        <v>900020</v>
      </c>
      <c r="B23" s="191" t="s">
        <v>309</v>
      </c>
      <c r="C23" s="187">
        <f t="shared" si="0"/>
        <v>1865</v>
      </c>
      <c r="D23" s="250">
        <f>1740+25</f>
        <v>1765</v>
      </c>
      <c r="E23" s="210">
        <v>100</v>
      </c>
      <c r="F23" s="192"/>
      <c r="G23" s="154"/>
      <c r="H23" s="154"/>
      <c r="I23" s="155"/>
      <c r="J23" s="18"/>
      <c r="K23" s="18"/>
      <c r="L23" s="18"/>
      <c r="M23" s="155"/>
      <c r="N23" s="155"/>
      <c r="O23" s="18"/>
    </row>
    <row r="24" spans="1:15" ht="16.5" thickBot="1">
      <c r="A24" s="159"/>
      <c r="B24" s="188" t="s">
        <v>43</v>
      </c>
      <c r="C24" s="189">
        <f>SUM(C14:C23)</f>
        <v>31469</v>
      </c>
      <c r="D24" s="193">
        <f>SUM(D14:D23)</f>
        <v>20104</v>
      </c>
      <c r="E24" s="175">
        <f>SUM(E14:E22)</f>
        <v>9177</v>
      </c>
      <c r="F24" s="189">
        <f>SUM(F14:F22)</f>
        <v>2088</v>
      </c>
      <c r="G24" s="154"/>
      <c r="H24" s="154"/>
      <c r="I24" s="161"/>
      <c r="J24" s="154"/>
      <c r="K24" s="154"/>
      <c r="L24" s="154"/>
      <c r="M24" s="161"/>
      <c r="N24" s="154"/>
      <c r="O24" s="154"/>
    </row>
    <row r="25" spans="1:15" ht="15.75">
      <c r="A25" s="148"/>
      <c r="B25" s="148"/>
      <c r="C25" s="148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</row>
    <row r="26" spans="1:15" ht="15.75">
      <c r="A26" s="148"/>
      <c r="B26" s="148"/>
      <c r="C26" s="148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2.25" customHeight="1">
      <c r="A27" s="12"/>
      <c r="B27" s="163"/>
      <c r="C27" s="12"/>
      <c r="D27" s="18"/>
      <c r="E27" s="18"/>
      <c r="F27" s="18"/>
      <c r="G27" s="18"/>
      <c r="H27" s="18"/>
      <c r="I27" s="155"/>
      <c r="J27" s="18"/>
      <c r="K27" s="18"/>
      <c r="L27" s="18"/>
      <c r="M27" s="155"/>
      <c r="N27" s="155"/>
      <c r="O27" s="18"/>
    </row>
    <row r="28" spans="1:15" ht="15.75" hidden="1">
      <c r="A28" s="148"/>
      <c r="B28" s="148"/>
      <c r="C28" s="148"/>
      <c r="D28" s="162"/>
      <c r="E28" s="162">
        <f>D24+E24</f>
        <v>29281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</row>
  </sheetData>
  <sheetProtection password="DB7F" sheet="1" objects="1" scenarios="1" selectLockedCells="1" selectUnlockedCells="1"/>
  <mergeCells count="14">
    <mergeCell ref="A6:F6"/>
    <mergeCell ref="A7:F7"/>
    <mergeCell ref="A9:A13"/>
    <mergeCell ref="B9:B13"/>
    <mergeCell ref="C9:C13"/>
    <mergeCell ref="D9:F9"/>
    <mergeCell ref="D10:D11"/>
    <mergeCell ref="E10:E11"/>
    <mergeCell ref="F10:F11"/>
    <mergeCell ref="D12:F13"/>
    <mergeCell ref="A2:F2"/>
    <mergeCell ref="A3:O3"/>
    <mergeCell ref="A4:O4"/>
    <mergeCell ref="A5:F5"/>
  </mergeCells>
  <printOptions/>
  <pageMargins left="0.75" right="0.75" top="0.63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workbookViewId="0" topLeftCell="A1">
      <selection activeCell="A1" sqref="A1:R1"/>
    </sheetView>
  </sheetViews>
  <sheetFormatPr defaultColWidth="9.00390625" defaultRowHeight="12.75"/>
  <cols>
    <col min="1" max="1" width="10.25390625" style="0" customWidth="1"/>
    <col min="2" max="2" width="38.125" style="0" customWidth="1"/>
    <col min="10" max="10" width="10.75390625" style="0" customWidth="1"/>
    <col min="11" max="11" width="8.25390625" style="0" customWidth="1"/>
    <col min="16" max="16" width="10.25390625" style="0" customWidth="1"/>
  </cols>
  <sheetData>
    <row r="1" spans="1:18" ht="12.75">
      <c r="A1" s="361" t="s">
        <v>372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2"/>
      <c r="Q1" s="362"/>
      <c r="R1" s="362"/>
    </row>
    <row r="2" spans="1:18" ht="16.5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11"/>
      <c r="Q2" s="11"/>
      <c r="R2" s="20"/>
    </row>
    <row r="3" spans="1:18" ht="18">
      <c r="A3" s="364" t="s">
        <v>247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</row>
    <row r="4" spans="1:18" ht="18">
      <c r="A4" s="364" t="s">
        <v>294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</row>
    <row r="5" spans="1:18" ht="18">
      <c r="A5" s="364" t="s">
        <v>37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8" ht="17.25" thickBot="1">
      <c r="A6" s="13"/>
      <c r="B6" s="13"/>
      <c r="C6" s="13"/>
      <c r="D6" s="13"/>
      <c r="E6" s="13"/>
      <c r="F6" s="13"/>
      <c r="G6" s="13"/>
      <c r="H6" s="13"/>
      <c r="I6" s="125"/>
      <c r="J6" s="13"/>
      <c r="K6" s="13"/>
      <c r="L6" s="13"/>
      <c r="M6" s="125"/>
      <c r="N6" s="125"/>
      <c r="O6" s="13"/>
      <c r="P6" s="11"/>
      <c r="Q6" s="11" t="s">
        <v>40</v>
      </c>
      <c r="R6" s="20"/>
    </row>
    <row r="7" spans="1:18" ht="17.25" thickBot="1">
      <c r="A7" s="365" t="s">
        <v>248</v>
      </c>
      <c r="B7" s="367" t="s">
        <v>249</v>
      </c>
      <c r="C7" s="330" t="s">
        <v>250</v>
      </c>
      <c r="D7" s="372" t="s">
        <v>251</v>
      </c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92" t="s">
        <v>252</v>
      </c>
    </row>
    <row r="8" spans="1:18" ht="17.25" thickBot="1">
      <c r="A8" s="366"/>
      <c r="B8" s="368"/>
      <c r="C8" s="369"/>
      <c r="D8" s="394" t="s">
        <v>253</v>
      </c>
      <c r="E8" s="395"/>
      <c r="F8" s="395"/>
      <c r="G8" s="395"/>
      <c r="H8" s="395"/>
      <c r="I8" s="396"/>
      <c r="J8" s="372" t="s">
        <v>254</v>
      </c>
      <c r="K8" s="373"/>
      <c r="L8" s="373"/>
      <c r="M8" s="397"/>
      <c r="N8" s="398" t="s">
        <v>70</v>
      </c>
      <c r="O8" s="398"/>
      <c r="P8" s="398"/>
      <c r="Q8" s="398"/>
      <c r="R8" s="393"/>
    </row>
    <row r="9" spans="1:18" ht="12.75">
      <c r="A9" s="366"/>
      <c r="B9" s="368"/>
      <c r="C9" s="370"/>
      <c r="D9" s="330" t="s">
        <v>56</v>
      </c>
      <c r="E9" s="330" t="s">
        <v>255</v>
      </c>
      <c r="F9" s="330" t="s">
        <v>59</v>
      </c>
      <c r="G9" s="330" t="s">
        <v>61</v>
      </c>
      <c r="H9" s="330" t="s">
        <v>256</v>
      </c>
      <c r="I9" s="386" t="s">
        <v>257</v>
      </c>
      <c r="J9" s="374" t="s">
        <v>64</v>
      </c>
      <c r="K9" s="374" t="s">
        <v>66</v>
      </c>
      <c r="L9" s="330" t="s">
        <v>258</v>
      </c>
      <c r="M9" s="380" t="s">
        <v>259</v>
      </c>
      <c r="N9" s="383" t="s">
        <v>260</v>
      </c>
      <c r="O9" s="330" t="s">
        <v>261</v>
      </c>
      <c r="P9" s="330" t="s">
        <v>262</v>
      </c>
      <c r="Q9" s="389" t="s">
        <v>263</v>
      </c>
      <c r="R9" s="393"/>
    </row>
    <row r="10" spans="1:18" ht="12.75">
      <c r="A10" s="366"/>
      <c r="B10" s="368"/>
      <c r="C10" s="370"/>
      <c r="D10" s="369"/>
      <c r="E10" s="369"/>
      <c r="F10" s="369"/>
      <c r="G10" s="369"/>
      <c r="H10" s="369"/>
      <c r="I10" s="387"/>
      <c r="J10" s="375"/>
      <c r="K10" s="377"/>
      <c r="L10" s="369"/>
      <c r="M10" s="381"/>
      <c r="N10" s="384"/>
      <c r="O10" s="369"/>
      <c r="P10" s="369"/>
      <c r="Q10" s="390"/>
      <c r="R10" s="393"/>
    </row>
    <row r="11" spans="1:18" ht="26.25" customHeight="1" thickBot="1">
      <c r="A11" s="366"/>
      <c r="B11" s="368"/>
      <c r="C11" s="371"/>
      <c r="D11" s="379"/>
      <c r="E11" s="379"/>
      <c r="F11" s="379"/>
      <c r="G11" s="379"/>
      <c r="H11" s="379"/>
      <c r="I11" s="388"/>
      <c r="J11" s="376"/>
      <c r="K11" s="378"/>
      <c r="L11" s="379"/>
      <c r="M11" s="382"/>
      <c r="N11" s="385"/>
      <c r="O11" s="379"/>
      <c r="P11" s="379"/>
      <c r="Q11" s="391"/>
      <c r="R11" s="393"/>
    </row>
    <row r="12" spans="1:18" ht="34.5" customHeight="1">
      <c r="A12" s="126" t="s">
        <v>264</v>
      </c>
      <c r="B12" s="241" t="s">
        <v>265</v>
      </c>
      <c r="C12" s="201">
        <f>I12+M12</f>
        <v>7477</v>
      </c>
      <c r="D12" s="198">
        <f>2160+610+20+100+24-24-100+115+79</f>
        <v>2984</v>
      </c>
      <c r="E12" s="127">
        <f>800-9-24+21</f>
        <v>788</v>
      </c>
      <c r="F12" s="127">
        <f>977+7+76+57+43+80+55+30+150</f>
        <v>1475</v>
      </c>
      <c r="G12" s="127"/>
      <c r="H12" s="127">
        <f>2155-2000+2000</f>
        <v>2155</v>
      </c>
      <c r="I12" s="140">
        <f>D12+E12+F12+G12+H12</f>
        <v>7402</v>
      </c>
      <c r="J12" s="238">
        <f>Beruházások!B17</f>
        <v>75</v>
      </c>
      <c r="K12" s="128"/>
      <c r="L12" s="128"/>
      <c r="M12" s="140">
        <f>K12+J12</f>
        <v>75</v>
      </c>
      <c r="N12" s="143"/>
      <c r="O12" s="129"/>
      <c r="P12" s="129"/>
      <c r="Q12" s="130"/>
      <c r="R12" s="131">
        <v>0.5</v>
      </c>
    </row>
    <row r="13" spans="1:18" ht="19.5" customHeight="1">
      <c r="A13" s="132" t="s">
        <v>266</v>
      </c>
      <c r="B13" s="242" t="s">
        <v>267</v>
      </c>
      <c r="C13" s="202">
        <f aca="true" t="shared" si="0" ref="C13:C33">I13+M13</f>
        <v>58</v>
      </c>
      <c r="D13" s="198"/>
      <c r="E13" s="127"/>
      <c r="F13" s="127">
        <v>58</v>
      </c>
      <c r="G13" s="127"/>
      <c r="H13" s="127"/>
      <c r="I13" s="140">
        <f aca="true" t="shared" si="1" ref="I13:I33">D13+E13+F13+G13+H13</f>
        <v>58</v>
      </c>
      <c r="J13" s="145"/>
      <c r="K13" s="128"/>
      <c r="L13" s="128"/>
      <c r="M13" s="140"/>
      <c r="N13" s="143"/>
      <c r="O13" s="129"/>
      <c r="P13" s="129"/>
      <c r="Q13" s="133"/>
      <c r="R13" s="131"/>
    </row>
    <row r="14" spans="1:18" ht="30" customHeight="1">
      <c r="A14" s="134" t="s">
        <v>318</v>
      </c>
      <c r="B14" s="239" t="s">
        <v>319</v>
      </c>
      <c r="C14" s="202">
        <f>M14</f>
        <v>2950</v>
      </c>
      <c r="D14" s="198"/>
      <c r="E14" s="127"/>
      <c r="F14" s="127"/>
      <c r="G14" s="127"/>
      <c r="H14" s="127"/>
      <c r="I14" s="140">
        <f t="shared" si="1"/>
        <v>0</v>
      </c>
      <c r="J14" s="145">
        <v>165</v>
      </c>
      <c r="K14" s="128">
        <v>2785</v>
      </c>
      <c r="L14" s="128"/>
      <c r="M14" s="140">
        <f>J14+K14</f>
        <v>2950</v>
      </c>
      <c r="N14" s="143"/>
      <c r="O14" s="129"/>
      <c r="P14" s="129"/>
      <c r="Q14" s="133"/>
      <c r="R14" s="131"/>
    </row>
    <row r="15" spans="1:18" ht="30" customHeight="1">
      <c r="A15" s="183" t="s">
        <v>307</v>
      </c>
      <c r="B15" s="240" t="s">
        <v>308</v>
      </c>
      <c r="C15" s="202">
        <f>I15+M15</f>
        <v>25</v>
      </c>
      <c r="D15" s="198"/>
      <c r="E15" s="127"/>
      <c r="F15" s="127"/>
      <c r="G15" s="127"/>
      <c r="H15" s="127">
        <v>25</v>
      </c>
      <c r="I15" s="140">
        <f t="shared" si="1"/>
        <v>25</v>
      </c>
      <c r="J15" s="145"/>
      <c r="K15" s="128"/>
      <c r="L15" s="128"/>
      <c r="M15" s="140"/>
      <c r="N15" s="143"/>
      <c r="O15" s="129"/>
      <c r="P15" s="129"/>
      <c r="Q15" s="133"/>
      <c r="R15" s="131"/>
    </row>
    <row r="16" spans="1:18" ht="19.5" customHeight="1">
      <c r="A16" s="134" t="s">
        <v>311</v>
      </c>
      <c r="B16" s="243" t="s">
        <v>312</v>
      </c>
      <c r="C16" s="202">
        <f>I16+M16</f>
        <v>11000</v>
      </c>
      <c r="D16" s="198"/>
      <c r="E16" s="127"/>
      <c r="F16" s="127"/>
      <c r="G16" s="127"/>
      <c r="H16" s="127"/>
      <c r="I16" s="140"/>
      <c r="J16" s="145"/>
      <c r="K16" s="128"/>
      <c r="L16" s="128">
        <f>8500+1500+1000</f>
        <v>11000</v>
      </c>
      <c r="M16" s="140">
        <f>L16</f>
        <v>11000</v>
      </c>
      <c r="N16" s="143"/>
      <c r="O16" s="129"/>
      <c r="P16" s="129"/>
      <c r="Q16" s="133"/>
      <c r="R16" s="131"/>
    </row>
    <row r="17" spans="1:18" ht="18.75" customHeight="1">
      <c r="A17" s="134" t="s">
        <v>268</v>
      </c>
      <c r="B17" s="243" t="s">
        <v>269</v>
      </c>
      <c r="C17" s="202">
        <f t="shared" si="0"/>
        <v>1212</v>
      </c>
      <c r="D17" s="198">
        <f>770+298</f>
        <v>1068</v>
      </c>
      <c r="E17" s="127">
        <f>104+40</f>
        <v>144</v>
      </c>
      <c r="F17" s="127"/>
      <c r="G17" s="127"/>
      <c r="H17" s="127"/>
      <c r="I17" s="140">
        <f t="shared" si="1"/>
        <v>1212</v>
      </c>
      <c r="J17" s="145"/>
      <c r="K17" s="128"/>
      <c r="L17" s="128"/>
      <c r="M17" s="140"/>
      <c r="N17" s="143"/>
      <c r="O17" s="129"/>
      <c r="P17" s="129"/>
      <c r="Q17" s="133"/>
      <c r="R17" s="131">
        <v>2</v>
      </c>
    </row>
    <row r="18" spans="1:18" ht="18.75" customHeight="1">
      <c r="A18" s="134" t="s">
        <v>325</v>
      </c>
      <c r="B18" s="243" t="s">
        <v>326</v>
      </c>
      <c r="C18" s="202">
        <f t="shared" si="0"/>
        <v>351</v>
      </c>
      <c r="D18" s="198">
        <v>309</v>
      </c>
      <c r="E18" s="127">
        <v>42</v>
      </c>
      <c r="F18" s="127"/>
      <c r="G18" s="127"/>
      <c r="H18" s="127"/>
      <c r="I18" s="140">
        <f t="shared" si="1"/>
        <v>351</v>
      </c>
      <c r="J18" s="145"/>
      <c r="K18" s="128"/>
      <c r="L18" s="128"/>
      <c r="M18" s="140"/>
      <c r="N18" s="143"/>
      <c r="O18" s="129"/>
      <c r="P18" s="129"/>
      <c r="Q18" s="133"/>
      <c r="R18" s="131"/>
    </row>
    <row r="19" spans="1:18" ht="24" customHeight="1">
      <c r="A19" s="134" t="s">
        <v>270</v>
      </c>
      <c r="B19" s="243" t="s">
        <v>271</v>
      </c>
      <c r="C19" s="202">
        <f t="shared" si="0"/>
        <v>0</v>
      </c>
      <c r="D19" s="198"/>
      <c r="E19" s="127"/>
      <c r="F19" s="127">
        <f>127-127</f>
        <v>0</v>
      </c>
      <c r="G19" s="127"/>
      <c r="H19" s="127"/>
      <c r="I19" s="140">
        <f t="shared" si="1"/>
        <v>0</v>
      </c>
      <c r="J19" s="145"/>
      <c r="K19" s="128"/>
      <c r="L19" s="128"/>
      <c r="M19" s="140"/>
      <c r="N19" s="143"/>
      <c r="O19" s="129"/>
      <c r="P19" s="129"/>
      <c r="Q19" s="133"/>
      <c r="R19" s="131"/>
    </row>
    <row r="20" spans="1:18" ht="33.75" customHeight="1">
      <c r="A20" s="132" t="s">
        <v>272</v>
      </c>
      <c r="B20" s="242" t="s">
        <v>273</v>
      </c>
      <c r="C20" s="202">
        <f t="shared" si="0"/>
        <v>15</v>
      </c>
      <c r="D20" s="198"/>
      <c r="E20" s="127"/>
      <c r="F20" s="127">
        <v>15</v>
      </c>
      <c r="G20" s="127"/>
      <c r="H20" s="127"/>
      <c r="I20" s="140">
        <f t="shared" si="1"/>
        <v>15</v>
      </c>
      <c r="J20" s="145"/>
      <c r="K20" s="128"/>
      <c r="L20" s="128"/>
      <c r="M20" s="140"/>
      <c r="N20" s="143"/>
      <c r="O20" s="129"/>
      <c r="P20" s="129"/>
      <c r="Q20" s="135"/>
      <c r="R20" s="131"/>
    </row>
    <row r="21" spans="1:18" ht="18" customHeight="1">
      <c r="A21" s="132" t="s">
        <v>274</v>
      </c>
      <c r="B21" s="135" t="s">
        <v>275</v>
      </c>
      <c r="C21" s="202">
        <f t="shared" si="0"/>
        <v>0</v>
      </c>
      <c r="D21" s="198"/>
      <c r="E21" s="127"/>
      <c r="F21" s="127"/>
      <c r="G21" s="128"/>
      <c r="H21" s="127"/>
      <c r="I21" s="140">
        <f t="shared" si="1"/>
        <v>0</v>
      </c>
      <c r="J21" s="145"/>
      <c r="K21" s="128"/>
      <c r="L21" s="128">
        <f>100-100</f>
        <v>0</v>
      </c>
      <c r="M21" s="140">
        <f>J21+K21+L21</f>
        <v>0</v>
      </c>
      <c r="N21" s="143"/>
      <c r="O21" s="129"/>
      <c r="P21" s="129"/>
      <c r="Q21" s="135"/>
      <c r="R21" s="131"/>
    </row>
    <row r="22" spans="1:18" ht="18.75" customHeight="1">
      <c r="A22" s="132" t="s">
        <v>276</v>
      </c>
      <c r="B22" s="135" t="s">
        <v>277</v>
      </c>
      <c r="C22" s="202">
        <f t="shared" si="0"/>
        <v>1964</v>
      </c>
      <c r="D22" s="198"/>
      <c r="E22" s="127"/>
      <c r="F22" s="127"/>
      <c r="G22" s="128"/>
      <c r="H22" s="127"/>
      <c r="I22" s="140"/>
      <c r="J22" s="145">
        <v>1964</v>
      </c>
      <c r="K22" s="128"/>
      <c r="L22" s="128"/>
      <c r="M22" s="140">
        <f>J22+K22+L22</f>
        <v>1964</v>
      </c>
      <c r="N22" s="143"/>
      <c r="O22" s="129"/>
      <c r="P22" s="129"/>
      <c r="Q22" s="135"/>
      <c r="R22" s="131"/>
    </row>
    <row r="23" spans="1:18" ht="18" customHeight="1">
      <c r="A23" s="132" t="s">
        <v>278</v>
      </c>
      <c r="B23" s="242" t="s">
        <v>279</v>
      </c>
      <c r="C23" s="202">
        <f t="shared" si="0"/>
        <v>653</v>
      </c>
      <c r="D23" s="198"/>
      <c r="E23" s="127"/>
      <c r="F23" s="127">
        <f>945-55-30-32-150-25</f>
        <v>653</v>
      </c>
      <c r="G23" s="128"/>
      <c r="H23" s="127"/>
      <c r="I23" s="140">
        <f t="shared" si="1"/>
        <v>653</v>
      </c>
      <c r="J23" s="145"/>
      <c r="K23" s="128"/>
      <c r="L23" s="128"/>
      <c r="M23" s="140"/>
      <c r="N23" s="143"/>
      <c r="O23" s="129"/>
      <c r="P23" s="129"/>
      <c r="Q23" s="135"/>
      <c r="R23" s="131"/>
    </row>
    <row r="24" spans="1:18" ht="33">
      <c r="A24" s="132" t="s">
        <v>280</v>
      </c>
      <c r="B24" s="242" t="s">
        <v>281</v>
      </c>
      <c r="C24" s="202">
        <f t="shared" si="0"/>
        <v>2038</v>
      </c>
      <c r="D24" s="198">
        <f>1314+48-48</f>
        <v>1314</v>
      </c>
      <c r="E24" s="127">
        <f>372-17</f>
        <v>355</v>
      </c>
      <c r="F24" s="127">
        <f>224+64+32+49</f>
        <v>369</v>
      </c>
      <c r="G24" s="128"/>
      <c r="H24" s="127"/>
      <c r="I24" s="140">
        <f t="shared" si="1"/>
        <v>2038</v>
      </c>
      <c r="J24" s="145"/>
      <c r="K24" s="128"/>
      <c r="L24" s="128"/>
      <c r="M24" s="140"/>
      <c r="N24" s="143"/>
      <c r="O24" s="129"/>
      <c r="P24" s="129"/>
      <c r="Q24" s="135"/>
      <c r="R24" s="131">
        <v>1</v>
      </c>
    </row>
    <row r="25" spans="1:18" ht="21" customHeight="1">
      <c r="A25" s="132" t="s">
        <v>282</v>
      </c>
      <c r="B25" s="242" t="s">
        <v>283</v>
      </c>
      <c r="C25" s="202">
        <f t="shared" si="0"/>
        <v>110</v>
      </c>
      <c r="D25" s="198"/>
      <c r="E25" s="127"/>
      <c r="F25" s="127">
        <v>110</v>
      </c>
      <c r="G25" s="128"/>
      <c r="H25" s="127"/>
      <c r="I25" s="140">
        <f t="shared" si="1"/>
        <v>110</v>
      </c>
      <c r="J25" s="145"/>
      <c r="K25" s="128"/>
      <c r="L25" s="128"/>
      <c r="M25" s="140"/>
      <c r="N25" s="143"/>
      <c r="O25" s="129"/>
      <c r="P25" s="129"/>
      <c r="Q25" s="135"/>
      <c r="R25" s="131"/>
    </row>
    <row r="26" spans="1:18" ht="19.5" customHeight="1">
      <c r="A26" s="132" t="s">
        <v>284</v>
      </c>
      <c r="B26" s="242" t="s">
        <v>285</v>
      </c>
      <c r="C26" s="202">
        <f t="shared" si="0"/>
        <v>149</v>
      </c>
      <c r="D26" s="198">
        <v>120</v>
      </c>
      <c r="E26" s="127">
        <v>29</v>
      </c>
      <c r="F26" s="127"/>
      <c r="G26" s="127"/>
      <c r="H26" s="127"/>
      <c r="I26" s="140">
        <f t="shared" si="1"/>
        <v>149</v>
      </c>
      <c r="J26" s="145"/>
      <c r="K26" s="128"/>
      <c r="L26" s="128"/>
      <c r="M26" s="140"/>
      <c r="N26" s="143"/>
      <c r="O26" s="129"/>
      <c r="P26" s="129"/>
      <c r="Q26" s="135"/>
      <c r="R26" s="131"/>
    </row>
    <row r="27" spans="1:18" ht="18.75" customHeight="1">
      <c r="A27" s="132" t="s">
        <v>286</v>
      </c>
      <c r="B27" s="242" t="s">
        <v>287</v>
      </c>
      <c r="C27" s="246">
        <f t="shared" si="0"/>
        <v>0</v>
      </c>
      <c r="D27" s="127"/>
      <c r="E27" s="127"/>
      <c r="F27" s="127" t="s">
        <v>34</v>
      </c>
      <c r="G27" s="127"/>
      <c r="H27" s="127"/>
      <c r="I27" s="140">
        <v>0</v>
      </c>
      <c r="J27" s="145"/>
      <c r="K27" s="128"/>
      <c r="L27" s="128"/>
      <c r="M27" s="140"/>
      <c r="N27" s="143"/>
      <c r="O27" s="129"/>
      <c r="P27" s="129"/>
      <c r="Q27" s="135"/>
      <c r="R27" s="131"/>
    </row>
    <row r="28" spans="1:18" ht="33">
      <c r="A28" s="132">
        <v>104051</v>
      </c>
      <c r="B28" s="242" t="s">
        <v>288</v>
      </c>
      <c r="C28" s="202">
        <f t="shared" si="0"/>
        <v>46</v>
      </c>
      <c r="D28" s="198"/>
      <c r="E28" s="127"/>
      <c r="F28" s="127"/>
      <c r="G28" s="127">
        <v>46</v>
      </c>
      <c r="H28" s="127"/>
      <c r="I28" s="140">
        <f t="shared" si="1"/>
        <v>46</v>
      </c>
      <c r="J28" s="145"/>
      <c r="K28" s="128"/>
      <c r="L28" s="128"/>
      <c r="M28" s="140"/>
      <c r="N28" s="143"/>
      <c r="O28" s="129"/>
      <c r="P28" s="129"/>
      <c r="Q28" s="135"/>
      <c r="R28" s="131"/>
    </row>
    <row r="29" spans="1:18" ht="19.5" customHeight="1">
      <c r="A29" s="132">
        <v>105010</v>
      </c>
      <c r="B29" s="242" t="s">
        <v>289</v>
      </c>
      <c r="C29" s="202">
        <f t="shared" si="0"/>
        <v>2258</v>
      </c>
      <c r="D29" s="198"/>
      <c r="E29" s="127"/>
      <c r="F29" s="127"/>
      <c r="G29" s="127">
        <f>2258</f>
        <v>2258</v>
      </c>
      <c r="H29" s="127"/>
      <c r="I29" s="140">
        <f t="shared" si="1"/>
        <v>2258</v>
      </c>
      <c r="J29" s="145"/>
      <c r="K29" s="128"/>
      <c r="L29" s="128"/>
      <c r="M29" s="140"/>
      <c r="N29" s="143"/>
      <c r="O29" s="129"/>
      <c r="P29" s="129"/>
      <c r="Q29" s="135"/>
      <c r="R29" s="131"/>
    </row>
    <row r="30" spans="1:18" ht="33">
      <c r="A30" s="132">
        <v>106020</v>
      </c>
      <c r="B30" s="244" t="s">
        <v>290</v>
      </c>
      <c r="C30" s="202">
        <f t="shared" si="0"/>
        <v>244</v>
      </c>
      <c r="D30" s="198"/>
      <c r="E30" s="127"/>
      <c r="F30" s="127"/>
      <c r="G30" s="127">
        <v>244</v>
      </c>
      <c r="H30" s="127"/>
      <c r="I30" s="140">
        <f t="shared" si="1"/>
        <v>244</v>
      </c>
      <c r="J30" s="145"/>
      <c r="K30" s="128"/>
      <c r="L30" s="128"/>
      <c r="M30" s="140"/>
      <c r="N30" s="143"/>
      <c r="O30" s="129"/>
      <c r="P30" s="129"/>
      <c r="Q30" s="135"/>
      <c r="R30" s="131"/>
    </row>
    <row r="31" spans="1:18" ht="21" customHeight="1">
      <c r="A31" s="132">
        <v>107051</v>
      </c>
      <c r="B31" s="244" t="s">
        <v>291</v>
      </c>
      <c r="C31" s="202">
        <f t="shared" si="0"/>
        <v>554</v>
      </c>
      <c r="D31" s="198"/>
      <c r="E31" s="127"/>
      <c r="F31" s="127">
        <v>554</v>
      </c>
      <c r="G31" s="127"/>
      <c r="H31" s="127"/>
      <c r="I31" s="140">
        <f t="shared" si="1"/>
        <v>554</v>
      </c>
      <c r="J31" s="145"/>
      <c r="K31" s="128"/>
      <c r="L31" s="128"/>
      <c r="M31" s="140"/>
      <c r="N31" s="144"/>
      <c r="O31" s="128"/>
      <c r="P31" s="129"/>
      <c r="Q31" s="135"/>
      <c r="R31" s="131"/>
    </row>
    <row r="32" spans="1:18" ht="21.75" customHeight="1" thickBot="1">
      <c r="A32" s="194">
        <v>107060</v>
      </c>
      <c r="B32" s="245" t="s">
        <v>292</v>
      </c>
      <c r="C32" s="211">
        <f t="shared" si="0"/>
        <v>365</v>
      </c>
      <c r="D32" s="199"/>
      <c r="E32" s="141"/>
      <c r="F32" s="141"/>
      <c r="G32" s="141">
        <f>110+30+150+45+25-100+105</f>
        <v>365</v>
      </c>
      <c r="H32" s="141"/>
      <c r="I32" s="142">
        <f t="shared" si="1"/>
        <v>365</v>
      </c>
      <c r="J32" s="146"/>
      <c r="K32" s="147"/>
      <c r="L32" s="147"/>
      <c r="M32" s="142"/>
      <c r="N32" s="144"/>
      <c r="O32" s="128"/>
      <c r="P32" s="129"/>
      <c r="Q32" s="135"/>
      <c r="R32" s="136"/>
    </row>
    <row r="33" spans="1:18" ht="16.5" thickBot="1">
      <c r="A33" s="159"/>
      <c r="B33" s="160" t="s">
        <v>293</v>
      </c>
      <c r="C33" s="203">
        <f t="shared" si="0"/>
        <v>31469</v>
      </c>
      <c r="D33" s="200">
        <f>SUM(D12:D32)</f>
        <v>5795</v>
      </c>
      <c r="E33" s="137">
        <f>SUM(E12:E32)</f>
        <v>1358</v>
      </c>
      <c r="F33" s="137">
        <f>SUM(F12:F32)</f>
        <v>3234</v>
      </c>
      <c r="G33" s="137">
        <f>SUM(G12:G32)</f>
        <v>2913</v>
      </c>
      <c r="H33" s="137">
        <f>SUM(H12:H32)</f>
        <v>2180</v>
      </c>
      <c r="I33" s="138">
        <f t="shared" si="1"/>
        <v>15480</v>
      </c>
      <c r="J33" s="137">
        <f>SUM(J12:J32)</f>
        <v>2204</v>
      </c>
      <c r="K33" s="137">
        <f>SUM(K12:K32)</f>
        <v>2785</v>
      </c>
      <c r="L33" s="137">
        <f>SUM(L12:L32)</f>
        <v>11000</v>
      </c>
      <c r="M33" s="137">
        <f>SUM(M12:M32)</f>
        <v>15989</v>
      </c>
      <c r="N33" s="137"/>
      <c r="O33" s="137"/>
      <c r="P33" s="137"/>
      <c r="Q33" s="137"/>
      <c r="R33" s="139">
        <v>3.5</v>
      </c>
    </row>
  </sheetData>
  <sheetProtection password="DB7F" sheet="1" objects="1" scenarios="1" selectLockedCells="1" selectUnlockedCells="1"/>
  <mergeCells count="27">
    <mergeCell ref="P9:P11"/>
    <mergeCell ref="Q9:Q11"/>
    <mergeCell ref="A4:R4"/>
    <mergeCell ref="A5:R5"/>
    <mergeCell ref="R7:R11"/>
    <mergeCell ref="D8:I8"/>
    <mergeCell ref="J8:M8"/>
    <mergeCell ref="N8:Q8"/>
    <mergeCell ref="D9:D11"/>
    <mergeCell ref="E9:E11"/>
    <mergeCell ref="M9:M11"/>
    <mergeCell ref="N9:N11"/>
    <mergeCell ref="O9:O11"/>
    <mergeCell ref="F9:F11"/>
    <mergeCell ref="G9:G11"/>
    <mergeCell ref="H9:H11"/>
    <mergeCell ref="I9:I11"/>
    <mergeCell ref="A1:R1"/>
    <mergeCell ref="A2:O2"/>
    <mergeCell ref="A3:R3"/>
    <mergeCell ref="A7:A11"/>
    <mergeCell ref="B7:B11"/>
    <mergeCell ref="C7:C11"/>
    <mergeCell ref="D7:Q7"/>
    <mergeCell ref="J9:J11"/>
    <mergeCell ref="K9:K11"/>
    <mergeCell ref="L9:L11"/>
  </mergeCells>
  <printOptions/>
  <pageMargins left="0.46" right="0.35" top="0.78" bottom="0.52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:F1"/>
    </sheetView>
  </sheetViews>
  <sheetFormatPr defaultColWidth="9.00390625" defaultRowHeight="12.75"/>
  <cols>
    <col min="1" max="1" width="11.00390625" style="0" customWidth="1"/>
    <col min="2" max="2" width="50.25390625" style="0" customWidth="1"/>
    <col min="3" max="3" width="16.125" style="0" customWidth="1"/>
    <col min="4" max="4" width="19.125" style="0" customWidth="1"/>
    <col min="5" max="5" width="19.75390625" style="0" customWidth="1"/>
    <col min="6" max="6" width="23.125" style="0" customWidth="1"/>
    <col min="7" max="7" width="1.25" style="0" customWidth="1"/>
    <col min="8" max="15" width="9.125" style="0" hidden="1" customWidth="1"/>
  </cols>
  <sheetData>
    <row r="1" spans="1:15" ht="15.75">
      <c r="A1" s="338" t="s">
        <v>373</v>
      </c>
      <c r="B1" s="338"/>
      <c r="C1" s="338"/>
      <c r="D1" s="338"/>
      <c r="E1" s="338"/>
      <c r="F1" s="33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8.25" customHeigh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spans="1:15" ht="15.75">
      <c r="A3" s="341" t="s">
        <v>41</v>
      </c>
      <c r="B3" s="341"/>
      <c r="C3" s="341"/>
      <c r="D3" s="341"/>
      <c r="E3" s="341"/>
      <c r="F3" s="341"/>
      <c r="G3" s="64"/>
      <c r="H3" s="64"/>
      <c r="I3" s="64"/>
      <c r="J3" s="64"/>
      <c r="K3" s="64"/>
      <c r="L3" s="64"/>
      <c r="M3" s="64"/>
      <c r="N3" s="64"/>
      <c r="O3" s="64"/>
    </row>
    <row r="4" spans="1:15" ht="15.75">
      <c r="A4" s="341" t="s">
        <v>295</v>
      </c>
      <c r="B4" s="341"/>
      <c r="C4" s="341"/>
      <c r="D4" s="341"/>
      <c r="E4" s="341"/>
      <c r="F4" s="341"/>
      <c r="G4" s="64"/>
      <c r="H4" s="64"/>
      <c r="I4" s="64"/>
      <c r="J4" s="64"/>
      <c r="K4" s="64"/>
      <c r="L4" s="64"/>
      <c r="M4" s="64"/>
      <c r="N4" s="64"/>
      <c r="O4" s="64"/>
    </row>
    <row r="5" spans="1:15" ht="15.75">
      <c r="A5" s="341" t="s">
        <v>37</v>
      </c>
      <c r="B5" s="341"/>
      <c r="C5" s="341"/>
      <c r="D5" s="341"/>
      <c r="E5" s="341"/>
      <c r="F5" s="341"/>
      <c r="G5" s="64"/>
      <c r="H5" s="64"/>
      <c r="I5" s="64"/>
      <c r="J5" s="64"/>
      <c r="K5" s="64"/>
      <c r="L5" s="64"/>
      <c r="M5" s="64"/>
      <c r="N5" s="64"/>
      <c r="O5" s="64"/>
    </row>
    <row r="6" spans="1:15" ht="16.5" thickBot="1">
      <c r="A6" s="149"/>
      <c r="B6" s="149"/>
      <c r="C6" s="149"/>
      <c r="D6" s="149"/>
      <c r="E6" s="149"/>
      <c r="F6" s="150" t="s">
        <v>40</v>
      </c>
      <c r="G6" s="149"/>
      <c r="H6" s="149"/>
      <c r="I6" s="151"/>
      <c r="J6" s="149"/>
      <c r="K6" s="149"/>
      <c r="L6" s="149"/>
      <c r="M6" s="151"/>
      <c r="N6" s="151"/>
      <c r="O6" s="149"/>
    </row>
    <row r="7" spans="1:15" ht="16.5" thickBot="1">
      <c r="A7" s="342" t="s">
        <v>296</v>
      </c>
      <c r="B7" s="345" t="s">
        <v>249</v>
      </c>
      <c r="C7" s="348" t="s">
        <v>250</v>
      </c>
      <c r="D7" s="351" t="s">
        <v>297</v>
      </c>
      <c r="E7" s="352"/>
      <c r="F7" s="353"/>
      <c r="G7" s="65"/>
      <c r="H7" s="65"/>
      <c r="I7" s="65"/>
      <c r="J7" s="65"/>
      <c r="K7" s="65"/>
      <c r="L7" s="65"/>
      <c r="M7" s="65"/>
      <c r="N7" s="65"/>
      <c r="O7" s="65"/>
    </row>
    <row r="8" spans="1:15" ht="15.75">
      <c r="A8" s="343"/>
      <c r="B8" s="346"/>
      <c r="C8" s="349"/>
      <c r="D8" s="354" t="s">
        <v>298</v>
      </c>
      <c r="E8" s="354" t="s">
        <v>299</v>
      </c>
      <c r="F8" s="355" t="s">
        <v>300</v>
      </c>
      <c r="G8" s="24"/>
      <c r="H8" s="24"/>
      <c r="I8" s="24"/>
      <c r="J8" s="24"/>
      <c r="K8" s="24"/>
      <c r="L8" s="24"/>
      <c r="M8" s="24"/>
      <c r="N8" s="24"/>
      <c r="O8" s="24"/>
    </row>
    <row r="9" spans="1:15" ht="16.5" thickBot="1">
      <c r="A9" s="343"/>
      <c r="B9" s="346"/>
      <c r="C9" s="349"/>
      <c r="D9" s="354"/>
      <c r="E9" s="354"/>
      <c r="F9" s="355"/>
      <c r="G9" s="24"/>
      <c r="H9" s="24"/>
      <c r="I9" s="24"/>
      <c r="J9" s="24"/>
      <c r="K9" s="24"/>
      <c r="L9" s="24"/>
      <c r="M9" s="24"/>
      <c r="N9" s="24"/>
      <c r="O9" s="24"/>
    </row>
    <row r="10" spans="1:15" ht="15.75">
      <c r="A10" s="343"/>
      <c r="B10" s="346"/>
      <c r="C10" s="349"/>
      <c r="D10" s="356" t="s">
        <v>301</v>
      </c>
      <c r="E10" s="357"/>
      <c r="F10" s="358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0.5" customHeight="1" thickBot="1">
      <c r="A11" s="344"/>
      <c r="B11" s="347"/>
      <c r="C11" s="350"/>
      <c r="D11" s="399"/>
      <c r="E11" s="359"/>
      <c r="F11" s="360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31.5">
      <c r="A12" s="152" t="s">
        <v>264</v>
      </c>
      <c r="B12" s="153" t="s">
        <v>265</v>
      </c>
      <c r="C12" s="164">
        <f>D12+E12</f>
        <v>7477</v>
      </c>
      <c r="D12" s="165">
        <f>2160+610+583+164+10+5+10+20+83+28+13+45+100+10+20+8+20+78+2+25+230+100+97+2000+85-2000+7+57+80+100+150+2000</f>
        <v>6900</v>
      </c>
      <c r="E12" s="166">
        <f>20+100+24+24+10+10+46+3+18+15+70-24-9-124+76+43+115+55+75+30</f>
        <v>577</v>
      </c>
      <c r="F12" s="167"/>
      <c r="G12" s="154"/>
      <c r="H12" s="154"/>
      <c r="I12" s="155"/>
      <c r="J12" s="18"/>
      <c r="K12" s="18"/>
      <c r="L12" s="18"/>
      <c r="M12" s="155"/>
      <c r="N12" s="155"/>
      <c r="O12" s="18"/>
    </row>
    <row r="13" spans="1:15" ht="15.75">
      <c r="A13" s="156" t="s">
        <v>266</v>
      </c>
      <c r="B13" s="153" t="s">
        <v>267</v>
      </c>
      <c r="C13" s="168">
        <f>D13+E13+F13</f>
        <v>58</v>
      </c>
      <c r="D13" s="169">
        <f>10+36+12</f>
        <v>58</v>
      </c>
      <c r="E13" s="170"/>
      <c r="F13" s="171"/>
      <c r="G13" s="154"/>
      <c r="H13" s="154"/>
      <c r="I13" s="155"/>
      <c r="J13" s="18"/>
      <c r="K13" s="18"/>
      <c r="L13" s="18"/>
      <c r="M13" s="155"/>
      <c r="N13" s="155"/>
      <c r="O13" s="18"/>
    </row>
    <row r="14" spans="1:15" ht="31.5">
      <c r="A14" s="156" t="s">
        <v>318</v>
      </c>
      <c r="B14" s="206" t="s">
        <v>319</v>
      </c>
      <c r="C14" s="168">
        <f aca="true" t="shared" si="0" ref="C14:C33">D14+E14+F14</f>
        <v>2950</v>
      </c>
      <c r="D14" s="169">
        <v>2950</v>
      </c>
      <c r="E14" s="170"/>
      <c r="F14" s="171"/>
      <c r="G14" s="154"/>
      <c r="H14" s="154"/>
      <c r="I14" s="155"/>
      <c r="J14" s="18"/>
      <c r="K14" s="18"/>
      <c r="L14" s="18"/>
      <c r="M14" s="155"/>
      <c r="N14" s="155"/>
      <c r="O14" s="18"/>
    </row>
    <row r="15" spans="1:15" ht="24" customHeight="1">
      <c r="A15" s="183" t="s">
        <v>307</v>
      </c>
      <c r="B15" s="184" t="s">
        <v>308</v>
      </c>
      <c r="C15" s="168">
        <f t="shared" si="0"/>
        <v>25</v>
      </c>
      <c r="D15" s="169">
        <v>25</v>
      </c>
      <c r="E15" s="170"/>
      <c r="F15" s="171"/>
      <c r="G15" s="154"/>
      <c r="H15" s="154"/>
      <c r="I15" s="155"/>
      <c r="J15" s="18"/>
      <c r="K15" s="18"/>
      <c r="L15" s="18"/>
      <c r="M15" s="155"/>
      <c r="N15" s="155"/>
      <c r="O15" s="18"/>
    </row>
    <row r="16" spans="1:15" ht="15.75">
      <c r="A16" s="156" t="s">
        <v>311</v>
      </c>
      <c r="B16" s="153" t="s">
        <v>0</v>
      </c>
      <c r="C16" s="168">
        <f t="shared" si="0"/>
        <v>11000</v>
      </c>
      <c r="D16" s="169"/>
      <c r="E16" s="170">
        <f>8500+1500+1000</f>
        <v>11000</v>
      </c>
      <c r="F16" s="171"/>
      <c r="G16" s="154"/>
      <c r="H16" s="154"/>
      <c r="I16" s="155"/>
      <c r="J16" s="18"/>
      <c r="K16" s="18"/>
      <c r="L16" s="18"/>
      <c r="M16" s="155"/>
      <c r="N16" s="155"/>
      <c r="O16" s="18"/>
    </row>
    <row r="17" spans="1:15" ht="15.75">
      <c r="A17" s="156" t="s">
        <v>268</v>
      </c>
      <c r="B17" s="153" t="s">
        <v>269</v>
      </c>
      <c r="C17" s="168">
        <f t="shared" si="0"/>
        <v>1212</v>
      </c>
      <c r="D17" s="169">
        <f>385+385+104+338</f>
        <v>1212</v>
      </c>
      <c r="E17" s="170"/>
      <c r="F17" s="171"/>
      <c r="G17" s="154"/>
      <c r="H17" s="154"/>
      <c r="I17" s="155"/>
      <c r="J17" s="18"/>
      <c r="K17" s="18"/>
      <c r="L17" s="18"/>
      <c r="M17" s="155"/>
      <c r="N17" s="155"/>
      <c r="O17" s="18"/>
    </row>
    <row r="18" spans="1:15" ht="15.75">
      <c r="A18" s="156" t="s">
        <v>325</v>
      </c>
      <c r="B18" s="153" t="s">
        <v>326</v>
      </c>
      <c r="C18" s="168">
        <f t="shared" si="0"/>
        <v>351</v>
      </c>
      <c r="D18" s="169">
        <v>351</v>
      </c>
      <c r="E18" s="170"/>
      <c r="F18" s="171"/>
      <c r="G18" s="154"/>
      <c r="H18" s="154"/>
      <c r="I18" s="155"/>
      <c r="J18" s="18"/>
      <c r="K18" s="18"/>
      <c r="L18" s="18"/>
      <c r="M18" s="155"/>
      <c r="N18" s="155"/>
      <c r="O18" s="18"/>
    </row>
    <row r="19" spans="1:15" ht="22.5" customHeight="1">
      <c r="A19" s="156" t="s">
        <v>270</v>
      </c>
      <c r="B19" s="157" t="s">
        <v>271</v>
      </c>
      <c r="C19" s="168">
        <f t="shared" si="0"/>
        <v>0</v>
      </c>
      <c r="D19" s="169">
        <v>0</v>
      </c>
      <c r="E19" s="170"/>
      <c r="F19" s="171"/>
      <c r="G19" s="154"/>
      <c r="H19" s="154"/>
      <c r="I19" s="155"/>
      <c r="J19" s="18"/>
      <c r="K19" s="18"/>
      <c r="L19" s="18"/>
      <c r="M19" s="155"/>
      <c r="N19" s="155"/>
      <c r="O19" s="18"/>
    </row>
    <row r="20" spans="1:15" ht="31.5">
      <c r="A20" s="156" t="s">
        <v>272</v>
      </c>
      <c r="B20" s="153" t="s">
        <v>273</v>
      </c>
      <c r="C20" s="168">
        <f t="shared" si="0"/>
        <v>15</v>
      </c>
      <c r="D20" s="169">
        <f>12+3</f>
        <v>15</v>
      </c>
      <c r="E20" s="170"/>
      <c r="F20" s="171"/>
      <c r="G20" s="154"/>
      <c r="H20" s="154"/>
      <c r="I20" s="155"/>
      <c r="J20" s="18"/>
      <c r="K20" s="18"/>
      <c r="L20" s="18"/>
      <c r="M20" s="155"/>
      <c r="N20" s="155"/>
      <c r="O20" s="18"/>
    </row>
    <row r="21" spans="1:15" ht="15.75">
      <c r="A21" s="156" t="s">
        <v>274</v>
      </c>
      <c r="B21" s="158" t="s">
        <v>275</v>
      </c>
      <c r="C21" s="168">
        <f t="shared" si="0"/>
        <v>0</v>
      </c>
      <c r="D21" s="169"/>
      <c r="E21" s="170">
        <v>0</v>
      </c>
      <c r="F21" s="171"/>
      <c r="G21" s="154"/>
      <c r="H21" s="154"/>
      <c r="I21" s="155"/>
      <c r="J21" s="18"/>
      <c r="K21" s="18"/>
      <c r="L21" s="18"/>
      <c r="M21" s="155"/>
      <c r="N21" s="155"/>
      <c r="O21" s="18"/>
    </row>
    <row r="22" spans="1:15" ht="15.75">
      <c r="A22" s="156" t="s">
        <v>276</v>
      </c>
      <c r="B22" s="153" t="s">
        <v>277</v>
      </c>
      <c r="C22" s="168">
        <f t="shared" si="0"/>
        <v>1964</v>
      </c>
      <c r="D22" s="169">
        <v>1964</v>
      </c>
      <c r="E22" s="170"/>
      <c r="F22" s="171"/>
      <c r="G22" s="154"/>
      <c r="H22" s="154"/>
      <c r="I22" s="155"/>
      <c r="J22" s="18"/>
      <c r="K22" s="18"/>
      <c r="L22" s="18"/>
      <c r="M22" s="155"/>
      <c r="N22" s="155"/>
      <c r="O22" s="18"/>
    </row>
    <row r="23" spans="1:15" ht="15.75">
      <c r="A23" s="156" t="s">
        <v>278</v>
      </c>
      <c r="B23" s="153" t="s">
        <v>279</v>
      </c>
      <c r="C23" s="168">
        <f t="shared" si="0"/>
        <v>803</v>
      </c>
      <c r="D23" s="169">
        <f>494+250+201-55-30-32-25</f>
        <v>803</v>
      </c>
      <c r="E23" s="170"/>
      <c r="F23" s="171"/>
      <c r="G23" s="154"/>
      <c r="H23" s="154"/>
      <c r="I23" s="155"/>
      <c r="J23" s="18"/>
      <c r="K23" s="18"/>
      <c r="L23" s="18"/>
      <c r="M23" s="155"/>
      <c r="N23" s="155"/>
      <c r="O23" s="18"/>
    </row>
    <row r="24" spans="1:15" ht="21.75" customHeight="1">
      <c r="A24" s="156" t="s">
        <v>280</v>
      </c>
      <c r="B24" s="153" t="s">
        <v>281</v>
      </c>
      <c r="C24" s="168">
        <f t="shared" si="0"/>
        <v>1888</v>
      </c>
      <c r="D24" s="169">
        <f>1314+355+16+40+12+30+15+63+48+64+32+49-150</f>
        <v>1888</v>
      </c>
      <c r="E24" s="170">
        <v>0</v>
      </c>
      <c r="F24" s="171"/>
      <c r="G24" s="154"/>
      <c r="H24" s="154"/>
      <c r="I24" s="155"/>
      <c r="J24" s="18"/>
      <c r="K24" s="18"/>
      <c r="L24" s="18"/>
      <c r="M24" s="155"/>
      <c r="N24" s="155"/>
      <c r="O24" s="18"/>
    </row>
    <row r="25" spans="1:15" ht="15.75">
      <c r="A25" s="156" t="s">
        <v>282</v>
      </c>
      <c r="B25" s="153" t="s">
        <v>283</v>
      </c>
      <c r="C25" s="168">
        <f t="shared" si="0"/>
        <v>110</v>
      </c>
      <c r="D25" s="169">
        <f>5+7+75+23</f>
        <v>110</v>
      </c>
      <c r="E25" s="170"/>
      <c r="F25" s="171"/>
      <c r="G25" s="154"/>
      <c r="H25" s="154"/>
      <c r="I25" s="155"/>
      <c r="J25" s="18"/>
      <c r="K25" s="18"/>
      <c r="L25" s="18"/>
      <c r="M25" s="155"/>
      <c r="N25" s="155"/>
      <c r="O25" s="18"/>
    </row>
    <row r="26" spans="1:15" ht="15.75">
      <c r="A26" s="156" t="s">
        <v>284</v>
      </c>
      <c r="B26" s="153" t="s">
        <v>285</v>
      </c>
      <c r="C26" s="168">
        <f t="shared" si="0"/>
        <v>149</v>
      </c>
      <c r="D26" s="169"/>
      <c r="E26" s="170">
        <f>120+29</f>
        <v>149</v>
      </c>
      <c r="F26" s="171"/>
      <c r="G26" s="154"/>
      <c r="H26" s="154"/>
      <c r="I26" s="155"/>
      <c r="J26" s="18"/>
      <c r="K26" s="18"/>
      <c r="L26" s="18"/>
      <c r="M26" s="155"/>
      <c r="N26" s="155"/>
      <c r="O26" s="18"/>
    </row>
    <row r="27" spans="1:15" ht="15.75">
      <c r="A27" s="156" t="s">
        <v>286</v>
      </c>
      <c r="B27" s="153" t="s">
        <v>287</v>
      </c>
      <c r="C27" s="168">
        <f t="shared" si="0"/>
        <v>0</v>
      </c>
      <c r="D27" s="169"/>
      <c r="E27" s="170">
        <v>0</v>
      </c>
      <c r="F27" s="171"/>
      <c r="G27" s="154"/>
      <c r="H27" s="154"/>
      <c r="I27" s="155"/>
      <c r="J27" s="18"/>
      <c r="K27" s="18"/>
      <c r="L27" s="18"/>
      <c r="M27" s="155"/>
      <c r="N27" s="155"/>
      <c r="O27" s="18"/>
    </row>
    <row r="28" spans="1:15" ht="21" customHeight="1">
      <c r="A28" s="156">
        <v>104051</v>
      </c>
      <c r="B28" s="153" t="s">
        <v>288</v>
      </c>
      <c r="C28" s="168">
        <f t="shared" si="0"/>
        <v>46</v>
      </c>
      <c r="D28" s="169"/>
      <c r="E28" s="170"/>
      <c r="F28" s="171">
        <v>46</v>
      </c>
      <c r="G28" s="154"/>
      <c r="H28" s="154"/>
      <c r="I28" s="155"/>
      <c r="J28" s="18"/>
      <c r="K28" s="18"/>
      <c r="L28" s="18"/>
      <c r="M28" s="155"/>
      <c r="N28" s="155"/>
      <c r="O28" s="18"/>
    </row>
    <row r="29" spans="1:15" ht="15.75">
      <c r="A29" s="156">
        <v>105010</v>
      </c>
      <c r="B29" s="153" t="s">
        <v>302</v>
      </c>
      <c r="C29" s="168">
        <f t="shared" si="0"/>
        <v>2258</v>
      </c>
      <c r="D29" s="169"/>
      <c r="E29" s="170"/>
      <c r="F29" s="171">
        <f>1642+616</f>
        <v>2258</v>
      </c>
      <c r="G29" s="154"/>
      <c r="H29" s="154"/>
      <c r="I29" s="155"/>
      <c r="J29" s="18"/>
      <c r="K29" s="18"/>
      <c r="L29" s="18"/>
      <c r="M29" s="155"/>
      <c r="N29" s="155"/>
      <c r="O29" s="18"/>
    </row>
    <row r="30" spans="1:15" ht="21.75" customHeight="1">
      <c r="A30" s="156">
        <v>106020</v>
      </c>
      <c r="B30" s="153" t="s">
        <v>290</v>
      </c>
      <c r="C30" s="168">
        <f t="shared" si="0"/>
        <v>244</v>
      </c>
      <c r="D30" s="169"/>
      <c r="E30" s="170"/>
      <c r="F30" s="171">
        <v>244</v>
      </c>
      <c r="G30" s="154"/>
      <c r="H30" s="154"/>
      <c r="I30" s="155"/>
      <c r="J30" s="18"/>
      <c r="K30" s="18"/>
      <c r="L30" s="18"/>
      <c r="M30" s="155"/>
      <c r="N30" s="155"/>
      <c r="O30" s="18"/>
    </row>
    <row r="31" spans="1:15" ht="15.75">
      <c r="A31" s="156">
        <v>107051</v>
      </c>
      <c r="B31" s="153" t="s">
        <v>291</v>
      </c>
      <c r="C31" s="168">
        <f t="shared" si="0"/>
        <v>554</v>
      </c>
      <c r="D31" s="169">
        <f>436+118</f>
        <v>554</v>
      </c>
      <c r="E31" s="170"/>
      <c r="F31" s="171"/>
      <c r="G31" s="154"/>
      <c r="H31" s="154"/>
      <c r="I31" s="155"/>
      <c r="J31" s="18"/>
      <c r="K31" s="18"/>
      <c r="L31" s="18"/>
      <c r="M31" s="155"/>
      <c r="N31" s="155"/>
      <c r="O31" s="18"/>
    </row>
    <row r="32" spans="1:15" ht="18" customHeight="1" thickBot="1">
      <c r="A32" s="156">
        <v>107060</v>
      </c>
      <c r="B32" s="153" t="s">
        <v>303</v>
      </c>
      <c r="C32" s="208">
        <f t="shared" si="0"/>
        <v>365</v>
      </c>
      <c r="D32" s="172">
        <f>30+110+25-100</f>
        <v>65</v>
      </c>
      <c r="E32" s="173">
        <f>150+105</f>
        <v>255</v>
      </c>
      <c r="F32" s="174">
        <v>45</v>
      </c>
      <c r="G32" s="154"/>
      <c r="H32" s="154"/>
      <c r="I32" s="155"/>
      <c r="J32" s="18"/>
      <c r="K32" s="18"/>
      <c r="L32" s="18"/>
      <c r="M32" s="155"/>
      <c r="N32" s="155"/>
      <c r="O32" s="18"/>
    </row>
    <row r="33" spans="1:15" ht="16.5" thickBot="1">
      <c r="A33" s="159"/>
      <c r="B33" s="160" t="s">
        <v>43</v>
      </c>
      <c r="C33" s="175">
        <f t="shared" si="0"/>
        <v>31469</v>
      </c>
      <c r="D33" s="176">
        <f>SUM(D12:D32)</f>
        <v>16895</v>
      </c>
      <c r="E33" s="177">
        <f>SUM(E12:E32)</f>
        <v>11981</v>
      </c>
      <c r="F33" s="175">
        <f>SUM(F12:F32)</f>
        <v>2593</v>
      </c>
      <c r="G33" s="154"/>
      <c r="H33" s="154"/>
      <c r="I33" s="161"/>
      <c r="J33" s="154"/>
      <c r="K33" s="154"/>
      <c r="L33" s="154"/>
      <c r="M33" s="161"/>
      <c r="N33" s="154"/>
      <c r="O33" s="154"/>
    </row>
    <row r="34" spans="1:15" ht="15.75">
      <c r="A34" s="148"/>
      <c r="B34" s="148"/>
      <c r="C34" s="148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</row>
    <row r="35" spans="1:15" ht="15.75">
      <c r="A35" s="148"/>
      <c r="B35" s="148"/>
      <c r="C35" s="148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</row>
    <row r="36" spans="1:15" ht="46.5" customHeight="1">
      <c r="A36" s="12"/>
      <c r="B36" s="163"/>
      <c r="C36" s="12"/>
      <c r="D36" s="18"/>
      <c r="E36" s="18"/>
      <c r="F36" s="18"/>
      <c r="G36" s="18"/>
      <c r="H36" s="18"/>
      <c r="I36" s="155"/>
      <c r="J36" s="18"/>
      <c r="K36" s="18"/>
      <c r="L36" s="18"/>
      <c r="M36" s="155"/>
      <c r="N36" s="155"/>
      <c r="O36" s="18"/>
    </row>
    <row r="37" spans="1:15" ht="15.75">
      <c r="A37" s="148"/>
      <c r="B37" s="148"/>
      <c r="C37" s="148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</row>
  </sheetData>
  <sheetProtection password="DB7F" sheet="1" objects="1" scenarios="1" selectLockedCells="1" selectUnlockedCells="1"/>
  <mergeCells count="13">
    <mergeCell ref="A1:F1"/>
    <mergeCell ref="A2:O2"/>
    <mergeCell ref="A3:F3"/>
    <mergeCell ref="A4:F4"/>
    <mergeCell ref="A5:F5"/>
    <mergeCell ref="A7:A11"/>
    <mergeCell ref="B7:B11"/>
    <mergeCell ref="C7:C11"/>
    <mergeCell ref="D7:F7"/>
    <mergeCell ref="D8:D9"/>
    <mergeCell ref="E8:E9"/>
    <mergeCell ref="F8:F9"/>
    <mergeCell ref="D10:F11"/>
  </mergeCells>
  <printOptions/>
  <pageMargins left="0.75" right="0.75" top="0.47" bottom="0.29" header="0.28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C1" sqref="C1:F1"/>
    </sheetView>
  </sheetViews>
  <sheetFormatPr defaultColWidth="9.00390625" defaultRowHeight="12.75"/>
  <cols>
    <col min="4" max="4" width="15.125" style="0" customWidth="1"/>
    <col min="5" max="5" width="27.125" style="0" customWidth="1"/>
    <col min="6" max="6" width="19.125" style="0" customWidth="1"/>
  </cols>
  <sheetData>
    <row r="1" spans="1:6" ht="15.75">
      <c r="A1" s="213"/>
      <c r="B1" s="213"/>
      <c r="C1" s="400" t="s">
        <v>374</v>
      </c>
      <c r="D1" s="400"/>
      <c r="E1" s="400"/>
      <c r="F1" s="400"/>
    </row>
    <row r="2" spans="1:6" ht="14.25">
      <c r="A2" s="401"/>
      <c r="B2" s="401"/>
      <c r="C2" s="401"/>
      <c r="D2" s="401"/>
      <c r="E2" s="401"/>
      <c r="F2" s="401"/>
    </row>
    <row r="3" spans="1:6" ht="15.75">
      <c r="A3" s="402"/>
      <c r="B3" s="402"/>
      <c r="C3" s="402"/>
      <c r="D3" s="402"/>
      <c r="E3" s="402"/>
      <c r="F3" s="402"/>
    </row>
    <row r="4" spans="1:6" ht="15">
      <c r="A4" s="213"/>
      <c r="B4" s="213"/>
      <c r="C4" s="213"/>
      <c r="D4" s="213"/>
      <c r="E4" s="213"/>
      <c r="F4" s="213"/>
    </row>
    <row r="5" spans="1:6" ht="15.75">
      <c r="A5" s="402" t="s">
        <v>41</v>
      </c>
      <c r="B5" s="402"/>
      <c r="C5" s="402"/>
      <c r="D5" s="402"/>
      <c r="E5" s="402"/>
      <c r="F5" s="402"/>
    </row>
    <row r="6" spans="1:6" ht="15.75">
      <c r="A6" s="402" t="s">
        <v>5</v>
      </c>
      <c r="B6" s="402"/>
      <c r="C6" s="402"/>
      <c r="D6" s="402"/>
      <c r="E6" s="402"/>
      <c r="F6" s="402"/>
    </row>
    <row r="7" spans="1:6" ht="18.75">
      <c r="A7" s="403"/>
      <c r="B7" s="403"/>
      <c r="C7" s="403"/>
      <c r="D7" s="403"/>
      <c r="E7" s="403"/>
      <c r="F7" s="403"/>
    </row>
    <row r="8" spans="1:6" ht="15">
      <c r="A8" s="213"/>
      <c r="B8" s="213"/>
      <c r="C8" s="213"/>
      <c r="D8" s="213"/>
      <c r="E8" s="213"/>
      <c r="F8" s="214" t="s">
        <v>40</v>
      </c>
    </row>
    <row r="9" spans="1:6" ht="12.75">
      <c r="A9" s="404" t="s">
        <v>39</v>
      </c>
      <c r="B9" s="405"/>
      <c r="C9" s="405"/>
      <c r="D9" s="405"/>
      <c r="E9" s="406"/>
      <c r="F9" s="413" t="s">
        <v>6</v>
      </c>
    </row>
    <row r="10" spans="1:6" ht="12.75">
      <c r="A10" s="407"/>
      <c r="B10" s="408"/>
      <c r="C10" s="408"/>
      <c r="D10" s="408"/>
      <c r="E10" s="409"/>
      <c r="F10" s="414"/>
    </row>
    <row r="11" spans="1:6" ht="12.75">
      <c r="A11" s="410"/>
      <c r="B11" s="411"/>
      <c r="C11" s="411"/>
      <c r="D11" s="411"/>
      <c r="E11" s="412"/>
      <c r="F11" s="415"/>
    </row>
    <row r="12" spans="1:6" ht="15.75">
      <c r="A12" s="215"/>
      <c r="B12" s="215"/>
      <c r="C12" s="215"/>
      <c r="D12" s="215"/>
      <c r="E12" s="215"/>
      <c r="F12" s="216"/>
    </row>
    <row r="13" spans="1:6" ht="15.75">
      <c r="A13" s="217" t="s">
        <v>7</v>
      </c>
      <c r="B13" s="215"/>
      <c r="C13" s="215"/>
      <c r="D13" s="215"/>
      <c r="E13" s="215"/>
      <c r="F13" s="216"/>
    </row>
    <row r="14" spans="1:6" ht="27.75" customHeight="1">
      <c r="A14" s="218" t="s">
        <v>8</v>
      </c>
      <c r="B14" s="218"/>
      <c r="C14" s="218"/>
      <c r="D14" s="218"/>
      <c r="E14" s="218"/>
      <c r="F14" s="212"/>
    </row>
    <row r="15" spans="1:6" ht="15.75">
      <c r="A15" s="8" t="s">
        <v>9</v>
      </c>
      <c r="B15" s="8"/>
      <c r="C15" s="8"/>
      <c r="D15" s="8"/>
      <c r="E15" s="8"/>
      <c r="F15" s="219">
        <v>2000</v>
      </c>
    </row>
    <row r="16" spans="1:6" ht="15.75">
      <c r="A16" s="12" t="s">
        <v>10</v>
      </c>
      <c r="B16" s="12"/>
      <c r="C16" s="218"/>
      <c r="D16" s="24"/>
      <c r="E16" s="8"/>
      <c r="F16" s="14">
        <v>70</v>
      </c>
    </row>
    <row r="17" spans="1:6" ht="7.5" customHeight="1">
      <c r="A17" s="8"/>
      <c r="B17" s="8"/>
      <c r="C17" s="8"/>
      <c r="D17" s="8"/>
      <c r="E17" s="8"/>
      <c r="F17" s="14"/>
    </row>
    <row r="18" spans="1:6" ht="38.25" customHeight="1">
      <c r="A18" s="416" t="s">
        <v>11</v>
      </c>
      <c r="B18" s="336"/>
      <c r="C18" s="336"/>
      <c r="D18" s="336"/>
      <c r="E18" s="336"/>
      <c r="F18" s="222">
        <f>F15+F16</f>
        <v>2070</v>
      </c>
    </row>
    <row r="19" spans="1:6" ht="15.75">
      <c r="A19" s="9"/>
      <c r="B19" s="8"/>
      <c r="C19" s="8"/>
      <c r="D19" s="8"/>
      <c r="E19" s="8"/>
      <c r="F19" s="14"/>
    </row>
    <row r="20" spans="1:6" ht="39.75" customHeight="1">
      <c r="A20" s="416" t="s">
        <v>13</v>
      </c>
      <c r="B20" s="336"/>
      <c r="C20" s="336"/>
      <c r="D20" s="336"/>
      <c r="E20" s="336"/>
      <c r="F20" s="14"/>
    </row>
    <row r="21" spans="1:6" ht="15.75">
      <c r="A21" s="18" t="s">
        <v>12</v>
      </c>
      <c r="B21" s="18"/>
      <c r="C21" s="18"/>
      <c r="D21" s="18"/>
      <c r="E21" s="18"/>
      <c r="F21" s="14">
        <v>85</v>
      </c>
    </row>
    <row r="22" spans="1:6" ht="38.25" customHeight="1">
      <c r="A22" s="416" t="s">
        <v>13</v>
      </c>
      <c r="B22" s="336"/>
      <c r="C22" s="336"/>
      <c r="D22" s="336"/>
      <c r="E22" s="336"/>
      <c r="F22" s="222">
        <f>F21</f>
        <v>85</v>
      </c>
    </row>
    <row r="23" spans="1:6" ht="15.75">
      <c r="A23" s="220"/>
      <c r="B23" s="221"/>
      <c r="C23" s="221"/>
      <c r="D23" s="221"/>
      <c r="E23" s="221"/>
      <c r="F23" s="14"/>
    </row>
    <row r="24" spans="1:6" ht="15.75">
      <c r="A24" s="416" t="s">
        <v>329</v>
      </c>
      <c r="B24" s="336"/>
      <c r="C24" s="336"/>
      <c r="D24" s="336"/>
      <c r="E24" s="336"/>
      <c r="F24" s="14"/>
    </row>
    <row r="25" spans="1:6" ht="15.75">
      <c r="A25" s="12" t="s">
        <v>328</v>
      </c>
      <c r="B25" s="12"/>
      <c r="C25" s="218"/>
      <c r="D25" s="24"/>
      <c r="E25" s="8"/>
      <c r="F25" s="14">
        <v>25</v>
      </c>
    </row>
    <row r="26" spans="1:6" ht="15.75">
      <c r="A26" s="209" t="s">
        <v>329</v>
      </c>
      <c r="B26" s="12"/>
      <c r="C26" s="218"/>
      <c r="D26" s="24"/>
      <c r="E26" s="8"/>
      <c r="F26" s="222">
        <v>25</v>
      </c>
    </row>
    <row r="27" spans="1:6" ht="15.75">
      <c r="A27" s="12"/>
      <c r="B27" s="12"/>
      <c r="C27" s="218"/>
      <c r="D27" s="24"/>
      <c r="E27" s="8"/>
      <c r="F27" s="14"/>
    </row>
    <row r="28" spans="1:6" ht="15.75">
      <c r="A28" s="218" t="s">
        <v>14</v>
      </c>
      <c r="B28" s="8"/>
      <c r="C28" s="8"/>
      <c r="D28" s="8"/>
      <c r="E28" s="8"/>
      <c r="F28" s="222">
        <f>F18+F22+F26</f>
        <v>2180</v>
      </c>
    </row>
    <row r="29" spans="1:6" ht="15.75">
      <c r="A29" s="218"/>
      <c r="B29" s="8"/>
      <c r="C29" s="8"/>
      <c r="D29" s="8"/>
      <c r="E29" s="8"/>
      <c r="F29" s="14"/>
    </row>
    <row r="30" spans="1:6" ht="15.75">
      <c r="A30" s="218" t="s">
        <v>15</v>
      </c>
      <c r="B30" s="218"/>
      <c r="C30" s="218"/>
      <c r="D30" s="218"/>
      <c r="E30" s="218"/>
      <c r="F30" s="222"/>
    </row>
    <row r="31" spans="1:6" ht="15.75">
      <c r="A31" s="218" t="s">
        <v>16</v>
      </c>
      <c r="B31" s="218"/>
      <c r="C31" s="218"/>
      <c r="D31" s="218"/>
      <c r="E31" s="218"/>
      <c r="F31" s="223"/>
    </row>
    <row r="32" spans="1:6" ht="15.75">
      <c r="A32" s="8" t="s">
        <v>17</v>
      </c>
      <c r="B32" s="8"/>
      <c r="C32" s="8"/>
      <c r="D32" s="8"/>
      <c r="E32" s="8"/>
      <c r="F32" s="219">
        <v>0</v>
      </c>
    </row>
    <row r="33" spans="1:6" ht="15.75">
      <c r="A33" s="218" t="s">
        <v>18</v>
      </c>
      <c r="B33" s="8"/>
      <c r="C33" s="8"/>
      <c r="D33" s="8"/>
      <c r="E33" s="8"/>
      <c r="F33" s="219"/>
    </row>
    <row r="34" spans="1:6" ht="15.75">
      <c r="A34" s="417" t="s">
        <v>19</v>
      </c>
      <c r="B34" s="417"/>
      <c r="C34" s="417"/>
      <c r="D34" s="417"/>
      <c r="E34" s="417"/>
      <c r="F34" s="219">
        <f>8500+1500+1000</f>
        <v>11000</v>
      </c>
    </row>
    <row r="35" spans="1:6" ht="15.75">
      <c r="A35" s="416" t="s">
        <v>20</v>
      </c>
      <c r="B35" s="336"/>
      <c r="C35" s="336"/>
      <c r="D35" s="336"/>
      <c r="E35" s="336"/>
      <c r="F35" s="224">
        <f>F34</f>
        <v>11000</v>
      </c>
    </row>
    <row r="36" spans="1:6" ht="15.75">
      <c r="A36" s="8"/>
      <c r="B36" s="8"/>
      <c r="C36" s="8"/>
      <c r="D36" s="8"/>
      <c r="E36" s="8"/>
      <c r="F36" s="219"/>
    </row>
    <row r="37" spans="1:6" ht="15.75">
      <c r="A37" s="218" t="s">
        <v>21</v>
      </c>
      <c r="B37" s="218"/>
      <c r="C37" s="218"/>
      <c r="D37" s="8"/>
      <c r="E37" s="8"/>
      <c r="F37" s="224">
        <f>F35</f>
        <v>11000</v>
      </c>
    </row>
    <row r="38" spans="1:6" ht="15.75">
      <c r="A38" s="8"/>
      <c r="B38" s="8"/>
      <c r="C38" s="8"/>
      <c r="D38" s="8"/>
      <c r="E38" s="8"/>
      <c r="F38" s="8"/>
    </row>
    <row r="39" spans="1:6" ht="15.75">
      <c r="A39" s="8"/>
      <c r="B39" s="8"/>
      <c r="C39" s="8"/>
      <c r="D39" s="8"/>
      <c r="E39" s="8"/>
      <c r="F39" s="8"/>
    </row>
    <row r="40" spans="1:6" ht="15.75">
      <c r="A40" s="8"/>
      <c r="B40" s="8"/>
      <c r="C40" s="8"/>
      <c r="D40" s="8"/>
      <c r="E40" s="8"/>
      <c r="F40" s="8"/>
    </row>
    <row r="41" spans="1:6" ht="15.75">
      <c r="A41" s="8"/>
      <c r="B41" s="8"/>
      <c r="C41" s="8"/>
      <c r="D41" s="8"/>
      <c r="E41" s="8"/>
      <c r="F41" s="8"/>
    </row>
    <row r="42" spans="1:6" ht="15.75">
      <c r="A42" s="8"/>
      <c r="B42" s="8"/>
      <c r="C42" s="8"/>
      <c r="D42" s="8"/>
      <c r="E42" s="8"/>
      <c r="F42" s="8"/>
    </row>
    <row r="43" spans="1:6" ht="15.75">
      <c r="A43" s="8"/>
      <c r="B43" s="8"/>
      <c r="C43" s="8"/>
      <c r="D43" s="8"/>
      <c r="E43" s="8"/>
      <c r="F43" s="8"/>
    </row>
  </sheetData>
  <sheetProtection password="DB7F" sheet="1" objects="1" scenarios="1" selectLockedCells="1" selectUnlockedCells="1"/>
  <mergeCells count="14">
    <mergeCell ref="A35:E35"/>
    <mergeCell ref="A18:E18"/>
    <mergeCell ref="A20:E20"/>
    <mergeCell ref="A22:E22"/>
    <mergeCell ref="A34:E34"/>
    <mergeCell ref="A24:E24"/>
    <mergeCell ref="A6:F6"/>
    <mergeCell ref="A7:F7"/>
    <mergeCell ref="A9:E11"/>
    <mergeCell ref="F9:F11"/>
    <mergeCell ref="C1:F1"/>
    <mergeCell ref="A2:F2"/>
    <mergeCell ref="A3:F3"/>
    <mergeCell ref="A5:F5"/>
  </mergeCells>
  <printOptions/>
  <pageMargins left="0.81" right="0.54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A1" sqref="A1:B1"/>
    </sheetView>
  </sheetViews>
  <sheetFormatPr defaultColWidth="9.00390625" defaultRowHeight="12.75"/>
  <cols>
    <col min="1" max="1" width="61.875" style="0" customWidth="1"/>
    <col min="2" max="2" width="19.375" style="0" customWidth="1"/>
  </cols>
  <sheetData>
    <row r="1" spans="1:2" ht="15.75">
      <c r="A1" s="418" t="s">
        <v>375</v>
      </c>
      <c r="B1" s="418"/>
    </row>
    <row r="2" spans="1:2" ht="15.75">
      <c r="A2" s="10"/>
      <c r="B2" s="10"/>
    </row>
    <row r="3" spans="1:2" ht="15.75">
      <c r="A3" s="419"/>
      <c r="B3" s="419"/>
    </row>
    <row r="4" spans="1:2" ht="16.5">
      <c r="A4" s="225"/>
      <c r="B4" s="225"/>
    </row>
    <row r="5" spans="1:2" ht="15.75">
      <c r="A5" s="419" t="s">
        <v>41</v>
      </c>
      <c r="B5" s="419"/>
    </row>
    <row r="6" spans="1:2" ht="15.75">
      <c r="A6" s="402" t="s">
        <v>22</v>
      </c>
      <c r="B6" s="402"/>
    </row>
    <row r="7" spans="1:2" ht="16.5">
      <c r="A7" s="420" t="s">
        <v>37</v>
      </c>
      <c r="B7" s="420"/>
    </row>
    <row r="8" spans="1:2" ht="17.25" thickBot="1">
      <c r="A8" s="226"/>
      <c r="B8" s="227"/>
    </row>
    <row r="9" spans="1:2" ht="12.75">
      <c r="A9" s="421" t="s">
        <v>39</v>
      </c>
      <c r="B9" s="424" t="s">
        <v>23</v>
      </c>
    </row>
    <row r="10" spans="1:2" ht="12.75">
      <c r="A10" s="422"/>
      <c r="B10" s="425"/>
    </row>
    <row r="11" spans="1:2" ht="13.5" thickBot="1">
      <c r="A11" s="423"/>
      <c r="B11" s="426"/>
    </row>
    <row r="12" spans="1:2" ht="15.75">
      <c r="A12" s="228"/>
      <c r="B12" s="228"/>
    </row>
    <row r="13" spans="1:2" ht="34.5" customHeight="1">
      <c r="A13" s="429" t="s">
        <v>322</v>
      </c>
      <c r="B13" s="430"/>
    </row>
    <row r="14" spans="1:2" ht="16.5" customHeight="1">
      <c r="A14" s="237"/>
      <c r="B14" s="236"/>
    </row>
    <row r="15" spans="1:2" ht="15.75">
      <c r="A15" s="228" t="s">
        <v>323</v>
      </c>
      <c r="B15" s="229">
        <v>59</v>
      </c>
    </row>
    <row r="16" spans="1:2" ht="18">
      <c r="A16" s="228" t="s">
        <v>26</v>
      </c>
      <c r="B16" s="230">
        <v>16</v>
      </c>
    </row>
    <row r="17" spans="1:2" ht="15.75">
      <c r="A17" s="231" t="s">
        <v>27</v>
      </c>
      <c r="B17" s="229">
        <f>B15+B16</f>
        <v>75</v>
      </c>
    </row>
    <row r="18" spans="1:2" ht="15.75">
      <c r="A18" s="228"/>
      <c r="B18" s="228"/>
    </row>
    <row r="19" spans="1:2" ht="22.5" customHeight="1">
      <c r="A19" s="427" t="s">
        <v>24</v>
      </c>
      <c r="B19" s="428"/>
    </row>
    <row r="20" spans="1:2" ht="15.75">
      <c r="A20" s="228" t="s">
        <v>25</v>
      </c>
      <c r="B20" s="229">
        <v>130</v>
      </c>
    </row>
    <row r="21" spans="1:2" ht="18">
      <c r="A21" s="228" t="s">
        <v>26</v>
      </c>
      <c r="B21" s="230">
        <v>35</v>
      </c>
    </row>
    <row r="22" spans="1:2" ht="15.75">
      <c r="A22" s="231" t="s">
        <v>27</v>
      </c>
      <c r="B22" s="229">
        <f>B20+B21</f>
        <v>165</v>
      </c>
    </row>
    <row r="23" spans="1:2" ht="15.75">
      <c r="A23" s="231"/>
      <c r="B23" s="228"/>
    </row>
    <row r="24" spans="1:2" ht="15.75">
      <c r="A24" s="232" t="s">
        <v>28</v>
      </c>
      <c r="B24" s="228"/>
    </row>
    <row r="25" spans="1:2" ht="15.75">
      <c r="A25" s="228"/>
      <c r="B25" s="228"/>
    </row>
    <row r="26" spans="1:2" ht="15.75">
      <c r="A26" s="228" t="s">
        <v>29</v>
      </c>
      <c r="B26" s="17"/>
    </row>
    <row r="27" spans="1:2" ht="15.75">
      <c r="A27" s="228" t="s">
        <v>30</v>
      </c>
      <c r="B27" s="17"/>
    </row>
    <row r="28" spans="1:2" ht="15.75">
      <c r="A28" s="228" t="s">
        <v>31</v>
      </c>
      <c r="B28" s="229">
        <v>1546</v>
      </c>
    </row>
    <row r="29" spans="1:2" ht="18">
      <c r="A29" s="228" t="s">
        <v>26</v>
      </c>
      <c r="B29" s="230">
        <v>418</v>
      </c>
    </row>
    <row r="30" spans="1:2" ht="15.75">
      <c r="A30" s="231" t="s">
        <v>27</v>
      </c>
      <c r="B30" s="229">
        <f>B28+B29</f>
        <v>1964</v>
      </c>
    </row>
    <row r="31" spans="1:2" ht="15.75">
      <c r="A31" s="228"/>
      <c r="B31" s="233"/>
    </row>
    <row r="32" spans="1:2" ht="15.75">
      <c r="A32" s="231"/>
      <c r="B32" s="233"/>
    </row>
    <row r="33" spans="1:2" ht="18">
      <c r="A33" s="231" t="s">
        <v>32</v>
      </c>
      <c r="B33" s="234">
        <f>B22+B30+B17</f>
        <v>2204</v>
      </c>
    </row>
    <row r="34" spans="1:2" ht="15.75">
      <c r="A34" s="228"/>
      <c r="B34" s="15"/>
    </row>
    <row r="35" spans="1:2" ht="15.75">
      <c r="A35" s="228"/>
      <c r="B35" s="15"/>
    </row>
    <row r="36" spans="1:2" ht="15.75">
      <c r="A36" s="235"/>
      <c r="B36" s="19"/>
    </row>
    <row r="37" spans="1:2" ht="15.75">
      <c r="A37" s="235"/>
      <c r="B37" s="19"/>
    </row>
  </sheetData>
  <sheetProtection password="DB7F" sheet="1" objects="1" scenarios="1" selectLockedCells="1" selectUnlockedCells="1"/>
  <mergeCells count="9">
    <mergeCell ref="A7:B7"/>
    <mergeCell ref="A9:A11"/>
    <mergeCell ref="B9:B11"/>
    <mergeCell ref="A19:B19"/>
    <mergeCell ref="A13:B13"/>
    <mergeCell ref="A1:B1"/>
    <mergeCell ref="A3:B3"/>
    <mergeCell ref="A5:B5"/>
    <mergeCell ref="A6:B6"/>
  </mergeCells>
  <printOptions/>
  <pageMargins left="0.87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88"/>
  <sheetViews>
    <sheetView workbookViewId="0" topLeftCell="A1">
      <selection activeCell="A3" sqref="A3:C3"/>
    </sheetView>
  </sheetViews>
  <sheetFormatPr defaultColWidth="9.00390625" defaultRowHeight="12.75"/>
  <cols>
    <col min="1" max="1" width="7.00390625" style="0" customWidth="1"/>
    <col min="2" max="2" width="67.125" style="0" customWidth="1"/>
    <col min="3" max="3" width="19.375" style="0" customWidth="1"/>
  </cols>
  <sheetData>
    <row r="2" spans="1:3" ht="15.75">
      <c r="A2" s="25"/>
      <c r="B2" s="25"/>
      <c r="C2" s="26"/>
    </row>
    <row r="3" spans="1:3" ht="15.75">
      <c r="A3" s="435" t="s">
        <v>376</v>
      </c>
      <c r="B3" s="436"/>
      <c r="C3" s="436"/>
    </row>
    <row r="4" spans="1:3" ht="15.75">
      <c r="A4" s="27"/>
      <c r="B4" s="27"/>
      <c r="C4" s="28"/>
    </row>
    <row r="5" spans="1:3" ht="7.5" customHeight="1">
      <c r="A5" s="437"/>
      <c r="B5" s="437"/>
      <c r="C5" s="437"/>
    </row>
    <row r="6" spans="1:3" ht="15.75">
      <c r="A6" s="318"/>
      <c r="B6" s="318"/>
      <c r="C6" s="318"/>
    </row>
    <row r="7" spans="1:3" ht="15.75">
      <c r="A7" s="318"/>
      <c r="B7" s="318"/>
      <c r="C7" s="318"/>
    </row>
    <row r="8" spans="1:3" ht="3" customHeight="1">
      <c r="A8" s="30"/>
      <c r="B8" s="61"/>
      <c r="C8" s="61"/>
    </row>
    <row r="9" spans="1:3" ht="6.75" customHeight="1">
      <c r="A9" s="30"/>
      <c r="B9" s="61"/>
      <c r="C9" s="61"/>
    </row>
    <row r="10" spans="1:3" ht="15.75">
      <c r="A10" s="318" t="s">
        <v>41</v>
      </c>
      <c r="B10" s="318"/>
      <c r="C10" s="318"/>
    </row>
    <row r="11" spans="1:3" ht="15.75">
      <c r="A11" s="318" t="s">
        <v>71</v>
      </c>
      <c r="B11" s="318"/>
      <c r="C11" s="318"/>
    </row>
    <row r="12" spans="1:3" ht="15.75">
      <c r="A12" s="318" t="s">
        <v>72</v>
      </c>
      <c r="B12" s="318"/>
      <c r="C12" s="318"/>
    </row>
    <row r="13" spans="1:3" ht="15.75">
      <c r="A13" s="318" t="s">
        <v>37</v>
      </c>
      <c r="B13" s="318"/>
      <c r="C13" s="318"/>
    </row>
    <row r="14" spans="1:3" ht="16.5" thickBot="1">
      <c r="A14" s="27"/>
      <c r="B14" s="27"/>
      <c r="C14" s="28"/>
    </row>
    <row r="15" spans="1:3" ht="15.75">
      <c r="A15" s="31" t="s">
        <v>42</v>
      </c>
      <c r="B15" s="32"/>
      <c r="C15" s="33" t="s">
        <v>310</v>
      </c>
    </row>
    <row r="16" spans="1:3" ht="15.75">
      <c r="A16" s="34"/>
      <c r="B16" s="35" t="s">
        <v>39</v>
      </c>
      <c r="C16" s="36"/>
    </row>
    <row r="17" spans="1:3" ht="16.5" thickBot="1">
      <c r="A17" s="37" t="s">
        <v>44</v>
      </c>
      <c r="B17" s="38"/>
      <c r="C17" s="39" t="s">
        <v>73</v>
      </c>
    </row>
    <row r="18" spans="1:3" ht="20.25" customHeight="1">
      <c r="A18" s="431" t="s">
        <v>74</v>
      </c>
      <c r="B18" s="431"/>
      <c r="C18" s="431"/>
    </row>
    <row r="19" spans="1:3" ht="22.5" customHeight="1">
      <c r="A19" s="40" t="s">
        <v>45</v>
      </c>
      <c r="B19" s="41" t="s">
        <v>75</v>
      </c>
      <c r="C19" s="42"/>
    </row>
    <row r="20" spans="1:3" ht="22.5" customHeight="1">
      <c r="A20" s="40"/>
      <c r="B20" s="8" t="s">
        <v>76</v>
      </c>
      <c r="C20" s="42">
        <f>Bevételek!I39</f>
        <v>12230</v>
      </c>
    </row>
    <row r="21" spans="1:3" ht="22.5" customHeight="1">
      <c r="A21" s="40"/>
      <c r="B21" s="9" t="s">
        <v>77</v>
      </c>
      <c r="C21" s="42">
        <f>Bevételek!I47</f>
        <v>1531</v>
      </c>
    </row>
    <row r="22" spans="1:3" ht="22.5" customHeight="1">
      <c r="A22" s="40" t="s">
        <v>46</v>
      </c>
      <c r="B22" s="41" t="s">
        <v>78</v>
      </c>
      <c r="C22" s="42">
        <f>Bevételek!I77</f>
        <v>1865</v>
      </c>
    </row>
    <row r="23" spans="1:3" ht="22.5" customHeight="1">
      <c r="A23" s="40" t="s">
        <v>47</v>
      </c>
      <c r="B23" s="41" t="s">
        <v>79</v>
      </c>
      <c r="C23" s="42">
        <f>Bevételek!I92</f>
        <v>3684</v>
      </c>
    </row>
    <row r="24" spans="1:3" ht="22.5" customHeight="1">
      <c r="A24" s="40" t="s">
        <v>48</v>
      </c>
      <c r="B24" s="43" t="s">
        <v>51</v>
      </c>
      <c r="C24" s="42"/>
    </row>
    <row r="25" spans="1:3" ht="32.25" customHeight="1">
      <c r="A25" s="40"/>
      <c r="B25" s="9" t="s">
        <v>80</v>
      </c>
      <c r="C25" s="42"/>
    </row>
    <row r="26" spans="1:3" ht="22.5" customHeight="1">
      <c r="A26" s="40"/>
      <c r="B26" s="8" t="s">
        <v>81</v>
      </c>
      <c r="C26" s="42"/>
    </row>
    <row r="27" spans="1:3" ht="28.5" customHeight="1">
      <c r="A27" s="62"/>
      <c r="B27" s="63" t="s">
        <v>82</v>
      </c>
      <c r="C27" s="57">
        <f>SUM(C20:C26)</f>
        <v>19310</v>
      </c>
    </row>
    <row r="28" spans="1:3" ht="22.5" customHeight="1">
      <c r="A28" s="29" t="s">
        <v>49</v>
      </c>
      <c r="B28" s="41" t="s">
        <v>83</v>
      </c>
      <c r="C28" s="15">
        <f>'Korm.funkciók'!D33</f>
        <v>5795</v>
      </c>
    </row>
    <row r="29" spans="1:3" ht="22.5" customHeight="1">
      <c r="A29" s="29" t="s">
        <v>50</v>
      </c>
      <c r="B29" s="41" t="s">
        <v>84</v>
      </c>
      <c r="C29" s="15">
        <f>'Korm.funkciók'!E33</f>
        <v>1358</v>
      </c>
    </row>
    <row r="30" spans="1:3" ht="22.5" customHeight="1">
      <c r="A30" s="29" t="s">
        <v>52</v>
      </c>
      <c r="B30" s="47" t="s">
        <v>85</v>
      </c>
      <c r="C30" s="15">
        <f>'Korm.funkciók'!F33</f>
        <v>3234</v>
      </c>
    </row>
    <row r="31" spans="1:3" ht="22.5" customHeight="1">
      <c r="A31" s="29" t="s">
        <v>53</v>
      </c>
      <c r="B31" s="47" t="s">
        <v>86</v>
      </c>
      <c r="C31" s="15">
        <f>'Korm.funkciók'!G33</f>
        <v>2913</v>
      </c>
    </row>
    <row r="32" spans="1:3" ht="22.5" customHeight="1">
      <c r="A32" s="29" t="s">
        <v>54</v>
      </c>
      <c r="B32" s="47" t="s">
        <v>87</v>
      </c>
      <c r="C32" s="15"/>
    </row>
    <row r="33" spans="1:3" ht="22.5" customHeight="1">
      <c r="A33" s="29"/>
      <c r="B33" s="47" t="s">
        <v>88</v>
      </c>
      <c r="C33" s="15">
        <f>'Korm.funkciók'!H33-85</f>
        <v>2095</v>
      </c>
    </row>
    <row r="34" spans="1:3" ht="29.25" customHeight="1">
      <c r="A34" s="29"/>
      <c r="B34" s="9" t="s">
        <v>89</v>
      </c>
      <c r="C34" s="17"/>
    </row>
    <row r="35" spans="1:3" ht="22.5" customHeight="1">
      <c r="A35" s="29"/>
      <c r="B35" s="47" t="s">
        <v>90</v>
      </c>
      <c r="C35" s="17">
        <v>85</v>
      </c>
    </row>
    <row r="36" spans="1:3" ht="22.5" customHeight="1">
      <c r="A36" s="29"/>
      <c r="B36" s="47" t="s">
        <v>91</v>
      </c>
      <c r="C36" s="28"/>
    </row>
    <row r="37" spans="1:3" ht="32.25" customHeight="1">
      <c r="A37" s="62"/>
      <c r="B37" s="63" t="s">
        <v>92</v>
      </c>
      <c r="C37" s="57">
        <f>SUM(C28:C36)</f>
        <v>15480</v>
      </c>
    </row>
    <row r="38" spans="1:3" ht="15.75">
      <c r="A38" s="40"/>
      <c r="B38" s="41"/>
      <c r="C38" s="42"/>
    </row>
    <row r="39" spans="1:3" ht="15.75">
      <c r="A39" s="40"/>
      <c r="B39" s="41"/>
      <c r="C39" s="42"/>
    </row>
    <row r="40" spans="1:3" ht="15.75">
      <c r="A40" s="40"/>
      <c r="B40" s="41"/>
      <c r="C40" s="42"/>
    </row>
    <row r="41" spans="1:3" ht="15.75">
      <c r="A41" s="432">
        <v>2</v>
      </c>
      <c r="B41" s="432"/>
      <c r="C41" s="432"/>
    </row>
    <row r="42" spans="1:3" ht="16.5" thickBot="1">
      <c r="A42" s="40"/>
      <c r="B42" s="41"/>
      <c r="C42" s="42"/>
    </row>
    <row r="43" spans="1:3" ht="15.75">
      <c r="A43" s="31" t="s">
        <v>42</v>
      </c>
      <c r="B43" s="32"/>
      <c r="C43" s="33" t="s">
        <v>310</v>
      </c>
    </row>
    <row r="44" spans="1:3" ht="15.75">
      <c r="A44" s="34"/>
      <c r="B44" s="35" t="s">
        <v>39</v>
      </c>
      <c r="C44" s="36"/>
    </row>
    <row r="45" spans="1:3" ht="16.5" thickBot="1">
      <c r="A45" s="37" t="s">
        <v>44</v>
      </c>
      <c r="B45" s="38"/>
      <c r="C45" s="39" t="s">
        <v>73</v>
      </c>
    </row>
    <row r="46" spans="1:3" ht="15.75">
      <c r="A46" s="433" t="s">
        <v>93</v>
      </c>
      <c r="B46" s="433"/>
      <c r="C46" s="433"/>
    </row>
    <row r="47" spans="1:3" ht="22.5" customHeight="1">
      <c r="A47" s="29" t="s">
        <v>55</v>
      </c>
      <c r="B47" s="48" t="s">
        <v>94</v>
      </c>
      <c r="C47" s="28">
        <f>Bevételek!I64</f>
        <v>6424</v>
      </c>
    </row>
    <row r="48" spans="1:3" ht="22.5" customHeight="1">
      <c r="A48" s="29" t="s">
        <v>57</v>
      </c>
      <c r="B48" s="48" t="s">
        <v>95</v>
      </c>
      <c r="C48" s="28"/>
    </row>
    <row r="49" spans="1:3" ht="22.5" customHeight="1">
      <c r="A49" s="29" t="s">
        <v>58</v>
      </c>
      <c r="B49" s="43" t="s">
        <v>96</v>
      </c>
      <c r="C49" s="28"/>
    </row>
    <row r="50" spans="1:3" ht="31.5" customHeight="1">
      <c r="A50" s="29"/>
      <c r="B50" s="9" t="s">
        <v>97</v>
      </c>
      <c r="C50" s="28"/>
    </row>
    <row r="51" spans="1:3" ht="22.5" customHeight="1">
      <c r="A51" s="29"/>
      <c r="B51" s="8" t="s">
        <v>98</v>
      </c>
      <c r="C51" s="28"/>
    </row>
    <row r="52" spans="1:3" ht="24.75" customHeight="1">
      <c r="A52" s="62"/>
      <c r="B52" s="63" t="s">
        <v>99</v>
      </c>
      <c r="C52" s="57">
        <f>SUM(C47:C51)</f>
        <v>6424</v>
      </c>
    </row>
    <row r="53" spans="1:3" ht="22.5" customHeight="1">
      <c r="A53" s="29" t="s">
        <v>60</v>
      </c>
      <c r="B53" s="48" t="s">
        <v>100</v>
      </c>
      <c r="C53" s="28">
        <f>'Korm.funkciók'!J33</f>
        <v>2204</v>
      </c>
    </row>
    <row r="54" spans="1:3" ht="22.5" customHeight="1">
      <c r="A54" s="29" t="s">
        <v>62</v>
      </c>
      <c r="B54" s="48" t="s">
        <v>101</v>
      </c>
      <c r="C54" s="28">
        <f>'Korm.funkciók'!K33</f>
        <v>2785</v>
      </c>
    </row>
    <row r="55" spans="1:3" ht="22.5" customHeight="1">
      <c r="A55" s="29" t="s">
        <v>63</v>
      </c>
      <c r="B55" s="43" t="s">
        <v>68</v>
      </c>
      <c r="C55" s="28"/>
    </row>
    <row r="56" spans="1:3" ht="33.75" customHeight="1">
      <c r="A56" s="29"/>
      <c r="B56" s="9" t="s">
        <v>102</v>
      </c>
      <c r="C56" s="28">
        <f>'Korm.funkciók'!L33</f>
        <v>11000</v>
      </c>
    </row>
    <row r="57" spans="1:3" ht="22.5" customHeight="1">
      <c r="A57" s="29"/>
      <c r="B57" s="47" t="s">
        <v>103</v>
      </c>
      <c r="C57" s="28"/>
    </row>
    <row r="58" spans="1:3" ht="24" customHeight="1" thickBot="1">
      <c r="A58" s="44"/>
      <c r="B58" s="63" t="s">
        <v>104</v>
      </c>
      <c r="C58" s="57">
        <f>SUM(C53:C57)</f>
        <v>15989</v>
      </c>
    </row>
    <row r="59" spans="1:3" ht="28.5" customHeight="1" thickBot="1">
      <c r="A59" s="49"/>
      <c r="B59" s="50" t="s">
        <v>105</v>
      </c>
      <c r="C59" s="51">
        <f>C27+C52</f>
        <v>25734</v>
      </c>
    </row>
    <row r="60" spans="1:3" ht="27" customHeight="1" thickBot="1">
      <c r="A60" s="49"/>
      <c r="B60" s="50" t="s">
        <v>106</v>
      </c>
      <c r="C60" s="51">
        <f>C37+C58</f>
        <v>31469</v>
      </c>
    </row>
    <row r="61" spans="1:3" ht="15.75">
      <c r="A61" s="52"/>
      <c r="B61" s="53"/>
      <c r="C61" s="54"/>
    </row>
    <row r="62" spans="1:3" ht="15.75">
      <c r="A62" s="27"/>
      <c r="B62" s="27"/>
      <c r="C62" s="28"/>
    </row>
    <row r="63" spans="1:3" ht="15.75">
      <c r="A63" s="434" t="s">
        <v>107</v>
      </c>
      <c r="B63" s="434"/>
      <c r="C63" s="434"/>
    </row>
    <row r="64" spans="1:3" ht="15.75">
      <c r="A64" s="55"/>
      <c r="B64" s="55"/>
      <c r="C64" s="55"/>
    </row>
    <row r="65" spans="1:3" ht="22.5" customHeight="1">
      <c r="A65" s="44" t="s">
        <v>65</v>
      </c>
      <c r="B65" s="56" t="s">
        <v>108</v>
      </c>
      <c r="C65" s="46">
        <f>2181+3112+435+7</f>
        <v>5735</v>
      </c>
    </row>
    <row r="66" spans="1:3" ht="22.5" customHeight="1">
      <c r="A66" s="44"/>
      <c r="B66" s="63" t="s">
        <v>109</v>
      </c>
      <c r="C66" s="57">
        <f>SUM(C65:C65)</f>
        <v>5735</v>
      </c>
    </row>
    <row r="67" spans="1:3" ht="22.5" customHeight="1">
      <c r="A67" s="40" t="s">
        <v>67</v>
      </c>
      <c r="B67" s="56" t="s">
        <v>110</v>
      </c>
      <c r="C67" s="46">
        <v>0</v>
      </c>
    </row>
    <row r="68" spans="1:3" ht="22.5" customHeight="1">
      <c r="A68" s="29" t="s">
        <v>69</v>
      </c>
      <c r="B68" s="56" t="s">
        <v>111</v>
      </c>
      <c r="C68" s="46">
        <v>0</v>
      </c>
    </row>
    <row r="69" spans="1:3" ht="22.5" customHeight="1" thickBot="1">
      <c r="A69" s="44"/>
      <c r="B69" s="45" t="s">
        <v>112</v>
      </c>
      <c r="C69" s="46">
        <f>SUM(C67:C68)</f>
        <v>0</v>
      </c>
    </row>
    <row r="70" spans="1:3" ht="24.75" customHeight="1" thickBot="1">
      <c r="A70" s="58"/>
      <c r="B70" s="59" t="s">
        <v>113</v>
      </c>
      <c r="C70" s="60">
        <f>C59+C66</f>
        <v>31469</v>
      </c>
    </row>
    <row r="71" spans="1:3" ht="27" customHeight="1" thickBot="1">
      <c r="A71" s="58"/>
      <c r="B71" s="59" t="s">
        <v>114</v>
      </c>
      <c r="C71" s="60">
        <f>C60+C69</f>
        <v>31469</v>
      </c>
    </row>
    <row r="72" spans="1:3" ht="15.75">
      <c r="A72" s="27"/>
      <c r="B72" s="27"/>
      <c r="C72" s="28"/>
    </row>
    <row r="73" spans="1:3" ht="15.75">
      <c r="A73" s="8"/>
      <c r="B73" s="8"/>
      <c r="C73" s="8"/>
    </row>
    <row r="74" spans="1:3" ht="15.75">
      <c r="A74" s="8"/>
      <c r="B74" s="8"/>
      <c r="C74" s="8"/>
    </row>
    <row r="75" spans="1:3" ht="15.75">
      <c r="A75" s="8"/>
      <c r="B75" s="8"/>
      <c r="C75" s="8"/>
    </row>
    <row r="76" spans="1:3" ht="15.75">
      <c r="A76" s="8"/>
      <c r="B76" s="8"/>
      <c r="C76" s="8"/>
    </row>
    <row r="77" spans="1:3" ht="15.75">
      <c r="A77" s="8"/>
      <c r="B77" s="8"/>
      <c r="C77" s="8"/>
    </row>
    <row r="78" spans="1:3" ht="15.75">
      <c r="A78" s="8"/>
      <c r="B78" s="8"/>
      <c r="C78" s="8"/>
    </row>
    <row r="79" spans="1:3" ht="15.75">
      <c r="A79" s="8"/>
      <c r="B79" s="8"/>
      <c r="C79" s="8"/>
    </row>
    <row r="80" spans="1:3" ht="15.75">
      <c r="A80" s="8"/>
      <c r="B80" s="8"/>
      <c r="C80" s="8"/>
    </row>
    <row r="81" spans="1:3" ht="15.75">
      <c r="A81" s="8"/>
      <c r="B81" s="8"/>
      <c r="C81" s="8"/>
    </row>
    <row r="82" spans="1:3" ht="15.75">
      <c r="A82" s="8"/>
      <c r="B82" s="8"/>
      <c r="C82" s="8"/>
    </row>
    <row r="83" spans="1:3" ht="15.75">
      <c r="A83" s="8"/>
      <c r="B83" s="8"/>
      <c r="C83" s="8"/>
    </row>
    <row r="84" spans="1:3" ht="15.75">
      <c r="A84" s="8"/>
      <c r="B84" s="8"/>
      <c r="C84" s="8"/>
    </row>
    <row r="85" spans="1:3" ht="15.75">
      <c r="A85" s="8"/>
      <c r="B85" s="8"/>
      <c r="C85" s="8"/>
    </row>
    <row r="86" spans="1:3" ht="15.75">
      <c r="A86" s="8"/>
      <c r="B86" s="8"/>
      <c r="C86" s="8"/>
    </row>
    <row r="87" spans="1:3" ht="15.75">
      <c r="A87" s="8"/>
      <c r="B87" s="8"/>
      <c r="C87" s="8"/>
    </row>
    <row r="88" spans="1:3" ht="15.75">
      <c r="A88" s="8"/>
      <c r="B88" s="8"/>
      <c r="C88" s="8"/>
    </row>
  </sheetData>
  <sheetProtection password="DB7F" sheet="1" objects="1" scenarios="1" selectLockedCells="1" selectUnlockedCells="1"/>
  <mergeCells count="12">
    <mergeCell ref="A3:C3"/>
    <mergeCell ref="A5:C5"/>
    <mergeCell ref="A6:C6"/>
    <mergeCell ref="A7:C7"/>
    <mergeCell ref="A10:C10"/>
    <mergeCell ref="A11:C11"/>
    <mergeCell ref="A12:C12"/>
    <mergeCell ref="A13:C13"/>
    <mergeCell ref="A18:C18"/>
    <mergeCell ref="A41:C41"/>
    <mergeCell ref="A46:C46"/>
    <mergeCell ref="A63:C63"/>
  </mergeCells>
  <printOptions/>
  <pageMargins left="0.32" right="0.34" top="0.46" bottom="1" header="0.3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Kissp</cp:lastModifiedBy>
  <cp:lastPrinted>2014-12-09T08:58:06Z</cp:lastPrinted>
  <dcterms:created xsi:type="dcterms:W3CDTF">2002-11-26T17:22:50Z</dcterms:created>
  <dcterms:modified xsi:type="dcterms:W3CDTF">2014-12-11T08:21:24Z</dcterms:modified>
  <cp:category/>
  <cp:version/>
  <cp:contentType/>
  <cp:contentStatus/>
</cp:coreProperties>
</file>