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/>
  <c r="D116" i="1"/>
  <c r="C116" i="1" s="1"/>
  <c r="F115" i="1"/>
  <c r="D115" i="1"/>
  <c r="C115" i="1" s="1"/>
  <c r="F114" i="1"/>
  <c r="E114" i="1"/>
  <c r="D114" i="1"/>
  <c r="C114" i="1" s="1"/>
  <c r="D113" i="1"/>
  <c r="C113" i="1" s="1"/>
  <c r="D112" i="1"/>
  <c r="C112" i="1" s="1"/>
  <c r="F111" i="1"/>
  <c r="D110" i="1"/>
  <c r="C110" i="1"/>
  <c r="C109" i="1"/>
  <c r="C108" i="1"/>
  <c r="C107" i="1"/>
  <c r="C106" i="1"/>
  <c r="D105" i="1"/>
  <c r="C105" i="1"/>
  <c r="C104" i="1"/>
  <c r="C103" i="1"/>
  <c r="C102" i="1"/>
  <c r="C101" i="1"/>
  <c r="C100" i="1"/>
  <c r="D99" i="1"/>
  <c r="C99" i="1" s="1"/>
  <c r="E98" i="1"/>
  <c r="D97" i="1"/>
  <c r="C97" i="1"/>
  <c r="F96" i="1"/>
  <c r="E96" i="1"/>
  <c r="D96" i="1"/>
  <c r="C96" i="1" s="1"/>
  <c r="F95" i="1"/>
  <c r="D95" i="1"/>
  <c r="C95" i="1"/>
  <c r="F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D41" i="1"/>
  <c r="C41" i="1" s="1"/>
  <c r="D40" i="1"/>
  <c r="C40" i="1" s="1"/>
  <c r="F39" i="1"/>
  <c r="C39" i="1" s="1"/>
  <c r="D38" i="1"/>
  <c r="C38" i="1" s="1"/>
  <c r="D37" i="1"/>
  <c r="C37" i="1" s="1"/>
  <c r="D36" i="1"/>
  <c r="C36" i="1" s="1"/>
  <c r="D35" i="1"/>
  <c r="C35" i="1" s="1"/>
  <c r="F34" i="1"/>
  <c r="E34" i="1"/>
  <c r="D34" i="1"/>
  <c r="C34" i="1" s="1"/>
  <c r="D33" i="1"/>
  <c r="C33" i="1" s="1"/>
  <c r="D32" i="1"/>
  <c r="C32" i="1" s="1"/>
  <c r="D31" i="1"/>
  <c r="C31" i="1" s="1"/>
  <c r="C30" i="1"/>
  <c r="D29" i="1"/>
  <c r="C29" i="1"/>
  <c r="D28" i="1"/>
  <c r="C28" i="1"/>
  <c r="D27" i="1"/>
  <c r="C27" i="1"/>
  <c r="F26" i="1"/>
  <c r="E26" i="1"/>
  <c r="D25" i="1"/>
  <c r="C25" i="1"/>
  <c r="D24" i="1"/>
  <c r="C24" i="1"/>
  <c r="C23" i="1"/>
  <c r="C22" i="1"/>
  <c r="C21" i="1"/>
  <c r="C20" i="1"/>
  <c r="F19" i="1"/>
  <c r="E19" i="1"/>
  <c r="D19" i="1"/>
  <c r="C19" i="1"/>
  <c r="C18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D6" i="1"/>
  <c r="C6" i="1"/>
  <c r="F5" i="1"/>
  <c r="F62" i="1" s="1"/>
  <c r="F87" i="1" s="1"/>
  <c r="E5" i="1"/>
  <c r="E62" i="1" s="1"/>
  <c r="E87" i="1" s="1"/>
  <c r="D5" i="1"/>
  <c r="C5" i="1" l="1"/>
  <c r="D26" i="1"/>
  <c r="C26" i="1" s="1"/>
  <c r="D46" i="1"/>
  <c r="C46" i="1" s="1"/>
  <c r="D52" i="1"/>
  <c r="C52" i="1" s="1"/>
  <c r="D98" i="1"/>
  <c r="D111" i="1"/>
  <c r="C111" i="1" s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<sst xmlns="http://schemas.openxmlformats.org/spreadsheetml/2006/main" count="316" uniqueCount="273">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</sst>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4"/>
  </sheetPr>
  <dimension ref="A1:I160"/>
  <sheetViews>
    <sheetView tabSelected="1" view="pageLayout" zoomScaleNormal="115" zoomScaleSheetLayoutView="100" workbookViewId="0">
      <selection activeCell="G3" sqref="G3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1074943262</v>
      </c>
      <c r="D5" s="16">
        <f>+D6+D7+D8+D9+D10+D11</f>
        <v>1074943262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228418282</v>
      </c>
      <c r="D6" s="21">
        <f>227512539+905743</f>
        <v>228418282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219569080</v>
      </c>
      <c r="D7" s="26">
        <f>218107294+10461768-4721982-4278000</f>
        <v>219569080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8">
        <f t="shared" si="0"/>
        <v>400844435</v>
      </c>
      <c r="D8" s="26">
        <f>121200000+67844165+177597260+4526280+11511000+24250000-35761000-1673270+31350000</f>
        <v>400844435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31342308</v>
      </c>
      <c r="D9" s="26">
        <f>4412740+15262320+10629000-4412740+4412740+1038248</f>
        <v>31342308</v>
      </c>
      <c r="E9" s="27"/>
      <c r="F9" s="27"/>
    </row>
    <row r="10" spans="1:6" s="17" customFormat="1" ht="12" customHeight="1" x14ac:dyDescent="0.2">
      <c r="A10" s="23" t="s">
        <v>22</v>
      </c>
      <c r="B10" s="29" t="s">
        <v>23</v>
      </c>
      <c r="C10" s="28">
        <f t="shared" si="0"/>
        <v>194769157</v>
      </c>
      <c r="D10" s="26">
        <f>1060845+3551000+168707597+128000+58000+13957152+413944+49094027+4501192-4412740-15000000+306000-21350000-6245860</f>
        <v>194769157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176167657</v>
      </c>
      <c r="D12" s="16">
        <f>+D13+D14+D15+D16+D17</f>
        <v>176167657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176167657</v>
      </c>
      <c r="D17" s="26">
        <f>210000+65342000+25310845+9303887+291175856+362000+94906504+6840000+1770000+4682000-323735435</f>
        <v>176167657</v>
      </c>
      <c r="E17" s="40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41">
        <f t="shared" si="0"/>
        <v>0</v>
      </c>
      <c r="D18" s="42"/>
      <c r="E18" s="43"/>
      <c r="F18" s="43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327444368</v>
      </c>
      <c r="D19" s="16">
        <f>+D20+D21+D22+D23+D24</f>
        <v>327444368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6">
        <f t="shared" si="0"/>
        <v>15690532</v>
      </c>
      <c r="D20" s="21">
        <v>15690532</v>
      </c>
      <c r="E20" s="44"/>
      <c r="F20" s="44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311753836</v>
      </c>
      <c r="D24" s="26">
        <f>3797300+15179276+2160000+75588869+15956160+214128350+123157-15179276</f>
        <v>311753836</v>
      </c>
      <c r="E24" s="27"/>
      <c r="F24" s="27"/>
    </row>
    <row r="25" spans="1:6" s="17" customFormat="1" ht="12" customHeight="1" thickBot="1" x14ac:dyDescent="0.25">
      <c r="A25" s="30" t="s">
        <v>52</v>
      </c>
      <c r="B25" s="45" t="s">
        <v>53</v>
      </c>
      <c r="C25" s="32">
        <f t="shared" si="0"/>
        <v>309470679</v>
      </c>
      <c r="D25" s="46">
        <f>3797300+75588869+15956160+214128350</f>
        <v>309470679</v>
      </c>
      <c r="E25" s="43"/>
      <c r="F25" s="47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356490000</v>
      </c>
      <c r="D26" s="48">
        <f>+D27+D31+D32+D33</f>
        <v>356490000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317830000</v>
      </c>
      <c r="D27" s="50">
        <f>SUM(D28:D30)</f>
        <v>317830000</v>
      </c>
      <c r="E27" s="36"/>
      <c r="F27" s="36"/>
    </row>
    <row r="28" spans="1:6" s="17" customFormat="1" ht="12" customHeight="1" x14ac:dyDescent="0.2">
      <c r="A28" s="23" t="s">
        <v>58</v>
      </c>
      <c r="B28" s="24" t="s">
        <v>59</v>
      </c>
      <c r="C28" s="39">
        <f t="shared" si="0"/>
        <v>78990000</v>
      </c>
      <c r="D28" s="33">
        <f>8990000+70000000</f>
        <v>78990000</v>
      </c>
      <c r="E28" s="34"/>
      <c r="F28" s="34"/>
    </row>
    <row r="29" spans="1:6" s="17" customFormat="1" ht="12" customHeight="1" x14ac:dyDescent="0.2">
      <c r="A29" s="23" t="s">
        <v>60</v>
      </c>
      <c r="B29" s="24" t="s">
        <v>61</v>
      </c>
      <c r="C29" s="39">
        <f t="shared" si="0"/>
        <v>238840000</v>
      </c>
      <c r="D29" s="33">
        <f>203840000+35000000</f>
        <v>238840000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39">
        <f t="shared" si="0"/>
        <v>27000000</v>
      </c>
      <c r="D31" s="33">
        <f>27000000</f>
        <v>27000000</v>
      </c>
      <c r="E31" s="34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39">
        <f t="shared" si="0"/>
        <v>60000</v>
      </c>
      <c r="D32" s="33">
        <f>4060000-4000000</f>
        <v>60000</v>
      </c>
      <c r="E32" s="34"/>
      <c r="F32" s="27"/>
    </row>
    <row r="33" spans="1:6" s="17" customFormat="1" ht="12" customHeight="1" thickBot="1" x14ac:dyDescent="0.25">
      <c r="A33" s="30" t="s">
        <v>68</v>
      </c>
      <c r="B33" s="45" t="s">
        <v>69</v>
      </c>
      <c r="C33" s="32">
        <f t="shared" si="0"/>
        <v>11600000</v>
      </c>
      <c r="D33" s="46">
        <f>5500000+4000000+2100000</f>
        <v>11600000</v>
      </c>
      <c r="E33" s="43"/>
      <c r="F33" s="43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231492885</v>
      </c>
      <c r="D34" s="16">
        <f>SUM(D35:D45)</f>
        <v>54199543</v>
      </c>
      <c r="E34" s="15">
        <f>SUM(E35:E45)</f>
        <v>2748500</v>
      </c>
      <c r="F34" s="15">
        <f>SUM(F35:F45)</f>
        <v>174544842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6301172</v>
      </c>
      <c r="D35" s="21">
        <f>4000000+5000000+222694-130000-2941522</f>
        <v>6151172</v>
      </c>
      <c r="E35" s="22"/>
      <c r="F35" s="22">
        <v>150000</v>
      </c>
    </row>
    <row r="36" spans="1:6" s="17" customFormat="1" ht="12" customHeight="1" x14ac:dyDescent="0.2">
      <c r="A36" s="23" t="s">
        <v>74</v>
      </c>
      <c r="B36" s="24" t="s">
        <v>75</v>
      </c>
      <c r="C36" s="28">
        <f t="shared" si="0"/>
        <v>51660975</v>
      </c>
      <c r="D36" s="26">
        <f>100000+12004000+33071+555000-470800+7128864+1800934</f>
        <v>21151069</v>
      </c>
      <c r="E36" s="27">
        <v>2164000</v>
      </c>
      <c r="F36" s="22">
        <v>28345906</v>
      </c>
    </row>
    <row r="37" spans="1:6" s="17" customFormat="1" ht="12" customHeight="1" x14ac:dyDescent="0.2">
      <c r="A37" s="23" t="s">
        <v>76</v>
      </c>
      <c r="B37" s="24" t="s">
        <v>77</v>
      </c>
      <c r="C37" s="28">
        <f t="shared" si="0"/>
        <v>82521218</v>
      </c>
      <c r="D37" s="26">
        <f>8458000+947000+918292+143307-195228+206000+158027+700000+157480-4705000+240000+300000</f>
        <v>7327878</v>
      </c>
      <c r="E37" s="27"/>
      <c r="F37" s="22">
        <v>75193340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f>430000</f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8">
        <f t="shared" si="0"/>
        <v>22018748</v>
      </c>
      <c r="D39" s="26"/>
      <c r="E39" s="27"/>
      <c r="F39" s="22">
        <f>23819682-1800934</f>
        <v>22018748</v>
      </c>
    </row>
    <row r="40" spans="1:6" s="17" customFormat="1" ht="12" customHeight="1" x14ac:dyDescent="0.2">
      <c r="A40" s="23" t="s">
        <v>82</v>
      </c>
      <c r="B40" s="24" t="s">
        <v>83</v>
      </c>
      <c r="C40" s="28">
        <f t="shared" si="0"/>
        <v>44142077</v>
      </c>
      <c r="D40" s="26">
        <f>3242000+5853000+378000+600000+1350000+270000+682000+47622+195228+206000+40410+27000-91096+189000-516228+1924793+81000</f>
        <v>14478729</v>
      </c>
      <c r="E40" s="27">
        <v>584500</v>
      </c>
      <c r="F40" s="22">
        <v>29078848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21672793</v>
      </c>
      <c r="D41" s="26">
        <f>1924793</f>
        <v>1924793</v>
      </c>
      <c r="E41" s="27"/>
      <c r="F41" s="22">
        <f>21034000-1286000</f>
        <v>19748000</v>
      </c>
    </row>
    <row r="42" spans="1:6" s="17" customFormat="1" ht="12" customHeight="1" x14ac:dyDescent="0.2">
      <c r="A42" s="23" t="s">
        <v>86</v>
      </c>
      <c r="B42" s="24" t="s">
        <v>87</v>
      </c>
      <c r="C42" s="39">
        <f t="shared" si="0"/>
        <v>10000</v>
      </c>
      <c r="D42" s="26"/>
      <c r="E42" s="27"/>
      <c r="F42" s="22">
        <v>10000</v>
      </c>
    </row>
    <row r="43" spans="1:6" s="17" customFormat="1" ht="12" customHeight="1" x14ac:dyDescent="0.2">
      <c r="A43" s="23" t="s">
        <v>88</v>
      </c>
      <c r="B43" s="24" t="s">
        <v>89</v>
      </c>
      <c r="C43" s="39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5" t="s">
        <v>91</v>
      </c>
      <c r="C44" s="39">
        <f t="shared" si="0"/>
        <v>500000</v>
      </c>
      <c r="D44" s="46">
        <f>500000</f>
        <v>500000</v>
      </c>
      <c r="E44" s="43"/>
      <c r="F44" s="43"/>
    </row>
    <row r="45" spans="1:6" s="17" customFormat="1" ht="12" customHeight="1" thickBot="1" x14ac:dyDescent="0.25">
      <c r="A45" s="30" t="s">
        <v>92</v>
      </c>
      <c r="B45" s="31" t="s">
        <v>93</v>
      </c>
      <c r="C45" s="51">
        <f t="shared" si="0"/>
        <v>2235902</v>
      </c>
      <c r="D45" s="46">
        <f>704000+200318+1020434+311150</f>
        <v>2235902</v>
      </c>
      <c r="E45" s="43"/>
      <c r="F45" s="52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47179000</v>
      </c>
      <c r="D46" s="16">
        <f>SUM(D47:D51)</f>
        <v>47179000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 t="shared" si="0"/>
        <v>47179000</v>
      </c>
      <c r="D48" s="26">
        <f>25179000+22000000</f>
        <v>47179000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32">
        <f t="shared" si="0"/>
        <v>0</v>
      </c>
      <c r="D51" s="46"/>
      <c r="E51" s="43"/>
      <c r="F51" s="43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22678433</v>
      </c>
      <c r="D52" s="16">
        <f>SUM(D53:D55)</f>
        <v>22678433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8">
        <f t="shared" si="0"/>
        <v>18383000</v>
      </c>
      <c r="D54" s="26">
        <f>383000+18000000</f>
        <v>18383000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4295433</v>
      </c>
      <c r="D55" s="26">
        <f>4075000+80000+140433</f>
        <v>4295433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0"/>
        <v>0</v>
      </c>
      <c r="D56" s="42"/>
      <c r="E56" s="47"/>
      <c r="F56" s="47"/>
    </row>
    <row r="57" spans="1:6" s="17" customFormat="1" ht="12" customHeight="1" thickBot="1" x14ac:dyDescent="0.25">
      <c r="A57" s="13" t="s">
        <v>116</v>
      </c>
      <c r="B57" s="35" t="s">
        <v>117</v>
      </c>
      <c r="C57" s="53">
        <f t="shared" si="0"/>
        <v>200000</v>
      </c>
      <c r="D57" s="16">
        <f>SUM(D58:D60)</f>
        <v>200000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9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8">
        <f t="shared" si="0"/>
        <v>200000</v>
      </c>
      <c r="D60" s="26">
        <v>200000</v>
      </c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32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4" t="s">
        <v>126</v>
      </c>
      <c r="B62" s="14" t="s">
        <v>127</v>
      </c>
      <c r="C62" s="15">
        <f t="shared" si="0"/>
        <v>2236595605</v>
      </c>
      <c r="D62" s="48">
        <f>+D5+D12+D19+D26+D34+D46+D52+D57</f>
        <v>2059302263</v>
      </c>
      <c r="E62" s="49">
        <f>+E5+E12+E19+E26+E34+E46+E52+E57</f>
        <v>2748500</v>
      </c>
      <c r="F62" s="49">
        <f>+F5+F12+F19+F26+F34+F46+F52+F57</f>
        <v>174544842</v>
      </c>
    </row>
    <row r="63" spans="1:6" s="17" customFormat="1" ht="12" customHeight="1" thickBot="1" x14ac:dyDescent="0.25">
      <c r="A63" s="55" t="s">
        <v>128</v>
      </c>
      <c r="B63" s="35" t="s">
        <v>129</v>
      </c>
      <c r="C63" s="53">
        <f t="shared" si="0"/>
        <v>5500000</v>
      </c>
      <c r="D63" s="16">
        <f>SUM(D64:D66)</f>
        <v>5500000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0"/>
        <v>5500000</v>
      </c>
      <c r="D64" s="26">
        <v>5500000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0"/>
        <v>0</v>
      </c>
      <c r="D65" s="26"/>
      <c r="E65" s="27"/>
      <c r="F65" s="27"/>
    </row>
    <row r="66" spans="1:6" s="17" customFormat="1" ht="12" customHeight="1" thickBot="1" x14ac:dyDescent="0.25">
      <c r="A66" s="30" t="s">
        <v>134</v>
      </c>
      <c r="B66" s="56" t="s">
        <v>135</v>
      </c>
      <c r="C66" s="32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5" t="s">
        <v>136</v>
      </c>
      <c r="B67" s="35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32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5" t="s">
        <v>146</v>
      </c>
      <c r="B72" s="35" t="s">
        <v>147</v>
      </c>
      <c r="C72" s="15">
        <f t="shared" si="1"/>
        <v>292133965</v>
      </c>
      <c r="D72" s="16">
        <f>SUM(D73:D74)</f>
        <v>289331423</v>
      </c>
      <c r="E72" s="15">
        <f>SUM(E73:E74)</f>
        <v>0</v>
      </c>
      <c r="F72" s="15">
        <f>SUM(F73:F74)</f>
        <v>2802542</v>
      </c>
    </row>
    <row r="73" spans="1:6" s="17" customFormat="1" ht="12" customHeight="1" x14ac:dyDescent="0.2">
      <c r="A73" s="18" t="s">
        <v>148</v>
      </c>
      <c r="B73" s="19" t="s">
        <v>149</v>
      </c>
      <c r="C73" s="36">
        <f t="shared" si="1"/>
        <v>292133965</v>
      </c>
      <c r="D73" s="26">
        <v>289331423</v>
      </c>
      <c r="E73" s="27"/>
      <c r="F73" s="27">
        <v>2802542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32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5" t="s">
        <v>152</v>
      </c>
      <c r="B75" s="35" t="s">
        <v>153</v>
      </c>
      <c r="C75" s="53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32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5" t="s">
        <v>160</v>
      </c>
      <c r="B79" s="35" t="s">
        <v>161</v>
      </c>
      <c r="C79" s="53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7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 x14ac:dyDescent="0.2">
      <c r="A81" s="58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 x14ac:dyDescent="0.2">
      <c r="A82" s="58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59" t="s">
        <v>168</v>
      </c>
      <c r="B83" s="31" t="s">
        <v>169</v>
      </c>
      <c r="C83" s="32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5" t="s">
        <v>170</v>
      </c>
      <c r="B84" s="35" t="s">
        <v>171</v>
      </c>
      <c r="C84" s="60">
        <f t="shared" si="1"/>
        <v>0</v>
      </c>
      <c r="D84" s="61"/>
      <c r="E84" s="62"/>
      <c r="F84" s="62"/>
    </row>
    <row r="85" spans="1:6" s="17" customFormat="1" ht="13.5" customHeight="1" thickBot="1" x14ac:dyDescent="0.25">
      <c r="A85" s="55" t="s">
        <v>172</v>
      </c>
      <c r="B85" s="35" t="s">
        <v>173</v>
      </c>
      <c r="C85" s="53">
        <f t="shared" si="1"/>
        <v>0</v>
      </c>
      <c r="D85" s="61"/>
      <c r="E85" s="62"/>
      <c r="F85" s="62"/>
    </row>
    <row r="86" spans="1:6" s="17" customFormat="1" ht="15.75" customHeight="1" thickBot="1" x14ac:dyDescent="0.25">
      <c r="A86" s="55" t="s">
        <v>174</v>
      </c>
      <c r="B86" s="63" t="s">
        <v>175</v>
      </c>
      <c r="C86" s="15">
        <f t="shared" si="1"/>
        <v>297633965</v>
      </c>
      <c r="D86" s="48">
        <f>+D63+D67+D72+D75+D79+D85+D84</f>
        <v>294831423</v>
      </c>
      <c r="E86" s="49">
        <f>+E63+E67+E72+E75+E79+E85+E84</f>
        <v>0</v>
      </c>
      <c r="F86" s="49">
        <f>+F63+F67+F72+F75+F79+F85+F84</f>
        <v>2802542</v>
      </c>
    </row>
    <row r="87" spans="1:6" s="17" customFormat="1" ht="16.5" customHeight="1" thickBot="1" x14ac:dyDescent="0.25">
      <c r="A87" s="64" t="s">
        <v>176</v>
      </c>
      <c r="B87" s="65" t="s">
        <v>177</v>
      </c>
      <c r="C87" s="66">
        <f t="shared" si="1"/>
        <v>2534229570</v>
      </c>
      <c r="D87" s="48">
        <f>+D62+D86</f>
        <v>2354133686</v>
      </c>
      <c r="E87" s="49">
        <f>+E62+E86</f>
        <v>2748500</v>
      </c>
      <c r="F87" s="49">
        <f>+F62+F86</f>
        <v>177347384</v>
      </c>
    </row>
    <row r="88" spans="1:6" s="17" customFormat="1" ht="83.25" customHeight="1" x14ac:dyDescent="0.2">
      <c r="A88" s="67"/>
      <c r="B88" s="68"/>
      <c r="C88" s="69"/>
    </row>
    <row r="89" spans="1:6" ht="16.5" customHeight="1" x14ac:dyDescent="0.25">
      <c r="A89" s="1" t="s">
        <v>178</v>
      </c>
      <c r="B89" s="1"/>
      <c r="C89" s="1"/>
    </row>
    <row r="90" spans="1:6" s="72" customFormat="1" ht="16.5" customHeight="1" thickBot="1" x14ac:dyDescent="0.3">
      <c r="A90" s="70" t="s">
        <v>179</v>
      </c>
      <c r="B90" s="70"/>
      <c r="C90" s="71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2017. évi előirányzat</v>
      </c>
    </row>
    <row r="92" spans="1:6" s="12" customFormat="1" ht="12" customHeight="1" thickBot="1" x14ac:dyDescent="0.25">
      <c r="A92" s="73" t="s">
        <v>9</v>
      </c>
      <c r="B92" s="74" t="s">
        <v>10</v>
      </c>
      <c r="C92" s="11" t="s">
        <v>11</v>
      </c>
    </row>
    <row r="93" spans="1:6" ht="12" customHeight="1" thickBot="1" x14ac:dyDescent="0.3">
      <c r="A93" s="75" t="s">
        <v>12</v>
      </c>
      <c r="B93" s="76" t="s">
        <v>181</v>
      </c>
      <c r="C93" s="15">
        <f t="shared" ref="C93:C154" si="2">SUM(D93:F93)</f>
        <v>1687995429</v>
      </c>
      <c r="D93" s="77">
        <f>+D94+D95+D96+D97+D98+D111</f>
        <v>803820265</v>
      </c>
      <c r="E93" s="78">
        <f>+E94+E95+E96+E97+E98+E111</f>
        <v>26260350</v>
      </c>
      <c r="F93" s="79">
        <f>F94+F95+F96+F97+F98+F111</f>
        <v>857914814</v>
      </c>
    </row>
    <row r="94" spans="1:6" ht="12" customHeight="1" x14ac:dyDescent="0.25">
      <c r="A94" s="80" t="s">
        <v>14</v>
      </c>
      <c r="B94" s="81" t="s">
        <v>182</v>
      </c>
      <c r="C94" s="82">
        <f t="shared" si="2"/>
        <v>645810582</v>
      </c>
      <c r="D94" s="83">
        <f>25364000+1932000+165142000+105000+48000+8381882+232903371+281000+326126+85501355+54000-231000-1302308+140000+50000+124089+1643675-132000-1343902+1090963-199331+2037000+101222+240000-395935-18339-279139483-198000-80000+444000+80000-388424+1577323+136000</f>
        <v>244274284</v>
      </c>
      <c r="E94" s="84">
        <v>579000</v>
      </c>
      <c r="F94" s="85">
        <f>400743120+112360+2034476-1932658</f>
        <v>400957298</v>
      </c>
    </row>
    <row r="95" spans="1:6" ht="12" customHeight="1" x14ac:dyDescent="0.25">
      <c r="A95" s="23" t="s">
        <v>16</v>
      </c>
      <c r="B95" s="86" t="s">
        <v>183</v>
      </c>
      <c r="C95" s="28">
        <f t="shared" si="2"/>
        <v>126290483</v>
      </c>
      <c r="D95" s="26">
        <f>5239000+425000+14000+19299000+23000+10000+922005+25618911+31000+35874+9405149+12000-45738-286508+51864+21830+69499+315700-26136-235888+208612+21425+448140+47520-65445-31590193-39204+388424+312310+720912+165768</f>
        <v>31517831</v>
      </c>
      <c r="E95" s="27">
        <v>231000</v>
      </c>
      <c r="F95" s="87">
        <f>94550329+22247+440742-471666</f>
        <v>94541652</v>
      </c>
    </row>
    <row r="96" spans="1:6" ht="12" customHeight="1" x14ac:dyDescent="0.25">
      <c r="A96" s="23" t="s">
        <v>18</v>
      </c>
      <c r="B96" s="86" t="s">
        <v>184</v>
      </c>
      <c r="C96" s="28">
        <f t="shared" si="2"/>
        <v>667455797</v>
      </c>
      <c r="D96" s="46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+600000-191864+30000+706000+361225+6840000+918292+13500+137360+2710661+209000-133428+570939+108500+433000+46000+8760131+1174136-2866987+1246500+68374+300000+199094+214000-4705000+254000+381000+2749550+394000+326000+454000+2267725-558800+1524000+1905000-2694940+2837893+896339-31916082+1924793+5080000+1028360+1000000-100000-201000+837694+1565437+1430020+127000+521001-53340+956299+151130+7533000</f>
        <v>303839583</v>
      </c>
      <c r="E96" s="43">
        <f>1141350+59000</f>
        <v>1200350</v>
      </c>
      <c r="F96" s="87">
        <f>377214048+80000-14878184</f>
        <v>362415864</v>
      </c>
    </row>
    <row r="97" spans="1:6" ht="12" customHeight="1" x14ac:dyDescent="0.25">
      <c r="A97" s="23" t="s">
        <v>20</v>
      </c>
      <c r="B97" s="86" t="s">
        <v>185</v>
      </c>
      <c r="C97" s="28">
        <f t="shared" si="2"/>
        <v>79248740</v>
      </c>
      <c r="D97" s="46">
        <f>70980000+5000-6906260-5080000-4000000</f>
        <v>54998740</v>
      </c>
      <c r="E97" s="43">
        <v>24250000</v>
      </c>
      <c r="F97" s="87"/>
    </row>
    <row r="98" spans="1:6" ht="12" customHeight="1" x14ac:dyDescent="0.25">
      <c r="A98" s="23" t="s">
        <v>186</v>
      </c>
      <c r="B98" s="88" t="s">
        <v>187</v>
      </c>
      <c r="C98" s="25">
        <f t="shared" si="2"/>
        <v>71420007</v>
      </c>
      <c r="D98" s="46">
        <f>SUM(D99:D110)</f>
        <v>71420007</v>
      </c>
      <c r="E98" s="43">
        <f>SUM(E99:E110)</f>
        <v>0</v>
      </c>
      <c r="F98" s="43"/>
    </row>
    <row r="99" spans="1:6" ht="12" customHeight="1" x14ac:dyDescent="0.25">
      <c r="A99" s="23" t="s">
        <v>24</v>
      </c>
      <c r="B99" s="86" t="s">
        <v>188</v>
      </c>
      <c r="C99" s="25">
        <f t="shared" si="2"/>
        <v>7358007</v>
      </c>
      <c r="D99" s="46">
        <f>1500+6098534+1143510+114463</f>
        <v>7358007</v>
      </c>
      <c r="E99" s="43"/>
      <c r="F99" s="43"/>
    </row>
    <row r="100" spans="1:6" ht="12" customHeight="1" x14ac:dyDescent="0.25">
      <c r="A100" s="23" t="s">
        <v>189</v>
      </c>
      <c r="B100" s="89" t="s">
        <v>190</v>
      </c>
      <c r="C100" s="25">
        <f t="shared" si="2"/>
        <v>0</v>
      </c>
      <c r="D100" s="46"/>
      <c r="E100" s="43"/>
      <c r="F100" s="43"/>
    </row>
    <row r="101" spans="1:6" ht="12" customHeight="1" x14ac:dyDescent="0.25">
      <c r="A101" s="23" t="s">
        <v>191</v>
      </c>
      <c r="B101" s="89" t="s">
        <v>192</v>
      </c>
      <c r="C101" s="25">
        <f t="shared" si="2"/>
        <v>0</v>
      </c>
      <c r="D101" s="46"/>
      <c r="E101" s="43"/>
      <c r="F101" s="43"/>
    </row>
    <row r="102" spans="1:6" ht="12" customHeight="1" x14ac:dyDescent="0.25">
      <c r="A102" s="23" t="s">
        <v>193</v>
      </c>
      <c r="B102" s="90" t="s">
        <v>194</v>
      </c>
      <c r="C102" s="25">
        <f t="shared" si="2"/>
        <v>0</v>
      </c>
      <c r="D102" s="46"/>
      <c r="E102" s="43"/>
      <c r="F102" s="43"/>
    </row>
    <row r="103" spans="1:6" ht="12" customHeight="1" x14ac:dyDescent="0.25">
      <c r="A103" s="23" t="s">
        <v>195</v>
      </c>
      <c r="B103" s="91" t="s">
        <v>196</v>
      </c>
      <c r="C103" s="25">
        <f t="shared" si="2"/>
        <v>0</v>
      </c>
      <c r="D103" s="46"/>
      <c r="E103" s="43"/>
      <c r="F103" s="43"/>
    </row>
    <row r="104" spans="1:6" ht="12" customHeight="1" x14ac:dyDescent="0.25">
      <c r="A104" s="23" t="s">
        <v>197</v>
      </c>
      <c r="B104" s="91" t="s">
        <v>198</v>
      </c>
      <c r="C104" s="25">
        <f t="shared" si="2"/>
        <v>0</v>
      </c>
      <c r="D104" s="46"/>
      <c r="E104" s="43"/>
      <c r="F104" s="43"/>
    </row>
    <row r="105" spans="1:6" ht="12" customHeight="1" x14ac:dyDescent="0.25">
      <c r="A105" s="23" t="s">
        <v>199</v>
      </c>
      <c r="B105" s="90" t="s">
        <v>200</v>
      </c>
      <c r="C105" s="25">
        <f t="shared" si="2"/>
        <v>0</v>
      </c>
      <c r="D105" s="46">
        <f>60754-60754</f>
        <v>0</v>
      </c>
      <c r="E105" s="43"/>
      <c r="F105" s="43"/>
    </row>
    <row r="106" spans="1:6" ht="12" customHeight="1" x14ac:dyDescent="0.25">
      <c r="A106" s="23" t="s">
        <v>201</v>
      </c>
      <c r="B106" s="90" t="s">
        <v>202</v>
      </c>
      <c r="C106" s="25">
        <f t="shared" si="2"/>
        <v>0</v>
      </c>
      <c r="D106" s="92"/>
      <c r="E106" s="43"/>
      <c r="F106" s="43"/>
    </row>
    <row r="107" spans="1:6" ht="12" customHeight="1" x14ac:dyDescent="0.25">
      <c r="A107" s="23" t="s">
        <v>203</v>
      </c>
      <c r="B107" s="91" t="s">
        <v>204</v>
      </c>
      <c r="C107" s="25">
        <f t="shared" si="2"/>
        <v>0</v>
      </c>
      <c r="D107" s="46"/>
      <c r="E107" s="43"/>
      <c r="F107" s="43"/>
    </row>
    <row r="108" spans="1:6" ht="12" customHeight="1" x14ac:dyDescent="0.25">
      <c r="A108" s="93" t="s">
        <v>205</v>
      </c>
      <c r="B108" s="89" t="s">
        <v>206</v>
      </c>
      <c r="C108" s="25">
        <f t="shared" si="2"/>
        <v>0</v>
      </c>
      <c r="D108" s="46"/>
      <c r="E108" s="43"/>
      <c r="F108" s="43"/>
    </row>
    <row r="109" spans="1:6" ht="12" customHeight="1" x14ac:dyDescent="0.25">
      <c r="A109" s="23" t="s">
        <v>207</v>
      </c>
      <c r="B109" s="89" t="s">
        <v>208</v>
      </c>
      <c r="C109" s="25">
        <f t="shared" si="2"/>
        <v>0</v>
      </c>
      <c r="D109" s="46"/>
      <c r="E109" s="43"/>
      <c r="F109" s="43"/>
    </row>
    <row r="110" spans="1:6" ht="12" customHeight="1" x14ac:dyDescent="0.25">
      <c r="A110" s="30" t="s">
        <v>209</v>
      </c>
      <c r="B110" s="89" t="s">
        <v>210</v>
      </c>
      <c r="C110" s="25">
        <f t="shared" si="2"/>
        <v>64062000</v>
      </c>
      <c r="D110" s="26">
        <f>536000+1500000+500000+4000000+200000+189000+7562000+16678000+3500000+6600000+2000000+4000000+7351000+2875000+250000+3000000+60000+3261000</f>
        <v>64062000</v>
      </c>
      <c r="E110" s="27"/>
      <c r="F110" s="43"/>
    </row>
    <row r="111" spans="1:6" ht="12" customHeight="1" x14ac:dyDescent="0.25">
      <c r="A111" s="23" t="s">
        <v>211</v>
      </c>
      <c r="B111" s="86" t="s">
        <v>212</v>
      </c>
      <c r="C111" s="25">
        <f t="shared" si="2"/>
        <v>97769820</v>
      </c>
      <c r="D111" s="26">
        <f>SUM(D112:D113)</f>
        <v>97769820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6" t="s">
        <v>214</v>
      </c>
      <c r="C112" s="28">
        <f t="shared" si="2"/>
        <v>30975496</v>
      </c>
      <c r="D112" s="46">
        <f>20000000-9172313+8719388-4010722-1042502-1846399+5485909+1656508+8185627+3000000</f>
        <v>30975496</v>
      </c>
      <c r="E112" s="43"/>
      <c r="F112" s="27"/>
    </row>
    <row r="113" spans="1:6" ht="12" customHeight="1" thickBot="1" x14ac:dyDescent="0.3">
      <c r="A113" s="94" t="s">
        <v>215</v>
      </c>
      <c r="B113" s="95" t="s">
        <v>216</v>
      </c>
      <c r="C113" s="51">
        <f t="shared" si="2"/>
        <v>66794324</v>
      </c>
      <c r="D113" s="96">
        <f>111113300-8373330-1600000-8539600-6323156-7948000-7343244+31158286-32066515+411581-3261000-433998</f>
        <v>66794324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508553917</v>
      </c>
      <c r="D114" s="16">
        <f>+D115+D117+D119</f>
        <v>502101497</v>
      </c>
      <c r="E114" s="15">
        <f>+E115+E117+E119</f>
        <v>0</v>
      </c>
      <c r="F114" s="66">
        <f>+F115+F117+F119</f>
        <v>6452420</v>
      </c>
    </row>
    <row r="115" spans="1:6" ht="18.75" customHeight="1" x14ac:dyDescent="0.25">
      <c r="A115" s="18" t="s">
        <v>28</v>
      </c>
      <c r="B115" s="86" t="s">
        <v>218</v>
      </c>
      <c r="C115" s="82">
        <f t="shared" si="2"/>
        <v>352545199</v>
      </c>
      <c r="D115" s="21">
        <f>6621000+787402+10624171+3081125+529000+1654000+447000+2237000+6604000+204000+15179276+979170-1000000+90000+2160000+4226991+40000+71809476+15956160+214128350+180000+1238248+151042-2768918+2707800+12700+370002+35000+349250-127000-254000+5001260+2694940+11000-979170-14894286+95000-1889633+421433+133000+100000+2959448+359410+253340+561000+360045-6245860</f>
        <v>347193172</v>
      </c>
      <c r="E115" s="22"/>
      <c r="F115" s="22">
        <f>5617027-265000</f>
        <v>5352027</v>
      </c>
    </row>
    <row r="116" spans="1:6" ht="12" customHeight="1" x14ac:dyDescent="0.25">
      <c r="A116" s="18" t="s">
        <v>30</v>
      </c>
      <c r="B116" s="100" t="s">
        <v>219</v>
      </c>
      <c r="C116" s="28">
        <f t="shared" si="2"/>
        <v>318346132</v>
      </c>
      <c r="D116" s="21">
        <f>14492698-1000000+71809476+15956160+214128350+2959448</f>
        <v>318346132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5">
        <f t="shared" si="2"/>
        <v>108104218</v>
      </c>
      <c r="D117" s="26">
        <f>53340000+1513000+2996000+809000+7509510+1000000-60160+600000+18459450+2866987+5566352+3795044+200000+5929-203244-1286510+558800+9053657+200000+80010</f>
        <v>107003825</v>
      </c>
      <c r="E117" s="27"/>
      <c r="F117" s="27">
        <f>500000-134607+578000+157000</f>
        <v>1100393</v>
      </c>
    </row>
    <row r="118" spans="1:6" ht="12" customHeight="1" x14ac:dyDescent="0.25">
      <c r="A118" s="18" t="s">
        <v>34</v>
      </c>
      <c r="B118" s="100" t="s">
        <v>221</v>
      </c>
      <c r="C118" s="25">
        <f t="shared" si="2"/>
        <v>57931800</v>
      </c>
      <c r="D118" s="26">
        <f>53340000+1000000+3795044-203244</f>
        <v>57931800</v>
      </c>
      <c r="E118" s="101"/>
      <c r="F118" s="101"/>
    </row>
    <row r="119" spans="1:6" ht="12" customHeight="1" x14ac:dyDescent="0.25">
      <c r="A119" s="18" t="s">
        <v>36</v>
      </c>
      <c r="B119" s="31" t="s">
        <v>222</v>
      </c>
      <c r="C119" s="25">
        <f t="shared" si="2"/>
        <v>47904500</v>
      </c>
      <c r="D119" s="46">
        <f>SUM(D120:D127)</f>
        <v>47904500</v>
      </c>
      <c r="E119" s="26"/>
      <c r="F119" s="26"/>
    </row>
    <row r="120" spans="1:6" ht="12" customHeight="1" x14ac:dyDescent="0.25">
      <c r="A120" s="18" t="s">
        <v>38</v>
      </c>
      <c r="B120" s="29" t="s">
        <v>223</v>
      </c>
      <c r="C120" s="25">
        <f t="shared" si="2"/>
        <v>0</v>
      </c>
      <c r="D120" s="33"/>
      <c r="E120" s="33"/>
      <c r="F120" s="33"/>
    </row>
    <row r="121" spans="1:6" ht="12" customHeight="1" x14ac:dyDescent="0.25">
      <c r="A121" s="18" t="s">
        <v>224</v>
      </c>
      <c r="B121" s="102" t="s">
        <v>225</v>
      </c>
      <c r="C121" s="39">
        <f t="shared" si="2"/>
        <v>0</v>
      </c>
      <c r="D121" s="33"/>
      <c r="E121" s="33"/>
      <c r="F121" s="33"/>
    </row>
    <row r="122" spans="1:6" x14ac:dyDescent="0.25">
      <c r="A122" s="18" t="s">
        <v>226</v>
      </c>
      <c r="B122" s="91" t="s">
        <v>198</v>
      </c>
      <c r="C122" s="39">
        <f t="shared" si="2"/>
        <v>0</v>
      </c>
      <c r="D122" s="33"/>
      <c r="E122" s="33"/>
      <c r="F122" s="33"/>
    </row>
    <row r="123" spans="1:6" ht="12" customHeight="1" x14ac:dyDescent="0.25">
      <c r="A123" s="18" t="s">
        <v>227</v>
      </c>
      <c r="B123" s="91" t="s">
        <v>228</v>
      </c>
      <c r="C123" s="39">
        <f t="shared" si="2"/>
        <v>0</v>
      </c>
      <c r="D123" s="33"/>
      <c r="E123" s="33"/>
      <c r="F123" s="33"/>
    </row>
    <row r="124" spans="1:6" ht="12" customHeight="1" x14ac:dyDescent="0.25">
      <c r="A124" s="18" t="s">
        <v>229</v>
      </c>
      <c r="B124" s="91" t="s">
        <v>230</v>
      </c>
      <c r="C124" s="39">
        <f t="shared" si="2"/>
        <v>0</v>
      </c>
      <c r="D124" s="33"/>
      <c r="E124" s="33"/>
      <c r="F124" s="33"/>
    </row>
    <row r="125" spans="1:6" ht="12" customHeight="1" x14ac:dyDescent="0.25">
      <c r="A125" s="18" t="s">
        <v>231</v>
      </c>
      <c r="B125" s="91" t="s">
        <v>204</v>
      </c>
      <c r="C125" s="39">
        <f t="shared" si="2"/>
        <v>5000</v>
      </c>
      <c r="D125" s="33">
        <v>5000</v>
      </c>
      <c r="E125" s="33"/>
      <c r="F125" s="33"/>
    </row>
    <row r="126" spans="1:6" ht="12" customHeight="1" x14ac:dyDescent="0.25">
      <c r="A126" s="18" t="s">
        <v>232</v>
      </c>
      <c r="B126" s="91" t="s">
        <v>233</v>
      </c>
      <c r="C126" s="39">
        <f t="shared" si="2"/>
        <v>0</v>
      </c>
      <c r="D126" s="33"/>
      <c r="E126" s="33"/>
      <c r="F126" s="33"/>
    </row>
    <row r="127" spans="1:6" ht="16.5" thickBot="1" x14ac:dyDescent="0.3">
      <c r="A127" s="93" t="s">
        <v>234</v>
      </c>
      <c r="B127" s="91" t="s">
        <v>235</v>
      </c>
      <c r="C127" s="51">
        <f t="shared" si="2"/>
        <v>47899500</v>
      </c>
      <c r="D127" s="42">
        <f>42072000+2400000+1348000+1079500+1000000</f>
        <v>47899500</v>
      </c>
      <c r="E127" s="46"/>
      <c r="F127" s="42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2196549346</v>
      </c>
      <c r="D128" s="16">
        <f>+D93+D114</f>
        <v>1305921762</v>
      </c>
      <c r="E128" s="15">
        <f>+E93+E114</f>
        <v>26260350</v>
      </c>
      <c r="F128" s="15">
        <f>+F93+F114</f>
        <v>864367234</v>
      </c>
    </row>
    <row r="129" spans="1:6" ht="12" customHeight="1" thickBot="1" x14ac:dyDescent="0.3">
      <c r="A129" s="13" t="s">
        <v>237</v>
      </c>
      <c r="B129" s="103" t="s">
        <v>238</v>
      </c>
      <c r="C129" s="53">
        <f t="shared" si="2"/>
        <v>0</v>
      </c>
      <c r="D129" s="16">
        <f>+D130+D131+D132</f>
        <v>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2"/>
        <v>0</v>
      </c>
      <c r="D130" s="26"/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9">
        <f t="shared" si="2"/>
        <v>0</v>
      </c>
      <c r="D131" s="33"/>
      <c r="E131" s="33"/>
      <c r="F131" s="33"/>
    </row>
    <row r="132" spans="1:6" ht="12" customHeight="1" thickBot="1" x14ac:dyDescent="0.3">
      <c r="A132" s="93" t="s">
        <v>66</v>
      </c>
      <c r="B132" s="100" t="s">
        <v>241</v>
      </c>
      <c r="C132" s="32">
        <f t="shared" si="2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242</v>
      </c>
      <c r="C133" s="53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6">
        <f t="shared" si="2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244</v>
      </c>
      <c r="C135" s="39">
        <f t="shared" si="2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245</v>
      </c>
      <c r="C136" s="39">
        <f t="shared" si="2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246</v>
      </c>
      <c r="C137" s="39">
        <f t="shared" si="2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4" t="s">
        <v>248</v>
      </c>
      <c r="C139" s="32">
        <f t="shared" si="2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35164932</v>
      </c>
      <c r="D140" s="48">
        <f>+D141+D142+D143+D144</f>
        <v>35164932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6">
        <f t="shared" si="2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251</v>
      </c>
      <c r="C142" s="39">
        <f t="shared" si="2"/>
        <v>35164932</v>
      </c>
      <c r="D142" s="33">
        <v>35164932</v>
      </c>
      <c r="E142" s="33"/>
      <c r="F142" s="33"/>
    </row>
    <row r="143" spans="1:6" ht="12" customHeight="1" x14ac:dyDescent="0.25">
      <c r="A143" s="18" t="s">
        <v>100</v>
      </c>
      <c r="B143" s="104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253</v>
      </c>
      <c r="C144" s="32">
        <f t="shared" si="2"/>
        <v>0</v>
      </c>
      <c r="D144" s="33"/>
      <c r="E144" s="33"/>
      <c r="F144" s="33"/>
    </row>
    <row r="145" spans="1:9" ht="12" customHeight="1" thickBot="1" x14ac:dyDescent="0.3">
      <c r="A145" s="13" t="s">
        <v>254</v>
      </c>
      <c r="B145" s="103" t="s">
        <v>255</v>
      </c>
      <c r="C145" s="53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6">
        <f t="shared" si="2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257</v>
      </c>
      <c r="C147" s="39">
        <f t="shared" si="2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258</v>
      </c>
      <c r="C148" s="39">
        <f t="shared" si="2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 x14ac:dyDescent="0.3">
      <c r="A150" s="18" t="s">
        <v>260</v>
      </c>
      <c r="B150" s="104" t="s">
        <v>261</v>
      </c>
      <c r="C150" s="32">
        <f t="shared" si="2"/>
        <v>0</v>
      </c>
      <c r="D150" s="42"/>
      <c r="E150" s="42"/>
      <c r="F150" s="33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8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8">
        <f t="shared" si="2"/>
        <v>35164932</v>
      </c>
      <c r="D153" s="108">
        <f>+D129+D133+D140+D145+D151+D152</f>
        <v>35164932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2231714278</v>
      </c>
      <c r="D154" s="108">
        <f>+D128+D153</f>
        <v>1341086694</v>
      </c>
      <c r="E154" s="109">
        <f>+E128+E153</f>
        <v>26260350</v>
      </c>
      <c r="F154" s="109">
        <f>+F128+F153</f>
        <v>864367234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40046259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262469033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KÖTELEZŐ FELADATAINAK MÉRLEGE &amp;R&amp;"Times New Roman CE,Félkövér dőlt"&amp;11 2. melléklet a  30/2017.(XI.30.)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2017-12-04T10:57:58Z</dcterms:created>
  <dcterms:modified xsi:type="dcterms:W3CDTF">2017-12-04T10:57:59Z</dcterms:modified>
</cp:coreProperties>
</file>