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000" tabRatio="608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externalReferences>
    <externalReference r:id="rId20"/>
    <externalReference r:id="rId21"/>
  </externalReference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Area" localSheetId="2">'3'!#REF!</definedName>
    <definedName name="_xlnm.Print_Area" localSheetId="5">'5.a'!#REF!</definedName>
    <definedName name="_xlnm.Print_Area" localSheetId="7">'6.a'!#REF!</definedName>
    <definedName name="_xlnm.Print_Area" localSheetId="10">'9'!$A$1:$O$11</definedName>
  </definedNames>
  <calcPr fullCalcOnLoad="1"/>
</workbook>
</file>

<file path=xl/sharedStrings.xml><?xml version="1.0" encoding="utf-8"?>
<sst xmlns="http://schemas.openxmlformats.org/spreadsheetml/2006/main" count="2039" uniqueCount="1566">
  <si>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</si>
  <si>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</si>
  <si>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</si>
  <si>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</si>
  <si>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</si>
  <si>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</si>
  <si>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</si>
  <si>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</si>
  <si>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</si>
  <si>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</si>
  <si>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</si>
  <si>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</si>
  <si>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</si>
  <si>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</si>
  <si>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</si>
  <si>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</si>
  <si>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</si>
  <si>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</si>
  <si>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</si>
  <si>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</si>
  <si>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</si>
  <si>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</si>
  <si>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</si>
  <si>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</si>
  <si>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</si>
  <si>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</si>
  <si>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</si>
  <si>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</si>
  <si>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</si>
  <si>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</si>
  <si>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</si>
  <si>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</si>
  <si>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</si>
  <si>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</si>
  <si>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</si>
  <si>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</si>
  <si>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</si>
  <si>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</si>
  <si>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</si>
  <si>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</si>
  <si>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</si>
  <si>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</si>
  <si>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</si>
  <si>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</si>
  <si>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</si>
  <si>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</si>
  <si>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Helyi önkormányzatok kiegészítő állami támogatásai</t>
  </si>
  <si>
    <t>B74</t>
  </si>
  <si>
    <t>B814</t>
  </si>
  <si>
    <t>Államháztartáson belüli megelőlegezések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</si>
  <si>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</si>
  <si>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</si>
  <si>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</si>
  <si>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</si>
  <si>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</si>
  <si>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</si>
  <si>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</si>
  <si>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</si>
  <si>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</si>
  <si>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</si>
  <si>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</si>
  <si>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</si>
  <si>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</si>
  <si>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</si>
  <si>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</si>
  <si>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</si>
  <si>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</si>
  <si>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</si>
  <si>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</si>
  <si>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</si>
  <si>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</si>
  <si>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</si>
  <si>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</si>
  <si>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</si>
  <si>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</si>
  <si>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</si>
  <si>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</si>
  <si>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</si>
  <si>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</si>
  <si>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</si>
  <si>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</si>
  <si>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</si>
  <si>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</si>
  <si>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</si>
  <si>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</si>
  <si>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</si>
  <si>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</si>
  <si>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</si>
  <si>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</si>
  <si>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</si>
  <si>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</si>
  <si>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</si>
  <si>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</si>
  <si>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</si>
  <si>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</si>
  <si>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</si>
  <si>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</si>
  <si>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</si>
  <si>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</si>
  <si>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</si>
  <si>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</si>
  <si>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</si>
  <si>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</si>
  <si>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</si>
  <si>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</si>
  <si>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</si>
  <si>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</si>
  <si>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</si>
  <si>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</si>
  <si>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</si>
  <si>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</si>
  <si>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</si>
  <si>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</si>
  <si>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</si>
  <si>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</si>
  <si>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</si>
  <si>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</si>
  <si>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</si>
  <si>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</si>
  <si>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</si>
  <si>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</si>
  <si>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</si>
  <si>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</si>
  <si>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</si>
  <si>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</si>
  <si>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</si>
  <si>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</si>
  <si>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</si>
  <si>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</si>
  <si>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</si>
  <si>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</si>
  <si>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</si>
  <si>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</si>
  <si>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</si>
  <si>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</si>
  <si>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</si>
  <si>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</si>
  <si>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</si>
  <si>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</si>
  <si>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</si>
  <si>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</si>
  <si>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</si>
  <si>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</si>
  <si>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</si>
  <si>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</si>
  <si>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</si>
  <si>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</si>
  <si>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</si>
  <si>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</si>
  <si>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</si>
  <si>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</si>
  <si>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</si>
  <si>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</si>
  <si>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</si>
  <si>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</si>
  <si>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</si>
  <si>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</si>
  <si>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</si>
  <si>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</si>
  <si>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</si>
  <si>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</si>
  <si>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</si>
  <si>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</si>
  <si>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</si>
  <si>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</si>
  <si>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</si>
  <si>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</si>
  <si>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</si>
  <si>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</si>
  <si>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</si>
  <si>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</si>
  <si>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</si>
  <si>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</si>
  <si>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</si>
  <si>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</si>
  <si>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</si>
  <si>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</si>
  <si>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</si>
  <si>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</si>
  <si>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</si>
  <si>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</si>
  <si>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</si>
  <si>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</si>
  <si>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</si>
  <si>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</si>
  <si>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</si>
  <si>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</si>
  <si>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</si>
  <si>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</si>
  <si>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</si>
  <si>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</si>
  <si>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</si>
  <si>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</si>
  <si>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</si>
  <si>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</si>
  <si>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</si>
  <si>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</si>
  <si>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</si>
  <si>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</si>
  <si>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</si>
  <si>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</si>
  <si>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</si>
  <si>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</si>
  <si>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</si>
  <si>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</si>
  <si>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</si>
  <si>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</si>
  <si>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</si>
  <si>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</si>
  <si>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</si>
  <si>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</si>
  <si>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</si>
  <si>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</si>
  <si>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</si>
  <si>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</si>
  <si>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</si>
  <si>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</si>
  <si>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</si>
  <si>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</si>
  <si>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</si>
  <si>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</si>
  <si>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</si>
  <si>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</si>
  <si>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</si>
  <si>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</si>
  <si>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</si>
  <si>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</si>
  <si>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</si>
  <si>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</si>
  <si>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</si>
  <si>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</si>
  <si>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</si>
  <si>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</si>
  <si>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</si>
  <si>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</si>
  <si>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</si>
  <si>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</si>
  <si>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</si>
  <si>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</si>
  <si>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</si>
  <si>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</si>
  <si>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</si>
  <si>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</si>
  <si>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</si>
  <si>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</si>
  <si>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</si>
  <si>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</si>
  <si>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</si>
  <si>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</si>
  <si>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</si>
  <si>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</si>
  <si>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</si>
  <si>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</si>
  <si>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</si>
  <si>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</si>
  <si>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</si>
  <si>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</si>
  <si>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</si>
  <si>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</si>
  <si>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</si>
  <si>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</si>
  <si>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</si>
  <si>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</si>
  <si>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</si>
  <si>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</si>
  <si>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</si>
  <si>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</si>
  <si>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</si>
  <si>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</si>
  <si>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</si>
  <si>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</si>
  <si>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</si>
  <si>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</si>
  <si>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</si>
  <si>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</si>
  <si>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</si>
  <si>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</si>
  <si>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</si>
  <si>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</si>
  <si>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</si>
  <si>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</si>
  <si>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</si>
  <si>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</si>
  <si>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</si>
  <si>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</si>
  <si>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</si>
  <si>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</si>
  <si>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</si>
  <si>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</si>
  <si>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</si>
  <si>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</si>
  <si>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</si>
  <si>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</si>
  <si>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</si>
  <si>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</si>
  <si>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</si>
  <si>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</si>
  <si>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</si>
  <si>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</si>
  <si>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</si>
  <si>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</si>
  <si>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</si>
  <si>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</si>
  <si>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</si>
  <si>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</si>
  <si>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</si>
  <si>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</si>
  <si>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</si>
  <si>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</si>
  <si>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</si>
  <si>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</si>
  <si>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</si>
  <si>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</si>
  <si>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</si>
  <si>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</si>
  <si>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</si>
  <si>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</si>
  <si>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</si>
  <si>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</si>
  <si>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</si>
  <si>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</si>
  <si>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</si>
  <si>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</si>
  <si>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</si>
  <si>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</si>
  <si>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</si>
  <si>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</si>
  <si>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</si>
  <si>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</si>
  <si>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</si>
  <si>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</si>
  <si>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</si>
  <si>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</si>
  <si>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</si>
  <si>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</si>
  <si>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</si>
  <si>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</si>
  <si>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</si>
  <si>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</si>
  <si>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</si>
  <si>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</si>
  <si>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</si>
  <si>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</si>
  <si>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</si>
  <si>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</si>
  <si>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</si>
  <si>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</si>
  <si>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</si>
  <si>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</si>
  <si>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</si>
  <si>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</si>
  <si>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</si>
  <si>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</si>
  <si>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</si>
  <si>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</si>
  <si>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</si>
  <si>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</si>
  <si>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</si>
  <si>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</si>
  <si>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</si>
  <si>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</si>
  <si>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</si>
  <si>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</si>
  <si>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</si>
  <si>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</si>
  <si>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</si>
  <si>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</si>
  <si>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</si>
  <si>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</si>
  <si>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</si>
  <si>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</si>
  <si>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</si>
  <si>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</si>
  <si>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</si>
  <si>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</si>
  <si>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</si>
  <si>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</si>
  <si>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</si>
  <si>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</si>
  <si>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</si>
  <si>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</si>
  <si>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</si>
  <si>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</si>
  <si>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</si>
  <si>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</si>
  <si>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</si>
  <si>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</si>
  <si>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</si>
  <si>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</si>
  <si>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</si>
  <si>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</si>
  <si>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</si>
  <si>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</si>
  <si>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</si>
  <si>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</si>
  <si>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</si>
  <si>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</si>
  <si>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</si>
  <si>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</si>
  <si>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</si>
  <si>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</si>
  <si>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</si>
  <si>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</si>
  <si>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</si>
  <si>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</si>
  <si>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</si>
  <si>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</si>
  <si>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</si>
  <si>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</si>
  <si>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</si>
  <si>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</si>
  <si>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</si>
  <si>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</si>
  <si>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</si>
  <si>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</si>
  <si>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</si>
  <si>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</si>
  <si>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</si>
  <si>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</si>
  <si>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</si>
  <si>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</si>
  <si>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</si>
  <si>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</si>
  <si>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</si>
  <si>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</si>
  <si>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</si>
  <si>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</si>
  <si>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</si>
  <si>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</si>
  <si>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</si>
  <si>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</si>
  <si>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</si>
  <si>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</si>
  <si>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</si>
  <si>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</si>
  <si>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</si>
  <si>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</si>
  <si>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</si>
  <si>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</si>
  <si>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</si>
  <si>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</si>
  <si>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</si>
  <si>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</si>
  <si>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</si>
  <si>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</si>
  <si>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</si>
  <si>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</si>
  <si>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</si>
  <si>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</si>
  <si>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</si>
  <si>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</si>
  <si>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</si>
  <si>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</si>
  <si>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</si>
  <si>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</si>
  <si>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</si>
  <si>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</si>
  <si>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</si>
  <si>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</si>
  <si>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</si>
  <si>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</si>
  <si>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</si>
  <si>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</si>
  <si>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</si>
  <si>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</si>
  <si>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</si>
  <si>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</si>
  <si>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</si>
  <si>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</si>
  <si>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</si>
  <si>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</si>
  <si>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</si>
  <si>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</si>
  <si>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</si>
  <si>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</si>
  <si>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</si>
  <si>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</si>
  <si>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</si>
  <si>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</si>
  <si>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</si>
  <si>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</si>
  <si>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</si>
  <si>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</si>
  <si>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</si>
  <si>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</si>
  <si>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</si>
  <si>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</si>
  <si>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</si>
  <si>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</si>
  <si>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</si>
  <si>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</si>
  <si>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</si>
  <si>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</si>
  <si>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</si>
  <si>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</si>
  <si>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</si>
  <si>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</si>
  <si>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</si>
  <si>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</si>
  <si>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</si>
  <si>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</si>
  <si>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</si>
  <si>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</si>
  <si>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</si>
  <si>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</si>
  <si>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</si>
  <si>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</si>
  <si>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</si>
  <si>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</si>
  <si>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</si>
  <si>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</si>
  <si>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</si>
  <si>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</si>
  <si>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</si>
  <si>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</si>
  <si>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</si>
  <si>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</si>
  <si>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</si>
  <si>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</si>
  <si>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</si>
  <si>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</si>
  <si>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</si>
  <si>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</si>
  <si>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</si>
  <si>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</si>
  <si>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</si>
  <si>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</si>
  <si>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</si>
  <si>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</si>
  <si>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</si>
  <si>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</si>
  <si>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</si>
  <si>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</si>
  <si>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</si>
  <si>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</si>
  <si>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</si>
  <si>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</si>
  <si>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</si>
  <si>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</si>
  <si>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</si>
  <si>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</si>
  <si>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</si>
  <si>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</si>
  <si>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</si>
  <si>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</si>
  <si>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</si>
  <si>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</si>
  <si>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</si>
  <si>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</si>
  <si>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</si>
  <si>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</si>
  <si>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</si>
  <si>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</si>
  <si>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</si>
  <si>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</si>
  <si>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</si>
  <si>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</si>
  <si>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</si>
  <si>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</si>
  <si>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</si>
  <si>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</si>
  <si>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</si>
  <si>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</si>
  <si>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</si>
  <si>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</si>
  <si>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</si>
  <si>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</si>
  <si>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</si>
  <si>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</si>
  <si>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</si>
  <si>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</si>
  <si>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</si>
  <si>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</si>
  <si>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</si>
  <si>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</si>
  <si>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</si>
  <si>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</si>
  <si>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</si>
  <si>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</si>
  <si>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</si>
  <si>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</si>
  <si>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</si>
  <si>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</si>
  <si>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</si>
  <si>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</si>
  <si>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</si>
  <si>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</si>
  <si>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</si>
  <si>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</si>
  <si>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</si>
  <si>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</si>
  <si>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</si>
  <si>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</si>
  <si>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</si>
  <si>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</si>
  <si>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</si>
  <si>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</si>
  <si>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</si>
  <si>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</si>
  <si>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</si>
  <si>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</si>
  <si>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</si>
  <si>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</si>
  <si>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</si>
  <si>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</si>
  <si>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</si>
  <si>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</si>
  <si>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</si>
  <si>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</si>
  <si>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</si>
  <si>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</si>
  <si>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</si>
  <si>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</si>
  <si>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</si>
  <si>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</si>
  <si>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</si>
  <si>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</si>
  <si>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</si>
  <si>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</si>
  <si>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</si>
  <si>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</si>
  <si>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</si>
  <si>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</si>
  <si>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</si>
  <si>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</si>
  <si>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</si>
  <si>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</si>
  <si>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</si>
  <si>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</si>
  <si>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</si>
  <si>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</si>
  <si>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</si>
  <si>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</si>
  <si>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</si>
  <si>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</si>
  <si>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</si>
  <si>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</si>
  <si>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</si>
  <si>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</si>
  <si>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</si>
  <si>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</si>
  <si>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</si>
  <si>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</si>
  <si>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</si>
  <si>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</si>
  <si>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</si>
  <si>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</si>
  <si>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</si>
  <si>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</si>
  <si>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</si>
  <si>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</si>
  <si>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</si>
  <si>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</si>
  <si>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</si>
  <si>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</si>
  <si>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</si>
  <si>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</si>
  <si>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</si>
  <si>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</si>
  <si>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</si>
  <si>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</si>
  <si>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</si>
  <si>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</si>
  <si>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</si>
  <si>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</si>
  <si>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</si>
  <si>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</si>
  <si>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</si>
  <si>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</si>
  <si>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</si>
  <si>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</si>
  <si>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</si>
  <si>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</si>
  <si>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</si>
  <si>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</si>
  <si>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</si>
  <si>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</si>
  <si>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</si>
  <si>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</si>
  <si>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</si>
  <si>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</si>
  <si>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</si>
  <si>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</si>
  <si>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</si>
  <si>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</si>
  <si>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</si>
  <si>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</si>
  <si>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</si>
  <si>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</si>
  <si>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</si>
  <si>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</si>
  <si>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</si>
  <si>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</si>
  <si>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</si>
  <si>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</si>
  <si>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</si>
  <si>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</si>
  <si>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</si>
  <si>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</si>
  <si>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</si>
  <si>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</si>
  <si>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</si>
  <si>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</si>
  <si>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</si>
  <si>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</si>
  <si>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</si>
  <si>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</si>
  <si>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</si>
  <si>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</si>
  <si>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</si>
  <si>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</si>
  <si>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</si>
  <si>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</si>
  <si>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</si>
  <si>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</si>
  <si>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</si>
  <si>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</si>
  <si>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</si>
  <si>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</si>
  <si>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</si>
  <si>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</si>
  <si>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</si>
  <si>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</si>
  <si>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</si>
  <si>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</si>
  <si>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</si>
  <si>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</si>
  <si>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</si>
  <si>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</si>
  <si>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</si>
  <si>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</si>
  <si>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</si>
  <si>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</si>
  <si>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</si>
  <si>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</si>
  <si>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</si>
  <si>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</si>
  <si>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</si>
  <si>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</si>
  <si>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</si>
  <si>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</si>
  <si>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</si>
  <si>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</si>
  <si>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</si>
  <si>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</si>
  <si>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</si>
  <si>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</si>
  <si>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</si>
  <si>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</si>
  <si>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</si>
  <si>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</si>
  <si>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</si>
  <si>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</si>
  <si>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</si>
  <si>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</si>
  <si>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</si>
  <si>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</si>
  <si>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</si>
  <si>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</si>
  <si>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</si>
  <si>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</si>
  <si>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</si>
  <si>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</si>
  <si>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</si>
  <si>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</si>
  <si>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</si>
  <si>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</si>
  <si>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</si>
  <si>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</si>
  <si>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</si>
  <si>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</si>
  <si>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</si>
  <si>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</si>
  <si>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</si>
  <si>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</si>
  <si>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</si>
  <si>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</si>
  <si>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</si>
  <si>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</si>
  <si>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</si>
  <si>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</si>
  <si>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</si>
  <si>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</si>
  <si>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</si>
  <si>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</si>
  <si>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</si>
  <si>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</si>
  <si>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</si>
  <si>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</si>
  <si>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</si>
  <si>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</si>
  <si>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</si>
  <si>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</si>
  <si>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</si>
  <si>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</si>
  <si>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</si>
  <si>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</si>
  <si>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</si>
  <si>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</si>
  <si>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</si>
  <si>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</si>
  <si>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</si>
  <si>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</si>
  <si>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</si>
  <si>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</si>
  <si>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</si>
  <si>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</si>
  <si>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</si>
  <si>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</si>
  <si>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</si>
  <si>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</si>
  <si>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</si>
  <si>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</si>
  <si>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</si>
  <si>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</si>
  <si>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</si>
  <si>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</si>
  <si>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Szent László utcai óvoda konyha felújítása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</si>
  <si>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</si>
  <si>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</si>
  <si>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</si>
  <si>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</si>
  <si>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</si>
  <si>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</si>
  <si>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</si>
  <si>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</si>
  <si>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</si>
  <si>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</si>
  <si>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</si>
  <si>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</si>
  <si>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</si>
  <si>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</si>
  <si>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</si>
  <si>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</si>
  <si>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</si>
  <si>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</si>
  <si>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</si>
  <si>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</si>
  <si>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</si>
  <si>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</si>
  <si>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</si>
  <si>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</si>
  <si>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</si>
  <si>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</si>
  <si>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</si>
  <si>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</si>
  <si>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</si>
  <si>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</si>
  <si>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</si>
  <si>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</si>
  <si>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</si>
  <si>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</si>
  <si>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</si>
  <si>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</si>
  <si>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</si>
  <si>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</si>
  <si>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</si>
  <si>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</si>
  <si>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</si>
  <si>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</si>
  <si>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</si>
  <si>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</si>
  <si>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</si>
  <si>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</si>
  <si>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</si>
  <si>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</si>
  <si>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</si>
  <si>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</si>
  <si>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</si>
  <si>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</si>
  <si>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</si>
  <si>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</si>
  <si>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</si>
  <si>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</si>
  <si>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</si>
  <si>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</si>
  <si>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</si>
  <si>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</si>
  <si>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</si>
  <si>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</si>
  <si>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</si>
  <si>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</si>
  <si>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</si>
  <si>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</si>
  <si>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</si>
  <si>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</si>
  <si>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</si>
  <si>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</si>
  <si>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</si>
  <si>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</si>
  <si>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</si>
  <si>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</si>
  <si>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</si>
  <si>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</si>
  <si>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önkormányzati tulajdonú közművek felett úthibák javítása (ÚJ)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</si>
  <si>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</si>
  <si>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</si>
  <si>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</si>
  <si>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</si>
  <si>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</si>
  <si>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</si>
  <si>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</si>
  <si>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</si>
  <si>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</si>
  <si>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</si>
  <si>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</si>
  <si>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</si>
  <si>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</si>
  <si>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</si>
  <si>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</si>
  <si>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</si>
  <si>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</si>
  <si>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</si>
  <si>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</si>
  <si>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</si>
  <si>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</si>
  <si>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</si>
  <si>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</si>
  <si>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</si>
  <si>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</si>
  <si>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</si>
  <si>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</si>
  <si>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</si>
  <si>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</si>
  <si>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</si>
  <si>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</si>
  <si>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</si>
  <si>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</si>
  <si>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</si>
  <si>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</si>
  <si>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</si>
  <si>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</si>
  <si>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</si>
  <si>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</si>
  <si>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</si>
  <si>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</si>
  <si>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</si>
  <si>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</si>
  <si>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</si>
  <si>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</si>
  <si>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</si>
  <si>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</si>
  <si>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</si>
  <si>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</si>
  <si>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</si>
  <si>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</si>
  <si>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</si>
  <si>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</si>
  <si>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</si>
  <si>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</si>
  <si>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</si>
  <si>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</si>
  <si>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</si>
  <si>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</si>
  <si>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</si>
  <si>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</si>
  <si>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</si>
  <si>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</si>
  <si>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</si>
  <si>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</si>
  <si>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</si>
  <si>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</si>
  <si>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</si>
  <si>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</si>
  <si>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</si>
  <si>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</si>
  <si>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</si>
  <si>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</si>
  <si>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</si>
  <si>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</si>
  <si>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</si>
  <si>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</si>
  <si>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</si>
  <si>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</si>
  <si>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</si>
  <si>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</si>
  <si>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</si>
  <si>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</si>
  <si>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</si>
  <si>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</si>
  <si>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</si>
  <si>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</si>
  <si>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</si>
  <si>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</si>
  <si>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</si>
  <si>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</si>
  <si>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</si>
  <si>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</si>
  <si>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</si>
  <si>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</si>
  <si>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</si>
  <si>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</si>
  <si>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</si>
  <si>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</si>
  <si>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</si>
  <si>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</si>
  <si>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</si>
  <si>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</si>
  <si>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</si>
  <si>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</si>
  <si>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</si>
  <si>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</si>
  <si>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</si>
  <si>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</si>
  <si>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</si>
  <si>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</si>
  <si>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</si>
  <si>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</si>
  <si>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</si>
  <si>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</si>
  <si>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</si>
  <si>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</si>
  <si>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</si>
  <si>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</si>
  <si>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</si>
  <si>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</si>
  <si>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</si>
  <si>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</si>
  <si>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</si>
  <si>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</si>
  <si>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</si>
  <si>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</si>
  <si>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</si>
  <si>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</si>
  <si>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</si>
  <si>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</si>
  <si>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</si>
  <si>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</si>
  <si>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</si>
  <si>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</si>
  <si>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</si>
  <si>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</si>
  <si>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</si>
  <si>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</si>
  <si>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</si>
  <si>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</si>
  <si>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</si>
  <si>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</si>
  <si>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</si>
  <si>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</si>
  <si>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</si>
  <si>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</si>
  <si>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</si>
  <si>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</si>
  <si>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</si>
  <si>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</si>
  <si>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</si>
  <si>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</si>
  <si>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</si>
  <si>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</si>
  <si>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</si>
  <si>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</si>
  <si>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</si>
  <si>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</si>
  <si>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</si>
  <si>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</si>
  <si>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</si>
  <si>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</si>
  <si>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</si>
  <si>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</si>
  <si>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</si>
  <si>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</si>
  <si>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</si>
  <si>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</si>
  <si>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</si>
  <si>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</si>
  <si>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</si>
  <si>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</si>
  <si>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</si>
  <si>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</si>
  <si>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</si>
  <si>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</si>
  <si>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</si>
  <si>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</si>
  <si>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</si>
  <si>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</si>
  <si>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</si>
  <si>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</si>
  <si>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</si>
  <si>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</si>
  <si>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</si>
  <si>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</si>
  <si>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</si>
  <si>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</si>
  <si>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</si>
  <si>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</si>
  <si>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</si>
  <si>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</si>
  <si>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</si>
  <si>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</si>
  <si>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</si>
  <si>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</si>
  <si>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</si>
  <si>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</si>
  <si>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</si>
  <si>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</si>
  <si>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</si>
  <si>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</si>
  <si>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</si>
  <si>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</si>
  <si>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</si>
  <si>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</si>
  <si>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</si>
  <si>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</si>
  <si>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</si>
  <si>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</si>
  <si>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</si>
  <si>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</si>
  <si>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</si>
  <si>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</si>
  <si>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</si>
  <si>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</si>
  <si>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</si>
  <si>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</si>
  <si>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</si>
  <si>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</si>
  <si>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</si>
  <si>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</si>
  <si>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</si>
  <si>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</si>
  <si>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</si>
  <si>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</si>
  <si>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</si>
  <si>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</si>
  <si>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</si>
  <si>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</si>
  <si>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</si>
  <si>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</si>
  <si>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</si>
  <si>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</si>
  <si>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</si>
  <si>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</si>
  <si>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</si>
  <si>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</si>
  <si>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</si>
  <si>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</si>
  <si>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</si>
  <si>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</si>
  <si>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</si>
  <si>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</si>
  <si>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</si>
  <si>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</si>
  <si>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</si>
  <si>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</si>
  <si>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</si>
  <si>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</si>
  <si>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</si>
  <si>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</si>
  <si>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</si>
  <si>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</si>
  <si>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</si>
  <si>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</si>
  <si>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</si>
  <si>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</si>
  <si>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</si>
  <si>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</si>
  <si>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</si>
  <si>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</si>
  <si>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</si>
  <si>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</si>
  <si>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</si>
  <si>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</si>
  <si>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</si>
  <si>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</si>
  <si>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</si>
  <si>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</si>
  <si>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</si>
  <si>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</si>
  <si>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</si>
  <si>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</si>
  <si>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</si>
  <si>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</si>
  <si>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</si>
  <si>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</si>
  <si>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</si>
  <si>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</si>
  <si>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</si>
  <si>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</si>
  <si>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</si>
  <si>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</si>
  <si>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</si>
  <si>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</si>
  <si>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</si>
  <si>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</si>
  <si>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</si>
  <si>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</si>
  <si>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</si>
  <si>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</si>
  <si>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</si>
  <si>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</si>
  <si>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</si>
  <si>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</si>
  <si>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</si>
  <si>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</si>
  <si>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</si>
  <si>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</si>
  <si>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</si>
  <si>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</si>
  <si>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</si>
  <si>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</si>
  <si>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</si>
  <si>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</si>
  <si>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</si>
  <si>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</si>
  <si>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</si>
  <si>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</si>
  <si>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</si>
  <si>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</si>
  <si>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</si>
  <si>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</si>
  <si>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</si>
  <si>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</si>
  <si>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</si>
  <si>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</si>
  <si>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</si>
  <si>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</si>
  <si>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</si>
  <si>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</si>
  <si>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</si>
  <si>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</si>
  <si>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</si>
  <si>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</si>
  <si>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</si>
  <si>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</si>
  <si>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</si>
  <si>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</si>
  <si>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</si>
  <si>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</si>
  <si>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</si>
  <si>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</si>
  <si>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</si>
  <si>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</si>
  <si>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</si>
  <si>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</si>
  <si>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</si>
  <si>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</si>
  <si>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</si>
  <si>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</si>
  <si>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</si>
  <si>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</si>
  <si>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</si>
  <si>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</si>
  <si>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</si>
  <si>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</si>
  <si>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</si>
  <si>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</si>
  <si>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</si>
  <si>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</si>
  <si>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</si>
  <si>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</si>
  <si>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</si>
  <si>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</si>
  <si>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</si>
  <si>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</si>
  <si>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</si>
  <si>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</si>
  <si>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</si>
  <si>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</si>
  <si>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</si>
  <si>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</si>
  <si>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</si>
  <si>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</si>
  <si>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</si>
  <si>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</si>
  <si>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</si>
  <si>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</si>
  <si>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</si>
  <si>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</si>
  <si>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</si>
  <si>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</si>
  <si>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</si>
  <si>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</si>
  <si>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</si>
  <si>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</si>
  <si>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</si>
  <si>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</si>
  <si>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</si>
  <si>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</si>
  <si>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</si>
  <si>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</si>
  <si>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</si>
  <si>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</si>
  <si>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</si>
  <si>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</si>
  <si>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</si>
  <si>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</si>
  <si>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</si>
  <si>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</si>
  <si>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</si>
  <si>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</si>
  <si>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</si>
  <si>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</si>
  <si>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</si>
  <si>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</si>
  <si>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</si>
  <si>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</si>
  <si>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</si>
  <si>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</si>
  <si>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</si>
  <si>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</si>
  <si>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</si>
  <si>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</si>
  <si>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</si>
  <si>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</si>
  <si>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</si>
  <si>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</si>
  <si>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</si>
  <si>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</si>
  <si>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</si>
  <si>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</si>
  <si>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</si>
  <si>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</si>
  <si>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</si>
  <si>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</si>
  <si>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</si>
  <si>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</si>
  <si>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</si>
  <si>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</si>
  <si>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</si>
  <si>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</si>
  <si>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</si>
  <si>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</si>
  <si>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</si>
  <si>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</si>
  <si>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</si>
  <si>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</si>
  <si>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</si>
  <si>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</si>
  <si>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</si>
  <si>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</si>
  <si>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</si>
  <si>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</si>
  <si>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</si>
  <si>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</si>
  <si>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</si>
  <si>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</si>
  <si>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</si>
  <si>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</si>
  <si>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</si>
  <si>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</si>
  <si>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</si>
  <si>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</si>
  <si>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</si>
  <si>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</si>
  <si>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</si>
  <si>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</si>
  <si>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</si>
  <si>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</si>
  <si>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</si>
  <si>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</si>
  <si>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</si>
  <si>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</si>
  <si>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</si>
  <si>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</si>
  <si>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</si>
  <si>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</si>
  <si>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</si>
  <si>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</si>
  <si>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</si>
  <si>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</si>
  <si>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</si>
  <si>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</si>
  <si>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</si>
  <si>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</si>
  <si>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</si>
  <si>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</si>
  <si>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</si>
  <si>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</si>
  <si>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</si>
  <si>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</si>
  <si>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</si>
  <si>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</si>
  <si>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</si>
  <si>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</si>
  <si>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</si>
  <si>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</si>
  <si>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</si>
  <si>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</si>
  <si>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</si>
  <si>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</si>
  <si>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</si>
  <si>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</si>
  <si>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</si>
  <si>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</si>
  <si>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</si>
  <si>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</si>
  <si>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</si>
  <si>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</si>
  <si>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</si>
  <si>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</si>
  <si>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</si>
  <si>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</si>
  <si>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</si>
  <si>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</si>
  <si>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</si>
  <si>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</si>
  <si>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</si>
  <si>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</si>
  <si>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</si>
  <si>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</si>
  <si>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</si>
  <si>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</si>
  <si>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</si>
  <si>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</si>
  <si>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</si>
  <si>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</si>
  <si>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</si>
  <si>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</si>
  <si>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</si>
  <si>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</si>
  <si>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</si>
  <si>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</si>
  <si>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</si>
  <si>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</si>
  <si>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</si>
  <si>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</si>
  <si>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</si>
  <si>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</si>
  <si>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</si>
  <si>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</si>
  <si>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</si>
  <si>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</si>
  <si>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</si>
  <si>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</si>
  <si>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</si>
  <si>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</si>
  <si>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</si>
  <si>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</si>
  <si>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</si>
  <si>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</si>
  <si>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</si>
  <si>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</si>
  <si>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</si>
  <si>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</si>
  <si>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</si>
  <si>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</si>
  <si>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</si>
  <si>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</si>
  <si>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</si>
  <si>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</si>
  <si>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</si>
  <si>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</si>
  <si>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</si>
  <si>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</si>
  <si>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</si>
  <si>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</si>
  <si>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</si>
  <si>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</si>
  <si>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</si>
  <si>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</si>
  <si>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</si>
  <si>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</si>
  <si>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</si>
  <si>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</si>
  <si>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</si>
  <si>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</si>
  <si>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</si>
  <si>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</si>
  <si>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</si>
  <si>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</si>
  <si>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</si>
  <si>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</si>
  <si>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</si>
  <si>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</si>
  <si>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</si>
  <si>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</si>
  <si>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</si>
  <si>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</si>
  <si>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</si>
  <si>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</si>
  <si>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</si>
  <si>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</si>
  <si>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</si>
  <si>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</si>
  <si>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</si>
  <si>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</si>
  <si>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</si>
  <si>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</si>
  <si>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</si>
  <si>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</si>
  <si>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</si>
  <si>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</si>
  <si>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</si>
  <si>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</si>
  <si>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</si>
  <si>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</si>
  <si>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</si>
  <si>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</si>
  <si>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</si>
  <si>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</si>
  <si>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</si>
  <si>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</si>
  <si>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</si>
  <si>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</si>
  <si>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</si>
  <si>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</si>
  <si>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</si>
  <si>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</si>
  <si>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</si>
  <si>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</si>
  <si>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</si>
  <si>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</si>
  <si>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</si>
  <si>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</si>
  <si>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</si>
  <si>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</si>
  <si>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</si>
  <si>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</si>
  <si>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</si>
  <si>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</si>
  <si>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</si>
  <si>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</si>
  <si>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</si>
  <si>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</si>
  <si>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</si>
  <si>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</si>
  <si>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</si>
  <si>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</si>
  <si>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</si>
  <si>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</si>
  <si>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</si>
  <si>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</si>
  <si>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</si>
  <si>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</si>
  <si>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</si>
  <si>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</si>
  <si>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</si>
  <si>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</si>
  <si>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</si>
  <si>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</si>
  <si>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</si>
  <si>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</si>
  <si>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</si>
  <si>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</si>
  <si>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</si>
  <si>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</si>
  <si>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</si>
  <si>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</si>
  <si>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</si>
  <si>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</si>
  <si>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</si>
  <si>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</si>
  <si>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</si>
  <si>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</si>
  <si>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</si>
  <si>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</si>
  <si>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</si>
  <si>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</si>
  <si>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</si>
  <si>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</si>
  <si>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</si>
  <si>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</si>
  <si>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</si>
  <si>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</si>
  <si>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</si>
  <si>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</si>
  <si>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</si>
  <si>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</si>
  <si>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</si>
  <si>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</si>
  <si>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</si>
  <si>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</si>
  <si>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</si>
  <si>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>Átdolgozott</t>
  </si>
  <si>
    <t>10./5.3</t>
  </si>
  <si>
    <t>Területvásárlások a TOP 6.1.1-16 Zalaegerszegi logisztikai Központ projekthez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</si>
</sst>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_-* #,##0\ _F_t_-;\-* #,##0\ _F_t_-;_-* &quot;-&quot;??\ _F_t_-;_-@_-"/>
    <numFmt numFmtId="169" formatCode="_-* #,##0_-;\-* #,##0_-;_-* &quot;-&quot;??_-;_-@_-"/>
  </numFmts>
  <fonts count="89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sz val="9"/>
      <name val="Times New Roman CE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b/>
      <sz val="10"/>
      <name val="MS Sans Serif"/>
      <family val="0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.1"/>
      <name val="Times New Roman"/>
      <family val="1"/>
    </font>
    <font>
      <i/>
      <sz val="10"/>
      <name val="MS Sans Serif"/>
      <family val="2"/>
    </font>
    <font>
      <sz val="9"/>
      <color indexed="8"/>
      <name val="Times New Roman"/>
      <family val="1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9"/>
      <color indexed="10"/>
      <name val="Arial CE"/>
      <family val="2"/>
    </font>
    <font>
      <sz val="10"/>
      <color indexed="8"/>
      <name val="Times New Roman"/>
      <family val="1"/>
    </font>
    <font>
      <b/>
      <i/>
      <sz val="8"/>
      <name val="Arial CE"/>
      <family val="2"/>
    </font>
    <font>
      <sz val="8"/>
      <name val="Arial CE"/>
      <family val="2"/>
    </font>
    <font>
      <sz val="8"/>
      <name val="Times New Roman CE"/>
      <family val="0"/>
    </font>
    <font>
      <i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i/>
      <sz val="9"/>
      <name val="Arial"/>
      <family val="2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Arial CE"/>
      <family val="2"/>
    </font>
    <font>
      <b/>
      <i/>
      <sz val="9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medium"/>
    </border>
    <border>
      <left style="thin"/>
      <right/>
      <top style="thin">
        <color indexed="8"/>
      </top>
      <bottom style="thin"/>
    </border>
    <border>
      <left style="medium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 style="thin"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0" fillId="27" borderId="0" applyNumberFormat="0" applyBorder="0" applyAlignment="0" applyProtection="0"/>
    <xf numFmtId="0" fontId="37" fillId="28" borderId="0" applyNumberFormat="0" applyBorder="0" applyAlignment="0" applyProtection="0"/>
    <xf numFmtId="0" fontId="20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22" borderId="0" applyNumberFormat="0" applyBorder="0" applyAlignment="0" applyProtection="0"/>
    <xf numFmtId="0" fontId="37" fillId="23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7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6" borderId="0" applyNumberFormat="0" applyBorder="0" applyAlignment="0" applyProtection="0"/>
    <xf numFmtId="0" fontId="21" fillId="14" borderId="1" applyNumberFormat="0" applyAlignment="0" applyProtection="0"/>
    <xf numFmtId="0" fontId="46" fillId="15" borderId="1" applyNumberFormat="0" applyAlignment="0" applyProtection="0"/>
    <xf numFmtId="0" fontId="39" fillId="35" borderId="1" applyNumberFormat="0" applyAlignment="0" applyProtection="0"/>
    <xf numFmtId="0" fontId="40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3" fillId="0" borderId="4" applyNumberFormat="0" applyFill="0" applyAlignment="0" applyProtection="0"/>
    <xf numFmtId="0" fontId="24" fillId="0" borderId="5" applyNumberFormat="0" applyFill="0" applyAlignment="0" applyProtection="0"/>
    <xf numFmtId="0" fontId="44" fillId="0" borderId="6" applyNumberFormat="0" applyFill="0" applyAlignment="0" applyProtection="0"/>
    <xf numFmtId="0" fontId="25" fillId="0" borderId="7" applyNumberFormat="0" applyFill="0" applyAlignment="0" applyProtection="0"/>
    <xf numFmtId="0" fontId="4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16" borderId="2" applyNumberFormat="0" applyAlignment="0" applyProtection="0"/>
    <xf numFmtId="0" fontId="40" fillId="36" borderId="2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7" fillId="0" borderId="9" applyNumberFormat="0" applyFill="0" applyAlignment="0" applyProtection="0"/>
    <xf numFmtId="0" fontId="46" fillId="14" borderId="1" applyNumberFormat="0" applyAlignment="0" applyProtection="0"/>
    <xf numFmtId="0" fontId="15" fillId="37" borderId="10" applyNumberFormat="0" applyFont="0" applyAlignment="0" applyProtection="0"/>
    <xf numFmtId="0" fontId="3" fillId="38" borderId="10" applyNumberFormat="0" applyAlignment="0" applyProtection="0"/>
    <xf numFmtId="0" fontId="20" fillId="25" borderId="0" applyNumberFormat="0" applyBorder="0" applyAlignment="0" applyProtection="0"/>
    <xf numFmtId="0" fontId="37" fillId="39" borderId="0" applyNumberFormat="0" applyBorder="0" applyAlignment="0" applyProtection="0"/>
    <xf numFmtId="0" fontId="20" fillId="34" borderId="0" applyNumberFormat="0" applyBorder="0" applyAlignment="0" applyProtection="0"/>
    <xf numFmtId="0" fontId="37" fillId="40" borderId="0" applyNumberFormat="0" applyBorder="0" applyAlignment="0" applyProtection="0"/>
    <xf numFmtId="0" fontId="20" fillId="26" borderId="0" applyNumberFormat="0" applyBorder="0" applyAlignment="0" applyProtection="0"/>
    <xf numFmtId="0" fontId="37" fillId="41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2" borderId="0" applyNumberFormat="0" applyBorder="0" applyAlignment="0" applyProtection="0"/>
    <xf numFmtId="0" fontId="37" fillId="31" borderId="0" applyNumberFormat="0" applyBorder="0" applyAlignment="0" applyProtection="0"/>
    <xf numFmtId="0" fontId="20" fillId="3" borderId="0" applyNumberFormat="0" applyBorder="0" applyAlignment="0" applyProtection="0"/>
    <xf numFmtId="0" fontId="37" fillId="42" borderId="0" applyNumberFormat="0" applyBorder="0" applyAlignment="0" applyProtection="0"/>
    <xf numFmtId="0" fontId="37" fillId="25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" borderId="0" applyNumberFormat="0" applyBorder="0" applyAlignment="0" applyProtection="0"/>
    <xf numFmtId="0" fontId="37" fillId="26" borderId="0" applyNumberFormat="0" applyBorder="0" applyAlignment="0" applyProtection="0"/>
    <xf numFmtId="0" fontId="29" fillId="8" borderId="0" applyNumberFormat="0" applyBorder="0" applyAlignment="0" applyProtection="0"/>
    <xf numFmtId="0" fontId="42" fillId="9" borderId="0" applyNumberFormat="0" applyBorder="0" applyAlignment="0" applyProtection="0"/>
    <xf numFmtId="0" fontId="30" fillId="35" borderId="11" applyNumberFormat="0" applyAlignment="0" applyProtection="0"/>
    <xf numFmtId="0" fontId="49" fillId="43" borderId="11" applyNumberFormat="0" applyAlignment="0" applyProtection="0"/>
    <xf numFmtId="0" fontId="4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37" borderId="10" applyNumberFormat="0" applyFont="0" applyAlignment="0" applyProtection="0"/>
    <xf numFmtId="0" fontId="49" fillId="35" borderId="11" applyNumberFormat="0" applyAlignment="0" applyProtection="0"/>
    <xf numFmtId="0" fontId="32" fillId="0" borderId="12" applyNumberFormat="0" applyFill="0" applyAlignment="0" applyProtection="0"/>
    <xf numFmtId="0" fontId="5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4" fillId="44" borderId="0" applyNumberFormat="0" applyBorder="0" applyAlignment="0" applyProtection="0"/>
    <xf numFmtId="0" fontId="48" fillId="45" borderId="0" applyNumberFormat="0" applyBorder="0" applyAlignment="0" applyProtection="0"/>
    <xf numFmtId="0" fontId="35" fillId="35" borderId="1" applyNumberFormat="0" applyAlignment="0" applyProtection="0"/>
    <xf numFmtId="0" fontId="39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10" fillId="0" borderId="13" xfId="188" applyNumberFormat="1" applyFont="1" applyBorder="1" applyAlignment="1">
      <alignment horizontal="center" vertical="center"/>
      <protection/>
    </xf>
    <xf numFmtId="3" fontId="10" fillId="0" borderId="13" xfId="188" applyNumberFormat="1" applyFont="1" applyBorder="1" applyAlignment="1">
      <alignment horizontal="right" vertical="center"/>
      <protection/>
    </xf>
    <xf numFmtId="3" fontId="10" fillId="0" borderId="13" xfId="188" applyNumberFormat="1" applyFont="1" applyBorder="1" applyAlignment="1">
      <alignment vertical="center"/>
      <protection/>
    </xf>
    <xf numFmtId="3" fontId="9" fillId="8" borderId="13" xfId="188" applyNumberFormat="1" applyFont="1" applyFill="1" applyBorder="1" applyAlignment="1">
      <alignment horizontal="right" vertical="center"/>
      <protection/>
    </xf>
    <xf numFmtId="3" fontId="9" fillId="8" borderId="13" xfId="188" applyNumberFormat="1" applyFont="1" applyFill="1" applyBorder="1" applyAlignment="1">
      <alignment vertical="center"/>
      <protection/>
    </xf>
    <xf numFmtId="3" fontId="1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0" xfId="144" applyAlignment="1">
      <alignment vertical="center"/>
      <protection/>
    </xf>
    <xf numFmtId="0" fontId="4" fillId="0" borderId="0" xfId="144" applyAlignment="1">
      <alignment vertical="top"/>
      <protection/>
    </xf>
    <xf numFmtId="0" fontId="13" fillId="0" borderId="0" xfId="144" applyFont="1" applyAlignment="1">
      <alignment vertical="center"/>
      <protection/>
    </xf>
    <xf numFmtId="3" fontId="4" fillId="0" borderId="0" xfId="144" applyNumberFormat="1" applyAlignment="1">
      <alignment vertical="center"/>
      <protection/>
    </xf>
    <xf numFmtId="3" fontId="14" fillId="0" borderId="0" xfId="188" applyNumberFormat="1" applyFont="1" applyFill="1" applyAlignment="1">
      <alignment vertical="center"/>
      <protection/>
    </xf>
    <xf numFmtId="3" fontId="5" fillId="0" borderId="0" xfId="188" applyNumberFormat="1" applyFont="1" applyAlignment="1">
      <alignment vertical="center"/>
      <protection/>
    </xf>
    <xf numFmtId="0" fontId="5" fillId="0" borderId="0" xfId="0" applyFont="1" applyBorder="1" applyAlignment="1">
      <alignment/>
    </xf>
    <xf numFmtId="3" fontId="9" fillId="8" borderId="15" xfId="0" applyNumberFormat="1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9" fillId="8" borderId="18" xfId="0" applyNumberFormat="1" applyFont="1" applyFill="1" applyBorder="1" applyAlignment="1">
      <alignment vertical="center"/>
    </xf>
    <xf numFmtId="3" fontId="9" fillId="8" borderId="19" xfId="0" applyNumberFormat="1" applyFont="1" applyFill="1" applyBorder="1" applyAlignment="1">
      <alignment horizontal="left" vertical="center" wrapText="1"/>
    </xf>
    <xf numFmtId="3" fontId="14" fillId="0" borderId="0" xfId="188" applyNumberFormat="1" applyFont="1" applyAlignment="1">
      <alignment vertical="center"/>
      <protection/>
    </xf>
    <xf numFmtId="3" fontId="8" fillId="8" borderId="13" xfId="0" applyNumberFormat="1" applyFont="1" applyFill="1" applyBorder="1" applyAlignment="1">
      <alignment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8" fillId="8" borderId="20" xfId="0" applyNumberFormat="1" applyFont="1" applyFill="1" applyBorder="1" applyAlignment="1">
      <alignment horizontal="center"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0" fontId="10" fillId="0" borderId="13" xfId="144" applyFont="1" applyBorder="1" applyAlignment="1">
      <alignment vertical="center"/>
      <protection/>
    </xf>
    <xf numFmtId="0" fontId="10" fillId="0" borderId="13" xfId="144" applyFont="1" applyBorder="1" applyAlignment="1">
      <alignment horizontal="center" vertical="center"/>
      <protection/>
    </xf>
    <xf numFmtId="3" fontId="10" fillId="0" borderId="13" xfId="144" applyNumberFormat="1" applyFont="1" applyBorder="1" applyAlignment="1">
      <alignment vertical="center"/>
      <protection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13" xfId="144" applyFont="1" applyFill="1" applyBorder="1" applyAlignment="1">
      <alignment vertical="center"/>
      <protection/>
    </xf>
    <xf numFmtId="0" fontId="7" fillId="0" borderId="13" xfId="144" applyFont="1" applyBorder="1" applyAlignment="1">
      <alignment horizontal="center" vertical="center"/>
      <protection/>
    </xf>
    <xf numFmtId="3" fontId="10" fillId="0" borderId="13" xfId="188" applyNumberFormat="1" applyFont="1" applyBorder="1" applyAlignment="1">
      <alignment horizontal="left" vertical="center" wrapText="1"/>
      <protection/>
    </xf>
    <xf numFmtId="3" fontId="10" fillId="0" borderId="13" xfId="188" applyNumberFormat="1" applyFont="1" applyBorder="1" applyAlignment="1">
      <alignment horizontal="left" vertical="center"/>
      <protection/>
    </xf>
    <xf numFmtId="3" fontId="10" fillId="8" borderId="13" xfId="188" applyNumberFormat="1" applyFont="1" applyFill="1" applyBorder="1" applyAlignment="1">
      <alignment horizontal="center" vertical="center"/>
      <protection/>
    </xf>
    <xf numFmtId="3" fontId="8" fillId="46" borderId="20" xfId="188" applyNumberFormat="1" applyFont="1" applyFill="1" applyBorder="1" applyAlignment="1">
      <alignment horizontal="center" vertical="center" wrapText="1"/>
      <protection/>
    </xf>
    <xf numFmtId="3" fontId="7" fillId="0" borderId="13" xfId="188" applyNumberFormat="1" applyFont="1" applyBorder="1" applyAlignment="1">
      <alignment horizontal="center" vertical="center"/>
      <protection/>
    </xf>
    <xf numFmtId="3" fontId="7" fillId="0" borderId="13" xfId="188" applyNumberFormat="1" applyFont="1" applyBorder="1" applyAlignment="1">
      <alignment horizontal="left" vertical="center" wrapText="1"/>
      <protection/>
    </xf>
    <xf numFmtId="3" fontId="7" fillId="0" borderId="13" xfId="188" applyNumberFormat="1" applyFont="1" applyBorder="1" applyAlignment="1">
      <alignment vertical="center"/>
      <protection/>
    </xf>
    <xf numFmtId="3" fontId="7" fillId="0" borderId="13" xfId="188" applyNumberFormat="1" applyFont="1" applyBorder="1" applyAlignment="1">
      <alignment horizontal="left" vertical="center"/>
      <protection/>
    </xf>
    <xf numFmtId="3" fontId="7" fillId="8" borderId="13" xfId="188" applyNumberFormat="1" applyFont="1" applyFill="1" applyBorder="1" applyAlignment="1">
      <alignment horizontal="center" vertical="center"/>
      <protection/>
    </xf>
    <xf numFmtId="3" fontId="8" fillId="8" borderId="13" xfId="188" applyNumberFormat="1" applyFont="1" applyFill="1" applyBorder="1" applyAlignment="1">
      <alignment horizontal="left" vertical="center" wrapText="1"/>
      <protection/>
    </xf>
    <xf numFmtId="3" fontId="8" fillId="8" borderId="13" xfId="188" applyNumberFormat="1" applyFont="1" applyFill="1" applyBorder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9" fillId="8" borderId="13" xfId="144" applyNumberFormat="1" applyFont="1" applyFill="1" applyBorder="1" applyAlignment="1">
      <alignment vertical="center"/>
      <protection/>
    </xf>
    <xf numFmtId="3" fontId="8" fillId="0" borderId="13" xfId="188" applyNumberFormat="1" applyFont="1" applyBorder="1" applyAlignment="1">
      <alignment vertical="center"/>
      <protection/>
    </xf>
    <xf numFmtId="3" fontId="8" fillId="0" borderId="13" xfId="188" applyNumberFormat="1" applyFont="1" applyBorder="1" applyAlignment="1">
      <alignment horizontal="left" vertical="center" wrapText="1"/>
      <protection/>
    </xf>
    <xf numFmtId="3" fontId="7" fillId="8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/>
    </xf>
    <xf numFmtId="0" fontId="9" fillId="8" borderId="13" xfId="144" applyFont="1" applyFill="1" applyBorder="1" applyAlignment="1">
      <alignment vertical="center" wrapText="1"/>
      <protection/>
    </xf>
    <xf numFmtId="0" fontId="9" fillId="8" borderId="13" xfId="144" applyFont="1" applyFill="1" applyBorder="1" applyAlignment="1">
      <alignment horizontal="center" vertical="center" wrapText="1"/>
      <protection/>
    </xf>
    <xf numFmtId="3" fontId="9" fillId="8" borderId="13" xfId="188" applyNumberFormat="1" applyFont="1" applyFill="1" applyBorder="1" applyAlignment="1">
      <alignment horizontal="center" vertical="center" wrapText="1"/>
      <protection/>
    </xf>
    <xf numFmtId="0" fontId="52" fillId="8" borderId="13" xfId="0" applyFont="1" applyFill="1" applyBorder="1" applyAlignment="1">
      <alignment horizontal="center" vertical="center" wrapText="1"/>
    </xf>
    <xf numFmtId="0" fontId="9" fillId="8" borderId="13" xfId="144" applyFont="1" applyFill="1" applyBorder="1" applyAlignment="1">
      <alignment horizontal="center" vertical="top" wrapText="1"/>
      <protection/>
    </xf>
    <xf numFmtId="3" fontId="7" fillId="8" borderId="21" xfId="0" applyNumberFormat="1" applyFont="1" applyFill="1" applyBorder="1" applyAlignment="1">
      <alignment horizontal="center" vertical="center" wrapText="1"/>
    </xf>
    <xf numFmtId="0" fontId="10" fillId="0" borderId="13" xfId="144" applyFont="1" applyBorder="1" applyAlignment="1">
      <alignment vertical="center" wrapText="1"/>
      <protection/>
    </xf>
    <xf numFmtId="0" fontId="52" fillId="8" borderId="22" xfId="0" applyFont="1" applyFill="1" applyBorder="1" applyAlignment="1">
      <alignment horizontal="center" vertical="center" wrapText="1"/>
    </xf>
    <xf numFmtId="0" fontId="10" fillId="0" borderId="18" xfId="144" applyFont="1" applyBorder="1" applyAlignment="1">
      <alignment vertical="center"/>
      <protection/>
    </xf>
    <xf numFmtId="0" fontId="4" fillId="0" borderId="0" xfId="145" applyAlignment="1">
      <alignment vertical="center"/>
      <protection/>
    </xf>
    <xf numFmtId="0" fontId="4" fillId="0" borderId="0" xfId="145" applyAlignment="1">
      <alignment vertical="top"/>
      <protection/>
    </xf>
    <xf numFmtId="3" fontId="4" fillId="0" borderId="0" xfId="145" applyNumberFormat="1" applyAlignment="1">
      <alignment vertical="center"/>
      <protection/>
    </xf>
    <xf numFmtId="0" fontId="9" fillId="8" borderId="13" xfId="145" applyFont="1" applyFill="1" applyBorder="1" applyAlignment="1">
      <alignment horizontal="center" vertical="center" wrapText="1"/>
      <protection/>
    </xf>
    <xf numFmtId="0" fontId="16" fillId="0" borderId="13" xfId="167" applyFont="1" applyFill="1" applyBorder="1" applyAlignment="1">
      <alignment horizontal="center" vertical="center" wrapText="1"/>
      <protection/>
    </xf>
    <xf numFmtId="0" fontId="16" fillId="0" borderId="13" xfId="167" applyFont="1" applyFill="1" applyBorder="1" applyAlignment="1">
      <alignment horizontal="left" vertical="center" wrapText="1"/>
      <protection/>
    </xf>
    <xf numFmtId="3" fontId="10" fillId="0" borderId="13" xfId="145" applyNumberFormat="1" applyFont="1" applyBorder="1" applyAlignment="1">
      <alignment vertical="center"/>
      <protection/>
    </xf>
    <xf numFmtId="0" fontId="10" fillId="0" borderId="13" xfId="168" applyFont="1" applyFill="1" applyBorder="1" applyAlignment="1">
      <alignment vertical="center" wrapText="1"/>
      <protection/>
    </xf>
    <xf numFmtId="0" fontId="10" fillId="0" borderId="13" xfId="168" applyFont="1" applyFill="1" applyBorder="1" applyAlignment="1">
      <alignment vertical="center"/>
      <protection/>
    </xf>
    <xf numFmtId="0" fontId="10" fillId="0" borderId="13" xfId="168" applyFont="1" applyBorder="1" applyAlignment="1">
      <alignment vertical="center"/>
      <protection/>
    </xf>
    <xf numFmtId="0" fontId="10" fillId="0" borderId="13" xfId="178" applyFont="1" applyFill="1" applyBorder="1" applyAlignment="1">
      <alignment vertical="center"/>
      <protection/>
    </xf>
    <xf numFmtId="0" fontId="8" fillId="8" borderId="13" xfId="145" applyFont="1" applyFill="1" applyBorder="1" applyAlignment="1">
      <alignment horizontal="center" vertical="center"/>
      <protection/>
    </xf>
    <xf numFmtId="0" fontId="8" fillId="8" borderId="13" xfId="145" applyFont="1" applyFill="1" applyBorder="1" applyAlignment="1">
      <alignment vertical="center" wrapText="1"/>
      <protection/>
    </xf>
    <xf numFmtId="3" fontId="8" fillId="8" borderId="13" xfId="145" applyNumberFormat="1" applyFont="1" applyFill="1" applyBorder="1" applyAlignment="1">
      <alignment vertical="center"/>
      <protection/>
    </xf>
    <xf numFmtId="3" fontId="53" fillId="0" borderId="0" xfId="145" applyNumberFormat="1" applyFont="1" applyAlignment="1">
      <alignment vertical="center"/>
      <protection/>
    </xf>
    <xf numFmtId="0" fontId="10" fillId="0" borderId="13" xfId="167" applyFont="1" applyFill="1" applyBorder="1" applyAlignment="1">
      <alignment horizontal="center" vertical="center" wrapText="1"/>
      <protection/>
    </xf>
    <xf numFmtId="0" fontId="10" fillId="0" borderId="13" xfId="167" applyFont="1" applyFill="1" applyBorder="1" applyAlignment="1">
      <alignment horizontal="left" vertical="center" wrapText="1"/>
      <protection/>
    </xf>
    <xf numFmtId="3" fontId="10" fillId="0" borderId="13" xfId="188" applyNumberFormat="1" applyFont="1" applyFill="1" applyBorder="1" applyAlignment="1">
      <alignment horizontal="right" vertical="center" wrapText="1"/>
      <protection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3" fontId="55" fillId="0" borderId="0" xfId="170" applyNumberFormat="1" applyFont="1" applyAlignment="1">
      <alignment horizontal="center" vertical="center" wrapText="1"/>
      <protection/>
    </xf>
    <xf numFmtId="3" fontId="12" fillId="9" borderId="23" xfId="170" applyNumberFormat="1" applyFont="1" applyFill="1" applyBorder="1" applyAlignment="1">
      <alignment horizontal="center" wrapText="1"/>
      <protection/>
    </xf>
    <xf numFmtId="0" fontId="56" fillId="9" borderId="24" xfId="170" applyFont="1" applyFill="1" applyBorder="1" applyAlignment="1">
      <alignment horizontal="center" wrapText="1"/>
      <protection/>
    </xf>
    <xf numFmtId="3" fontId="9" fillId="9" borderId="25" xfId="170" applyNumberFormat="1" applyFont="1" applyFill="1" applyBorder="1" applyAlignment="1">
      <alignment horizontal="center" vertical="center" wrapText="1"/>
      <protection/>
    </xf>
    <xf numFmtId="3" fontId="9" fillId="9" borderId="26" xfId="170" applyNumberFormat="1" applyFont="1" applyFill="1" applyBorder="1" applyAlignment="1">
      <alignment horizontal="center" vertical="center" wrapText="1"/>
      <protection/>
    </xf>
    <xf numFmtId="3" fontId="9" fillId="9" borderId="27" xfId="170" applyNumberFormat="1" applyFont="1" applyFill="1" applyBorder="1" applyAlignment="1">
      <alignment horizontal="center" vertical="center" wrapText="1"/>
      <protection/>
    </xf>
    <xf numFmtId="3" fontId="3" fillId="0" borderId="13" xfId="170" applyNumberFormat="1" applyFont="1" applyBorder="1" applyAlignment="1">
      <alignment horizontal="center" vertical="center" wrapText="1"/>
      <protection/>
    </xf>
    <xf numFmtId="3" fontId="7" fillId="0" borderId="28" xfId="170" applyNumberFormat="1" applyFont="1" applyBorder="1" applyAlignment="1">
      <alignment vertical="center" wrapText="1"/>
      <protection/>
    </xf>
    <xf numFmtId="3" fontId="10" fillId="0" borderId="29" xfId="170" applyNumberFormat="1" applyFont="1" applyBorder="1" applyAlignment="1">
      <alignment horizontal="center" vertical="center" wrapText="1"/>
      <protection/>
    </xf>
    <xf numFmtId="1" fontId="7" fillId="0" borderId="29" xfId="170" applyNumberFormat="1" applyFont="1" applyBorder="1" applyAlignment="1">
      <alignment horizontal="center" vertical="center" wrapText="1"/>
      <protection/>
    </xf>
    <xf numFmtId="3" fontId="7" fillId="0" borderId="29" xfId="170" applyNumberFormat="1" applyFont="1" applyBorder="1" applyAlignment="1">
      <alignment horizontal="right" vertical="center" wrapText="1"/>
      <protection/>
    </xf>
    <xf numFmtId="3" fontId="3" fillId="0" borderId="0" xfId="170" applyNumberFormat="1" applyFont="1" applyAlignment="1">
      <alignment vertical="center" wrapText="1"/>
      <protection/>
    </xf>
    <xf numFmtId="3" fontId="7" fillId="0" borderId="29" xfId="170" applyNumberFormat="1" applyFont="1" applyBorder="1" applyAlignment="1">
      <alignment horizontal="center" vertical="center" wrapText="1"/>
      <protection/>
    </xf>
    <xf numFmtId="3" fontId="7" fillId="0" borderId="0" xfId="170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0" fontId="8" fillId="8" borderId="30" xfId="177" applyFont="1" applyFill="1" applyBorder="1" applyAlignment="1">
      <alignment horizontal="center" vertical="center" wrapText="1"/>
      <protection/>
    </xf>
    <xf numFmtId="0" fontId="8" fillId="8" borderId="31" xfId="177" applyFont="1" applyFill="1" applyBorder="1" applyAlignment="1">
      <alignment horizontal="center" vertical="center" wrapText="1"/>
      <protection/>
    </xf>
    <xf numFmtId="2" fontId="8" fillId="8" borderId="31" xfId="177" applyNumberFormat="1" applyFont="1" applyFill="1" applyBorder="1" applyAlignment="1">
      <alignment horizontal="center" vertical="center" wrapText="1"/>
      <protection/>
    </xf>
    <xf numFmtId="3" fontId="8" fillId="8" borderId="31" xfId="177" applyNumberFormat="1" applyFont="1" applyFill="1" applyBorder="1" applyAlignment="1">
      <alignment horizontal="center" vertical="center" wrapText="1"/>
      <protection/>
    </xf>
    <xf numFmtId="0" fontId="17" fillId="8" borderId="13" xfId="168" applyFont="1" applyFill="1" applyBorder="1" applyAlignment="1">
      <alignment horizontal="center" vertical="center"/>
      <protection/>
    </xf>
    <xf numFmtId="0" fontId="8" fillId="8" borderId="13" xfId="168" applyFont="1" applyFill="1" applyBorder="1" applyAlignment="1">
      <alignment vertical="center"/>
      <protection/>
    </xf>
    <xf numFmtId="166" fontId="8" fillId="8" borderId="13" xfId="177" applyNumberFormat="1" applyFont="1" applyFill="1" applyBorder="1">
      <alignment/>
      <protection/>
    </xf>
    <xf numFmtId="0" fontId="15" fillId="0" borderId="0" xfId="173">
      <alignment/>
      <protection/>
    </xf>
    <xf numFmtId="0" fontId="58" fillId="47" borderId="0" xfId="173" applyFont="1" applyFill="1">
      <alignment/>
      <protection/>
    </xf>
    <xf numFmtId="0" fontId="59" fillId="47" borderId="0" xfId="173" applyFont="1" applyFill="1">
      <alignment/>
      <protection/>
    </xf>
    <xf numFmtId="0" fontId="60" fillId="0" borderId="0" xfId="173" applyFont="1">
      <alignment/>
      <protection/>
    </xf>
    <xf numFmtId="0" fontId="61" fillId="0" borderId="0" xfId="173" applyFont="1">
      <alignment/>
      <protection/>
    </xf>
    <xf numFmtId="0" fontId="62" fillId="0" borderId="0" xfId="173" applyFont="1">
      <alignment/>
      <protection/>
    </xf>
    <xf numFmtId="0" fontId="63" fillId="0" borderId="0" xfId="173" applyFont="1">
      <alignment/>
      <protection/>
    </xf>
    <xf numFmtId="0" fontId="17" fillId="8" borderId="13" xfId="172" applyFont="1" applyFill="1" applyBorder="1">
      <alignment/>
      <protection/>
    </xf>
    <xf numFmtId="166" fontId="8" fillId="8" borderId="13" xfId="172" applyNumberFormat="1" applyFont="1" applyFill="1" applyBorder="1">
      <alignment/>
      <protection/>
    </xf>
    <xf numFmtId="0" fontId="10" fillId="9" borderId="32" xfId="155" applyFont="1" applyFill="1" applyBorder="1" applyAlignment="1">
      <alignment vertical="center"/>
      <protection/>
    </xf>
    <xf numFmtId="0" fontId="5" fillId="0" borderId="0" xfId="155" applyFont="1" applyAlignment="1">
      <alignment vertical="center"/>
      <protection/>
    </xf>
    <xf numFmtId="0" fontId="11" fillId="0" borderId="13" xfId="155" applyFont="1" applyBorder="1" applyAlignment="1">
      <alignment horizontal="left" vertical="top"/>
      <protection/>
    </xf>
    <xf numFmtId="0" fontId="10" fillId="0" borderId="13" xfId="155" applyFont="1" applyBorder="1" applyAlignment="1">
      <alignment vertical="center"/>
      <protection/>
    </xf>
    <xf numFmtId="0" fontId="10" fillId="0" borderId="22" xfId="155" applyFont="1" applyBorder="1" applyAlignment="1">
      <alignment horizontal="center" vertical="center"/>
      <protection/>
    </xf>
    <xf numFmtId="0" fontId="10" fillId="0" borderId="33" xfId="155" applyFont="1" applyBorder="1" applyAlignment="1">
      <alignment vertical="center"/>
      <protection/>
    </xf>
    <xf numFmtId="0" fontId="11" fillId="0" borderId="13" xfId="155" applyFont="1" applyBorder="1" applyAlignment="1">
      <alignment vertical="center"/>
      <protection/>
    </xf>
    <xf numFmtId="3" fontId="7" fillId="0" borderId="13" xfId="155" applyNumberFormat="1" applyFont="1" applyBorder="1" applyAlignment="1">
      <alignment horizontal="right" vertical="center"/>
      <protection/>
    </xf>
    <xf numFmtId="3" fontId="7" fillId="0" borderId="22" xfId="155" applyNumberFormat="1" applyFont="1" applyBorder="1" applyAlignment="1">
      <alignment horizontal="right" vertical="center"/>
      <protection/>
    </xf>
    <xf numFmtId="3" fontId="10" fillId="0" borderId="13" xfId="155" applyNumberFormat="1" applyFont="1" applyBorder="1" applyAlignment="1">
      <alignment vertical="center"/>
      <protection/>
    </xf>
    <xf numFmtId="3" fontId="36" fillId="0" borderId="13" xfId="155" applyNumberFormat="1" applyFont="1" applyBorder="1" applyAlignment="1">
      <alignment vertical="center"/>
      <protection/>
    </xf>
    <xf numFmtId="167" fontId="7" fillId="0" borderId="13" xfId="155" applyNumberFormat="1" applyFont="1" applyBorder="1" applyAlignment="1">
      <alignment vertical="center"/>
      <protection/>
    </xf>
    <xf numFmtId="3" fontId="7" fillId="0" borderId="13" xfId="155" applyNumberFormat="1" applyFont="1" applyBorder="1" applyAlignment="1">
      <alignment vertical="center"/>
      <protection/>
    </xf>
    <xf numFmtId="4" fontId="7" fillId="0" borderId="13" xfId="155" applyNumberFormat="1" applyFont="1" applyBorder="1" applyAlignment="1">
      <alignment vertical="center"/>
      <protection/>
    </xf>
    <xf numFmtId="0" fontId="10" fillId="0" borderId="13" xfId="155" applyFont="1" applyBorder="1" applyAlignment="1">
      <alignment vertical="center" wrapText="1"/>
      <protection/>
    </xf>
    <xf numFmtId="0" fontId="7" fillId="0" borderId="13" xfId="155" applyFont="1" applyBorder="1" applyAlignment="1">
      <alignment vertical="center"/>
      <protection/>
    </xf>
    <xf numFmtId="0" fontId="11" fillId="0" borderId="13" xfId="155" applyFont="1" applyBorder="1" applyAlignment="1">
      <alignment vertical="center" wrapText="1"/>
      <protection/>
    </xf>
    <xf numFmtId="0" fontId="9" fillId="0" borderId="13" xfId="155" applyFont="1" applyBorder="1" applyAlignment="1">
      <alignment vertical="center" wrapText="1"/>
      <protection/>
    </xf>
    <xf numFmtId="0" fontId="9" fillId="9" borderId="13" xfId="155" applyFont="1" applyFill="1" applyBorder="1" applyAlignment="1">
      <alignment vertical="center"/>
      <protection/>
    </xf>
    <xf numFmtId="3" fontId="9" fillId="9" borderId="13" xfId="155" applyNumberFormat="1" applyFont="1" applyFill="1" applyBorder="1" applyAlignment="1">
      <alignment vertical="center"/>
      <protection/>
    </xf>
    <xf numFmtId="169" fontId="5" fillId="0" borderId="0" xfId="101" applyNumberFormat="1" applyFont="1" applyAlignment="1">
      <alignment vertical="center"/>
    </xf>
    <xf numFmtId="3" fontId="7" fillId="0" borderId="29" xfId="170" applyNumberFormat="1" applyFont="1" applyBorder="1" applyAlignment="1">
      <alignment vertical="center" wrapText="1"/>
      <protection/>
    </xf>
    <xf numFmtId="3" fontId="3" fillId="8" borderId="21" xfId="170" applyNumberFormat="1" applyFont="1" applyFill="1" applyBorder="1" applyAlignment="1">
      <alignment vertical="center" wrapText="1"/>
      <protection/>
    </xf>
    <xf numFmtId="3" fontId="8" fillId="9" borderId="34" xfId="170" applyNumberFormat="1" applyFont="1" applyFill="1" applyBorder="1" applyAlignment="1">
      <alignment vertical="center" wrapText="1"/>
      <protection/>
    </xf>
    <xf numFmtId="3" fontId="8" fillId="9" borderId="35" xfId="170" applyNumberFormat="1" applyFont="1" applyFill="1" applyBorder="1" applyAlignment="1">
      <alignment vertical="center" wrapText="1"/>
      <protection/>
    </xf>
    <xf numFmtId="3" fontId="9" fillId="9" borderId="35" xfId="170" applyNumberFormat="1" applyFont="1" applyFill="1" applyBorder="1" applyAlignment="1">
      <alignment vertical="center" wrapText="1"/>
      <protection/>
    </xf>
    <xf numFmtId="3" fontId="3" fillId="0" borderId="21" xfId="170" applyNumberFormat="1" applyFont="1" applyBorder="1" applyAlignment="1">
      <alignment horizontal="center" vertical="center" wrapText="1"/>
      <protection/>
    </xf>
    <xf numFmtId="3" fontId="7" fillId="0" borderId="13" xfId="170" applyNumberFormat="1" applyFont="1" applyBorder="1" applyAlignment="1">
      <alignment vertical="center" wrapText="1"/>
      <protection/>
    </xf>
    <xf numFmtId="3" fontId="8" fillId="0" borderId="13" xfId="170" applyNumberFormat="1" applyFont="1" applyBorder="1" applyAlignment="1">
      <alignment vertical="center" wrapText="1"/>
      <protection/>
    </xf>
    <xf numFmtId="3" fontId="7" fillId="0" borderId="13" xfId="170" applyNumberFormat="1" applyFont="1" applyBorder="1" applyAlignment="1">
      <alignment horizontal="center" vertical="center" wrapText="1"/>
      <protection/>
    </xf>
    <xf numFmtId="3" fontId="10" fillId="0" borderId="13" xfId="170" applyNumberFormat="1" applyFont="1" applyBorder="1" applyAlignment="1">
      <alignment vertical="center" wrapText="1"/>
      <protection/>
    </xf>
    <xf numFmtId="3" fontId="3" fillId="8" borderId="13" xfId="170" applyNumberFormat="1" applyFont="1" applyFill="1" applyBorder="1" applyAlignment="1">
      <alignment vertical="center" wrapText="1"/>
      <protection/>
    </xf>
    <xf numFmtId="3" fontId="8" fillId="9" borderId="13" xfId="170" applyNumberFormat="1" applyFont="1" applyFill="1" applyBorder="1" applyAlignment="1">
      <alignment vertical="center" wrapText="1"/>
      <protection/>
    </xf>
    <xf numFmtId="3" fontId="7" fillId="8" borderId="13" xfId="170" applyNumberFormat="1" applyFont="1" applyFill="1" applyBorder="1" applyAlignment="1">
      <alignment vertical="center" wrapText="1"/>
      <protection/>
    </xf>
    <xf numFmtId="3" fontId="9" fillId="8" borderId="13" xfId="170" applyNumberFormat="1" applyFont="1" applyFill="1" applyBorder="1" applyAlignment="1">
      <alignment vertical="center" wrapText="1"/>
      <protection/>
    </xf>
    <xf numFmtId="0" fontId="4" fillId="0" borderId="0" xfId="146">
      <alignment/>
      <protection/>
    </xf>
    <xf numFmtId="0" fontId="8" fillId="8" borderId="13" xfId="144" applyFont="1" applyFill="1" applyBorder="1" applyAlignment="1">
      <alignment horizontal="center" vertical="top" wrapText="1"/>
      <protection/>
    </xf>
    <xf numFmtId="0" fontId="2" fillId="8" borderId="13" xfId="0" applyFont="1" applyFill="1" applyBorder="1" applyAlignment="1">
      <alignment horizontal="center" vertical="center" wrapText="1"/>
    </xf>
    <xf numFmtId="0" fontId="8" fillId="8" borderId="13" xfId="144" applyFont="1" applyFill="1" applyBorder="1" applyAlignment="1">
      <alignment horizontal="center" vertical="center" wrapText="1"/>
      <protection/>
    </xf>
    <xf numFmtId="0" fontId="4" fillId="0" borderId="0" xfId="146" applyAlignment="1">
      <alignment vertical="center"/>
      <protection/>
    </xf>
    <xf numFmtId="0" fontId="7" fillId="0" borderId="18" xfId="176" applyFont="1" applyBorder="1" applyAlignment="1">
      <alignment horizontal="center" vertical="center"/>
      <protection/>
    </xf>
    <xf numFmtId="0" fontId="7" fillId="0" borderId="13" xfId="176" applyFont="1" applyBorder="1" applyAlignment="1">
      <alignment horizontal="center" vertical="center"/>
      <protection/>
    </xf>
    <xf numFmtId="0" fontId="8" fillId="0" borderId="13" xfId="176" applyFont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/>
    </xf>
    <xf numFmtId="0" fontId="65" fillId="0" borderId="0" xfId="146" applyFont="1" applyAlignment="1">
      <alignment vertical="center"/>
      <protection/>
    </xf>
    <xf numFmtId="0" fontId="8" fillId="8" borderId="13" xfId="176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vertical="center" wrapText="1"/>
    </xf>
    <xf numFmtId="0" fontId="7" fillId="0" borderId="22" xfId="147" applyFont="1" applyBorder="1" applyAlignment="1">
      <alignment vertical="center" wrapText="1"/>
      <protection/>
    </xf>
    <xf numFmtId="0" fontId="7" fillId="0" borderId="0" xfId="147" applyFont="1" applyAlignment="1">
      <alignment vertical="center" wrapText="1"/>
      <protection/>
    </xf>
    <xf numFmtId="3" fontId="7" fillId="0" borderId="22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0" borderId="22" xfId="153" applyFont="1" applyBorder="1" applyAlignment="1">
      <alignment vertical="top" wrapText="1"/>
      <protection/>
    </xf>
    <xf numFmtId="0" fontId="7" fillId="0" borderId="22" xfId="176" applyFont="1" applyBorder="1" applyAlignment="1">
      <alignment vertical="center"/>
      <protection/>
    </xf>
    <xf numFmtId="0" fontId="7" fillId="0" borderId="21" xfId="176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0" fontId="7" fillId="8" borderId="13" xfId="176" applyFont="1" applyFill="1" applyBorder="1" applyAlignment="1">
      <alignment horizontal="center" vertical="center"/>
      <protection/>
    </xf>
    <xf numFmtId="3" fontId="8" fillId="8" borderId="22" xfId="0" applyNumberFormat="1" applyFont="1" applyFill="1" applyBorder="1" applyAlignment="1">
      <alignment vertical="center"/>
    </xf>
    <xf numFmtId="0" fontId="8" fillId="8" borderId="22" xfId="144" applyFont="1" applyFill="1" applyBorder="1" applyAlignment="1">
      <alignment vertical="center" wrapText="1"/>
      <protection/>
    </xf>
    <xf numFmtId="3" fontId="4" fillId="0" borderId="0" xfId="146" applyNumberFormat="1">
      <alignment/>
      <protection/>
    </xf>
    <xf numFmtId="0" fontId="4" fillId="0" borderId="0" xfId="146" applyAlignment="1">
      <alignment horizontal="center"/>
      <protection/>
    </xf>
    <xf numFmtId="3" fontId="9" fillId="8" borderId="36" xfId="188" applyNumberFormat="1" applyFont="1" applyFill="1" applyBorder="1" applyAlignment="1">
      <alignment horizontal="center" vertical="center" wrapText="1"/>
      <protection/>
    </xf>
    <xf numFmtId="3" fontId="9" fillId="8" borderId="18" xfId="188" applyNumberFormat="1" applyFont="1" applyFill="1" applyBorder="1" applyAlignment="1">
      <alignment horizontal="center" vertical="center" wrapText="1"/>
      <protection/>
    </xf>
    <xf numFmtId="3" fontId="9" fillId="8" borderId="37" xfId="188" applyNumberFormat="1" applyFont="1" applyFill="1" applyBorder="1" applyAlignment="1">
      <alignment horizontal="center" vertical="center" wrapText="1"/>
      <protection/>
    </xf>
    <xf numFmtId="3" fontId="10" fillId="0" borderId="18" xfId="188" applyNumberFormat="1" applyFont="1" applyBorder="1" applyAlignment="1">
      <alignment horizontal="center" vertical="center" wrapText="1"/>
      <protection/>
    </xf>
    <xf numFmtId="3" fontId="10" fillId="0" borderId="13" xfId="188" applyNumberFormat="1" applyFont="1" applyBorder="1" applyAlignment="1">
      <alignment horizontal="center" vertical="center" wrapText="1"/>
      <protection/>
    </xf>
    <xf numFmtId="3" fontId="10" fillId="0" borderId="38" xfId="188" applyNumberFormat="1" applyFont="1" applyBorder="1" applyAlignment="1">
      <alignment horizontal="center" vertical="center" wrapText="1"/>
      <protection/>
    </xf>
    <xf numFmtId="3" fontId="9" fillId="0" borderId="33" xfId="188" applyNumberFormat="1" applyFont="1" applyBorder="1" applyAlignment="1">
      <alignment vertical="center"/>
      <protection/>
    </xf>
    <xf numFmtId="3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3" fontId="9" fillId="0" borderId="13" xfId="188" applyNumberFormat="1" applyFont="1" applyBorder="1" applyAlignment="1">
      <alignment horizontal="center" vertical="center" wrapText="1"/>
      <protection/>
    </xf>
    <xf numFmtId="3" fontId="9" fillId="0" borderId="18" xfId="188" applyNumberFormat="1" applyFont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22" xfId="144" applyFont="1" applyBorder="1" applyAlignment="1">
      <alignment vertical="center"/>
      <protection/>
    </xf>
    <xf numFmtId="3" fontId="9" fillId="0" borderId="13" xfId="188" applyNumberFormat="1" applyFont="1" applyBorder="1" applyAlignment="1">
      <alignment horizontal="left" vertical="center"/>
      <protection/>
    </xf>
    <xf numFmtId="3" fontId="9" fillId="0" borderId="13" xfId="188" applyNumberFormat="1" applyFont="1" applyBorder="1" applyAlignment="1">
      <alignment horizontal="center" vertical="center"/>
      <protection/>
    </xf>
    <xf numFmtId="3" fontId="10" fillId="0" borderId="22" xfId="188" applyNumberFormat="1" applyFont="1" applyBorder="1" applyAlignment="1">
      <alignment horizontal="center" vertical="center"/>
      <protection/>
    </xf>
    <xf numFmtId="3" fontId="10" fillId="0" borderId="22" xfId="188" applyNumberFormat="1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22" xfId="188" applyNumberFormat="1" applyFont="1" applyBorder="1" applyAlignment="1">
      <alignment vertical="center"/>
      <protection/>
    </xf>
    <xf numFmtId="0" fontId="10" fillId="0" borderId="13" xfId="0" applyFont="1" applyBorder="1" applyAlignment="1">
      <alignment vertical="center"/>
    </xf>
    <xf numFmtId="3" fontId="10" fillId="0" borderId="39" xfId="188" applyNumberFormat="1" applyFont="1" applyBorder="1" applyAlignment="1">
      <alignment vertical="center"/>
      <protection/>
    </xf>
    <xf numFmtId="0" fontId="10" fillId="0" borderId="29" xfId="0" applyFont="1" applyBorder="1" applyAlignment="1">
      <alignment vertical="center"/>
    </xf>
    <xf numFmtId="3" fontId="10" fillId="0" borderId="22" xfId="0" applyNumberFormat="1" applyFont="1" applyBorder="1" applyAlignment="1">
      <alignment horizontal="left" vertical="center"/>
    </xf>
    <xf numFmtId="3" fontId="10" fillId="0" borderId="2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22" xfId="176" applyFont="1" applyBorder="1" applyAlignment="1">
      <alignment vertical="center"/>
      <protection/>
    </xf>
    <xf numFmtId="3" fontId="10" fillId="48" borderId="22" xfId="0" applyNumberFormat="1" applyFont="1" applyFill="1" applyBorder="1" applyAlignment="1">
      <alignment vertical="center"/>
    </xf>
    <xf numFmtId="3" fontId="10" fillId="48" borderId="22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center" vertical="center"/>
    </xf>
    <xf numFmtId="3" fontId="9" fillId="8" borderId="22" xfId="0" applyNumberFormat="1" applyFont="1" applyFill="1" applyBorder="1" applyAlignment="1">
      <alignment horizontal="center" vertical="center"/>
    </xf>
    <xf numFmtId="3" fontId="9" fillId="8" borderId="22" xfId="0" applyNumberFormat="1" applyFont="1" applyFill="1" applyBorder="1" applyAlignment="1">
      <alignment vertical="center"/>
    </xf>
    <xf numFmtId="3" fontId="9" fillId="8" borderId="14" xfId="0" applyNumberFormat="1" applyFont="1" applyFill="1" applyBorder="1" applyAlignment="1">
      <alignment vertical="center"/>
    </xf>
    <xf numFmtId="3" fontId="8" fillId="8" borderId="13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1" fillId="0" borderId="22" xfId="144" applyFont="1" applyBorder="1" applyAlignment="1">
      <alignment vertical="center"/>
      <protection/>
    </xf>
    <xf numFmtId="0" fontId="10" fillId="0" borderId="14" xfId="0" applyFont="1" applyBorder="1" applyAlignment="1">
      <alignment vertical="center"/>
    </xf>
    <xf numFmtId="3" fontId="10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39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3" fontId="10" fillId="0" borderId="40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0" fillId="0" borderId="22" xfId="147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 wrapText="1"/>
    </xf>
    <xf numFmtId="3" fontId="10" fillId="0" borderId="13" xfId="0" applyNumberFormat="1" applyFont="1" applyBorder="1" applyAlignment="1">
      <alignment wrapText="1"/>
    </xf>
    <xf numFmtId="3" fontId="10" fillId="0" borderId="39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49" fontId="10" fillId="0" borderId="39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left" wrapText="1"/>
    </xf>
    <xf numFmtId="3" fontId="9" fillId="8" borderId="14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horizontal="center" vertical="center"/>
    </xf>
    <xf numFmtId="49" fontId="8" fillId="0" borderId="40" xfId="161" applyNumberFormat="1" applyFont="1" applyBorder="1" applyAlignment="1">
      <alignment horizontal="left" vertical="center" wrapText="1"/>
      <protection/>
    </xf>
    <xf numFmtId="3" fontId="9" fillId="0" borderId="4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7" fillId="0" borderId="22" xfId="0" applyFont="1" applyBorder="1" applyAlignment="1">
      <alignment wrapText="1"/>
    </xf>
    <xf numFmtId="3" fontId="8" fillId="0" borderId="22" xfId="160" applyNumberFormat="1" applyFont="1" applyBorder="1" applyAlignment="1">
      <alignment vertical="top" wrapText="1"/>
      <protection/>
    </xf>
    <xf numFmtId="3" fontId="10" fillId="0" borderId="43" xfId="0" applyNumberFormat="1" applyFont="1" applyBorder="1" applyAlignment="1">
      <alignment horizontal="center" vertical="center"/>
    </xf>
    <xf numFmtId="3" fontId="7" fillId="0" borderId="22" xfId="160" applyNumberFormat="1" applyFont="1" applyBorder="1" applyAlignment="1">
      <alignment vertical="center" wrapText="1"/>
      <protection/>
    </xf>
    <xf numFmtId="3" fontId="9" fillId="0" borderId="39" xfId="0" applyNumberFormat="1" applyFont="1" applyBorder="1" applyAlignment="1">
      <alignment horizontal="center" vertical="center"/>
    </xf>
    <xf numFmtId="3" fontId="17" fillId="0" borderId="22" xfId="160" applyNumberFormat="1" applyFont="1" applyBorder="1" applyAlignment="1">
      <alignment vertical="center" wrapText="1"/>
      <protection/>
    </xf>
    <xf numFmtId="3" fontId="10" fillId="0" borderId="39" xfId="0" applyNumberFormat="1" applyFont="1" applyBorder="1" applyAlignment="1">
      <alignment horizontal="center" vertical="center"/>
    </xf>
    <xf numFmtId="3" fontId="54" fillId="0" borderId="2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54" fillId="0" borderId="3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7" fillId="0" borderId="22" xfId="160" applyNumberFormat="1" applyFont="1" applyBorder="1" applyAlignment="1">
      <alignment vertical="top" wrapText="1"/>
      <protection/>
    </xf>
    <xf numFmtId="0" fontId="7" fillId="0" borderId="13" xfId="0" applyFont="1" applyBorder="1" applyAlignment="1">
      <alignment horizontal="left" vertical="center" wrapText="1"/>
    </xf>
    <xf numFmtId="3" fontId="10" fillId="0" borderId="33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vertical="center"/>
    </xf>
    <xf numFmtId="3" fontId="10" fillId="8" borderId="14" xfId="0" applyNumberFormat="1" applyFont="1" applyFill="1" applyBorder="1" applyAlignment="1">
      <alignment vertical="center"/>
    </xf>
    <xf numFmtId="3" fontId="10" fillId="8" borderId="13" xfId="0" applyNumberFormat="1" applyFont="1" applyFill="1" applyBorder="1" applyAlignment="1">
      <alignment vertical="center"/>
    </xf>
    <xf numFmtId="3" fontId="10" fillId="8" borderId="13" xfId="188" applyNumberFormat="1" applyFont="1" applyFill="1" applyBorder="1" applyAlignment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vertical="center"/>
    </xf>
    <xf numFmtId="0" fontId="7" fillId="0" borderId="39" xfId="181" applyFont="1" applyBorder="1" applyAlignment="1">
      <alignment vertical="center" wrapText="1"/>
      <protection/>
    </xf>
    <xf numFmtId="49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left" vertical="center"/>
    </xf>
    <xf numFmtId="3" fontId="7" fillId="0" borderId="43" xfId="0" applyNumberFormat="1" applyFont="1" applyBorder="1" applyAlignment="1">
      <alignment horizontal="left" vertical="center"/>
    </xf>
    <xf numFmtId="3" fontId="7" fillId="0" borderId="39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49" fontId="7" fillId="0" borderId="39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3" fontId="7" fillId="0" borderId="40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3" fontId="8" fillId="8" borderId="22" xfId="0" applyNumberFormat="1" applyFont="1" applyFill="1" applyBorder="1" applyAlignment="1">
      <alignment horizontal="left" vertical="center"/>
    </xf>
    <xf numFmtId="3" fontId="9" fillId="0" borderId="21" xfId="0" applyNumberFormat="1" applyFont="1" applyBorder="1" applyAlignment="1">
      <alignment horizontal="center" vertical="center"/>
    </xf>
    <xf numFmtId="0" fontId="8" fillId="0" borderId="40" xfId="182" applyFont="1" applyBorder="1" applyAlignment="1">
      <alignment horizontal="center" vertical="center"/>
      <protection/>
    </xf>
    <xf numFmtId="49" fontId="16" fillId="0" borderId="37" xfId="187" applyNumberFormat="1" applyFont="1" applyBorder="1" applyAlignment="1">
      <alignment horizontal="left" vertical="center" wrapText="1"/>
      <protection/>
    </xf>
    <xf numFmtId="3" fontId="10" fillId="49" borderId="44" xfId="0" applyNumberFormat="1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3" fontId="10" fillId="49" borderId="35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3" fontId="10" fillId="0" borderId="45" xfId="0" applyNumberFormat="1" applyFont="1" applyBorder="1" applyAlignment="1">
      <alignment vertical="center"/>
    </xf>
    <xf numFmtId="3" fontId="9" fillId="49" borderId="35" xfId="0" applyNumberFormat="1" applyFont="1" applyFill="1" applyBorder="1" applyAlignment="1">
      <alignment horizontal="center" vertical="center"/>
    </xf>
    <xf numFmtId="0" fontId="8" fillId="0" borderId="22" xfId="153" applyFont="1" applyBorder="1" applyAlignment="1">
      <alignment horizontal="center" vertical="center"/>
      <protection/>
    </xf>
    <xf numFmtId="3" fontId="9" fillId="49" borderId="35" xfId="0" applyNumberFormat="1" applyFont="1" applyFill="1" applyBorder="1" applyAlignment="1">
      <alignment horizontal="center" vertical="center"/>
    </xf>
    <xf numFmtId="3" fontId="10" fillId="49" borderId="1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3" fontId="9" fillId="49" borderId="13" xfId="0" applyNumberFormat="1" applyFont="1" applyFill="1" applyBorder="1" applyAlignment="1">
      <alignment horizontal="center" vertical="center"/>
    </xf>
    <xf numFmtId="3" fontId="10" fillId="49" borderId="18" xfId="0" applyNumberFormat="1" applyFont="1" applyFill="1" applyBorder="1" applyAlignment="1">
      <alignment horizontal="center" vertical="center"/>
    </xf>
    <xf numFmtId="0" fontId="7" fillId="0" borderId="22" xfId="152" applyFont="1" applyBorder="1" applyAlignment="1">
      <alignment horizontal="left" vertical="top" wrapText="1"/>
      <protection/>
    </xf>
    <xf numFmtId="0" fontId="8" fillId="0" borderId="22" xfId="153" applyFont="1" applyBorder="1" applyAlignment="1">
      <alignment horizontal="center" vertical="top"/>
      <protection/>
    </xf>
    <xf numFmtId="3" fontId="10" fillId="0" borderId="14" xfId="0" applyNumberFormat="1" applyFont="1" applyBorder="1" applyAlignment="1">
      <alignment vertical="center"/>
    </xf>
    <xf numFmtId="49" fontId="16" fillId="0" borderId="22" xfId="187" applyNumberFormat="1" applyFont="1" applyBorder="1" applyAlignment="1">
      <alignment horizontal="left" vertical="center" wrapText="1"/>
      <protection/>
    </xf>
    <xf numFmtId="3" fontId="9" fillId="49" borderId="18" xfId="0" applyNumberFormat="1" applyFont="1" applyFill="1" applyBorder="1" applyAlignment="1">
      <alignment horizontal="center" vertical="center"/>
    </xf>
    <xf numFmtId="3" fontId="9" fillId="49" borderId="44" xfId="0" applyNumberFormat="1" applyFont="1" applyFill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9" fillId="49" borderId="13" xfId="153" applyFont="1" applyFill="1" applyBorder="1" applyAlignment="1">
      <alignment horizontal="center" vertical="top" wrapText="1"/>
      <protection/>
    </xf>
    <xf numFmtId="0" fontId="7" fillId="0" borderId="46" xfId="0" applyFont="1" applyBorder="1" applyAlignment="1">
      <alignment horizontal="left" vertical="center" wrapText="1"/>
    </xf>
    <xf numFmtId="3" fontId="9" fillId="49" borderId="39" xfId="0" applyNumberFormat="1" applyFont="1" applyFill="1" applyBorder="1" applyAlignment="1">
      <alignment horizontal="center" vertical="center"/>
    </xf>
    <xf numFmtId="3" fontId="10" fillId="49" borderId="47" xfId="0" applyNumberFormat="1" applyFont="1" applyFill="1" applyBorder="1" applyAlignment="1">
      <alignment horizontal="center" vertical="center"/>
    </xf>
    <xf numFmtId="3" fontId="7" fillId="0" borderId="46" xfId="0" applyNumberFormat="1" applyFont="1" applyBorder="1" applyAlignment="1">
      <alignment horizontal="left" vertical="center" wrapText="1"/>
    </xf>
    <xf numFmtId="3" fontId="9" fillId="8" borderId="48" xfId="0" applyNumberFormat="1" applyFont="1" applyFill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horizontal="left" vertical="center" wrapText="1"/>
    </xf>
    <xf numFmtId="3" fontId="10" fillId="0" borderId="49" xfId="0" applyNumberFormat="1" applyFont="1" applyBorder="1" applyAlignment="1">
      <alignment vertical="center"/>
    </xf>
    <xf numFmtId="3" fontId="10" fillId="8" borderId="13" xfId="0" applyNumberFormat="1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0" fontId="8" fillId="0" borderId="13" xfId="153" applyFont="1" applyBorder="1" applyAlignment="1">
      <alignment horizontal="center" vertical="center"/>
      <protection/>
    </xf>
    <xf numFmtId="0" fontId="8" fillId="0" borderId="22" xfId="182" applyFont="1" applyBorder="1" applyAlignment="1">
      <alignment horizontal="center" vertical="center"/>
      <protection/>
    </xf>
    <xf numFmtId="0" fontId="7" fillId="0" borderId="22" xfId="182" applyFont="1" applyBorder="1" applyAlignment="1">
      <alignment vertical="center"/>
      <protection/>
    </xf>
    <xf numFmtId="0" fontId="7" fillId="0" borderId="22" xfId="181" applyFont="1" applyBorder="1" applyAlignment="1">
      <alignment vertical="center"/>
      <protection/>
    </xf>
    <xf numFmtId="49" fontId="7" fillId="0" borderId="22" xfId="160" applyNumberFormat="1" applyFont="1" applyBorder="1" applyAlignment="1">
      <alignment horizontal="left" vertical="center" wrapText="1"/>
      <protection/>
    </xf>
    <xf numFmtId="0" fontId="7" fillId="0" borderId="22" xfId="184" applyFont="1" applyBorder="1" applyAlignment="1">
      <alignment vertical="center" wrapText="1"/>
      <protection/>
    </xf>
    <xf numFmtId="3" fontId="10" fillId="0" borderId="21" xfId="0" applyNumberFormat="1" applyFont="1" applyBorder="1" applyAlignment="1">
      <alignment horizontal="center" vertical="center"/>
    </xf>
    <xf numFmtId="0" fontId="7" fillId="0" borderId="22" xfId="153" applyFont="1" applyBorder="1" applyAlignment="1">
      <alignment vertical="center"/>
      <protection/>
    </xf>
    <xf numFmtId="0" fontId="7" fillId="0" borderId="22" xfId="153" applyFont="1" applyBorder="1" applyAlignment="1">
      <alignment vertical="top"/>
      <protection/>
    </xf>
    <xf numFmtId="3" fontId="10" fillId="0" borderId="14" xfId="0" applyNumberFormat="1" applyFont="1" applyBorder="1" applyAlignment="1">
      <alignment vertical="center"/>
    </xf>
    <xf numFmtId="0" fontId="8" fillId="0" borderId="22" xfId="153" applyFont="1" applyBorder="1" applyAlignment="1">
      <alignment vertical="top"/>
      <protection/>
    </xf>
    <xf numFmtId="0" fontId="7" fillId="0" borderId="22" xfId="150" applyFont="1" applyBorder="1" applyAlignment="1">
      <alignment vertical="top" wrapText="1"/>
      <protection/>
    </xf>
    <xf numFmtId="0" fontId="8" fillId="0" borderId="22" xfId="153" applyFont="1" applyBorder="1" applyAlignment="1">
      <alignment vertical="center"/>
      <protection/>
    </xf>
    <xf numFmtId="3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153" applyFont="1" applyBorder="1" applyAlignment="1">
      <alignment vertical="top"/>
      <protection/>
    </xf>
    <xf numFmtId="3" fontId="7" fillId="0" borderId="39" xfId="0" applyNumberFormat="1" applyFont="1" applyBorder="1" applyAlignment="1">
      <alignment vertical="center" wrapText="1"/>
    </xf>
    <xf numFmtId="3" fontId="11" fillId="0" borderId="43" xfId="0" applyNumberFormat="1" applyFont="1" applyBorder="1" applyAlignment="1">
      <alignment horizontal="center" vertical="center"/>
    </xf>
    <xf numFmtId="3" fontId="8" fillId="8" borderId="37" xfId="0" applyNumberFormat="1" applyFont="1" applyFill="1" applyBorder="1" applyAlignment="1">
      <alignment vertical="center"/>
    </xf>
    <xf numFmtId="3" fontId="10" fillId="8" borderId="48" xfId="0" applyNumberFormat="1" applyFont="1" applyFill="1" applyBorder="1" applyAlignment="1">
      <alignment vertical="center"/>
    </xf>
    <xf numFmtId="0" fontId="7" fillId="0" borderId="46" xfId="185" applyFont="1" applyBorder="1" applyAlignment="1">
      <alignment vertical="center" wrapText="1"/>
      <protection/>
    </xf>
    <xf numFmtId="0" fontId="10" fillId="0" borderId="14" xfId="185" applyFont="1" applyBorder="1" applyAlignment="1">
      <alignment vertical="center" wrapText="1"/>
      <protection/>
    </xf>
    <xf numFmtId="3" fontId="10" fillId="0" borderId="13" xfId="185" applyNumberFormat="1" applyFont="1" applyBorder="1" applyAlignment="1">
      <alignment vertical="center" wrapText="1"/>
      <protection/>
    </xf>
    <xf numFmtId="3" fontId="9" fillId="0" borderId="14" xfId="0" applyNumberFormat="1" applyFont="1" applyBorder="1" applyAlignment="1">
      <alignment horizontal="left" vertical="center"/>
    </xf>
    <xf numFmtId="0" fontId="10" fillId="0" borderId="28" xfId="185" applyFont="1" applyBorder="1" applyAlignment="1">
      <alignment vertical="center" wrapText="1"/>
      <protection/>
    </xf>
    <xf numFmtId="3" fontId="9" fillId="0" borderId="28" xfId="0" applyNumberFormat="1" applyFont="1" applyBorder="1" applyAlignment="1">
      <alignment vertical="center"/>
    </xf>
    <xf numFmtId="49" fontId="7" fillId="0" borderId="39" xfId="174" applyNumberFormat="1" applyFont="1" applyBorder="1" applyAlignment="1">
      <alignment horizontal="left" vertical="top" wrapText="1"/>
      <protection/>
    </xf>
    <xf numFmtId="3" fontId="9" fillId="0" borderId="51" xfId="0" applyNumberFormat="1" applyFont="1" applyBorder="1" applyAlignment="1">
      <alignment vertical="center"/>
    </xf>
    <xf numFmtId="49" fontId="7" fillId="0" borderId="0" xfId="174" applyNumberFormat="1" applyFont="1" applyAlignment="1">
      <alignment horizontal="left" vertical="top" wrapText="1"/>
      <protection/>
    </xf>
    <xf numFmtId="3" fontId="9" fillId="0" borderId="52" xfId="0" applyNumberFormat="1" applyFont="1" applyBorder="1" applyAlignment="1">
      <alignment vertical="center"/>
    </xf>
    <xf numFmtId="3" fontId="10" fillId="48" borderId="13" xfId="0" applyNumberFormat="1" applyFont="1" applyFill="1" applyBorder="1" applyAlignment="1">
      <alignment vertical="center"/>
    </xf>
    <xf numFmtId="3" fontId="71" fillId="0" borderId="13" xfId="188" applyNumberFormat="1" applyFont="1" applyBorder="1" applyAlignment="1">
      <alignment horizontal="center" vertical="top" wrapText="1"/>
      <protection/>
    </xf>
    <xf numFmtId="3" fontId="9" fillId="0" borderId="48" xfId="0" applyNumberFormat="1" applyFont="1" applyBorder="1" applyAlignment="1">
      <alignment vertical="center"/>
    </xf>
    <xf numFmtId="3" fontId="10" fillId="0" borderId="18" xfId="188" applyNumberFormat="1" applyFont="1" applyBorder="1" applyAlignment="1">
      <alignment horizontal="right" vertical="center"/>
      <protection/>
    </xf>
    <xf numFmtId="3" fontId="10" fillId="0" borderId="37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7" fillId="48" borderId="22" xfId="0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/>
    </xf>
    <xf numFmtId="3" fontId="7" fillId="0" borderId="22" xfId="188" applyNumberFormat="1" applyFont="1" applyBorder="1" applyAlignment="1">
      <alignment horizontal="left" vertical="center" wrapText="1"/>
      <protection/>
    </xf>
    <xf numFmtId="3" fontId="9" fillId="48" borderId="13" xfId="0" applyNumberFormat="1" applyFont="1" applyFill="1" applyBorder="1" applyAlignment="1">
      <alignment horizontal="center" vertical="center"/>
    </xf>
    <xf numFmtId="3" fontId="9" fillId="48" borderId="22" xfId="0" applyNumberFormat="1" applyFont="1" applyFill="1" applyBorder="1" applyAlignment="1">
      <alignment horizontal="center" vertical="center"/>
    </xf>
    <xf numFmtId="3" fontId="8" fillId="48" borderId="22" xfId="0" applyNumberFormat="1" applyFont="1" applyFill="1" applyBorder="1" applyAlignment="1">
      <alignment vertical="center"/>
    </xf>
    <xf numFmtId="3" fontId="9" fillId="48" borderId="14" xfId="0" applyNumberFormat="1" applyFont="1" applyFill="1" applyBorder="1" applyAlignment="1">
      <alignment vertical="center"/>
    </xf>
    <xf numFmtId="3" fontId="9" fillId="48" borderId="13" xfId="0" applyNumberFormat="1" applyFont="1" applyFill="1" applyBorder="1" applyAlignment="1">
      <alignment vertical="center"/>
    </xf>
    <xf numFmtId="3" fontId="10" fillId="48" borderId="13" xfId="0" applyNumberFormat="1" applyFont="1" applyFill="1" applyBorder="1" applyAlignment="1">
      <alignment horizontal="right" vertical="center"/>
    </xf>
    <xf numFmtId="3" fontId="7" fillId="0" borderId="37" xfId="0" applyNumberFormat="1" applyFont="1" applyBorder="1" applyAlignment="1">
      <alignment horizontal="left" vertical="center"/>
    </xf>
    <xf numFmtId="3" fontId="9" fillId="48" borderId="1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9" fillId="48" borderId="33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horizontal="right" vertical="center"/>
    </xf>
    <xf numFmtId="3" fontId="17" fillId="0" borderId="22" xfId="0" applyNumberFormat="1" applyFont="1" applyBorder="1" applyAlignment="1">
      <alignment horizontal="left" vertical="center"/>
    </xf>
    <xf numFmtId="0" fontId="7" fillId="0" borderId="43" xfId="151" applyFont="1" applyBorder="1" applyAlignment="1">
      <alignment vertical="top"/>
      <protection/>
    </xf>
    <xf numFmtId="3" fontId="10" fillId="0" borderId="29" xfId="0" applyNumberFormat="1" applyFont="1" applyBorder="1" applyAlignment="1">
      <alignment vertical="center"/>
    </xf>
    <xf numFmtId="3" fontId="12" fillId="48" borderId="13" xfId="188" applyNumberFormat="1" applyFont="1" applyFill="1" applyBorder="1" applyAlignment="1">
      <alignment horizontal="center" vertical="top" wrapText="1"/>
      <protection/>
    </xf>
    <xf numFmtId="3" fontId="7" fillId="48" borderId="22" xfId="188" applyNumberFormat="1" applyFont="1" applyFill="1" applyBorder="1" applyAlignment="1">
      <alignment horizontal="left" vertical="top"/>
      <protection/>
    </xf>
    <xf numFmtId="3" fontId="10" fillId="48" borderId="13" xfId="188" applyNumberFormat="1" applyFont="1" applyFill="1" applyBorder="1" applyAlignment="1">
      <alignment horizontal="right" vertical="top" wrapText="1"/>
      <protection/>
    </xf>
    <xf numFmtId="3" fontId="10" fillId="48" borderId="13" xfId="188" applyNumberFormat="1" applyFont="1" applyFill="1" applyBorder="1" applyAlignment="1">
      <alignment vertical="top" wrapText="1"/>
      <protection/>
    </xf>
    <xf numFmtId="3" fontId="7" fillId="0" borderId="53" xfId="0" applyNumberFormat="1" applyFont="1" applyBorder="1" applyAlignment="1">
      <alignment vertical="center" wrapText="1"/>
    </xf>
    <xf numFmtId="0" fontId="7" fillId="0" borderId="39" xfId="183" applyFont="1" applyBorder="1" applyAlignment="1">
      <alignment vertical="center"/>
      <protection/>
    </xf>
    <xf numFmtId="0" fontId="7" fillId="0" borderId="50" xfId="183" applyFont="1" applyBorder="1" applyAlignment="1">
      <alignment vertical="center" wrapText="1"/>
      <protection/>
    </xf>
    <xf numFmtId="3" fontId="9" fillId="8" borderId="14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vertical="center"/>
    </xf>
    <xf numFmtId="0" fontId="7" fillId="8" borderId="42" xfId="0" applyFont="1" applyFill="1" applyBorder="1" applyAlignment="1">
      <alignment horizontal="center" vertical="center"/>
    </xf>
    <xf numFmtId="3" fontId="9" fillId="8" borderId="21" xfId="0" applyNumberFormat="1" applyFont="1" applyFill="1" applyBorder="1" applyAlignment="1">
      <alignment vertical="center"/>
    </xf>
    <xf numFmtId="0" fontId="7" fillId="0" borderId="22" xfId="144" applyFont="1" applyBorder="1" applyAlignment="1">
      <alignment vertical="center"/>
      <protection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168" applyNumberFormat="1" applyFont="1" applyBorder="1" applyAlignment="1">
      <alignment horizontal="right" vertical="center"/>
      <protection/>
    </xf>
    <xf numFmtId="3" fontId="9" fillId="8" borderId="48" xfId="0" applyNumberFormat="1" applyFont="1" applyFill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0" fontId="7" fillId="0" borderId="22" xfId="181" applyFont="1" applyBorder="1" applyAlignment="1">
      <alignment vertical="center" wrapText="1"/>
      <protection/>
    </xf>
    <xf numFmtId="0" fontId="8" fillId="0" borderId="37" xfId="176" applyFont="1" applyBorder="1" applyAlignment="1">
      <alignment vertical="center"/>
      <protection/>
    </xf>
    <xf numFmtId="0" fontId="8" fillId="0" borderId="18" xfId="176" applyFont="1" applyBorder="1" applyAlignment="1">
      <alignment horizontal="center" vertical="center"/>
      <protection/>
    </xf>
    <xf numFmtId="0" fontId="7" fillId="0" borderId="18" xfId="176" applyFont="1" applyBorder="1" applyAlignment="1">
      <alignment vertical="center"/>
      <protection/>
    </xf>
    <xf numFmtId="0" fontId="8" fillId="0" borderId="22" xfId="176" applyFont="1" applyBorder="1" applyAlignment="1">
      <alignment vertical="center"/>
      <protection/>
    </xf>
    <xf numFmtId="0" fontId="8" fillId="0" borderId="13" xfId="176" applyFont="1" applyBorder="1" applyAlignment="1">
      <alignment horizontal="center" vertical="center"/>
      <protection/>
    </xf>
    <xf numFmtId="0" fontId="7" fillId="0" borderId="13" xfId="176" applyFont="1" applyBorder="1" applyAlignment="1">
      <alignment vertical="center"/>
      <protection/>
    </xf>
    <xf numFmtId="0" fontId="7" fillId="0" borderId="22" xfId="144" applyFont="1" applyBorder="1" applyAlignment="1">
      <alignment vertical="center"/>
      <protection/>
    </xf>
    <xf numFmtId="0" fontId="7" fillId="0" borderId="13" xfId="144" applyFont="1" applyBorder="1" applyAlignment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7" fillId="0" borderId="13" xfId="176" applyNumberFormat="1" applyFont="1" applyBorder="1" applyAlignment="1">
      <alignment vertical="center"/>
      <protection/>
    </xf>
    <xf numFmtId="0" fontId="7" fillId="0" borderId="22" xfId="176" applyFont="1" applyBorder="1" applyAlignment="1">
      <alignment vertical="center" wrapText="1"/>
      <protection/>
    </xf>
    <xf numFmtId="0" fontId="10" fillId="0" borderId="13" xfId="176" applyFont="1" applyBorder="1" applyAlignment="1">
      <alignment horizontal="center" vertical="center" wrapText="1"/>
      <protection/>
    </xf>
    <xf numFmtId="0" fontId="7" fillId="0" borderId="22" xfId="176" applyFont="1" applyBorder="1" applyAlignment="1">
      <alignment vertical="center"/>
      <protection/>
    </xf>
    <xf numFmtId="168" fontId="7" fillId="0" borderId="13" xfId="98" applyNumberFormat="1" applyFont="1" applyBorder="1" applyAlignment="1">
      <alignment horizontal="center" vertical="center"/>
    </xf>
    <xf numFmtId="3" fontId="8" fillId="8" borderId="22" xfId="0" applyNumberFormat="1" applyFont="1" applyFill="1" applyBorder="1" applyAlignment="1">
      <alignment vertical="center"/>
    </xf>
    <xf numFmtId="3" fontId="8" fillId="8" borderId="13" xfId="176" applyNumberFormat="1" applyFont="1" applyFill="1" applyBorder="1" applyAlignment="1">
      <alignment vertical="center"/>
      <protection/>
    </xf>
    <xf numFmtId="0" fontId="7" fillId="0" borderId="13" xfId="0" applyFont="1" applyBorder="1" applyAlignment="1">
      <alignment vertical="center"/>
    </xf>
    <xf numFmtId="3" fontId="8" fillId="0" borderId="13" xfId="176" applyNumberFormat="1" applyFont="1" applyBorder="1" applyAlignment="1">
      <alignment vertical="center"/>
      <protection/>
    </xf>
    <xf numFmtId="0" fontId="7" fillId="0" borderId="22" xfId="180" applyFont="1" applyBorder="1" applyAlignment="1">
      <alignment vertical="center" wrapText="1"/>
      <protection/>
    </xf>
    <xf numFmtId="0" fontId="74" fillId="0" borderId="13" xfId="176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7" fillId="0" borderId="22" xfId="179" applyFont="1" applyBorder="1" applyAlignment="1">
      <alignment vertical="center" wrapText="1"/>
      <protection/>
    </xf>
    <xf numFmtId="3" fontId="8" fillId="0" borderId="1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/>
    </xf>
    <xf numFmtId="0" fontId="9" fillId="0" borderId="13" xfId="176" applyFont="1" applyBorder="1" applyAlignment="1">
      <alignment horizontal="center" vertical="center"/>
      <protection/>
    </xf>
    <xf numFmtId="3" fontId="7" fillId="0" borderId="22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9" fontId="10" fillId="0" borderId="13" xfId="176" applyNumberFormat="1" applyFont="1" applyBorder="1" applyAlignment="1">
      <alignment horizontal="center" vertical="center"/>
      <protection/>
    </xf>
    <xf numFmtId="0" fontId="7" fillId="0" borderId="22" xfId="147" applyFont="1" applyBorder="1" applyAlignment="1">
      <alignment vertical="center" wrapText="1"/>
      <protection/>
    </xf>
    <xf numFmtId="49" fontId="10" fillId="0" borderId="13" xfId="147" applyNumberFormat="1" applyFont="1" applyBorder="1" applyAlignment="1">
      <alignment horizontal="center" vertical="center" wrapText="1"/>
      <protection/>
    </xf>
    <xf numFmtId="0" fontId="7" fillId="0" borderId="13" xfId="176" applyFont="1" applyBorder="1" applyAlignment="1">
      <alignment horizontal="left" vertical="center"/>
      <protection/>
    </xf>
    <xf numFmtId="49" fontId="10" fillId="0" borderId="13" xfId="176" applyNumberFormat="1" applyFont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7" fillId="0" borderId="13" xfId="176" applyNumberFormat="1" applyFont="1" applyBorder="1" applyAlignment="1">
      <alignment vertical="center" wrapText="1"/>
      <protection/>
    </xf>
    <xf numFmtId="0" fontId="8" fillId="8" borderId="22" xfId="176" applyFont="1" applyFill="1" applyBorder="1" applyAlignment="1">
      <alignment vertical="center"/>
      <protection/>
    </xf>
    <xf numFmtId="0" fontId="9" fillId="8" borderId="13" xfId="176" applyFont="1" applyFill="1" applyBorder="1" applyAlignment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176" applyNumberFormat="1" applyFont="1" applyBorder="1" applyAlignment="1">
      <alignment horizontal="center" vertical="center" wrapText="1"/>
      <protection/>
    </xf>
    <xf numFmtId="0" fontId="7" fillId="0" borderId="13" xfId="147" applyFont="1" applyBorder="1" applyAlignment="1">
      <alignment horizontal="center" vertical="center" wrapText="1"/>
      <protection/>
    </xf>
    <xf numFmtId="0" fontId="7" fillId="0" borderId="39" xfId="147" applyFont="1" applyBorder="1" applyAlignment="1">
      <alignment vertical="center" wrapText="1"/>
      <protection/>
    </xf>
    <xf numFmtId="0" fontId="7" fillId="0" borderId="0" xfId="147" applyFont="1" applyAlignment="1">
      <alignment vertical="center" wrapText="1"/>
      <protection/>
    </xf>
    <xf numFmtId="3" fontId="7" fillId="0" borderId="39" xfId="160" applyNumberFormat="1" applyFont="1" applyBorder="1" applyAlignment="1">
      <alignment horizontal="left" vertical="center" wrapText="1"/>
      <protection/>
    </xf>
    <xf numFmtId="3" fontId="7" fillId="0" borderId="39" xfId="181" applyNumberFormat="1" applyFont="1" applyBorder="1" applyAlignment="1">
      <alignment vertical="center" wrapText="1"/>
      <protection/>
    </xf>
    <xf numFmtId="3" fontId="7" fillId="49" borderId="39" xfId="152" applyNumberFormat="1" applyFont="1" applyFill="1" applyBorder="1" applyAlignment="1">
      <alignment vertical="top" wrapText="1"/>
      <protection/>
    </xf>
    <xf numFmtId="3" fontId="7" fillId="0" borderId="39" xfId="148" applyNumberFormat="1" applyFont="1" applyBorder="1" applyAlignment="1">
      <alignment vertical="top" wrapText="1"/>
      <protection/>
    </xf>
    <xf numFmtId="3" fontId="7" fillId="0" borderId="13" xfId="0" applyNumberFormat="1" applyFont="1" applyBorder="1" applyAlignment="1">
      <alignment vertical="center" wrapText="1"/>
    </xf>
    <xf numFmtId="3" fontId="7" fillId="0" borderId="13" xfId="149" applyNumberFormat="1" applyFont="1" applyBorder="1" applyAlignment="1">
      <alignment vertical="top" wrapText="1"/>
      <protection/>
    </xf>
    <xf numFmtId="0" fontId="7" fillId="0" borderId="29" xfId="147" applyFont="1" applyBorder="1" applyAlignment="1">
      <alignment vertical="center" wrapText="1"/>
      <protection/>
    </xf>
    <xf numFmtId="3" fontId="10" fillId="0" borderId="13" xfId="0" applyNumberFormat="1" applyFont="1" applyBorder="1" applyAlignment="1">
      <alignment horizontal="left" vertical="center" wrapText="1"/>
    </xf>
    <xf numFmtId="3" fontId="7" fillId="0" borderId="39" xfId="164" applyNumberFormat="1" applyFont="1" applyBorder="1" applyAlignment="1">
      <alignment horizontal="left" vertical="center" wrapText="1"/>
      <protection/>
    </xf>
    <xf numFmtId="3" fontId="7" fillId="0" borderId="13" xfId="148" applyNumberFormat="1" applyFont="1" applyBorder="1" applyAlignment="1">
      <alignment vertical="top" wrapText="1"/>
      <protection/>
    </xf>
    <xf numFmtId="0" fontId="7" fillId="0" borderId="22" xfId="153" applyFont="1" applyBorder="1" applyAlignment="1">
      <alignment vertical="top" wrapText="1"/>
      <protection/>
    </xf>
    <xf numFmtId="0" fontId="8" fillId="8" borderId="13" xfId="176" applyFont="1" applyFill="1" applyBorder="1" applyAlignment="1">
      <alignment horizontal="center" vertical="center"/>
      <protection/>
    </xf>
    <xf numFmtId="3" fontId="7" fillId="0" borderId="13" xfId="176" applyNumberFormat="1" applyFont="1" applyBorder="1" applyAlignment="1">
      <alignment horizontal="center" vertical="center"/>
      <protection/>
    </xf>
    <xf numFmtId="0" fontId="7" fillId="0" borderId="13" xfId="176" applyFont="1" applyBorder="1" applyAlignment="1">
      <alignment horizontal="center" vertical="center" wrapText="1"/>
      <protection/>
    </xf>
    <xf numFmtId="0" fontId="7" fillId="0" borderId="22" xfId="146" applyFont="1" applyBorder="1" applyAlignment="1">
      <alignment vertical="center"/>
      <protection/>
    </xf>
    <xf numFmtId="3" fontId="7" fillId="0" borderId="13" xfId="146" applyNumberFormat="1" applyFont="1" applyBorder="1" applyAlignment="1">
      <alignment horizontal="center" vertical="center"/>
      <protection/>
    </xf>
    <xf numFmtId="0" fontId="7" fillId="0" borderId="13" xfId="176" applyFont="1" applyBorder="1" applyAlignment="1">
      <alignment vertical="center" wrapText="1"/>
      <protection/>
    </xf>
    <xf numFmtId="0" fontId="7" fillId="0" borderId="37" xfId="176" applyFont="1" applyBorder="1" applyAlignment="1">
      <alignment vertical="center"/>
      <protection/>
    </xf>
    <xf numFmtId="0" fontId="7" fillId="0" borderId="37" xfId="176" applyFont="1" applyBorder="1" applyAlignment="1">
      <alignment vertical="center" wrapText="1"/>
      <protection/>
    </xf>
    <xf numFmtId="0" fontId="7" fillId="0" borderId="22" xfId="146" applyFont="1" applyBorder="1" applyAlignment="1">
      <alignment vertical="center" wrapText="1"/>
      <protection/>
    </xf>
    <xf numFmtId="0" fontId="7" fillId="0" borderId="13" xfId="146" applyFont="1" applyBorder="1" applyAlignment="1">
      <alignment horizontal="center" vertical="center" wrapText="1"/>
      <protection/>
    </xf>
    <xf numFmtId="0" fontId="7" fillId="0" borderId="41" xfId="146" applyFont="1" applyBorder="1" applyAlignment="1">
      <alignment vertical="center"/>
      <protection/>
    </xf>
    <xf numFmtId="0" fontId="7" fillId="0" borderId="13" xfId="0" applyFont="1" applyBorder="1" applyAlignment="1">
      <alignment vertical="center" wrapText="1"/>
    </xf>
    <xf numFmtId="3" fontId="8" fillId="8" borderId="13" xfId="176" applyNumberFormat="1" applyFont="1" applyFill="1" applyBorder="1" applyAlignment="1">
      <alignment vertical="center" wrapText="1"/>
      <protection/>
    </xf>
    <xf numFmtId="0" fontId="7" fillId="0" borderId="41" xfId="146" applyFont="1" applyBorder="1" applyAlignment="1">
      <alignment vertical="center" wrapText="1"/>
      <protection/>
    </xf>
    <xf numFmtId="0" fontId="75" fillId="0" borderId="0" xfId="165" applyFont="1" applyBorder="1" applyAlignment="1">
      <alignment horizontal="center"/>
      <protection/>
    </xf>
    <xf numFmtId="0" fontId="54" fillId="8" borderId="18" xfId="165" applyFont="1" applyFill="1" applyBorder="1" applyAlignment="1">
      <alignment horizontal="center" vertical="center" wrapText="1"/>
      <protection/>
    </xf>
    <xf numFmtId="3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vertical="center" wrapText="1"/>
    </xf>
    <xf numFmtId="0" fontId="8" fillId="8" borderId="22" xfId="144" applyFont="1" applyFill="1" applyBorder="1" applyAlignment="1">
      <alignment vertical="center" wrapText="1"/>
      <protection/>
    </xf>
    <xf numFmtId="0" fontId="8" fillId="8" borderId="13" xfId="144" applyFont="1" applyFill="1" applyBorder="1" applyAlignment="1">
      <alignment horizontal="center" vertical="center" wrapText="1"/>
      <protection/>
    </xf>
    <xf numFmtId="0" fontId="7" fillId="0" borderId="41" xfId="144" applyFont="1" applyBorder="1" applyAlignment="1">
      <alignment vertical="center"/>
      <protection/>
    </xf>
    <xf numFmtId="0" fontId="8" fillId="8" borderId="13" xfId="176" applyFont="1" applyFill="1" applyBorder="1" applyAlignment="1">
      <alignment vertical="center"/>
      <protection/>
    </xf>
    <xf numFmtId="0" fontId="10" fillId="0" borderId="14" xfId="155" applyFont="1" applyBorder="1" applyAlignment="1">
      <alignment vertical="center"/>
      <protection/>
    </xf>
    <xf numFmtId="49" fontId="16" fillId="0" borderId="22" xfId="187" applyNumberFormat="1" applyFont="1" applyBorder="1" applyAlignment="1">
      <alignment vertical="center"/>
      <protection/>
    </xf>
    <xf numFmtId="0" fontId="7" fillId="0" borderId="22" xfId="0" applyFont="1" applyBorder="1" applyAlignment="1">
      <alignment vertical="center"/>
    </xf>
    <xf numFmtId="49" fontId="16" fillId="0" borderId="22" xfId="187" applyNumberFormat="1" applyFont="1" applyBorder="1" applyAlignment="1">
      <alignment horizontal="left" vertical="center" wrapText="1"/>
      <protection/>
    </xf>
    <xf numFmtId="3" fontId="7" fillId="0" borderId="13" xfId="176" applyNumberFormat="1" applyFont="1" applyBorder="1" applyAlignment="1">
      <alignment vertical="center"/>
      <protection/>
    </xf>
    <xf numFmtId="0" fontId="2" fillId="8" borderId="13" xfId="175" applyFont="1" applyFill="1" applyBorder="1" applyAlignment="1">
      <alignment horizontal="center" vertical="center"/>
      <protection/>
    </xf>
    <xf numFmtId="0" fontId="2" fillId="8" borderId="13" xfId="175" applyFont="1" applyFill="1" applyBorder="1" applyAlignment="1">
      <alignment horizontal="center" vertical="center" wrapText="1"/>
      <protection/>
    </xf>
    <xf numFmtId="0" fontId="0" fillId="0" borderId="0" xfId="175">
      <alignment/>
      <protection/>
    </xf>
    <xf numFmtId="0" fontId="15" fillId="0" borderId="0" xfId="171">
      <alignment/>
      <protection/>
    </xf>
    <xf numFmtId="0" fontId="0" fillId="0" borderId="13" xfId="175" applyBorder="1" applyAlignment="1">
      <alignment vertical="center" wrapText="1"/>
      <protection/>
    </xf>
    <xf numFmtId="3" fontId="0" fillId="0" borderId="13" xfId="175" applyNumberFormat="1" applyBorder="1" applyAlignment="1" quotePrefix="1">
      <alignment horizontal="center" vertical="center" wrapText="1"/>
      <protection/>
    </xf>
    <xf numFmtId="3" fontId="0" fillId="0" borderId="49" xfId="175" applyNumberFormat="1" applyBorder="1">
      <alignment/>
      <protection/>
    </xf>
    <xf numFmtId="166" fontId="0" fillId="0" borderId="0" xfId="175" applyNumberFormat="1">
      <alignment/>
      <protection/>
    </xf>
    <xf numFmtId="3" fontId="0" fillId="0" borderId="13" xfId="175" applyNumberFormat="1" applyBorder="1" applyAlignment="1" quotePrefix="1">
      <alignment vertical="center"/>
      <protection/>
    </xf>
    <xf numFmtId="0" fontId="0" fillId="0" borderId="13" xfId="175" applyBorder="1" applyAlignment="1">
      <alignment wrapText="1"/>
      <protection/>
    </xf>
    <xf numFmtId="3" fontId="0" fillId="0" borderId="13" xfId="175" applyNumberFormat="1" applyBorder="1" applyAlignment="1" quotePrefix="1">
      <alignment horizontal="right" vertical="center" wrapText="1"/>
      <protection/>
    </xf>
    <xf numFmtId="0" fontId="2" fillId="8" borderId="13" xfId="175" applyFont="1" applyFill="1" applyBorder="1">
      <alignment/>
      <protection/>
    </xf>
    <xf numFmtId="3" fontId="2" fillId="8" borderId="13" xfId="175" applyNumberFormat="1" applyFont="1" applyFill="1" applyBorder="1">
      <alignment/>
      <protection/>
    </xf>
    <xf numFmtId="3" fontId="0" fillId="0" borderId="0" xfId="175" applyNumberFormat="1">
      <alignment/>
      <protection/>
    </xf>
    <xf numFmtId="0" fontId="0" fillId="0" borderId="0" xfId="175" applyFont="1">
      <alignment/>
      <protection/>
    </xf>
    <xf numFmtId="0" fontId="7" fillId="0" borderId="0" xfId="171" applyFont="1">
      <alignment/>
      <protection/>
    </xf>
    <xf numFmtId="0" fontId="15" fillId="0" borderId="0" xfId="169">
      <alignment/>
      <protection/>
    </xf>
    <xf numFmtId="0" fontId="15" fillId="8" borderId="13" xfId="156" applyFill="1" applyBorder="1">
      <alignment/>
      <protection/>
    </xf>
    <xf numFmtId="0" fontId="63" fillId="8" borderId="13" xfId="156" applyFont="1" applyFill="1" applyBorder="1" applyAlignment="1">
      <alignment horizontal="center" vertical="center" wrapText="1"/>
      <protection/>
    </xf>
    <xf numFmtId="0" fontId="63" fillId="8" borderId="13" xfId="156" applyFont="1" applyFill="1" applyBorder="1" applyAlignment="1">
      <alignment horizontal="center" vertical="center"/>
      <protection/>
    </xf>
    <xf numFmtId="0" fontId="63" fillId="0" borderId="13" xfId="156" applyFont="1" applyBorder="1">
      <alignment/>
      <protection/>
    </xf>
    <xf numFmtId="3" fontId="63" fillId="0" borderId="13" xfId="156" applyNumberFormat="1" applyFont="1" applyBorder="1">
      <alignment/>
      <protection/>
    </xf>
    <xf numFmtId="3" fontId="63" fillId="0" borderId="0" xfId="156" applyNumberFormat="1" applyFont="1">
      <alignment/>
      <protection/>
    </xf>
    <xf numFmtId="0" fontId="15" fillId="0" borderId="13" xfId="156" applyBorder="1">
      <alignment/>
      <protection/>
    </xf>
    <xf numFmtId="3" fontId="15" fillId="0" borderId="13" xfId="156" applyNumberFormat="1" applyBorder="1">
      <alignment/>
      <protection/>
    </xf>
    <xf numFmtId="0" fontId="63" fillId="0" borderId="13" xfId="156" applyFont="1" applyBorder="1" applyAlignment="1">
      <alignment vertical="center"/>
      <protection/>
    </xf>
    <xf numFmtId="0" fontId="15" fillId="0" borderId="13" xfId="156" applyBorder="1" applyAlignment="1">
      <alignment vertical="center"/>
      <protection/>
    </xf>
    <xf numFmtId="0" fontId="15" fillId="0" borderId="13" xfId="156" applyBorder="1" applyAlignment="1">
      <alignment vertical="center" wrapText="1"/>
      <protection/>
    </xf>
    <xf numFmtId="0" fontId="62" fillId="0" borderId="0" xfId="169" applyFont="1">
      <alignment/>
      <protection/>
    </xf>
    <xf numFmtId="0" fontId="63" fillId="8" borderId="13" xfId="156" applyFont="1" applyFill="1" applyBorder="1" applyAlignment="1">
      <alignment vertical="center"/>
      <protection/>
    </xf>
    <xf numFmtId="3" fontId="63" fillId="8" borderId="13" xfId="156" applyNumberFormat="1" applyFont="1" applyFill="1" applyBorder="1" applyAlignment="1">
      <alignment vertical="center"/>
      <protection/>
    </xf>
    <xf numFmtId="0" fontId="15" fillId="0" borderId="0" xfId="156">
      <alignment/>
      <protection/>
    </xf>
    <xf numFmtId="3" fontId="15" fillId="0" borderId="13" xfId="156" applyNumberFormat="1" applyBorder="1" applyAlignment="1">
      <alignment horizontal="right" vertical="center"/>
      <protection/>
    </xf>
    <xf numFmtId="0" fontId="15" fillId="0" borderId="13" xfId="156" applyBorder="1" applyAlignment="1">
      <alignment horizontal="right" vertical="center"/>
      <protection/>
    </xf>
    <xf numFmtId="3" fontId="63" fillId="0" borderId="13" xfId="156" applyNumberFormat="1" applyFont="1" applyBorder="1" applyAlignment="1">
      <alignment horizontal="right" vertical="center"/>
      <protection/>
    </xf>
    <xf numFmtId="14" fontId="15" fillId="0" borderId="13" xfId="156" applyNumberFormat="1" applyBorder="1" applyAlignment="1">
      <alignment horizontal="left" vertical="center" wrapText="1"/>
      <protection/>
    </xf>
    <xf numFmtId="0" fontId="15" fillId="0" borderId="13" xfId="156" applyBorder="1" applyAlignment="1">
      <alignment horizontal="left" vertical="center"/>
      <protection/>
    </xf>
    <xf numFmtId="0" fontId="15" fillId="0" borderId="13" xfId="156" applyBorder="1" applyAlignment="1">
      <alignment horizontal="left" vertical="center" wrapText="1"/>
      <protection/>
    </xf>
    <xf numFmtId="0" fontId="9" fillId="8" borderId="14" xfId="145" applyFont="1" applyFill="1" applyBorder="1" applyAlignment="1">
      <alignment horizontal="center" vertical="center" wrapText="1"/>
      <protection/>
    </xf>
    <xf numFmtId="0" fontId="10" fillId="0" borderId="13" xfId="145" applyFont="1" applyBorder="1" applyAlignment="1">
      <alignment vertical="center"/>
      <protection/>
    </xf>
    <xf numFmtId="3" fontId="10" fillId="0" borderId="14" xfId="145" applyNumberFormat="1" applyFont="1" applyBorder="1" applyAlignment="1">
      <alignment vertical="center"/>
      <protection/>
    </xf>
    <xf numFmtId="0" fontId="11" fillId="0" borderId="13" xfId="145" applyFont="1" applyBorder="1" applyAlignment="1">
      <alignment vertical="center"/>
      <protection/>
    </xf>
    <xf numFmtId="3" fontId="9" fillId="0" borderId="13" xfId="145" applyNumberFormat="1" applyFont="1" applyBorder="1" applyAlignment="1">
      <alignment vertical="center"/>
      <protection/>
    </xf>
    <xf numFmtId="0" fontId="16" fillId="0" borderId="13" xfId="167" applyFont="1" applyBorder="1" applyAlignment="1">
      <alignment horizontal="left" vertical="center" wrapText="1"/>
      <protection/>
    </xf>
    <xf numFmtId="0" fontId="10" fillId="0" borderId="13" xfId="168" applyFont="1" applyBorder="1" applyAlignment="1">
      <alignment vertical="center" wrapText="1"/>
      <protection/>
    </xf>
    <xf numFmtId="0" fontId="10" fillId="0" borderId="13" xfId="178" applyFont="1" applyBorder="1" applyAlignment="1">
      <alignment vertical="center"/>
      <protection/>
    </xf>
    <xf numFmtId="3" fontId="10" fillId="8" borderId="14" xfId="145" applyNumberFormat="1" applyFont="1" applyFill="1" applyBorder="1" applyAlignment="1">
      <alignment vertical="center"/>
      <protection/>
    </xf>
    <xf numFmtId="3" fontId="10" fillId="8" borderId="13" xfId="145" applyNumberFormat="1" applyFont="1" applyFill="1" applyBorder="1" applyAlignment="1">
      <alignment vertical="center"/>
      <protection/>
    </xf>
    <xf numFmtId="3" fontId="7" fillId="0" borderId="13" xfId="145" applyNumberFormat="1" applyFont="1" applyBorder="1" applyAlignment="1">
      <alignment vertical="center"/>
      <protection/>
    </xf>
    <xf numFmtId="3" fontId="54" fillId="8" borderId="13" xfId="145" applyNumberFormat="1" applyFont="1" applyFill="1" applyBorder="1" applyAlignment="1">
      <alignment vertical="center"/>
      <protection/>
    </xf>
    <xf numFmtId="0" fontId="15" fillId="0" borderId="13" xfId="156" applyFill="1" applyBorder="1" applyAlignment="1">
      <alignment horizontal="left" vertical="center" wrapText="1"/>
      <protection/>
    </xf>
    <xf numFmtId="49" fontId="8" fillId="0" borderId="22" xfId="160" applyNumberFormat="1" applyFont="1" applyBorder="1" applyAlignment="1">
      <alignment horizontal="center" vertical="center" wrapText="1"/>
      <protection/>
    </xf>
    <xf numFmtId="3" fontId="10" fillId="0" borderId="40" xfId="0" applyNumberFormat="1" applyFont="1" applyBorder="1" applyAlignment="1">
      <alignment horizontal="center" vertical="center"/>
    </xf>
    <xf numFmtId="3" fontId="0" fillId="0" borderId="13" xfId="175" applyNumberFormat="1" applyBorder="1" applyAlignment="1">
      <alignment vertical="center"/>
      <protection/>
    </xf>
    <xf numFmtId="166" fontId="61" fillId="0" borderId="0" xfId="173" applyNumberFormat="1" applyFont="1">
      <alignment/>
      <protection/>
    </xf>
    <xf numFmtId="0" fontId="75" fillId="0" borderId="0" xfId="165" applyFont="1" applyAlignment="1">
      <alignment horizontal="center"/>
      <protection/>
    </xf>
    <xf numFmtId="0" fontId="75" fillId="0" borderId="0" xfId="165" applyFont="1">
      <alignment/>
      <protection/>
    </xf>
    <xf numFmtId="1" fontId="54" fillId="8" borderId="13" xfId="165" applyNumberFormat="1" applyFont="1" applyFill="1" applyBorder="1" applyAlignment="1">
      <alignment horizontal="center" vertical="center" wrapText="1"/>
      <protection/>
    </xf>
    <xf numFmtId="1" fontId="54" fillId="8" borderId="22" xfId="165" applyNumberFormat="1" applyFont="1" applyFill="1" applyBorder="1" applyAlignment="1">
      <alignment horizontal="center" vertical="center" wrapText="1"/>
      <protection/>
    </xf>
    <xf numFmtId="0" fontId="5" fillId="0" borderId="0" xfId="165" applyFont="1" applyAlignment="1">
      <alignment horizontal="center" vertical="center"/>
      <protection/>
    </xf>
    <xf numFmtId="0" fontId="5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0" fillId="0" borderId="14" xfId="165" applyNumberFormat="1" applyFont="1" applyBorder="1" applyAlignment="1">
      <alignment horizontal="right" vertical="center"/>
      <protection/>
    </xf>
    <xf numFmtId="1" fontId="54" fillId="0" borderId="13" xfId="165" applyNumberFormat="1" applyFont="1" applyBorder="1" applyAlignment="1">
      <alignment horizontal="center" vertical="center" wrapText="1"/>
      <protection/>
    </xf>
    <xf numFmtId="1" fontId="54" fillId="0" borderId="22" xfId="165" applyNumberFormat="1" applyFont="1" applyBorder="1" applyAlignment="1">
      <alignment horizontal="center" vertical="center" wrapText="1"/>
      <protection/>
    </xf>
    <xf numFmtId="0" fontId="10" fillId="0" borderId="18" xfId="165" applyFont="1" applyBorder="1" applyAlignment="1">
      <alignment horizontal="center" vertical="center" wrapText="1"/>
      <protection/>
    </xf>
    <xf numFmtId="3" fontId="10" fillId="0" borderId="43" xfId="162" applyNumberFormat="1" applyFont="1" applyBorder="1" applyAlignment="1">
      <alignment horizontal="left" vertical="center" wrapText="1"/>
      <protection/>
    </xf>
    <xf numFmtId="3" fontId="10" fillId="0" borderId="13" xfId="162" applyNumberFormat="1" applyFont="1" applyBorder="1" applyAlignment="1">
      <alignment horizontal="right" vertical="center" wrapText="1"/>
      <protection/>
    </xf>
    <xf numFmtId="3" fontId="10" fillId="0" borderId="14" xfId="162" applyNumberFormat="1" applyFont="1" applyBorder="1" applyAlignment="1">
      <alignment horizontal="right" vertical="center" wrapText="1"/>
      <protection/>
    </xf>
    <xf numFmtId="3" fontId="10" fillId="0" borderId="14" xfId="98" applyNumberFormat="1" applyFont="1" applyBorder="1" applyAlignment="1">
      <alignment horizontal="right" vertical="center"/>
    </xf>
    <xf numFmtId="3" fontId="10" fillId="0" borderId="18" xfId="165" applyNumberFormat="1" applyFont="1" applyBorder="1" applyAlignment="1">
      <alignment horizontal="right" vertical="center" wrapText="1"/>
      <protection/>
    </xf>
    <xf numFmtId="3" fontId="10" fillId="0" borderId="37" xfId="165" applyNumberFormat="1" applyFont="1" applyBorder="1" applyAlignment="1">
      <alignment horizontal="right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10" fillId="0" borderId="39" xfId="162" applyNumberFormat="1" applyFont="1" applyBorder="1" applyAlignment="1">
      <alignment horizontal="left" vertical="center" wrapText="1"/>
      <protection/>
    </xf>
    <xf numFmtId="3" fontId="10" fillId="0" borderId="13" xfId="165" applyNumberFormat="1" applyFont="1" applyBorder="1" applyAlignment="1">
      <alignment horizontal="right" vertical="center" wrapText="1"/>
      <protection/>
    </xf>
    <xf numFmtId="3" fontId="10" fillId="0" borderId="22" xfId="165" applyNumberFormat="1" applyFont="1" applyBorder="1" applyAlignment="1">
      <alignment horizontal="right" vertical="center" wrapText="1"/>
      <protection/>
    </xf>
    <xf numFmtId="3" fontId="10" fillId="0" borderId="39" xfId="186" applyNumberFormat="1" applyFont="1" applyBorder="1" applyAlignment="1">
      <alignment vertical="center" wrapText="1"/>
      <protection/>
    </xf>
    <xf numFmtId="3" fontId="10" fillId="0" borderId="13" xfId="186" applyNumberFormat="1" applyFont="1" applyBorder="1" applyAlignment="1">
      <alignment horizontal="right" vertical="center" wrapText="1"/>
      <protection/>
    </xf>
    <xf numFmtId="3" fontId="10" fillId="0" borderId="14" xfId="98" applyNumberFormat="1" applyFont="1" applyFill="1" applyBorder="1" applyAlignment="1">
      <alignment horizontal="right" vertical="center"/>
    </xf>
    <xf numFmtId="3" fontId="10" fillId="49" borderId="39" xfId="154" applyNumberFormat="1" applyFont="1" applyFill="1" applyBorder="1" applyAlignment="1">
      <alignment vertical="top" wrapText="1"/>
      <protection/>
    </xf>
    <xf numFmtId="3" fontId="10" fillId="49" borderId="13" xfId="154" applyNumberFormat="1" applyFont="1" applyFill="1" applyBorder="1" applyAlignment="1">
      <alignment horizontal="right" vertical="center" wrapText="1"/>
      <protection/>
    </xf>
    <xf numFmtId="3" fontId="10" fillId="0" borderId="39" xfId="149" applyNumberFormat="1" applyFont="1" applyBorder="1" applyAlignment="1">
      <alignment vertical="top" wrapText="1"/>
      <protection/>
    </xf>
    <xf numFmtId="3" fontId="10" fillId="0" borderId="13" xfId="149" applyNumberFormat="1" applyFont="1" applyBorder="1" applyAlignment="1">
      <alignment horizontal="right" vertical="center" wrapText="1"/>
      <protection/>
    </xf>
    <xf numFmtId="3" fontId="10" fillId="0" borderId="39" xfId="149" applyNumberFormat="1" applyFont="1" applyBorder="1" applyAlignment="1">
      <alignment vertical="center" wrapText="1"/>
      <protection/>
    </xf>
    <xf numFmtId="3" fontId="10" fillId="0" borderId="0" xfId="149" applyNumberFormat="1" applyFont="1" applyAlignment="1">
      <alignment vertical="center" wrapText="1"/>
      <protection/>
    </xf>
    <xf numFmtId="0" fontId="10" fillId="0" borderId="13" xfId="147" applyFont="1" applyBorder="1" applyAlignment="1">
      <alignment vertical="center" wrapText="1"/>
      <protection/>
    </xf>
    <xf numFmtId="168" fontId="10" fillId="0" borderId="13" xfId="98" applyNumberFormat="1" applyFont="1" applyFill="1" applyBorder="1" applyAlignment="1">
      <alignment horizontal="right" vertical="center" wrapText="1"/>
    </xf>
    <xf numFmtId="0" fontId="10" fillId="0" borderId="13" xfId="147" applyFont="1" applyBorder="1" applyAlignment="1">
      <alignment horizontal="right" vertical="center" wrapText="1"/>
      <protection/>
    </xf>
    <xf numFmtId="3" fontId="10" fillId="0" borderId="13" xfId="147" applyNumberFormat="1" applyFont="1" applyBorder="1" applyAlignment="1">
      <alignment horizontal="right" vertical="center" wrapText="1"/>
      <protection/>
    </xf>
    <xf numFmtId="3" fontId="10" fillId="0" borderId="13" xfId="149" applyNumberFormat="1" applyFont="1" applyBorder="1" applyAlignment="1">
      <alignment vertical="center" wrapText="1"/>
      <protection/>
    </xf>
    <xf numFmtId="0" fontId="10" fillId="0" borderId="39" xfId="147" applyFont="1" applyBorder="1" applyAlignment="1">
      <alignment vertical="center" wrapText="1"/>
      <protection/>
    </xf>
    <xf numFmtId="0" fontId="10" fillId="0" borderId="43" xfId="147" applyFont="1" applyBorder="1" applyAlignment="1">
      <alignment vertical="center" wrapText="1"/>
      <protection/>
    </xf>
    <xf numFmtId="3" fontId="10" fillId="0" borderId="22" xfId="162" applyNumberFormat="1" applyFont="1" applyBorder="1" applyAlignment="1">
      <alignment horizontal="right" vertical="center" wrapText="1"/>
      <protection/>
    </xf>
    <xf numFmtId="0" fontId="10" fillId="0" borderId="22" xfId="147" applyFont="1" applyBorder="1" applyAlignment="1">
      <alignment vertical="center" wrapText="1"/>
      <protection/>
    </xf>
    <xf numFmtId="168" fontId="10" fillId="0" borderId="22" xfId="98" applyNumberFormat="1" applyFont="1" applyFill="1" applyBorder="1" applyAlignment="1">
      <alignment horizontal="right" vertical="center" wrapText="1"/>
    </xf>
    <xf numFmtId="0" fontId="10" fillId="0" borderId="22" xfId="147" applyFont="1" applyBorder="1" applyAlignment="1">
      <alignment horizontal="right" vertical="center" wrapText="1"/>
      <protection/>
    </xf>
    <xf numFmtId="3" fontId="10" fillId="0" borderId="18" xfId="162" applyNumberFormat="1" applyFont="1" applyBorder="1" applyAlignment="1">
      <alignment horizontal="right" vertical="center" wrapText="1"/>
      <protection/>
    </xf>
    <xf numFmtId="3" fontId="10" fillId="0" borderId="48" xfId="162" applyNumberFormat="1" applyFont="1" applyBorder="1" applyAlignment="1">
      <alignment horizontal="right" vertical="center" wrapText="1"/>
      <protection/>
    </xf>
    <xf numFmtId="3" fontId="10" fillId="0" borderId="22" xfId="0" applyNumberFormat="1" applyFont="1" applyBorder="1" applyAlignment="1">
      <alignment horizontal="right" vertical="center" wrapText="1"/>
    </xf>
    <xf numFmtId="168" fontId="10" fillId="0" borderId="22" xfId="98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right" vertical="center" wrapText="1"/>
    </xf>
    <xf numFmtId="3" fontId="18" fillId="0" borderId="13" xfId="165" applyNumberFormat="1" applyFont="1" applyBorder="1" applyAlignment="1">
      <alignment horizontal="right" vertical="center" wrapText="1"/>
      <protection/>
    </xf>
    <xf numFmtId="3" fontId="18" fillId="0" borderId="22" xfId="165" applyNumberFormat="1" applyFont="1" applyBorder="1" applyAlignment="1">
      <alignment horizontal="right" vertical="center" wrapText="1"/>
      <protection/>
    </xf>
    <xf numFmtId="0" fontId="76" fillId="0" borderId="0" xfId="165" applyFont="1">
      <alignment/>
      <protection/>
    </xf>
    <xf numFmtId="0" fontId="9" fillId="8" borderId="13" xfId="165" applyFont="1" applyFill="1" applyBorder="1" applyAlignment="1">
      <alignment horizontal="left" vertical="center" wrapText="1"/>
      <protection/>
    </xf>
    <xf numFmtId="3" fontId="9" fillId="8" borderId="13" xfId="165" applyNumberFormat="1" applyFont="1" applyFill="1" applyBorder="1" applyAlignment="1">
      <alignment horizontal="right" vertical="center" wrapText="1"/>
      <protection/>
    </xf>
    <xf numFmtId="3" fontId="10" fillId="8" borderId="13" xfId="162" applyNumberFormat="1" applyFont="1" applyFill="1" applyBorder="1" applyAlignment="1">
      <alignment horizontal="right" vertical="center" wrapText="1"/>
      <protection/>
    </xf>
    <xf numFmtId="0" fontId="18" fillId="0" borderId="13" xfId="165" applyFont="1" applyBorder="1" applyAlignment="1">
      <alignment horizontal="center" vertical="center" wrapText="1"/>
      <protection/>
    </xf>
    <xf numFmtId="0" fontId="8" fillId="0" borderId="13" xfId="165" applyFont="1" applyBorder="1" applyAlignment="1">
      <alignment horizontal="left" vertical="center" wrapText="1"/>
      <protection/>
    </xf>
    <xf numFmtId="0" fontId="9" fillId="0" borderId="13" xfId="165" applyFont="1" applyBorder="1" applyAlignment="1">
      <alignment horizontal="right" vertical="center" wrapText="1"/>
      <protection/>
    </xf>
    <xf numFmtId="0" fontId="9" fillId="0" borderId="14" xfId="165" applyFont="1" applyBorder="1" applyAlignment="1">
      <alignment horizontal="right" vertical="center" wrapText="1"/>
      <protection/>
    </xf>
    <xf numFmtId="3" fontId="9" fillId="0" borderId="13" xfId="165" applyNumberFormat="1" applyFont="1" applyBorder="1" applyAlignment="1">
      <alignment horizontal="right" vertical="center" wrapText="1"/>
      <protection/>
    </xf>
    <xf numFmtId="3" fontId="9" fillId="0" borderId="22" xfId="165" applyNumberFormat="1" applyFont="1" applyBorder="1" applyAlignment="1">
      <alignment horizontal="right" vertical="center" wrapText="1"/>
      <protection/>
    </xf>
    <xf numFmtId="3" fontId="54" fillId="0" borderId="13" xfId="165" applyNumberFormat="1" applyFont="1" applyBorder="1" applyAlignment="1">
      <alignment horizontal="right" vertical="center"/>
      <protection/>
    </xf>
    <xf numFmtId="3" fontId="10" fillId="0" borderId="13" xfId="165" applyNumberFormat="1" applyFont="1" applyBorder="1" applyAlignment="1">
      <alignment horizontal="right" vertical="center"/>
      <protection/>
    </xf>
    <xf numFmtId="3" fontId="10" fillId="0" borderId="22" xfId="165" applyNumberFormat="1" applyFont="1" applyBorder="1" applyAlignment="1">
      <alignment horizontal="right" vertical="center"/>
      <protection/>
    </xf>
    <xf numFmtId="3" fontId="18" fillId="0" borderId="13" xfId="0" applyNumberFormat="1" applyFont="1" applyBorder="1" applyAlignment="1">
      <alignment horizontal="right" vertical="center"/>
    </xf>
    <xf numFmtId="3" fontId="18" fillId="0" borderId="13" xfId="162" applyNumberFormat="1" applyFont="1" applyBorder="1" applyAlignment="1">
      <alignment horizontal="right" vertical="center" wrapText="1"/>
      <protection/>
    </xf>
    <xf numFmtId="3" fontId="18" fillId="0" borderId="22" xfId="162" applyNumberFormat="1" applyFont="1" applyBorder="1" applyAlignment="1">
      <alignment horizontal="right" vertical="center" wrapText="1"/>
      <protection/>
    </xf>
    <xf numFmtId="3" fontId="18" fillId="0" borderId="14" xfId="162" applyNumberFormat="1" applyFont="1" applyBorder="1" applyAlignment="1">
      <alignment horizontal="right" vertical="center" wrapText="1"/>
      <protection/>
    </xf>
    <xf numFmtId="3" fontId="18" fillId="0" borderId="14" xfId="0" applyNumberFormat="1" applyFont="1" applyBorder="1" applyAlignment="1">
      <alignment horizontal="right" vertical="center"/>
    </xf>
    <xf numFmtId="3" fontId="77" fillId="0" borderId="13" xfId="165" applyNumberFormat="1" applyFont="1" applyBorder="1" applyAlignment="1">
      <alignment horizontal="right" vertical="center"/>
      <protection/>
    </xf>
    <xf numFmtId="3" fontId="18" fillId="0" borderId="13" xfId="165" applyNumberFormat="1" applyFont="1" applyBorder="1" applyAlignment="1">
      <alignment horizontal="right" vertical="center"/>
      <protection/>
    </xf>
    <xf numFmtId="3" fontId="18" fillId="0" borderId="22" xfId="165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justify"/>
    </xf>
    <xf numFmtId="0" fontId="9" fillId="8" borderId="13" xfId="0" applyFont="1" applyFill="1" applyBorder="1" applyAlignment="1">
      <alignment horizontal="justify"/>
    </xf>
    <xf numFmtId="0" fontId="10" fillId="0" borderId="13" xfId="165" applyFont="1" applyBorder="1">
      <alignment/>
      <protection/>
    </xf>
    <xf numFmtId="0" fontId="8" fillId="8" borderId="13" xfId="165" applyFont="1" applyFill="1" applyBorder="1">
      <alignment/>
      <protection/>
    </xf>
    <xf numFmtId="3" fontId="8" fillId="8" borderId="13" xfId="165" applyNumberFormat="1" applyFont="1" applyFill="1" applyBorder="1">
      <alignment/>
      <protection/>
    </xf>
    <xf numFmtId="0" fontId="78" fillId="0" borderId="0" xfId="165" applyFont="1">
      <alignment/>
      <protection/>
    </xf>
    <xf numFmtId="0" fontId="9" fillId="0" borderId="13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justify"/>
    </xf>
    <xf numFmtId="0" fontId="75" fillId="0" borderId="0" xfId="165" applyFont="1" applyBorder="1">
      <alignment/>
      <protection/>
    </xf>
    <xf numFmtId="0" fontId="5" fillId="0" borderId="0" xfId="165" applyFont="1" applyBorder="1" applyAlignment="1">
      <alignment horizontal="center" vertical="center"/>
      <protection/>
    </xf>
    <xf numFmtId="0" fontId="75" fillId="0" borderId="0" xfId="165" applyFont="1" applyBorder="1" applyAlignment="1">
      <alignment horizontal="center" vertical="center"/>
      <protection/>
    </xf>
    <xf numFmtId="0" fontId="76" fillId="0" borderId="0" xfId="165" applyFont="1" applyBorder="1" applyAlignment="1">
      <alignment horizontal="center"/>
      <protection/>
    </xf>
    <xf numFmtId="0" fontId="76" fillId="0" borderId="0" xfId="165" applyFont="1" applyBorder="1">
      <alignment/>
      <protection/>
    </xf>
    <xf numFmtId="0" fontId="0" fillId="0" borderId="22" xfId="0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vertical="center"/>
    </xf>
    <xf numFmtId="0" fontId="7" fillId="0" borderId="39" xfId="157" applyBorder="1" applyAlignment="1">
      <alignment vertical="center" wrapText="1"/>
      <protection/>
    </xf>
    <xf numFmtId="0" fontId="0" fillId="0" borderId="37" xfId="0" applyFont="1" applyBorder="1" applyAlignment="1">
      <alignment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3" fontId="7" fillId="0" borderId="54" xfId="0" applyNumberFormat="1" applyFont="1" applyBorder="1" applyAlignment="1">
      <alignment vertical="center" wrapText="1"/>
    </xf>
    <xf numFmtId="0" fontId="7" fillId="0" borderId="39" xfId="0" applyFont="1" applyBorder="1" applyAlignment="1">
      <alignment vertical="top" wrapText="1"/>
    </xf>
    <xf numFmtId="0" fontId="7" fillId="0" borderId="39" xfId="182" applyFont="1" applyBorder="1" applyAlignment="1">
      <alignment vertical="center"/>
      <protection/>
    </xf>
    <xf numFmtId="0" fontId="8" fillId="0" borderId="40" xfId="152" applyFont="1" applyBorder="1" applyAlignment="1">
      <alignment horizontal="center" vertical="top" wrapText="1"/>
      <protection/>
    </xf>
    <xf numFmtId="0" fontId="7" fillId="0" borderId="41" xfId="0" applyFont="1" applyBorder="1" applyAlignment="1">
      <alignment vertical="center" wrapText="1"/>
    </xf>
    <xf numFmtId="0" fontId="7" fillId="0" borderId="39" xfId="159" applyFont="1" applyBorder="1" applyAlignment="1">
      <alignment vertical="center" wrapText="1"/>
      <protection/>
    </xf>
    <xf numFmtId="49" fontId="7" fillId="0" borderId="39" xfId="0" applyNumberFormat="1" applyFont="1" applyBorder="1" applyAlignment="1">
      <alignment horizontal="left" vertical="center" wrapText="1"/>
    </xf>
    <xf numFmtId="3" fontId="8" fillId="0" borderId="39" xfId="0" applyNumberFormat="1" applyFont="1" applyBorder="1" applyAlignment="1">
      <alignment horizontal="center" vertical="center"/>
    </xf>
    <xf numFmtId="0" fontId="9" fillId="0" borderId="22" xfId="153" applyFont="1" applyBorder="1" applyAlignment="1">
      <alignment horizontal="center" vertical="center"/>
      <protection/>
    </xf>
    <xf numFmtId="0" fontId="9" fillId="49" borderId="22" xfId="153" applyFont="1" applyFill="1" applyBorder="1" applyAlignment="1">
      <alignment horizontal="center" vertical="top" wrapText="1"/>
      <protection/>
    </xf>
    <xf numFmtId="0" fontId="10" fillId="0" borderId="22" xfId="153" applyFont="1" applyBorder="1" applyAlignment="1">
      <alignment horizontal="center" vertical="center" wrapText="1"/>
      <protection/>
    </xf>
    <xf numFmtId="0" fontId="10" fillId="49" borderId="22" xfId="153" applyFont="1" applyFill="1" applyBorder="1" applyAlignment="1">
      <alignment horizontal="center" vertical="center" wrapText="1"/>
      <protection/>
    </xf>
    <xf numFmtId="0" fontId="9" fillId="49" borderId="22" xfId="153" applyFont="1" applyFill="1" applyBorder="1" applyAlignment="1">
      <alignment horizontal="center" vertical="center" wrapText="1"/>
      <protection/>
    </xf>
    <xf numFmtId="0" fontId="10" fillId="49" borderId="22" xfId="153" applyFont="1" applyFill="1" applyBorder="1" applyAlignment="1">
      <alignment horizontal="center" vertical="top" wrapText="1"/>
      <protection/>
    </xf>
    <xf numFmtId="0" fontId="10" fillId="49" borderId="22" xfId="153" applyFont="1" applyFill="1" applyBorder="1" applyAlignment="1">
      <alignment horizontal="center" vertical="top" wrapText="1"/>
      <protection/>
    </xf>
    <xf numFmtId="3" fontId="11" fillId="0" borderId="3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7" fillId="0" borderId="22" xfId="160" applyNumberFormat="1" applyFont="1" applyBorder="1" applyAlignment="1">
      <alignment horizontal="left" vertical="center" wrapText="1"/>
      <protection/>
    </xf>
    <xf numFmtId="3" fontId="7" fillId="0" borderId="22" xfId="181" applyNumberFormat="1" applyFont="1" applyBorder="1" applyAlignment="1">
      <alignment vertical="center" wrapText="1"/>
      <protection/>
    </xf>
    <xf numFmtId="3" fontId="7" fillId="49" borderId="22" xfId="152" applyNumberFormat="1" applyFont="1" applyFill="1" applyBorder="1" applyAlignment="1">
      <alignment vertical="top" wrapText="1"/>
      <protection/>
    </xf>
    <xf numFmtId="3" fontId="7" fillId="0" borderId="22" xfId="148" applyNumberFormat="1" applyFont="1" applyBorder="1" applyAlignment="1">
      <alignment vertical="top" wrapText="1"/>
      <protection/>
    </xf>
    <xf numFmtId="3" fontId="7" fillId="0" borderId="22" xfId="149" applyNumberFormat="1" applyFont="1" applyBorder="1" applyAlignment="1">
      <alignment vertical="top" wrapText="1"/>
      <protection/>
    </xf>
    <xf numFmtId="3" fontId="17" fillId="0" borderId="22" xfId="0" applyNumberFormat="1" applyFont="1" applyBorder="1" applyAlignment="1">
      <alignment horizontal="left" vertical="center" wrapText="1"/>
    </xf>
    <xf numFmtId="0" fontId="17" fillId="0" borderId="22" xfId="147" applyFont="1" applyBorder="1" applyAlignment="1">
      <alignment vertical="center" wrapText="1"/>
      <protection/>
    </xf>
    <xf numFmtId="3" fontId="10" fillId="0" borderId="0" xfId="0" applyNumberFormat="1" applyFont="1" applyAlignment="1">
      <alignment vertical="center"/>
    </xf>
    <xf numFmtId="3" fontId="9" fillId="8" borderId="22" xfId="0" applyNumberFormat="1" applyFont="1" applyFill="1" applyBorder="1" applyAlignment="1">
      <alignment vertical="center" wrapText="1"/>
    </xf>
    <xf numFmtId="3" fontId="9" fillId="8" borderId="14" xfId="0" applyNumberFormat="1" applyFont="1" applyFill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13" xfId="188" applyNumberFormat="1" applyFont="1" applyBorder="1" applyAlignment="1">
      <alignment horizontal="right" vertical="center" wrapText="1"/>
      <protection/>
    </xf>
    <xf numFmtId="3" fontId="7" fillId="0" borderId="13" xfId="188" applyNumberFormat="1" applyFont="1" applyBorder="1" applyAlignment="1">
      <alignment horizontal="right" vertical="center"/>
      <protection/>
    </xf>
    <xf numFmtId="3" fontId="8" fillId="0" borderId="13" xfId="188" applyNumberFormat="1" applyFont="1" applyBorder="1" applyAlignment="1">
      <alignment horizontal="right" vertical="center" wrapText="1"/>
      <protection/>
    </xf>
    <xf numFmtId="3" fontId="8" fillId="8" borderId="13" xfId="188" applyNumberFormat="1" applyFont="1" applyFill="1" applyBorder="1" applyAlignment="1">
      <alignment horizontal="right" vertical="center" wrapText="1"/>
      <protection/>
    </xf>
    <xf numFmtId="0" fontId="7" fillId="0" borderId="13" xfId="98" applyNumberFormat="1" applyFont="1" applyBorder="1" applyAlignment="1">
      <alignment horizontal="center" vertical="center"/>
    </xf>
    <xf numFmtId="3" fontId="7" fillId="0" borderId="13" xfId="147" applyNumberFormat="1" applyFont="1" applyBorder="1" applyAlignment="1">
      <alignment horizontal="center" vertical="center" wrapText="1"/>
      <protection/>
    </xf>
    <xf numFmtId="3" fontId="7" fillId="0" borderId="13" xfId="147" applyNumberFormat="1" applyFont="1" applyBorder="1" applyAlignment="1">
      <alignment horizontal="center" vertical="top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3" fontId="9" fillId="8" borderId="55" xfId="188" applyNumberFormat="1" applyFont="1" applyFill="1" applyBorder="1" applyAlignment="1">
      <alignment horizontal="center" vertical="center" wrapText="1"/>
      <protection/>
    </xf>
    <xf numFmtId="49" fontId="7" fillId="0" borderId="39" xfId="0" applyNumberFormat="1" applyFont="1" applyBorder="1" applyAlignment="1">
      <alignment horizontal="left" wrapText="1"/>
    </xf>
    <xf numFmtId="49" fontId="0" fillId="0" borderId="22" xfId="187" applyNumberFormat="1" applyFont="1" applyBorder="1" applyAlignment="1">
      <alignment horizontal="left" vertical="center" wrapText="1"/>
      <protection/>
    </xf>
    <xf numFmtId="49" fontId="7" fillId="0" borderId="56" xfId="174" applyNumberFormat="1" applyFont="1" applyBorder="1" applyAlignment="1">
      <alignment horizontal="left" vertical="center" wrapText="1"/>
      <protection/>
    </xf>
    <xf numFmtId="0" fontId="70" fillId="0" borderId="22" xfId="166" applyFont="1" applyBorder="1" applyAlignment="1">
      <alignment wrapText="1"/>
      <protection/>
    </xf>
    <xf numFmtId="0" fontId="70" fillId="0" borderId="22" xfId="166" applyFont="1" applyBorder="1" applyAlignment="1">
      <alignment horizontal="justify" wrapText="1"/>
      <protection/>
    </xf>
    <xf numFmtId="0" fontId="70" fillId="0" borderId="22" xfId="166" applyFont="1" applyBorder="1" applyAlignment="1">
      <alignment horizontal="left" wrapText="1"/>
      <protection/>
    </xf>
    <xf numFmtId="3" fontId="69" fillId="0" borderId="0" xfId="0" applyNumberFormat="1" applyFont="1" applyAlignment="1">
      <alignment vertical="center"/>
    </xf>
    <xf numFmtId="3" fontId="16" fillId="0" borderId="13" xfId="167" applyNumberFormat="1" applyFont="1" applyFill="1" applyBorder="1" applyAlignment="1">
      <alignment horizontal="right" vertical="center" wrapText="1"/>
      <protection/>
    </xf>
    <xf numFmtId="3" fontId="10" fillId="0" borderId="13" xfId="168" applyNumberFormat="1" applyFont="1" applyFill="1" applyBorder="1" applyAlignment="1">
      <alignment horizontal="right" vertical="center" wrapText="1"/>
      <protection/>
    </xf>
    <xf numFmtId="3" fontId="10" fillId="0" borderId="13" xfId="168" applyNumberFormat="1" applyFont="1" applyFill="1" applyBorder="1" applyAlignment="1">
      <alignment horizontal="right" vertical="center"/>
      <protection/>
    </xf>
    <xf numFmtId="3" fontId="10" fillId="0" borderId="13" xfId="178" applyNumberFormat="1" applyFont="1" applyFill="1" applyBorder="1" applyAlignment="1">
      <alignment horizontal="right" vertical="center"/>
      <protection/>
    </xf>
    <xf numFmtId="3" fontId="8" fillId="8" borderId="13" xfId="145" applyNumberFormat="1" applyFont="1" applyFill="1" applyBorder="1" applyAlignment="1">
      <alignment vertical="center" wrapText="1"/>
      <protection/>
    </xf>
    <xf numFmtId="3" fontId="10" fillId="0" borderId="13" xfId="167" applyNumberFormat="1" applyFont="1" applyFill="1" applyBorder="1" applyAlignment="1">
      <alignment horizontal="right" vertical="center" wrapText="1"/>
      <protection/>
    </xf>
    <xf numFmtId="3" fontId="9" fillId="8" borderId="13" xfId="145" applyNumberFormat="1" applyFont="1" applyFill="1" applyBorder="1" applyAlignment="1">
      <alignment vertical="center" wrapText="1"/>
      <protection/>
    </xf>
    <xf numFmtId="3" fontId="9" fillId="8" borderId="13" xfId="145" applyNumberFormat="1" applyFont="1" applyFill="1" applyBorder="1" applyAlignment="1">
      <alignment horizontal="right" vertical="center" wrapText="1"/>
      <protection/>
    </xf>
    <xf numFmtId="0" fontId="7" fillId="0" borderId="13" xfId="177" applyFont="1" applyBorder="1" applyAlignment="1">
      <alignment horizontal="center" vertical="center" wrapText="1"/>
      <protection/>
    </xf>
    <xf numFmtId="0" fontId="7" fillId="0" borderId="13" xfId="168" applyFont="1" applyBorder="1" applyAlignment="1">
      <alignment vertical="center"/>
      <protection/>
    </xf>
    <xf numFmtId="166" fontId="7" fillId="0" borderId="13" xfId="172" applyNumberFormat="1" applyFont="1" applyBorder="1">
      <alignment/>
      <protection/>
    </xf>
    <xf numFmtId="0" fontId="7" fillId="0" borderId="13" xfId="172" applyFont="1" applyBorder="1">
      <alignment/>
      <protection/>
    </xf>
    <xf numFmtId="166" fontId="7" fillId="0" borderId="13" xfId="177" applyNumberFormat="1" applyFont="1" applyBorder="1">
      <alignment/>
      <protection/>
    </xf>
    <xf numFmtId="0" fontId="62" fillId="47" borderId="0" xfId="173" applyFont="1" applyFill="1">
      <alignment/>
      <protection/>
    </xf>
    <xf numFmtId="0" fontId="57" fillId="0" borderId="13" xfId="177" applyFont="1" applyBorder="1" applyAlignment="1">
      <alignment horizontal="center" vertical="center" wrapText="1"/>
      <protection/>
    </xf>
    <xf numFmtId="0" fontId="7" fillId="0" borderId="13" xfId="175" applyFont="1" applyBorder="1" applyAlignment="1">
      <alignment horizontal="left" vertical="center" wrapText="1"/>
      <protection/>
    </xf>
    <xf numFmtId="166" fontId="7" fillId="0" borderId="13" xfId="177" applyNumberFormat="1" applyFont="1" applyBorder="1" applyAlignment="1">
      <alignment vertical="center"/>
      <protection/>
    </xf>
    <xf numFmtId="0" fontId="58" fillId="0" borderId="0" xfId="173" applyFont="1">
      <alignment/>
      <protection/>
    </xf>
    <xf numFmtId="0" fontId="7" fillId="0" borderId="13" xfId="177" applyFont="1" applyBorder="1" applyAlignment="1">
      <alignment vertical="center"/>
      <protection/>
    </xf>
    <xf numFmtId="167" fontId="7" fillId="0" borderId="13" xfId="177" applyNumberFormat="1" applyFont="1" applyBorder="1" applyAlignment="1">
      <alignment vertical="center"/>
      <protection/>
    </xf>
    <xf numFmtId="0" fontId="59" fillId="0" borderId="0" xfId="173" applyFont="1">
      <alignment/>
      <protection/>
    </xf>
    <xf numFmtId="0" fontId="7" fillId="0" borderId="13" xfId="168" applyFont="1" applyBorder="1" applyAlignment="1">
      <alignment vertical="center" wrapText="1"/>
      <protection/>
    </xf>
    <xf numFmtId="0" fontId="7" fillId="0" borderId="13" xfId="177" applyFont="1" applyBorder="1">
      <alignment/>
      <protection/>
    </xf>
    <xf numFmtId="0" fontId="7" fillId="0" borderId="13" xfId="177" applyFont="1" applyBorder="1" applyAlignment="1">
      <alignment vertical="center" wrapText="1"/>
      <protection/>
    </xf>
    <xf numFmtId="167" fontId="7" fillId="0" borderId="13" xfId="177" applyNumberFormat="1" applyFont="1" applyBorder="1">
      <alignment/>
      <protection/>
    </xf>
    <xf numFmtId="2" fontId="7" fillId="0" borderId="13" xfId="177" applyNumberFormat="1" applyFont="1" applyBorder="1">
      <alignment/>
      <protection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3" fontId="9" fillId="50" borderId="18" xfId="0" applyNumberFormat="1" applyFont="1" applyFill="1" applyBorder="1" applyAlignment="1">
      <alignment vertical="center"/>
    </xf>
    <xf numFmtId="3" fontId="9" fillId="50" borderId="13" xfId="0" applyNumberFormat="1" applyFont="1" applyFill="1" applyBorder="1" applyAlignment="1">
      <alignment vertical="center"/>
    </xf>
    <xf numFmtId="3" fontId="10" fillId="0" borderId="21" xfId="0" applyNumberFormat="1" applyFont="1" applyBorder="1" applyAlignment="1">
      <alignment vertical="center" wrapText="1"/>
    </xf>
    <xf numFmtId="3" fontId="9" fillId="50" borderId="14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8" fillId="50" borderId="13" xfId="0" applyNumberFormat="1" applyFont="1" applyFill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/>
    </xf>
    <xf numFmtId="3" fontId="7" fillId="0" borderId="21" xfId="0" applyNumberFormat="1" applyFont="1" applyBorder="1" applyAlignment="1">
      <alignment horizontal="left" vertical="center" wrapText="1"/>
    </xf>
    <xf numFmtId="0" fontId="5" fillId="50" borderId="13" xfId="155" applyFont="1" applyFill="1" applyBorder="1" applyAlignment="1">
      <alignment vertical="center"/>
      <protection/>
    </xf>
    <xf numFmtId="0" fontId="9" fillId="51" borderId="57" xfId="155" applyFont="1" applyFill="1" applyBorder="1" applyAlignment="1">
      <alignment horizontal="center" vertical="top"/>
      <protection/>
    </xf>
    <xf numFmtId="3" fontId="9" fillId="51" borderId="21" xfId="155" applyNumberFormat="1" applyFont="1" applyFill="1" applyBorder="1" applyAlignment="1">
      <alignment horizontal="center" vertical="center" wrapText="1"/>
      <protection/>
    </xf>
    <xf numFmtId="3" fontId="9" fillId="51" borderId="13" xfId="155" applyNumberFormat="1" applyFont="1" applyFill="1" applyBorder="1" applyAlignment="1">
      <alignment horizontal="center" vertical="center" wrapText="1"/>
      <protection/>
    </xf>
    <xf numFmtId="0" fontId="10" fillId="50" borderId="13" xfId="155" applyFont="1" applyFill="1" applyBorder="1" applyAlignment="1">
      <alignment vertical="center"/>
      <protection/>
    </xf>
    <xf numFmtId="3" fontId="83" fillId="0" borderId="13" xfId="155" applyNumberFormat="1" applyFont="1" applyBorder="1" applyAlignment="1">
      <alignment horizontal="right" vertical="center"/>
      <protection/>
    </xf>
    <xf numFmtId="3" fontId="9" fillId="51" borderId="13" xfId="155" applyNumberFormat="1" applyFont="1" applyFill="1" applyBorder="1" applyAlignment="1">
      <alignment vertical="center"/>
      <protection/>
    </xf>
    <xf numFmtId="3" fontId="8" fillId="51" borderId="13" xfId="155" applyNumberFormat="1" applyFont="1" applyFill="1" applyBorder="1" applyAlignment="1">
      <alignment horizontal="right" vertical="center"/>
      <protection/>
    </xf>
    <xf numFmtId="0" fontId="10" fillId="50" borderId="58" xfId="155" applyFont="1" applyFill="1" applyBorder="1" applyAlignment="1">
      <alignment horizontal="center" vertical="center"/>
      <protection/>
    </xf>
    <xf numFmtId="0" fontId="10" fillId="50" borderId="42" xfId="155" applyFont="1" applyFill="1" applyBorder="1" applyAlignment="1">
      <alignment horizontal="center" vertical="center"/>
      <protection/>
    </xf>
    <xf numFmtId="0" fontId="9" fillId="50" borderId="13" xfId="155" applyFont="1" applyFill="1" applyBorder="1" applyAlignment="1">
      <alignment horizontal="center" vertical="center" wrapText="1"/>
      <protection/>
    </xf>
    <xf numFmtId="0" fontId="84" fillId="50" borderId="13" xfId="143" applyFont="1" applyFill="1" applyBorder="1" applyAlignment="1">
      <alignment horizontal="center" vertical="center" wrapText="1"/>
      <protection/>
    </xf>
    <xf numFmtId="0" fontId="2" fillId="8" borderId="59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22" xfId="144" applyFont="1" applyFill="1" applyBorder="1" applyAlignment="1">
      <alignment horizontal="center" vertical="center"/>
      <protection/>
    </xf>
    <xf numFmtId="0" fontId="52" fillId="8" borderId="13" xfId="0" applyFont="1" applyFill="1" applyBorder="1" applyAlignment="1">
      <alignment horizontal="center" vertical="center" wrapText="1"/>
    </xf>
    <xf numFmtId="0" fontId="52" fillId="8" borderId="13" xfId="0" applyFont="1" applyFill="1" applyBorder="1" applyAlignment="1">
      <alignment horizontal="center" vertical="center"/>
    </xf>
    <xf numFmtId="0" fontId="4" fillId="0" borderId="0" xfId="146" applyAlignment="1">
      <alignment horizontal="center"/>
      <protection/>
    </xf>
    <xf numFmtId="0" fontId="8" fillId="8" borderId="13" xfId="144" applyFont="1" applyFill="1" applyBorder="1" applyAlignment="1">
      <alignment horizontal="center" vertical="center"/>
      <protection/>
    </xf>
    <xf numFmtId="0" fontId="8" fillId="8" borderId="13" xfId="146" applyFont="1" applyFill="1" applyBorder="1" applyAlignment="1">
      <alignment horizontal="center"/>
      <protection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/>
    </xf>
    <xf numFmtId="3" fontId="9" fillId="8" borderId="13" xfId="188" applyNumberFormat="1" applyFont="1" applyFill="1" applyBorder="1" applyAlignment="1">
      <alignment horizontal="center" vertical="center" wrapText="1"/>
      <protection/>
    </xf>
    <xf numFmtId="0" fontId="9" fillId="8" borderId="21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12" fillId="8" borderId="61" xfId="188" applyNumberFormat="1" applyFont="1" applyFill="1" applyBorder="1" applyAlignment="1">
      <alignment horizontal="center" vertical="center" textRotation="90" wrapText="1"/>
      <protection/>
    </xf>
    <xf numFmtId="3" fontId="12" fillId="8" borderId="62" xfId="188" applyNumberFormat="1" applyFont="1" applyFill="1" applyBorder="1" applyAlignment="1">
      <alignment horizontal="center" vertical="center" textRotation="90" wrapText="1"/>
      <protection/>
    </xf>
    <xf numFmtId="3" fontId="12" fillId="8" borderId="21" xfId="188" applyNumberFormat="1" applyFont="1" applyFill="1" applyBorder="1" applyAlignment="1">
      <alignment horizontal="center" vertical="center" wrapText="1"/>
      <protection/>
    </xf>
    <xf numFmtId="3" fontId="12" fillId="8" borderId="18" xfId="188" applyNumberFormat="1" applyFont="1" applyFill="1" applyBorder="1" applyAlignment="1">
      <alignment horizontal="center" vertical="center" wrapText="1"/>
      <protection/>
    </xf>
    <xf numFmtId="3" fontId="12" fillId="8" borderId="59" xfId="188" applyNumberFormat="1" applyFont="1" applyFill="1" applyBorder="1" applyAlignment="1">
      <alignment horizontal="center" vertical="center" wrapText="1"/>
      <protection/>
    </xf>
    <xf numFmtId="3" fontId="12" fillId="8" borderId="60" xfId="188" applyNumberFormat="1" applyFont="1" applyFill="1" applyBorder="1" applyAlignment="1">
      <alignment horizontal="center" vertical="center" wrapText="1"/>
      <protection/>
    </xf>
    <xf numFmtId="3" fontId="12" fillId="8" borderId="59" xfId="188" applyNumberFormat="1" applyFont="1" applyFill="1" applyBorder="1" applyAlignment="1">
      <alignment horizontal="center" vertical="center"/>
      <protection/>
    </xf>
    <xf numFmtId="3" fontId="12" fillId="8" borderId="60" xfId="188" applyNumberFormat="1" applyFont="1" applyFill="1" applyBorder="1" applyAlignment="1">
      <alignment horizontal="center" vertical="center"/>
      <protection/>
    </xf>
    <xf numFmtId="0" fontId="9" fillId="8" borderId="3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9" fillId="8" borderId="13" xfId="145" applyFont="1" applyFill="1" applyBorder="1" applyAlignment="1">
      <alignment horizontal="center" vertical="center"/>
      <protection/>
    </xf>
    <xf numFmtId="0" fontId="52" fillId="8" borderId="21" xfId="0" applyFont="1" applyFill="1" applyBorder="1" applyAlignment="1">
      <alignment horizontal="center" vertical="center" wrapText="1"/>
    </xf>
    <xf numFmtId="0" fontId="52" fillId="8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9" fillId="9" borderId="63" xfId="170" applyNumberFormat="1" applyFont="1" applyFill="1" applyBorder="1" applyAlignment="1">
      <alignment horizontal="center" vertical="center" wrapText="1"/>
      <protection/>
    </xf>
    <xf numFmtId="3" fontId="9" fillId="9" borderId="64" xfId="170" applyNumberFormat="1" applyFont="1" applyFill="1" applyBorder="1" applyAlignment="1">
      <alignment horizontal="center" vertical="center" wrapText="1"/>
      <protection/>
    </xf>
    <xf numFmtId="3" fontId="9" fillId="9" borderId="65" xfId="170" applyNumberFormat="1" applyFont="1" applyFill="1" applyBorder="1" applyAlignment="1">
      <alignment horizontal="center" vertical="center" wrapText="1"/>
      <protection/>
    </xf>
    <xf numFmtId="3" fontId="9" fillId="9" borderId="23" xfId="170" applyNumberFormat="1" applyFont="1" applyFill="1" applyBorder="1" applyAlignment="1">
      <alignment horizontal="center" wrapText="1"/>
      <protection/>
    </xf>
    <xf numFmtId="3" fontId="55" fillId="8" borderId="13" xfId="170" applyNumberFormat="1" applyFont="1" applyFill="1" applyBorder="1" applyAlignment="1">
      <alignment horizontal="center" vertical="center" wrapText="1"/>
      <protection/>
    </xf>
    <xf numFmtId="3" fontId="9" fillId="9" borderId="66" xfId="170" applyNumberFormat="1" applyFont="1" applyFill="1" applyBorder="1" applyAlignment="1">
      <alignment horizontal="center" vertical="center" wrapText="1"/>
      <protection/>
    </xf>
    <xf numFmtId="3" fontId="9" fillId="9" borderId="67" xfId="170" applyNumberFormat="1" applyFont="1" applyFill="1" applyBorder="1" applyAlignment="1">
      <alignment horizontal="center" vertical="center" wrapText="1"/>
      <protection/>
    </xf>
    <xf numFmtId="0" fontId="75" fillId="0" borderId="0" xfId="165" applyFont="1" applyBorder="1" applyAlignment="1">
      <alignment horizontal="center"/>
      <protection/>
    </xf>
    <xf numFmtId="0" fontId="54" fillId="8" borderId="21" xfId="165" applyFont="1" applyFill="1" applyBorder="1" applyAlignment="1">
      <alignment horizontal="center" vertical="center" wrapText="1"/>
      <protection/>
    </xf>
    <xf numFmtId="0" fontId="54" fillId="8" borderId="19" xfId="165" applyFont="1" applyFill="1" applyBorder="1" applyAlignment="1">
      <alignment horizontal="center" vertical="center" wrapText="1"/>
      <protection/>
    </xf>
    <xf numFmtId="0" fontId="54" fillId="8" borderId="18" xfId="165" applyFont="1" applyFill="1" applyBorder="1" applyAlignment="1">
      <alignment horizontal="center" vertical="center" wrapText="1"/>
      <protection/>
    </xf>
    <xf numFmtId="0" fontId="54" fillId="8" borderId="33" xfId="165" applyFont="1" applyFill="1" applyBorder="1" applyAlignment="1">
      <alignment horizontal="center" vertical="center" wrapText="1"/>
      <protection/>
    </xf>
    <xf numFmtId="0" fontId="54" fillId="8" borderId="14" xfId="165" applyFont="1" applyFill="1" applyBorder="1" applyAlignment="1">
      <alignment horizontal="center" vertical="center" wrapText="1"/>
      <protection/>
    </xf>
    <xf numFmtId="0" fontId="54" fillId="8" borderId="22" xfId="165" applyFont="1" applyFill="1" applyBorder="1" applyAlignment="1">
      <alignment horizontal="center" vertical="center"/>
      <protection/>
    </xf>
    <xf numFmtId="0" fontId="54" fillId="8" borderId="33" xfId="165" applyFont="1" applyFill="1" applyBorder="1" applyAlignment="1">
      <alignment horizontal="center" vertical="center"/>
      <protection/>
    </xf>
    <xf numFmtId="0" fontId="54" fillId="8" borderId="13" xfId="165" applyFont="1" applyFill="1" applyBorder="1" applyAlignment="1">
      <alignment horizontal="center" vertical="center" wrapText="1"/>
      <protection/>
    </xf>
    <xf numFmtId="0" fontId="54" fillId="8" borderId="42" xfId="165" applyFont="1" applyFill="1" applyBorder="1" applyAlignment="1">
      <alignment horizontal="center" vertical="center" wrapText="1"/>
      <protection/>
    </xf>
    <xf numFmtId="0" fontId="54" fillId="8" borderId="48" xfId="165" applyFont="1" applyFill="1" applyBorder="1" applyAlignment="1">
      <alignment horizontal="center" vertical="center" wrapText="1"/>
      <protection/>
    </xf>
    <xf numFmtId="0" fontId="54" fillId="8" borderId="22" xfId="165" applyFont="1" applyFill="1" applyBorder="1" applyAlignment="1">
      <alignment horizontal="center" vertical="center" wrapText="1"/>
      <protection/>
    </xf>
    <xf numFmtId="0" fontId="10" fillId="50" borderId="52" xfId="155" applyFont="1" applyFill="1" applyBorder="1" applyAlignment="1">
      <alignment horizontal="center" vertical="center"/>
      <protection/>
    </xf>
    <xf numFmtId="0" fontId="10" fillId="50" borderId="48" xfId="155" applyFont="1" applyFill="1" applyBorder="1" applyAlignment="1">
      <alignment horizontal="center" vertical="center"/>
      <protection/>
    </xf>
    <xf numFmtId="3" fontId="8" fillId="0" borderId="19" xfId="188" applyNumberFormat="1" applyFont="1" applyBorder="1" applyAlignment="1">
      <alignment horizontal="center" vertical="center" wrapText="1"/>
      <protection/>
    </xf>
    <xf numFmtId="3" fontId="8" fillId="0" borderId="19" xfId="188" applyNumberFormat="1" applyFont="1" applyBorder="1" applyAlignment="1">
      <alignment horizontal="left" vertical="center" wrapText="1"/>
      <protection/>
    </xf>
    <xf numFmtId="3" fontId="7" fillId="0" borderId="13" xfId="188" applyNumberFormat="1" applyFont="1" applyBorder="1" applyAlignment="1">
      <alignment horizontal="center" vertical="center" wrapText="1"/>
      <protection/>
    </xf>
    <xf numFmtId="3" fontId="7" fillId="0" borderId="13" xfId="188" applyNumberFormat="1" applyFont="1" applyBorder="1" applyAlignment="1">
      <alignment vertical="center" wrapText="1"/>
      <protection/>
    </xf>
    <xf numFmtId="0" fontId="7" fillId="0" borderId="13" xfId="176" applyFont="1" applyBorder="1" applyAlignment="1">
      <alignment vertical="center"/>
      <protection/>
    </xf>
    <xf numFmtId="3" fontId="17" fillId="0" borderId="13" xfId="176" applyNumberFormat="1" applyFont="1" applyBorder="1" applyAlignment="1">
      <alignment horizontal="center" vertical="center"/>
      <protection/>
    </xf>
    <xf numFmtId="0" fontId="10" fillId="0" borderId="22" xfId="176" applyFont="1" applyBorder="1" applyAlignment="1">
      <alignment vertical="center" wrapText="1"/>
      <protection/>
    </xf>
    <xf numFmtId="0" fontId="10" fillId="0" borderId="13" xfId="176" applyFont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0" fillId="0" borderId="22" xfId="188" applyNumberFormat="1" applyFont="1" applyBorder="1" applyAlignment="1">
      <alignment vertical="center" wrapText="1"/>
      <protection/>
    </xf>
    <xf numFmtId="3" fontId="10" fillId="0" borderId="68" xfId="188" applyNumberFormat="1" applyFont="1" applyBorder="1" applyAlignment="1">
      <alignment vertical="center"/>
      <protection/>
    </xf>
    <xf numFmtId="0" fontId="66" fillId="0" borderId="29" xfId="163" applyFont="1" applyBorder="1" applyAlignment="1">
      <alignment horizontal="left" vertical="center" wrapText="1"/>
      <protection/>
    </xf>
    <xf numFmtId="3" fontId="10" fillId="0" borderId="69" xfId="158" applyNumberFormat="1" applyFont="1" applyBorder="1" applyAlignment="1">
      <alignment vertical="center" wrapText="1"/>
      <protection/>
    </xf>
    <xf numFmtId="3" fontId="10" fillId="0" borderId="22" xfId="158" applyNumberFormat="1" applyFont="1" applyBorder="1" applyAlignment="1">
      <alignment vertical="center" wrapText="1"/>
      <protection/>
    </xf>
    <xf numFmtId="3" fontId="10" fillId="0" borderId="43" xfId="158" applyNumberFormat="1" applyFont="1" applyBorder="1" applyAlignment="1">
      <alignment vertical="center" wrapText="1"/>
      <protection/>
    </xf>
    <xf numFmtId="3" fontId="85" fillId="0" borderId="14" xfId="0" applyNumberFormat="1" applyFont="1" applyBorder="1" applyAlignment="1">
      <alignment vertical="center"/>
    </xf>
    <xf numFmtId="3" fontId="85" fillId="0" borderId="33" xfId="0" applyNumberFormat="1" applyFont="1" applyBorder="1" applyAlignment="1">
      <alignment vertical="center"/>
    </xf>
    <xf numFmtId="0" fontId="86" fillId="0" borderId="22" xfId="0" applyFont="1" applyBorder="1" applyAlignment="1">
      <alignment wrapText="1"/>
    </xf>
    <xf numFmtId="0" fontId="86" fillId="0" borderId="37" xfId="0" applyFont="1" applyBorder="1" applyAlignment="1">
      <alignment wrapText="1"/>
    </xf>
    <xf numFmtId="3" fontId="87" fillId="0" borderId="14" xfId="0" applyNumberFormat="1" applyFont="1" applyBorder="1" applyAlignment="1">
      <alignment vertical="center"/>
    </xf>
    <xf numFmtId="0" fontId="86" fillId="0" borderId="22" xfId="0" applyFont="1" applyBorder="1" applyAlignment="1">
      <alignment vertical="center" wrapText="1"/>
    </xf>
    <xf numFmtId="49" fontId="16" fillId="52" borderId="22" xfId="187" applyNumberFormat="1" applyFont="1" applyFill="1" applyBorder="1" applyAlignment="1">
      <alignment horizontal="left" vertical="center" wrapText="1"/>
      <protection/>
    </xf>
    <xf numFmtId="3" fontId="88" fillId="0" borderId="14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7" fillId="0" borderId="22" xfId="185" applyFont="1" applyBorder="1" applyAlignment="1">
      <alignment vertical="center"/>
      <protection/>
    </xf>
    <xf numFmtId="0" fontId="7" fillId="0" borderId="22" xfId="152" applyFont="1" applyBorder="1" applyAlignment="1">
      <alignment vertical="top" wrapText="1"/>
      <protection/>
    </xf>
    <xf numFmtId="0" fontId="7" fillId="0" borderId="39" xfId="185" applyFont="1" applyBorder="1" applyAlignment="1">
      <alignment vertical="center" wrapText="1"/>
      <protection/>
    </xf>
    <xf numFmtId="0" fontId="7" fillId="0" borderId="39" xfId="153" applyFont="1" applyBorder="1" applyAlignment="1">
      <alignment vertical="top" wrapText="1"/>
      <protection/>
    </xf>
  </cellXfs>
  <cellStyles count="19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Neutral" xfId="139"/>
    <cellStyle name="Normál 2" xfId="140"/>
    <cellStyle name="Normál 3" xfId="141"/>
    <cellStyle name="Normál 4" xfId="142"/>
    <cellStyle name="Normál 5" xfId="143"/>
    <cellStyle name="Normál_   5    (2)" xfId="144"/>
    <cellStyle name="Normál_   5    (2)_KÖLTSÉGVETÉS 2015 intézmények " xfId="145"/>
    <cellStyle name="Normál_   5-a    (2)" xfId="146"/>
    <cellStyle name="Normál_   7   x" xfId="147"/>
    <cellStyle name="Normál_   7   x_2012. III.negyedévi ei. módosítás" xfId="148"/>
    <cellStyle name="Normál_   7   x_2012. III.negyedévi ei. módosítás_Intézményi táblák" xfId="149"/>
    <cellStyle name="Normál_   7   x_2014_ktsv tervezet_btcs_6.a" xfId="150"/>
    <cellStyle name="Normál_   7   x_7_6.a" xfId="151"/>
    <cellStyle name="Normál_   7   x_Másolat eredetije2014. műk-beru-felúj. 2" xfId="152"/>
    <cellStyle name="Normál_   7   x_Másolat eredetije2014. műk-beru-felúj._6.a" xfId="153"/>
    <cellStyle name="Normál_   7   x_Másolat eredetije2014. műk-beru-felúj._Intézményi táblák" xfId="154"/>
    <cellStyle name="Normál_  3   _2010.évi állami_állami  tám." xfId="155"/>
    <cellStyle name="Normál_16.sz. melléklet" xfId="156"/>
    <cellStyle name="Normál_2001.évi költségvkoncepció" xfId="157"/>
    <cellStyle name="Normál_2012. évi beszámoló 5.a 6a" xfId="158"/>
    <cellStyle name="Normál_2016.egyénikerigények" xfId="159"/>
    <cellStyle name="Normál_213_évi_költségvetés_MCS" xfId="160"/>
    <cellStyle name="Normál_213_évi_költségvetés_MCS_2016. IV.névi módosítás" xfId="161"/>
    <cellStyle name="Normál_213_évi_költségvetés_MCS_Intézményi táblák" xfId="162"/>
    <cellStyle name="Normál_3" xfId="163"/>
    <cellStyle name="Normál_eredeti biz.után" xfId="164"/>
    <cellStyle name="Normál_Európai Uniós pályázatok 2009.01.15. átdolgozott_KÖLTSÉGVETÉS 2015 intézmények _Intézményi táblák" xfId="165"/>
    <cellStyle name="Normál_Infrastukturális fejlesztések Zalaegerszegen" xfId="166"/>
    <cellStyle name="Normál_Intézmények 2014" xfId="167"/>
    <cellStyle name="Normál_INTKIA96" xfId="168"/>
    <cellStyle name="Normál_Kezességvállalás 2018" xfId="169"/>
    <cellStyle name="Normál_KÖLTSÉGVETÉS_2013 (1)" xfId="170"/>
    <cellStyle name="Normál_Közvetett támogatások 2016" xfId="171"/>
    <cellStyle name="Normál_Létszám 2014. évi ktgvetés_2014.IV.negyedévi létszám ei. módosítás és 2015_Létszámok 2019. január 1" xfId="172"/>
    <cellStyle name="Normál_Létszámelőirányzat  2018_Létszámok 2019. január 1" xfId="173"/>
    <cellStyle name="Normál_Másolat eredetije2014. műk-beru-felúj." xfId="174"/>
    <cellStyle name="Normál_Munka1" xfId="175"/>
    <cellStyle name="Normál_Munka2 (2)" xfId="176"/>
    <cellStyle name="Normál_Munka2 (2)_2014.IV.negyedévi létszám ei. módosítás és 2015" xfId="177"/>
    <cellStyle name="Normál_Munka2 (2)_KÖLTSÉGVETÉS 2015 intézmények " xfId="178"/>
    <cellStyle name="Normál_Munka2 (2)_KÖLTSÉGVETÉS_2015." xfId="179"/>
    <cellStyle name="Normál_Munka3 (2)" xfId="180"/>
    <cellStyle name="Normál_Munka3 (2)_Másolat eredetije2014. műk-beru-felúj." xfId="181"/>
    <cellStyle name="Normál_Munka3 (2)_Másolat eredetije2014. műk-beru-felúj._2016. IV.névi módosítás" xfId="182"/>
    <cellStyle name="Normál_Munka3 (2)_Másolat eredetije2014. műk-beru-felúj._2017.KÖLTSÉGVETÉS" xfId="183"/>
    <cellStyle name="Normál_Munka3 (2)_Másolat eredetije2014. műk-beru-felúj._2018. I.névi ei-módosítás" xfId="184"/>
    <cellStyle name="Normál_Munka3 (2)_Másolat eredetije2014. műk-beru-felúj._6.a" xfId="185"/>
    <cellStyle name="Normál_Munka3 (2)_Másolat eredetije2014. műk-beru-felúj._Intézményi táblák" xfId="186"/>
    <cellStyle name="Normál_Műszaki Osztály fejlesztés2016" xfId="187"/>
    <cellStyle name="Normál_ÖKIADELÖ" xfId="188"/>
    <cellStyle name="Normal_tanusitv" xfId="189"/>
    <cellStyle name="Note" xfId="190"/>
    <cellStyle name="Output" xfId="191"/>
    <cellStyle name="Összesen" xfId="192"/>
    <cellStyle name="Összesen 2" xfId="193"/>
    <cellStyle name="Currency" xfId="194"/>
    <cellStyle name="Currency [0]" xfId="195"/>
    <cellStyle name="Rossz" xfId="196"/>
    <cellStyle name="Rossz 2" xfId="197"/>
    <cellStyle name="Semleges" xfId="198"/>
    <cellStyle name="Semleges 2" xfId="199"/>
    <cellStyle name="Számítás" xfId="200"/>
    <cellStyle name="Számítás 2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20\04.07.%20vesz&#233;lyhelyzet\K&#246;lts&#233;gvet&#233;si%20rendelet%202020.%20I.%20n&#233;vi%20ei.%20m&#243;dos&#237;t&#225;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20\06.03.%20vesz&#233;lyhelyzet\2020.%20j&#250;niusi%20ei.%20m&#243;dos&#237;t&#225;s%20t&#225;bl&#225;z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13">
        <row r="3">
          <cell r="K3">
            <v>46</v>
          </cell>
          <cell r="M3">
            <v>46</v>
          </cell>
        </row>
        <row r="4">
          <cell r="K4">
            <v>139</v>
          </cell>
          <cell r="M4">
            <v>139</v>
          </cell>
        </row>
        <row r="5">
          <cell r="K5">
            <v>2935</v>
          </cell>
          <cell r="M5">
            <v>2935</v>
          </cell>
        </row>
        <row r="6">
          <cell r="K6">
            <v>1144</v>
          </cell>
          <cell r="M6">
            <v>1144</v>
          </cell>
        </row>
        <row r="7">
          <cell r="K7">
            <v>15142</v>
          </cell>
          <cell r="M7">
            <v>15142</v>
          </cell>
        </row>
        <row r="8">
          <cell r="K8">
            <v>2</v>
          </cell>
          <cell r="M8">
            <v>2</v>
          </cell>
        </row>
        <row r="9">
          <cell r="K9">
            <v>10</v>
          </cell>
          <cell r="M9">
            <v>10</v>
          </cell>
        </row>
        <row r="10">
          <cell r="K10">
            <v>16</v>
          </cell>
          <cell r="M10">
            <v>16</v>
          </cell>
        </row>
        <row r="11">
          <cell r="K11">
            <v>22</v>
          </cell>
          <cell r="M11">
            <v>22</v>
          </cell>
        </row>
        <row r="12">
          <cell r="K12">
            <v>31</v>
          </cell>
          <cell r="M12">
            <v>31</v>
          </cell>
        </row>
        <row r="13">
          <cell r="K13">
            <v>3872</v>
          </cell>
          <cell r="M13">
            <v>3872</v>
          </cell>
        </row>
        <row r="14">
          <cell r="M14">
            <v>0</v>
          </cell>
        </row>
        <row r="15">
          <cell r="K15">
            <v>4023</v>
          </cell>
          <cell r="M15">
            <v>4023</v>
          </cell>
        </row>
        <row r="16">
          <cell r="K16">
            <v>3196</v>
          </cell>
          <cell r="M16">
            <v>3196</v>
          </cell>
        </row>
        <row r="17">
          <cell r="K17">
            <v>5939</v>
          </cell>
          <cell r="M17">
            <v>5939</v>
          </cell>
        </row>
        <row r="18">
          <cell r="K18">
            <v>903</v>
          </cell>
          <cell r="M18">
            <v>903</v>
          </cell>
        </row>
        <row r="19">
          <cell r="K19">
            <v>12</v>
          </cell>
          <cell r="M19">
            <v>12</v>
          </cell>
        </row>
        <row r="20">
          <cell r="M20">
            <v>0</v>
          </cell>
        </row>
      </sheetData>
      <sheetData sheetId="14">
        <row r="3">
          <cell r="C3">
            <v>39</v>
          </cell>
          <cell r="D3">
            <v>7</v>
          </cell>
          <cell r="L3">
            <v>46</v>
          </cell>
        </row>
        <row r="4">
          <cell r="C4">
            <v>93</v>
          </cell>
          <cell r="D4">
            <v>17</v>
          </cell>
          <cell r="E4">
            <v>29</v>
          </cell>
          <cell r="L4">
            <v>139</v>
          </cell>
        </row>
        <row r="5">
          <cell r="C5">
            <v>2498</v>
          </cell>
          <cell r="D5">
            <v>437</v>
          </cell>
          <cell r="L5">
            <v>2935</v>
          </cell>
        </row>
        <row r="6">
          <cell r="C6">
            <v>973</v>
          </cell>
          <cell r="D6">
            <v>171</v>
          </cell>
          <cell r="L6">
            <v>1144</v>
          </cell>
        </row>
        <row r="7">
          <cell r="C7">
            <v>10845</v>
          </cell>
          <cell r="D7">
            <v>1897</v>
          </cell>
          <cell r="F7">
            <v>2400</v>
          </cell>
          <cell r="L7">
            <v>15142</v>
          </cell>
        </row>
        <row r="8">
          <cell r="C8">
            <v>2</v>
          </cell>
          <cell r="L8">
            <v>2</v>
          </cell>
        </row>
        <row r="9">
          <cell r="C9">
            <v>9</v>
          </cell>
          <cell r="D9">
            <v>1</v>
          </cell>
          <cell r="L9">
            <v>10</v>
          </cell>
        </row>
        <row r="10">
          <cell r="C10">
            <v>14</v>
          </cell>
          <cell r="D10">
            <v>2</v>
          </cell>
          <cell r="L10">
            <v>16</v>
          </cell>
        </row>
        <row r="11">
          <cell r="C11">
            <v>18</v>
          </cell>
          <cell r="D11">
            <v>4</v>
          </cell>
          <cell r="L11">
            <v>22</v>
          </cell>
        </row>
        <row r="12">
          <cell r="C12">
            <v>26</v>
          </cell>
          <cell r="D12">
            <v>5</v>
          </cell>
          <cell r="L12">
            <v>31</v>
          </cell>
        </row>
        <row r="13">
          <cell r="C13">
            <v>2786</v>
          </cell>
          <cell r="D13">
            <v>486</v>
          </cell>
          <cell r="E13">
            <v>600</v>
          </cell>
          <cell r="L13">
            <v>3872</v>
          </cell>
        </row>
        <row r="14">
          <cell r="L14">
            <v>0</v>
          </cell>
        </row>
        <row r="15">
          <cell r="C15">
            <v>3415</v>
          </cell>
          <cell r="D15">
            <v>598</v>
          </cell>
          <cell r="E15">
            <v>10</v>
          </cell>
          <cell r="L15">
            <v>4023</v>
          </cell>
        </row>
        <row r="16">
          <cell r="C16">
            <v>2719</v>
          </cell>
          <cell r="D16">
            <v>477</v>
          </cell>
          <cell r="L16">
            <v>3196</v>
          </cell>
        </row>
        <row r="17">
          <cell r="C17">
            <v>5055</v>
          </cell>
          <cell r="D17">
            <v>884</v>
          </cell>
          <cell r="L17">
            <v>5939</v>
          </cell>
        </row>
        <row r="18">
          <cell r="C18">
            <v>769</v>
          </cell>
          <cell r="D18">
            <v>134</v>
          </cell>
          <cell r="L18">
            <v>903</v>
          </cell>
        </row>
        <row r="19">
          <cell r="C19">
            <v>10</v>
          </cell>
          <cell r="D19">
            <v>2</v>
          </cell>
          <cell r="L19">
            <v>12</v>
          </cell>
        </row>
        <row r="20">
          <cell r="L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táj.1"/>
      <sheetName val="táj.2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14">
          <cell r="E14">
            <v>41101</v>
          </cell>
          <cell r="F14">
            <v>0</v>
          </cell>
          <cell r="G14">
            <v>0</v>
          </cell>
          <cell r="H14">
            <v>5715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8">
          <cell r="H18">
            <v>5080</v>
          </cell>
        </row>
        <row r="32">
          <cell r="E32">
            <v>0</v>
          </cell>
          <cell r="F32">
            <v>2499</v>
          </cell>
          <cell r="G32">
            <v>0</v>
          </cell>
          <cell r="H32">
            <v>536868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</row>
        <row r="84">
          <cell r="E84">
            <v>125235</v>
          </cell>
          <cell r="F84">
            <v>9333057</v>
          </cell>
          <cell r="G84">
            <v>0</v>
          </cell>
          <cell r="H84">
            <v>4563836</v>
          </cell>
          <cell r="I84">
            <v>0</v>
          </cell>
          <cell r="J84">
            <v>0</v>
          </cell>
          <cell r="K84">
            <v>0</v>
          </cell>
          <cell r="L84">
            <v>132076</v>
          </cell>
          <cell r="M84">
            <v>15263430</v>
          </cell>
          <cell r="N84">
            <v>8320000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431671</v>
          </cell>
          <cell r="I108">
            <v>76000</v>
          </cell>
          <cell r="J108">
            <v>0</v>
          </cell>
          <cell r="K108">
            <v>3000</v>
          </cell>
          <cell r="L108">
            <v>0</v>
          </cell>
          <cell r="M108">
            <v>120445</v>
          </cell>
          <cell r="N108">
            <v>117575</v>
          </cell>
        </row>
        <row r="116">
          <cell r="E116">
            <v>0</v>
          </cell>
          <cell r="F116">
            <v>0</v>
          </cell>
          <cell r="G116">
            <v>3000</v>
          </cell>
          <cell r="H116">
            <v>75620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46">
          <cell r="E146">
            <v>3206132</v>
          </cell>
          <cell r="F146">
            <v>2140</v>
          </cell>
          <cell r="G146">
            <v>6092000</v>
          </cell>
          <cell r="H146">
            <v>112044</v>
          </cell>
          <cell r="I146">
            <v>0</v>
          </cell>
          <cell r="J146">
            <v>0</v>
          </cell>
          <cell r="K146">
            <v>0</v>
          </cell>
          <cell r="L146">
            <v>17924</v>
          </cell>
          <cell r="M146">
            <v>1239885</v>
          </cell>
          <cell r="N146">
            <v>12451020</v>
          </cell>
        </row>
        <row r="156">
          <cell r="E156">
            <v>9250</v>
          </cell>
          <cell r="F156">
            <v>0</v>
          </cell>
          <cell r="G156">
            <v>0</v>
          </cell>
          <cell r="H156">
            <v>15748</v>
          </cell>
          <cell r="I156">
            <v>0</v>
          </cell>
          <cell r="J156">
            <v>50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8">
          <cell r="E158">
            <v>618155</v>
          </cell>
          <cell r="H158">
            <v>1282611</v>
          </cell>
          <cell r="M158">
            <v>292678</v>
          </cell>
        </row>
      </sheetData>
      <sheetData sheetId="7">
        <row r="45">
          <cell r="G45">
            <v>0</v>
          </cell>
          <cell r="H45">
            <v>4900</v>
          </cell>
          <cell r="I45">
            <v>30540</v>
          </cell>
          <cell r="J45">
            <v>90350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18">
          <cell r="G218">
            <v>4179</v>
          </cell>
          <cell r="H218">
            <v>1712</v>
          </cell>
          <cell r="I218">
            <v>91184</v>
          </cell>
          <cell r="J218">
            <v>5100</v>
          </cell>
          <cell r="K218">
            <v>665376</v>
          </cell>
          <cell r="L218">
            <v>15860</v>
          </cell>
          <cell r="M218">
            <v>33135</v>
          </cell>
          <cell r="N218">
            <v>27450</v>
          </cell>
          <cell r="O218">
            <v>0</v>
          </cell>
          <cell r="P218">
            <v>0</v>
          </cell>
        </row>
        <row r="230">
          <cell r="G230">
            <v>0</v>
          </cell>
          <cell r="H230">
            <v>0</v>
          </cell>
          <cell r="I230">
            <v>9026</v>
          </cell>
          <cell r="J230">
            <v>0</v>
          </cell>
          <cell r="K230">
            <v>0</v>
          </cell>
          <cell r="L230">
            <v>17517</v>
          </cell>
          <cell r="M230">
            <v>0</v>
          </cell>
          <cell r="N230">
            <v>6846</v>
          </cell>
          <cell r="O230">
            <v>0</v>
          </cell>
          <cell r="P230">
            <v>0</v>
          </cell>
        </row>
        <row r="471">
          <cell r="G471">
            <v>7800</v>
          </cell>
          <cell r="H471">
            <v>1350</v>
          </cell>
          <cell r="I471">
            <v>1840801</v>
          </cell>
          <cell r="J471">
            <v>0</v>
          </cell>
          <cell r="K471">
            <v>446848</v>
          </cell>
          <cell r="L471">
            <v>238165</v>
          </cell>
          <cell r="M471">
            <v>148809</v>
          </cell>
          <cell r="N471">
            <v>1300</v>
          </cell>
          <cell r="O471">
            <v>0</v>
          </cell>
          <cell r="P471">
            <v>0</v>
          </cell>
        </row>
        <row r="662">
          <cell r="G662">
            <v>54181</v>
          </cell>
          <cell r="H662">
            <v>12770</v>
          </cell>
          <cell r="I662">
            <v>6304048</v>
          </cell>
          <cell r="J662">
            <v>0</v>
          </cell>
          <cell r="K662">
            <v>67813</v>
          </cell>
          <cell r="L662">
            <v>26885359</v>
          </cell>
          <cell r="M662">
            <v>5124232</v>
          </cell>
          <cell r="N662">
            <v>9500</v>
          </cell>
          <cell r="O662">
            <v>0</v>
          </cell>
          <cell r="P662">
            <v>0</v>
          </cell>
        </row>
        <row r="686">
          <cell r="G686">
            <v>0</v>
          </cell>
          <cell r="H686">
            <v>0</v>
          </cell>
          <cell r="I686">
            <v>43927</v>
          </cell>
          <cell r="J686">
            <v>0</v>
          </cell>
          <cell r="K686">
            <v>0</v>
          </cell>
          <cell r="L686">
            <v>125192</v>
          </cell>
          <cell r="M686">
            <v>0</v>
          </cell>
          <cell r="N686">
            <v>30075</v>
          </cell>
          <cell r="O686">
            <v>0</v>
          </cell>
          <cell r="P686">
            <v>25000</v>
          </cell>
        </row>
        <row r="710">
          <cell r="G710">
            <v>149479</v>
          </cell>
          <cell r="H710">
            <v>27014</v>
          </cell>
          <cell r="I710">
            <v>81840</v>
          </cell>
          <cell r="J710">
            <v>0</v>
          </cell>
          <cell r="K710">
            <v>7000</v>
          </cell>
          <cell r="L710">
            <v>10065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43">
          <cell r="G743">
            <v>0</v>
          </cell>
          <cell r="H743">
            <v>0</v>
          </cell>
          <cell r="I743">
            <v>308582</v>
          </cell>
          <cell r="J743">
            <v>0</v>
          </cell>
          <cell r="K743">
            <v>469679</v>
          </cell>
          <cell r="L743">
            <v>0</v>
          </cell>
          <cell r="M743">
            <v>0</v>
          </cell>
          <cell r="N743">
            <v>5539</v>
          </cell>
          <cell r="O743">
            <v>104052</v>
          </cell>
          <cell r="P743">
            <v>12100806</v>
          </cell>
        </row>
        <row r="800">
          <cell r="G800">
            <v>17600</v>
          </cell>
          <cell r="H800">
            <v>10550</v>
          </cell>
          <cell r="I800">
            <v>183679</v>
          </cell>
          <cell r="J800">
            <v>0</v>
          </cell>
          <cell r="K800">
            <v>325492</v>
          </cell>
          <cell r="L800">
            <v>15743</v>
          </cell>
          <cell r="M800">
            <v>0</v>
          </cell>
          <cell r="N800">
            <v>6250</v>
          </cell>
          <cell r="O800">
            <v>0</v>
          </cell>
          <cell r="P800">
            <v>0</v>
          </cell>
        </row>
        <row r="814"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372945</v>
          </cell>
          <cell r="L814">
            <v>10420</v>
          </cell>
          <cell r="M814">
            <v>6701</v>
          </cell>
          <cell r="N814">
            <v>0</v>
          </cell>
          <cell r="O814">
            <v>0</v>
          </cell>
          <cell r="P814">
            <v>0</v>
          </cell>
        </row>
      </sheetData>
      <sheetData sheetId="8">
        <row r="123">
          <cell r="N123">
            <v>200000</v>
          </cell>
        </row>
      </sheetData>
      <sheetData sheetId="9">
        <row r="654">
          <cell r="L654">
            <v>200000</v>
          </cell>
        </row>
        <row r="817"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200000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F31" sqref="F31"/>
    </sheetView>
  </sheetViews>
  <sheetFormatPr defaultColWidth="9.00390625" defaultRowHeight="12.75"/>
  <cols>
    <col min="1" max="1" width="45.125" style="15" customWidth="1"/>
    <col min="2" max="2" width="13.00390625" style="15" customWidth="1"/>
    <col min="3" max="3" width="13.625" style="15" customWidth="1"/>
    <col min="4" max="4" width="12.625" style="1" customWidth="1"/>
    <col min="5" max="5" width="2.00390625" style="1" customWidth="1"/>
    <col min="6" max="6" width="44.875" style="15" customWidth="1"/>
    <col min="7" max="7" width="14.125" style="15" customWidth="1"/>
    <col min="8" max="8" width="13.875" style="15" customWidth="1"/>
    <col min="9" max="9" width="12.50390625" style="1" customWidth="1"/>
    <col min="10" max="16384" width="9.375" style="13" customWidth="1"/>
  </cols>
  <sheetData>
    <row r="1" spans="1:9" ht="39.75" customHeight="1" thickBot="1">
      <c r="A1" s="24"/>
      <c r="B1" s="26" t="s">
        <v>484</v>
      </c>
      <c r="C1" s="25" t="s">
        <v>43</v>
      </c>
      <c r="D1" s="26" t="s">
        <v>44</v>
      </c>
      <c r="E1" s="722"/>
      <c r="F1" s="24" t="s">
        <v>321</v>
      </c>
      <c r="G1" s="26" t="s">
        <v>484</v>
      </c>
      <c r="H1" s="25" t="s">
        <v>43</v>
      </c>
      <c r="I1" s="26" t="s">
        <v>44</v>
      </c>
    </row>
    <row r="2" spans="1:9" s="12" customFormat="1" ht="12.75" customHeight="1">
      <c r="A2" s="27" t="s">
        <v>373</v>
      </c>
      <c r="B2" s="9"/>
      <c r="C2" s="28"/>
      <c r="D2" s="9"/>
      <c r="E2" s="723"/>
      <c r="F2" s="27" t="s">
        <v>374</v>
      </c>
      <c r="G2" s="8"/>
      <c r="H2" s="27"/>
      <c r="I2" s="8"/>
    </row>
    <row r="3" spans="1:9" ht="24.75" customHeight="1">
      <c r="A3" s="29" t="s">
        <v>243</v>
      </c>
      <c r="B3" s="7">
        <v>3919491</v>
      </c>
      <c r="C3" s="29">
        <v>80382</v>
      </c>
      <c r="D3" s="7">
        <f>SUM(B3:C3)</f>
        <v>3999873</v>
      </c>
      <c r="E3" s="674"/>
      <c r="F3" s="29" t="s">
        <v>405</v>
      </c>
      <c r="G3" s="7">
        <v>7648348</v>
      </c>
      <c r="H3" s="29">
        <v>37432</v>
      </c>
      <c r="I3" s="7">
        <f>SUM(G3:H3)</f>
        <v>7685780</v>
      </c>
    </row>
    <row r="4" spans="1:9" ht="15" customHeight="1">
      <c r="A4" s="29" t="s">
        <v>245</v>
      </c>
      <c r="B4" s="7">
        <v>6095000</v>
      </c>
      <c r="C4" s="29"/>
      <c r="D4" s="7">
        <f aca="true" t="shared" si="0" ref="D4:D27">SUM(B4:C4)</f>
        <v>6095000</v>
      </c>
      <c r="E4" s="674"/>
      <c r="F4" s="29" t="s">
        <v>357</v>
      </c>
      <c r="G4" s="7">
        <v>9292643</v>
      </c>
      <c r="H4" s="29">
        <v>-37498</v>
      </c>
      <c r="I4" s="7">
        <f aca="true" t="shared" si="1" ref="I4:I27">SUM(G4:H4)</f>
        <v>9255145</v>
      </c>
    </row>
    <row r="5" spans="1:9" ht="22.5" customHeight="1">
      <c r="A5" s="29" t="s">
        <v>246</v>
      </c>
      <c r="B5" s="7">
        <v>2592248</v>
      </c>
      <c r="C5" s="29">
        <v>7710</v>
      </c>
      <c r="D5" s="7">
        <f t="shared" si="0"/>
        <v>2599958</v>
      </c>
      <c r="E5" s="674"/>
      <c r="F5" s="29" t="s">
        <v>313</v>
      </c>
      <c r="G5" s="7">
        <v>1905046</v>
      </c>
      <c r="H5" s="29">
        <v>80362</v>
      </c>
      <c r="I5" s="7">
        <f t="shared" si="1"/>
        <v>1985408</v>
      </c>
    </row>
    <row r="6" spans="1:9" ht="19.5" customHeight="1">
      <c r="A6" s="29" t="s">
        <v>249</v>
      </c>
      <c r="B6" s="7"/>
      <c r="C6" s="29">
        <v>50</v>
      </c>
      <c r="D6" s="7">
        <f t="shared" si="0"/>
        <v>50</v>
      </c>
      <c r="E6" s="674"/>
      <c r="F6" s="29" t="s">
        <v>375</v>
      </c>
      <c r="G6" s="7">
        <v>349620</v>
      </c>
      <c r="H6" s="29">
        <v>18325</v>
      </c>
      <c r="I6" s="7">
        <f t="shared" si="1"/>
        <v>367945</v>
      </c>
    </row>
    <row r="7" spans="1:9" ht="13.5" customHeight="1">
      <c r="A7" s="27" t="s">
        <v>301</v>
      </c>
      <c r="B7" s="27">
        <f>SUM(B3+B4+B5+B6)</f>
        <v>12606739</v>
      </c>
      <c r="C7" s="27">
        <f>SUM(C3+C4+C5+C6)</f>
        <v>88142</v>
      </c>
      <c r="D7" s="7">
        <f t="shared" si="0"/>
        <v>12694881</v>
      </c>
      <c r="E7" s="674"/>
      <c r="F7" s="29" t="s">
        <v>139</v>
      </c>
      <c r="G7" s="7">
        <v>10000</v>
      </c>
      <c r="H7" s="29">
        <v>-5000</v>
      </c>
      <c r="I7" s="7">
        <f t="shared" si="1"/>
        <v>5000</v>
      </c>
    </row>
    <row r="8" spans="1:9" ht="13.5" customHeight="1">
      <c r="A8" s="29" t="s">
        <v>241</v>
      </c>
      <c r="B8" s="27"/>
      <c r="C8" s="27"/>
      <c r="D8" s="7">
        <f t="shared" si="0"/>
        <v>0</v>
      </c>
      <c r="E8" s="674"/>
      <c r="F8" s="27" t="s">
        <v>308</v>
      </c>
      <c r="G8" s="27">
        <f>SUM(G2:G7)</f>
        <v>19205657</v>
      </c>
      <c r="H8" s="27">
        <f>SUM(H2:H7)</f>
        <v>93621</v>
      </c>
      <c r="I8" s="8">
        <f t="shared" si="1"/>
        <v>19299278</v>
      </c>
    </row>
    <row r="9" spans="1:9" ht="24.75" customHeight="1">
      <c r="A9" s="29" t="s">
        <v>250</v>
      </c>
      <c r="B9" s="10">
        <v>6698704</v>
      </c>
      <c r="C9" s="29">
        <v>5479</v>
      </c>
      <c r="D9" s="7">
        <f t="shared" si="0"/>
        <v>6704183</v>
      </c>
      <c r="E9" s="674"/>
      <c r="F9" s="29" t="s">
        <v>319</v>
      </c>
      <c r="G9" s="29">
        <v>99786</v>
      </c>
      <c r="H9" s="29"/>
      <c r="I9" s="7">
        <f t="shared" si="1"/>
        <v>99786</v>
      </c>
    </row>
    <row r="10" spans="1:9" s="12" customFormat="1" ht="24.75" customHeight="1">
      <c r="A10" s="29" t="s">
        <v>153</v>
      </c>
      <c r="B10" s="724"/>
      <c r="C10" s="677">
        <v>1020</v>
      </c>
      <c r="D10" s="7">
        <f t="shared" si="0"/>
        <v>1020</v>
      </c>
      <c r="E10" s="674"/>
      <c r="F10" s="29" t="s">
        <v>130</v>
      </c>
      <c r="G10" s="7"/>
      <c r="H10" s="29">
        <v>1020</v>
      </c>
      <c r="I10" s="7">
        <f t="shared" si="1"/>
        <v>1020</v>
      </c>
    </row>
    <row r="11" spans="1:9" s="12" customFormat="1" ht="12" customHeight="1">
      <c r="A11" s="32" t="s">
        <v>317</v>
      </c>
      <c r="B11" s="725">
        <f>SUM(B7:B10)</f>
        <v>19305443</v>
      </c>
      <c r="C11" s="725">
        <f>SUM(C7:C10)</f>
        <v>94641</v>
      </c>
      <c r="D11" s="726">
        <f t="shared" si="0"/>
        <v>19400084</v>
      </c>
      <c r="E11" s="674"/>
      <c r="F11" s="30" t="s">
        <v>376</v>
      </c>
      <c r="G11" s="30">
        <f>SUM(G8:G9)</f>
        <v>19305443</v>
      </c>
      <c r="H11" s="30">
        <f>SUM(H8:H10)</f>
        <v>94641</v>
      </c>
      <c r="I11" s="726">
        <f t="shared" si="1"/>
        <v>19400084</v>
      </c>
    </row>
    <row r="12" spans="1:9" ht="13.5" customHeight="1">
      <c r="A12" s="27" t="s">
        <v>290</v>
      </c>
      <c r="B12" s="7"/>
      <c r="C12" s="27"/>
      <c r="D12" s="7">
        <f t="shared" si="0"/>
        <v>0</v>
      </c>
      <c r="E12" s="674"/>
      <c r="F12" s="27" t="s">
        <v>289</v>
      </c>
      <c r="G12" s="27"/>
      <c r="H12" s="27"/>
      <c r="I12" s="7">
        <f t="shared" si="1"/>
        <v>0</v>
      </c>
    </row>
    <row r="13" spans="1:9" ht="24" customHeight="1">
      <c r="A13" s="29" t="s">
        <v>244</v>
      </c>
      <c r="B13" s="7">
        <v>9335556</v>
      </c>
      <c r="C13" s="29">
        <v>2140</v>
      </c>
      <c r="D13" s="7">
        <f t="shared" si="0"/>
        <v>9337696</v>
      </c>
      <c r="E13" s="674"/>
      <c r="F13" s="29" t="s">
        <v>251</v>
      </c>
      <c r="G13" s="29">
        <v>102329</v>
      </c>
      <c r="H13" s="29">
        <v>9950</v>
      </c>
      <c r="I13" s="7">
        <f t="shared" si="1"/>
        <v>112279</v>
      </c>
    </row>
    <row r="14" spans="1:9" ht="19.5" customHeight="1">
      <c r="A14" s="29" t="s">
        <v>245</v>
      </c>
      <c r="B14" s="7"/>
      <c r="C14" s="29"/>
      <c r="D14" s="7">
        <f t="shared" si="0"/>
        <v>0</v>
      </c>
      <c r="E14" s="674"/>
      <c r="F14" s="29" t="s">
        <v>291</v>
      </c>
      <c r="G14" s="7">
        <v>27267279</v>
      </c>
      <c r="H14" s="29">
        <v>204167</v>
      </c>
      <c r="I14" s="7">
        <f t="shared" si="1"/>
        <v>27471446</v>
      </c>
    </row>
    <row r="15" spans="1:9" ht="15" customHeight="1">
      <c r="A15" s="29" t="s">
        <v>247</v>
      </c>
      <c r="B15" s="10">
        <v>76000</v>
      </c>
      <c r="C15" s="29"/>
      <c r="D15" s="7">
        <f t="shared" si="0"/>
        <v>76000</v>
      </c>
      <c r="E15" s="674"/>
      <c r="F15" s="29" t="s">
        <v>145</v>
      </c>
      <c r="G15" s="10">
        <v>163545</v>
      </c>
      <c r="H15" s="29"/>
      <c r="I15" s="7">
        <f t="shared" si="1"/>
        <v>163545</v>
      </c>
    </row>
    <row r="16" spans="1:9" ht="24.75" customHeight="1">
      <c r="A16" s="29" t="s">
        <v>248</v>
      </c>
      <c r="B16" s="10">
        <v>3000</v>
      </c>
      <c r="C16" s="29"/>
      <c r="D16" s="7">
        <f t="shared" si="0"/>
        <v>3000</v>
      </c>
      <c r="E16" s="674"/>
      <c r="F16" s="29" t="s">
        <v>292</v>
      </c>
      <c r="G16" s="7">
        <v>5389562</v>
      </c>
      <c r="H16" s="29">
        <v>-39260</v>
      </c>
      <c r="I16" s="7">
        <f t="shared" si="1"/>
        <v>5350302</v>
      </c>
    </row>
    <row r="17" spans="1:9" ht="24" customHeight="1">
      <c r="A17" s="29" t="s">
        <v>142</v>
      </c>
      <c r="B17" s="10">
        <v>4439141</v>
      </c>
      <c r="C17" s="29"/>
      <c r="D17" s="7">
        <f t="shared" si="0"/>
        <v>4439141</v>
      </c>
      <c r="E17" s="723"/>
      <c r="F17" s="29" t="s">
        <v>145</v>
      </c>
      <c r="G17" s="7">
        <v>44126</v>
      </c>
      <c r="H17" s="29"/>
      <c r="I17" s="7">
        <f t="shared" si="1"/>
        <v>44126</v>
      </c>
    </row>
    <row r="18" spans="1:9" ht="12.75" customHeight="1">
      <c r="A18" s="27" t="s">
        <v>305</v>
      </c>
      <c r="B18" s="27">
        <f>SUM(B12:B17)</f>
        <v>13853697</v>
      </c>
      <c r="C18" s="27">
        <f>SUM(C12:C17)</f>
        <v>2140</v>
      </c>
      <c r="D18" s="7">
        <f t="shared" si="0"/>
        <v>13855837</v>
      </c>
      <c r="E18" s="723"/>
      <c r="F18" s="29" t="s">
        <v>293</v>
      </c>
      <c r="G18" s="7">
        <v>18920</v>
      </c>
      <c r="H18" s="29">
        <v>-1799</v>
      </c>
      <c r="I18" s="7">
        <f t="shared" si="1"/>
        <v>17121</v>
      </c>
    </row>
    <row r="19" spans="1:9" ht="24" customHeight="1">
      <c r="A19" s="29" t="s">
        <v>241</v>
      </c>
      <c r="B19" s="27"/>
      <c r="C19" s="27"/>
      <c r="D19" s="7">
        <f t="shared" si="0"/>
        <v>0</v>
      </c>
      <c r="E19" s="674"/>
      <c r="F19" s="29" t="s">
        <v>253</v>
      </c>
      <c r="G19" s="7">
        <v>25467</v>
      </c>
      <c r="H19" s="29"/>
      <c r="I19" s="7">
        <f t="shared" si="1"/>
        <v>25467</v>
      </c>
    </row>
    <row r="20" spans="1:9" ht="12.75" customHeight="1">
      <c r="A20" s="29" t="s">
        <v>314</v>
      </c>
      <c r="B20" s="29">
        <v>150000</v>
      </c>
      <c r="C20" s="29"/>
      <c r="D20" s="7">
        <f t="shared" si="0"/>
        <v>150000</v>
      </c>
      <c r="E20" s="674"/>
      <c r="F20" s="27" t="s">
        <v>306</v>
      </c>
      <c r="G20" s="27">
        <f>SUM(G13+G14+G16+G18+G19)</f>
        <v>32803557</v>
      </c>
      <c r="H20" s="27">
        <f>SUM(H13+H14+H16+H18+H19)</f>
        <v>173058</v>
      </c>
      <c r="I20" s="7">
        <f t="shared" si="1"/>
        <v>32976615</v>
      </c>
    </row>
    <row r="21" spans="1:9" ht="24.75" customHeight="1">
      <c r="A21" s="29" t="s">
        <v>315</v>
      </c>
      <c r="B21" s="10">
        <v>10241337</v>
      </c>
      <c r="C21" s="29">
        <v>-29082</v>
      </c>
      <c r="D21" s="7">
        <f t="shared" si="0"/>
        <v>10212255</v>
      </c>
      <c r="E21" s="674"/>
      <c r="F21" s="29" t="s">
        <v>252</v>
      </c>
      <c r="G21" s="7"/>
      <c r="H21" s="27"/>
      <c r="I21" s="7">
        <f t="shared" si="1"/>
        <v>0</v>
      </c>
    </row>
    <row r="22" spans="1:9" ht="12.75" customHeight="1">
      <c r="A22" s="727" t="s">
        <v>409</v>
      </c>
      <c r="B22" s="29">
        <v>8687575</v>
      </c>
      <c r="C22" s="29">
        <v>200000</v>
      </c>
      <c r="D22" s="7">
        <f t="shared" si="0"/>
        <v>8887575</v>
      </c>
      <c r="E22" s="674"/>
      <c r="F22" s="29" t="s">
        <v>299</v>
      </c>
      <c r="G22" s="7">
        <v>104052</v>
      </c>
      <c r="H22" s="29"/>
      <c r="I22" s="7">
        <f t="shared" si="1"/>
        <v>104052</v>
      </c>
    </row>
    <row r="23" spans="1:9" ht="12.75" customHeight="1">
      <c r="A23" s="29"/>
      <c r="B23" s="29"/>
      <c r="C23" s="29"/>
      <c r="D23" s="7">
        <f t="shared" si="0"/>
        <v>0</v>
      </c>
      <c r="E23" s="674"/>
      <c r="F23" s="29" t="s">
        <v>298</v>
      </c>
      <c r="G23" s="7">
        <v>25000</v>
      </c>
      <c r="H23" s="29"/>
      <c r="I23" s="7">
        <f t="shared" si="1"/>
        <v>25000</v>
      </c>
    </row>
    <row r="24" spans="1:9" ht="22.5" customHeight="1">
      <c r="A24" s="675" t="s">
        <v>294</v>
      </c>
      <c r="B24" s="61">
        <f>SUM(B18:B23)</f>
        <v>32932609</v>
      </c>
      <c r="C24" s="221">
        <f>SUM(C18:C23)</f>
        <v>173058</v>
      </c>
      <c r="D24" s="728">
        <f t="shared" si="0"/>
        <v>33105667</v>
      </c>
      <c r="E24" s="723"/>
      <c r="F24" s="675" t="s">
        <v>295</v>
      </c>
      <c r="G24" s="61">
        <f>SUM(G20:G23)</f>
        <v>32932609</v>
      </c>
      <c r="H24" s="221">
        <f>SUM(H20:H23)</f>
        <v>173058</v>
      </c>
      <c r="I24" s="728">
        <f t="shared" si="1"/>
        <v>33105667</v>
      </c>
    </row>
    <row r="25" spans="1:9" ht="22.5" customHeight="1">
      <c r="A25" s="675" t="s">
        <v>404</v>
      </c>
      <c r="B25" s="61">
        <f>SUM(B11+B24)</f>
        <v>52238052</v>
      </c>
      <c r="C25" s="221">
        <f>SUM(C11+C24)</f>
        <v>267699</v>
      </c>
      <c r="D25" s="728">
        <f t="shared" si="0"/>
        <v>52505751</v>
      </c>
      <c r="E25" s="723"/>
      <c r="F25" s="675" t="s">
        <v>404</v>
      </c>
      <c r="G25" s="30">
        <f>SUM(G11+G24)</f>
        <v>52238052</v>
      </c>
      <c r="H25" s="676">
        <f>SUM(H11+H24)</f>
        <v>267699</v>
      </c>
      <c r="I25" s="728">
        <f t="shared" si="1"/>
        <v>52505751</v>
      </c>
    </row>
    <row r="26" spans="1:9" ht="22.5" customHeight="1">
      <c r="A26" s="677" t="s">
        <v>127</v>
      </c>
      <c r="B26" s="194">
        <v>12000000</v>
      </c>
      <c r="C26" s="677"/>
      <c r="D26" s="7">
        <f t="shared" si="0"/>
        <v>12000000</v>
      </c>
      <c r="E26" s="674"/>
      <c r="F26" s="677" t="s">
        <v>128</v>
      </c>
      <c r="G26" s="194">
        <v>12000000</v>
      </c>
      <c r="H26" s="677"/>
      <c r="I26" s="7">
        <f t="shared" si="1"/>
        <v>12000000</v>
      </c>
    </row>
    <row r="27" spans="1:9" ht="19.5" customHeight="1">
      <c r="A27" s="30" t="s">
        <v>129</v>
      </c>
      <c r="B27" s="61">
        <f>SUM(B25:B26)</f>
        <v>64238052</v>
      </c>
      <c r="C27" s="30">
        <f>SUM(C25:C26)</f>
        <v>267699</v>
      </c>
      <c r="D27" s="726">
        <f t="shared" si="0"/>
        <v>64505751</v>
      </c>
      <c r="E27" s="674"/>
      <c r="F27" s="30" t="s">
        <v>129</v>
      </c>
      <c r="G27" s="30">
        <f>SUM(G25:G26)</f>
        <v>64238052</v>
      </c>
      <c r="H27" s="30">
        <f>SUM(H25:H26)</f>
        <v>267699</v>
      </c>
      <c r="I27" s="726">
        <f t="shared" si="1"/>
        <v>64505751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E18" sqref="E18"/>
    </sheetView>
  </sheetViews>
  <sheetFormatPr defaultColWidth="9.00390625" defaultRowHeight="12.75"/>
  <cols>
    <col min="1" max="1" width="3.875" style="13" customWidth="1"/>
    <col min="2" max="2" width="38.375" style="13" customWidth="1"/>
    <col min="3" max="3" width="10.375" style="13" customWidth="1"/>
    <col min="4" max="4" width="11.625" style="13" customWidth="1"/>
    <col min="5" max="5" width="10.00390625" style="13" customWidth="1"/>
    <col min="6" max="6" width="11.875" style="13" customWidth="1"/>
    <col min="7" max="7" width="9.875" style="13" customWidth="1"/>
    <col min="8" max="9" width="10.50390625" style="13" customWidth="1"/>
    <col min="10" max="10" width="11.125" style="13" customWidth="1"/>
    <col min="11" max="11" width="11.875" style="13" customWidth="1"/>
    <col min="12" max="12" width="9.50390625" style="13" customWidth="1"/>
    <col min="13" max="13" width="8.125" style="13" customWidth="1"/>
    <col min="14" max="14" width="10.875" style="23" customWidth="1"/>
    <col min="15" max="16384" width="9.375" style="13" customWidth="1"/>
  </cols>
  <sheetData>
    <row r="1" spans="1:14" ht="12.75" customHeight="1">
      <c r="A1" s="761" t="s">
        <v>266</v>
      </c>
      <c r="B1" s="761" t="s">
        <v>321</v>
      </c>
      <c r="C1" s="779" t="s">
        <v>485</v>
      </c>
      <c r="D1" s="779" t="s">
        <v>43</v>
      </c>
      <c r="E1" s="760" t="s">
        <v>327</v>
      </c>
      <c r="F1" s="760"/>
      <c r="G1" s="760"/>
      <c r="H1" s="760"/>
      <c r="I1" s="760"/>
      <c r="J1" s="760"/>
      <c r="K1" s="760"/>
      <c r="L1" s="760"/>
      <c r="M1" s="761" t="s">
        <v>326</v>
      </c>
      <c r="N1" s="761" t="s">
        <v>380</v>
      </c>
    </row>
    <row r="2" spans="1:14" s="21" customFormat="1" ht="60" customHeight="1">
      <c r="A2" s="761"/>
      <c r="B2" s="761"/>
      <c r="C2" s="780"/>
      <c r="D2" s="780"/>
      <c r="E2" s="64" t="s">
        <v>300</v>
      </c>
      <c r="F2" s="64" t="s">
        <v>400</v>
      </c>
      <c r="G2" s="64" t="s">
        <v>394</v>
      </c>
      <c r="H2" s="64" t="s">
        <v>151</v>
      </c>
      <c r="I2" s="64" t="s">
        <v>167</v>
      </c>
      <c r="J2" s="64" t="s">
        <v>157</v>
      </c>
      <c r="K2" s="64" t="s">
        <v>156</v>
      </c>
      <c r="L2" s="64" t="s">
        <v>152</v>
      </c>
      <c r="M2" s="781"/>
      <c r="N2" s="761"/>
    </row>
    <row r="3" spans="1:14" s="21" customFormat="1" ht="15" customHeight="1">
      <c r="A3" s="86" t="s">
        <v>268</v>
      </c>
      <c r="B3" s="87" t="s">
        <v>323</v>
      </c>
      <c r="C3" s="696">
        <v>1665275</v>
      </c>
      <c r="D3" s="701">
        <f>0+'[1]táj.4'!L3</f>
        <v>46</v>
      </c>
      <c r="E3" s="88">
        <f>1137797+'[1]táj.4'!C3</f>
        <v>1137836</v>
      </c>
      <c r="F3" s="88">
        <f>226811+'[1]táj.4'!D3</f>
        <v>226818</v>
      </c>
      <c r="G3" s="88">
        <f>222167+'[1]táj.4'!E3</f>
        <v>222167</v>
      </c>
      <c r="H3" s="88">
        <f>0+'[1]táj.4'!F3</f>
        <v>0</v>
      </c>
      <c r="I3" s="88">
        <f>0+'[1]táj.4'!G3</f>
        <v>0</v>
      </c>
      <c r="J3" s="88">
        <f>67000+'[1]táj.4'!H3</f>
        <v>67000</v>
      </c>
      <c r="K3" s="88">
        <f>11500+'[1]táj.4'!I3</f>
        <v>11500</v>
      </c>
      <c r="L3" s="88">
        <f>0+'[1]táj.4'!J3</f>
        <v>0</v>
      </c>
      <c r="M3" s="88">
        <f>0+'[1]táj.4'!K3</f>
        <v>0</v>
      </c>
      <c r="N3" s="88">
        <f aca="true" t="shared" si="0" ref="N3:N20">SUM(E3:M3)</f>
        <v>1665321</v>
      </c>
    </row>
    <row r="4" spans="1:14" s="21" customFormat="1" ht="15" customHeight="1">
      <c r="A4" s="86" t="s">
        <v>270</v>
      </c>
      <c r="B4" s="87" t="s">
        <v>316</v>
      </c>
      <c r="C4" s="696">
        <v>1001336</v>
      </c>
      <c r="D4" s="701">
        <f>0+'[1]táj.4'!L4</f>
        <v>139</v>
      </c>
      <c r="E4" s="88">
        <f>133301+'[1]táj.4'!C4</f>
        <v>133394</v>
      </c>
      <c r="F4" s="88">
        <f>25177+'[1]táj.4'!D4</f>
        <v>25194</v>
      </c>
      <c r="G4" s="88">
        <f>840558+'[1]táj.4'!E4</f>
        <v>840587</v>
      </c>
      <c r="H4" s="88">
        <f>0+'[1]táj.4'!F4</f>
        <v>0</v>
      </c>
      <c r="I4" s="88">
        <f>300+'[1]táj.4'!G4</f>
        <v>300</v>
      </c>
      <c r="J4" s="88">
        <f>2000+'[1]táj.4'!H4</f>
        <v>2000</v>
      </c>
      <c r="K4" s="88">
        <f>0+'[1]táj.4'!I4</f>
        <v>0</v>
      </c>
      <c r="L4" s="88">
        <f>0+'[1]táj.4'!J4</f>
        <v>0</v>
      </c>
      <c r="M4" s="88">
        <f>0+'[1]táj.4'!K4</f>
        <v>0</v>
      </c>
      <c r="N4" s="88">
        <f t="shared" si="0"/>
        <v>1001475</v>
      </c>
    </row>
    <row r="5" spans="1:14" s="21" customFormat="1" ht="15" customHeight="1">
      <c r="A5" s="86" t="s">
        <v>271</v>
      </c>
      <c r="B5" s="87" t="s">
        <v>349</v>
      </c>
      <c r="C5" s="696">
        <v>623845</v>
      </c>
      <c r="D5" s="701">
        <f>0+'[1]táj.4'!L5</f>
        <v>2935</v>
      </c>
      <c r="E5" s="88">
        <f>410603+'[1]táj.4'!C5</f>
        <v>413101</v>
      </c>
      <c r="F5" s="88">
        <f>76814+'[1]táj.4'!D5</f>
        <v>77251</v>
      </c>
      <c r="G5" s="88">
        <f>134771+'[1]táj.4'!E5</f>
        <v>134771</v>
      </c>
      <c r="H5" s="88">
        <f>0+'[1]táj.4'!F5</f>
        <v>0</v>
      </c>
      <c r="I5" s="88">
        <f>200+'[1]táj.4'!G5</f>
        <v>200</v>
      </c>
      <c r="J5" s="88">
        <f>1457+'[1]táj.4'!H5</f>
        <v>1457</v>
      </c>
      <c r="K5" s="88">
        <f>0+'[1]táj.4'!I5</f>
        <v>0</v>
      </c>
      <c r="L5" s="88">
        <f>0+'[1]táj.4'!J5</f>
        <v>0</v>
      </c>
      <c r="M5" s="88">
        <f>0+'[1]táj.4'!K5</f>
        <v>0</v>
      </c>
      <c r="N5" s="88">
        <f t="shared" si="0"/>
        <v>626780</v>
      </c>
    </row>
    <row r="6" spans="1:14" s="21" customFormat="1" ht="23.25" customHeight="1">
      <c r="A6" s="86" t="s">
        <v>259</v>
      </c>
      <c r="B6" s="78" t="s">
        <v>384</v>
      </c>
      <c r="C6" s="697">
        <v>448613</v>
      </c>
      <c r="D6" s="701">
        <f>0+'[1]táj.4'!L6</f>
        <v>1144</v>
      </c>
      <c r="E6" s="88">
        <f>256891+'[1]táj.4'!C6</f>
        <v>257864</v>
      </c>
      <c r="F6" s="88">
        <f>48347+'[1]táj.4'!D6</f>
        <v>48518</v>
      </c>
      <c r="G6" s="88">
        <f>140813+'[1]táj.4'!E6</f>
        <v>140813</v>
      </c>
      <c r="H6" s="88">
        <f>0+'[1]táj.4'!F6</f>
        <v>0</v>
      </c>
      <c r="I6" s="88">
        <f>0+'[1]táj.4'!G6</f>
        <v>0</v>
      </c>
      <c r="J6" s="88">
        <f>2562+'[1]táj.4'!H6</f>
        <v>2562</v>
      </c>
      <c r="K6" s="88">
        <f>0+'[1]táj.4'!I6</f>
        <v>0</v>
      </c>
      <c r="L6" s="88">
        <f>0+'[1]táj.4'!J6</f>
        <v>0</v>
      </c>
      <c r="M6" s="88">
        <f>0+'[1]táj.4'!K6</f>
        <v>0</v>
      </c>
      <c r="N6" s="88">
        <f t="shared" si="0"/>
        <v>449757</v>
      </c>
    </row>
    <row r="7" spans="1:14" s="21" customFormat="1" ht="26.25" customHeight="1">
      <c r="A7" s="86" t="s">
        <v>258</v>
      </c>
      <c r="B7" s="78" t="s">
        <v>385</v>
      </c>
      <c r="C7" s="697">
        <v>220399</v>
      </c>
      <c r="D7" s="701">
        <f>0+'[1]táj.4'!L7</f>
        <v>15142</v>
      </c>
      <c r="E7" s="88">
        <f>163692+'[1]táj.4'!C7</f>
        <v>174537</v>
      </c>
      <c r="F7" s="88">
        <f>32592+'[1]táj.4'!D7</f>
        <v>34489</v>
      </c>
      <c r="G7" s="88">
        <f>22615+'[1]táj.4'!E7</f>
        <v>22615</v>
      </c>
      <c r="H7" s="88">
        <f>1000+'[1]táj.4'!F7</f>
        <v>3400</v>
      </c>
      <c r="I7" s="88">
        <f>0+'[1]táj.4'!G7</f>
        <v>0</v>
      </c>
      <c r="J7" s="88">
        <f>500+'[1]táj.4'!H7</f>
        <v>500</v>
      </c>
      <c r="K7" s="88">
        <f>0+'[1]táj.4'!I7</f>
        <v>0</v>
      </c>
      <c r="L7" s="88">
        <f>0+'[1]táj.4'!J7</f>
        <v>0</v>
      </c>
      <c r="M7" s="88">
        <f>0+'[1]táj.4'!K7</f>
        <v>0</v>
      </c>
      <c r="N7" s="88">
        <f t="shared" si="0"/>
        <v>235541</v>
      </c>
    </row>
    <row r="8" spans="1:14" s="21" customFormat="1" ht="15" customHeight="1">
      <c r="A8" s="86" t="s">
        <v>260</v>
      </c>
      <c r="B8" s="79" t="s">
        <v>350</v>
      </c>
      <c r="C8" s="698">
        <v>357792</v>
      </c>
      <c r="D8" s="701">
        <f>0+'[1]táj.4'!L8</f>
        <v>2</v>
      </c>
      <c r="E8" s="88">
        <f>251811+'[1]táj.4'!C8</f>
        <v>251813</v>
      </c>
      <c r="F8" s="88">
        <f>46894+'[1]táj.4'!D8</f>
        <v>46894</v>
      </c>
      <c r="G8" s="88">
        <f>58487+'[1]táj.4'!E8</f>
        <v>58487</v>
      </c>
      <c r="H8" s="88">
        <f>0+'[1]táj.4'!F8</f>
        <v>0</v>
      </c>
      <c r="I8" s="88">
        <f>100+'[1]táj.4'!G8</f>
        <v>100</v>
      </c>
      <c r="J8" s="88">
        <f>500+'[1]táj.4'!H8</f>
        <v>500</v>
      </c>
      <c r="K8" s="88">
        <f>0+'[1]táj.4'!I8</f>
        <v>0</v>
      </c>
      <c r="L8" s="88">
        <f>0+'[1]táj.4'!J8</f>
        <v>0</v>
      </c>
      <c r="M8" s="88">
        <f>0+'[1]táj.4'!K8</f>
        <v>0</v>
      </c>
      <c r="N8" s="88">
        <f t="shared" si="0"/>
        <v>357794</v>
      </c>
    </row>
    <row r="9" spans="1:14" s="21" customFormat="1" ht="15" customHeight="1">
      <c r="A9" s="86" t="s">
        <v>261</v>
      </c>
      <c r="B9" s="79" t="s">
        <v>351</v>
      </c>
      <c r="C9" s="698">
        <v>335626</v>
      </c>
      <c r="D9" s="701">
        <f>0+'[1]táj.4'!L9</f>
        <v>10</v>
      </c>
      <c r="E9" s="88">
        <f>212988+'[1]táj.4'!C9</f>
        <v>212997</v>
      </c>
      <c r="F9" s="88">
        <f>39563+'[1]táj.4'!D9</f>
        <v>39564</v>
      </c>
      <c r="G9" s="88">
        <f>82475+'[1]táj.4'!E9</f>
        <v>82475</v>
      </c>
      <c r="H9" s="88">
        <f>0+'[1]táj.4'!F9</f>
        <v>0</v>
      </c>
      <c r="I9" s="88">
        <f>100+'[1]táj.4'!G9</f>
        <v>100</v>
      </c>
      <c r="J9" s="88">
        <f>500+'[1]táj.4'!H9</f>
        <v>500</v>
      </c>
      <c r="K9" s="88">
        <f>0+'[1]táj.4'!I9</f>
        <v>0</v>
      </c>
      <c r="L9" s="88">
        <f>0+'[1]táj.4'!J9</f>
        <v>0</v>
      </c>
      <c r="M9" s="88">
        <f>0+'[1]táj.4'!K9</f>
        <v>0</v>
      </c>
      <c r="N9" s="88">
        <f t="shared" si="0"/>
        <v>335636</v>
      </c>
    </row>
    <row r="10" spans="1:14" s="22" customFormat="1" ht="15" customHeight="1">
      <c r="A10" s="86" t="s">
        <v>262</v>
      </c>
      <c r="B10" s="79" t="s">
        <v>352</v>
      </c>
      <c r="C10" s="698">
        <v>380243</v>
      </c>
      <c r="D10" s="701">
        <f>0+'[1]táj.4'!L10</f>
        <v>16</v>
      </c>
      <c r="E10" s="88">
        <f>238239+'[1]táj.4'!C10</f>
        <v>238253</v>
      </c>
      <c r="F10" s="88">
        <f>44442+'[1]táj.4'!D10</f>
        <v>44444</v>
      </c>
      <c r="G10" s="88">
        <f>96962+'[1]táj.4'!E10</f>
        <v>96962</v>
      </c>
      <c r="H10" s="88">
        <f>0+'[1]táj.4'!F10</f>
        <v>0</v>
      </c>
      <c r="I10" s="88">
        <f>100+'[1]táj.4'!G10</f>
        <v>100</v>
      </c>
      <c r="J10" s="88">
        <f>500+'[1]táj.4'!H10</f>
        <v>500</v>
      </c>
      <c r="K10" s="88">
        <f>0+'[1]táj.4'!I10</f>
        <v>0</v>
      </c>
      <c r="L10" s="88">
        <f>0+'[1]táj.4'!J10</f>
        <v>0</v>
      </c>
      <c r="M10" s="88">
        <f>0+'[1]táj.4'!K10</f>
        <v>0</v>
      </c>
      <c r="N10" s="88">
        <f t="shared" si="0"/>
        <v>380259</v>
      </c>
    </row>
    <row r="11" spans="1:14" s="22" customFormat="1" ht="17.25" customHeight="1">
      <c r="A11" s="86" t="s">
        <v>158</v>
      </c>
      <c r="B11" s="79" t="s">
        <v>353</v>
      </c>
      <c r="C11" s="698">
        <v>341686</v>
      </c>
      <c r="D11" s="701">
        <f>0+'[1]táj.4'!L11</f>
        <v>22</v>
      </c>
      <c r="E11" s="88">
        <f>231053+'[1]táj.4'!C11</f>
        <v>231071</v>
      </c>
      <c r="F11" s="88">
        <f>43133+'[1]táj.4'!D11</f>
        <v>43137</v>
      </c>
      <c r="G11" s="88">
        <f>66900+'[1]táj.4'!E11</f>
        <v>66900</v>
      </c>
      <c r="H11" s="88">
        <f>0+'[1]táj.4'!F11</f>
        <v>0</v>
      </c>
      <c r="I11" s="88">
        <f>100+'[1]táj.4'!G11</f>
        <v>100</v>
      </c>
      <c r="J11" s="88">
        <f>500+'[1]táj.4'!H11</f>
        <v>500</v>
      </c>
      <c r="K11" s="88">
        <f>0+'[1]táj.4'!I11</f>
        <v>0</v>
      </c>
      <c r="L11" s="88">
        <f>0+'[1]táj.4'!J11</f>
        <v>0</v>
      </c>
      <c r="M11" s="88">
        <f>0+'[1]táj.4'!K11</f>
        <v>0</v>
      </c>
      <c r="N11" s="88">
        <f t="shared" si="0"/>
        <v>341708</v>
      </c>
    </row>
    <row r="12" spans="1:14" s="22" customFormat="1" ht="18.75" customHeight="1">
      <c r="A12" s="86" t="s">
        <v>159</v>
      </c>
      <c r="B12" s="80" t="s">
        <v>386</v>
      </c>
      <c r="C12" s="413">
        <v>53217</v>
      </c>
      <c r="D12" s="701">
        <f>0+'[1]táj.4'!L12</f>
        <v>31</v>
      </c>
      <c r="E12" s="88">
        <f>43144+'[1]táj.4'!C12</f>
        <v>43170</v>
      </c>
      <c r="F12" s="88">
        <f>7459+'[1]táj.4'!D12</f>
        <v>7464</v>
      </c>
      <c r="G12" s="88">
        <f>2564+'[1]táj.4'!E12</f>
        <v>2564</v>
      </c>
      <c r="H12" s="88">
        <f>0+'[1]táj.4'!F12</f>
        <v>0</v>
      </c>
      <c r="I12" s="88">
        <f>0+'[1]táj.4'!G12</f>
        <v>0</v>
      </c>
      <c r="J12" s="88">
        <f>50+'[1]táj.4'!H12</f>
        <v>50</v>
      </c>
      <c r="K12" s="88">
        <f>0+'[1]táj.4'!I12</f>
        <v>0</v>
      </c>
      <c r="L12" s="88">
        <f>0+'[1]táj.4'!J12</f>
        <v>0</v>
      </c>
      <c r="M12" s="88">
        <f>0+'[1]táj.4'!K12</f>
        <v>0</v>
      </c>
      <c r="N12" s="88">
        <f t="shared" si="0"/>
        <v>53248</v>
      </c>
    </row>
    <row r="13" spans="1:14" s="22" customFormat="1" ht="13.5" customHeight="1">
      <c r="A13" s="86" t="s">
        <v>160</v>
      </c>
      <c r="B13" s="81" t="s">
        <v>346</v>
      </c>
      <c r="C13" s="699">
        <v>484066</v>
      </c>
      <c r="D13" s="701">
        <f>0+'[1]táj.4'!L13</f>
        <v>3872</v>
      </c>
      <c r="E13" s="88">
        <f>202403+'[1]táj.4'!C13</f>
        <v>205189</v>
      </c>
      <c r="F13" s="88">
        <f>35798+'[1]táj.4'!D13</f>
        <v>36284</v>
      </c>
      <c r="G13" s="88">
        <f>196419+'[1]táj.4'!E13</f>
        <v>197019</v>
      </c>
      <c r="H13" s="88">
        <f>0+'[1]táj.4'!F13</f>
        <v>0</v>
      </c>
      <c r="I13" s="88">
        <f>0+'[1]táj.4'!G13</f>
        <v>0</v>
      </c>
      <c r="J13" s="88">
        <f>19820+'[1]táj.4'!H13</f>
        <v>19820</v>
      </c>
      <c r="K13" s="88">
        <f>29626+'[1]táj.4'!I13</f>
        <v>29626</v>
      </c>
      <c r="L13" s="88">
        <f>0+'[1]táj.4'!J13</f>
        <v>0</v>
      </c>
      <c r="M13" s="88">
        <f>0+'[1]táj.4'!K13</f>
        <v>0</v>
      </c>
      <c r="N13" s="88">
        <f t="shared" si="0"/>
        <v>487938</v>
      </c>
    </row>
    <row r="14" spans="1:14" s="22" customFormat="1" ht="24.75" customHeight="1">
      <c r="A14" s="86" t="s">
        <v>161</v>
      </c>
      <c r="B14" s="78" t="s">
        <v>354</v>
      </c>
      <c r="C14" s="697">
        <v>20958</v>
      </c>
      <c r="D14" s="701">
        <f>0+'[1]táj.4'!L14</f>
        <v>0</v>
      </c>
      <c r="E14" s="88">
        <f>15250+'[1]táj.4'!C14</f>
        <v>15250</v>
      </c>
      <c r="F14" s="88">
        <f>2616+'[1]táj.4'!D14</f>
        <v>2616</v>
      </c>
      <c r="G14" s="88">
        <f>3012+'[1]táj.4'!E14</f>
        <v>3012</v>
      </c>
      <c r="H14" s="88">
        <f>0+'[1]táj.4'!F14</f>
        <v>0</v>
      </c>
      <c r="I14" s="88">
        <f>0+'[1]táj.4'!G14</f>
        <v>0</v>
      </c>
      <c r="J14" s="88">
        <f>80+'[1]táj.4'!H14</f>
        <v>80</v>
      </c>
      <c r="K14" s="88">
        <f>0+'[1]táj.4'!I14</f>
        <v>0</v>
      </c>
      <c r="L14" s="88">
        <f>0+'[1]táj.4'!J14</f>
        <v>0</v>
      </c>
      <c r="M14" s="88">
        <f>0+'[1]táj.4'!K14</f>
        <v>0</v>
      </c>
      <c r="N14" s="88">
        <f t="shared" si="0"/>
        <v>20958</v>
      </c>
    </row>
    <row r="15" spans="1:14" s="22" customFormat="1" ht="13.5" customHeight="1">
      <c r="A15" s="86" t="s">
        <v>162</v>
      </c>
      <c r="B15" s="79" t="s">
        <v>347</v>
      </c>
      <c r="C15" s="698">
        <v>418501</v>
      </c>
      <c r="D15" s="701">
        <f>0+'[1]táj.4'!L15</f>
        <v>4023</v>
      </c>
      <c r="E15" s="88">
        <f>180823+'[1]táj.4'!C15</f>
        <v>184238</v>
      </c>
      <c r="F15" s="88">
        <f>31138+'[1]táj.4'!D15</f>
        <v>31736</v>
      </c>
      <c r="G15" s="88">
        <f>147540+'[1]táj.4'!E15</f>
        <v>147550</v>
      </c>
      <c r="H15" s="88">
        <f>0+'[1]táj.4'!F15</f>
        <v>0</v>
      </c>
      <c r="I15" s="88">
        <f>18000+'[1]táj.4'!G15</f>
        <v>18000</v>
      </c>
      <c r="J15" s="88">
        <f>39000+'[1]táj.4'!H15</f>
        <v>39000</v>
      </c>
      <c r="K15" s="88">
        <f>2000+'[1]táj.4'!I15</f>
        <v>2000</v>
      </c>
      <c r="L15" s="88">
        <f>0+'[1]táj.4'!J15</f>
        <v>0</v>
      </c>
      <c r="M15" s="88">
        <f>0+'[1]táj.4'!K15</f>
        <v>0</v>
      </c>
      <c r="N15" s="88">
        <f t="shared" si="0"/>
        <v>422524</v>
      </c>
    </row>
    <row r="16" spans="1:14" s="22" customFormat="1" ht="13.5" customHeight="1">
      <c r="A16" s="86" t="s">
        <v>163</v>
      </c>
      <c r="B16" s="79" t="s">
        <v>348</v>
      </c>
      <c r="C16" s="698">
        <v>359221</v>
      </c>
      <c r="D16" s="701">
        <f>0+'[1]táj.4'!L16</f>
        <v>3196</v>
      </c>
      <c r="E16" s="88">
        <f>164549+'[1]táj.4'!C16</f>
        <v>167268</v>
      </c>
      <c r="F16" s="88">
        <f>29386+'[1]táj.4'!D16</f>
        <v>29863</v>
      </c>
      <c r="G16" s="88">
        <f>110138+'[1]táj.4'!E16</f>
        <v>110138</v>
      </c>
      <c r="H16" s="88">
        <f>0+'[1]táj.4'!F16</f>
        <v>0</v>
      </c>
      <c r="I16" s="88">
        <f>42212+'[1]táj.4'!G16</f>
        <v>42212</v>
      </c>
      <c r="J16" s="88">
        <f>12936+'[1]táj.4'!H16</f>
        <v>12936</v>
      </c>
      <c r="K16" s="88">
        <f>0+'[1]táj.4'!I16</f>
        <v>0</v>
      </c>
      <c r="L16" s="88">
        <f>0+'[1]táj.4'!J16</f>
        <v>0</v>
      </c>
      <c r="M16" s="88">
        <f>0+'[1]táj.4'!K16</f>
        <v>0</v>
      </c>
      <c r="N16" s="88">
        <f t="shared" si="0"/>
        <v>362417</v>
      </c>
    </row>
    <row r="17" spans="1:14" s="22" customFormat="1" ht="12.75" customHeight="1">
      <c r="A17" s="86" t="s">
        <v>263</v>
      </c>
      <c r="B17" s="79" t="s">
        <v>355</v>
      </c>
      <c r="C17" s="698">
        <v>754770</v>
      </c>
      <c r="D17" s="701">
        <f>0+'[1]táj.4'!L17</f>
        <v>5939</v>
      </c>
      <c r="E17" s="88">
        <f>414938+'[1]táj.4'!C17</f>
        <v>419993</v>
      </c>
      <c r="F17" s="88">
        <f>78373+'[1]táj.4'!D17</f>
        <v>79257</v>
      </c>
      <c r="G17" s="88">
        <f>253459+'[1]táj.4'!E17</f>
        <v>253459</v>
      </c>
      <c r="H17" s="88">
        <f>0+'[1]táj.4'!F17</f>
        <v>0</v>
      </c>
      <c r="I17" s="88">
        <f>0+'[1]táj.4'!G17</f>
        <v>0</v>
      </c>
      <c r="J17" s="88">
        <f>8000+'[1]táj.4'!H17</f>
        <v>8000</v>
      </c>
      <c r="K17" s="88">
        <f>0+'[1]táj.4'!I17</f>
        <v>0</v>
      </c>
      <c r="L17" s="88">
        <f>0+'[1]táj.4'!J17</f>
        <v>0</v>
      </c>
      <c r="M17" s="88">
        <f>0+'[1]táj.4'!K17</f>
        <v>0</v>
      </c>
      <c r="N17" s="88">
        <f t="shared" si="0"/>
        <v>760709</v>
      </c>
    </row>
    <row r="18" spans="1:14" s="22" customFormat="1" ht="12.75" customHeight="1">
      <c r="A18" s="86" t="s">
        <v>164</v>
      </c>
      <c r="B18" s="79" t="s">
        <v>356</v>
      </c>
      <c r="C18" s="698">
        <v>136750</v>
      </c>
      <c r="D18" s="701">
        <f>0+'[1]táj.4'!L18</f>
        <v>903</v>
      </c>
      <c r="E18" s="88">
        <f>64596+'[1]táj.4'!C18</f>
        <v>65365</v>
      </c>
      <c r="F18" s="88">
        <f>11954+'[1]táj.4'!D18</f>
        <v>12088</v>
      </c>
      <c r="G18" s="88">
        <f>56700+'[1]táj.4'!E18</f>
        <v>56700</v>
      </c>
      <c r="H18" s="88">
        <f>0+'[1]táj.4'!F18</f>
        <v>0</v>
      </c>
      <c r="I18" s="88">
        <f>0+'[1]táj.4'!G18</f>
        <v>0</v>
      </c>
      <c r="J18" s="88">
        <f>3500+'[1]táj.4'!H18</f>
        <v>3500</v>
      </c>
      <c r="K18" s="88">
        <f>0+'[1]táj.4'!I18</f>
        <v>0</v>
      </c>
      <c r="L18" s="88">
        <f>0+'[1]táj.4'!J18</f>
        <v>0</v>
      </c>
      <c r="M18" s="88">
        <f>0+'[1]táj.4'!K18</f>
        <v>0</v>
      </c>
      <c r="N18" s="88">
        <f t="shared" si="0"/>
        <v>137653</v>
      </c>
    </row>
    <row r="19" spans="1:14" s="22" customFormat="1" ht="15.75" customHeight="1">
      <c r="A19" s="86" t="s">
        <v>165</v>
      </c>
      <c r="B19" s="79" t="s">
        <v>388</v>
      </c>
      <c r="C19" s="698">
        <v>145282</v>
      </c>
      <c r="D19" s="701">
        <f>0+'[1]táj.4'!L19</f>
        <v>12</v>
      </c>
      <c r="E19" s="88">
        <f>67285+'[1]táj.4'!C19</f>
        <v>67295</v>
      </c>
      <c r="F19" s="88">
        <f>11726+'[1]táj.4'!D19</f>
        <v>11728</v>
      </c>
      <c r="G19" s="88">
        <f>62651+'[1]táj.4'!E19</f>
        <v>62651</v>
      </c>
      <c r="H19" s="88">
        <f>0+'[1]táj.4'!F19</f>
        <v>0</v>
      </c>
      <c r="I19" s="88">
        <f>0+'[1]táj.4'!G19</f>
        <v>0</v>
      </c>
      <c r="J19" s="88">
        <f>3620+'[1]táj.4'!H19</f>
        <v>3620</v>
      </c>
      <c r="K19" s="88">
        <f>0+'[1]táj.4'!I19</f>
        <v>0</v>
      </c>
      <c r="L19" s="88">
        <f>0+'[1]táj.4'!J19</f>
        <v>0</v>
      </c>
      <c r="M19" s="88">
        <f>0+'[1]táj.4'!K19</f>
        <v>0</v>
      </c>
      <c r="N19" s="88">
        <f t="shared" si="0"/>
        <v>145294</v>
      </c>
    </row>
    <row r="20" spans="1:14" s="1" customFormat="1" ht="12">
      <c r="A20" s="86" t="s">
        <v>387</v>
      </c>
      <c r="B20" s="79" t="s">
        <v>393</v>
      </c>
      <c r="C20" s="698">
        <v>108439</v>
      </c>
      <c r="D20" s="701">
        <f>0+'[1]táj.4'!L20</f>
        <v>0</v>
      </c>
      <c r="E20" s="88">
        <f>39596+'[1]táj.4'!C20</f>
        <v>39596</v>
      </c>
      <c r="F20" s="88">
        <f>7323+'[1]táj.4'!D20</f>
        <v>7323</v>
      </c>
      <c r="G20" s="88">
        <f>59400+'[1]táj.4'!E20</f>
        <v>59400</v>
      </c>
      <c r="H20" s="88">
        <f>0+'[1]táj.4'!F20</f>
        <v>0</v>
      </c>
      <c r="I20" s="88">
        <f>100+'[1]táj.4'!G20</f>
        <v>100</v>
      </c>
      <c r="J20" s="88">
        <f>1020+'[1]táj.4'!H20</f>
        <v>1020</v>
      </c>
      <c r="K20" s="88">
        <f>1000+'[1]táj.4'!I20</f>
        <v>1000</v>
      </c>
      <c r="L20" s="88">
        <f>0+'[1]táj.4'!J20</f>
        <v>0</v>
      </c>
      <c r="M20" s="88">
        <f>0+'[1]táj.4'!K20</f>
        <v>0</v>
      </c>
      <c r="N20" s="88">
        <f t="shared" si="0"/>
        <v>108439</v>
      </c>
    </row>
    <row r="21" spans="1:14" s="1" customFormat="1" ht="12">
      <c r="A21" s="89"/>
      <c r="B21" s="90" t="s">
        <v>147</v>
      </c>
      <c r="C21" s="702">
        <f aca="true" t="shared" si="1" ref="C21:N21">SUM(C3:C20)</f>
        <v>7856019</v>
      </c>
      <c r="D21" s="703">
        <f t="shared" si="1"/>
        <v>37432</v>
      </c>
      <c r="E21" s="61">
        <f t="shared" si="1"/>
        <v>4258230</v>
      </c>
      <c r="F21" s="61">
        <f t="shared" si="1"/>
        <v>804668</v>
      </c>
      <c r="G21" s="61">
        <f t="shared" si="1"/>
        <v>2558270</v>
      </c>
      <c r="H21" s="61">
        <f t="shared" si="1"/>
        <v>3400</v>
      </c>
      <c r="I21" s="61">
        <f t="shared" si="1"/>
        <v>61212</v>
      </c>
      <c r="J21" s="61">
        <f t="shared" si="1"/>
        <v>163545</v>
      </c>
      <c r="K21" s="61">
        <f t="shared" si="1"/>
        <v>44126</v>
      </c>
      <c r="L21" s="61">
        <f t="shared" si="1"/>
        <v>0</v>
      </c>
      <c r="M21" s="61">
        <f t="shared" si="1"/>
        <v>0</v>
      </c>
      <c r="N21" s="61">
        <f t="shared" si="1"/>
        <v>7893451</v>
      </c>
    </row>
    <row r="22" s="1" customFormat="1" ht="12">
      <c r="N22" s="14"/>
    </row>
    <row r="23" spans="2:14" s="1" customFormat="1" ht="12">
      <c r="B23" s="11"/>
      <c r="C23" s="11"/>
      <c r="D23" s="11"/>
      <c r="N23" s="14"/>
    </row>
    <row r="24" s="1" customFormat="1" ht="12">
      <c r="N24" s="14"/>
    </row>
    <row r="25" s="1" customFormat="1" ht="12">
      <c r="N25" s="14"/>
    </row>
    <row r="26" spans="5:14" s="1" customFormat="1" ht="12">
      <c r="E26" s="11"/>
      <c r="N26" s="14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375" style="103" customWidth="1"/>
    <col min="2" max="2" width="33.875" style="103" customWidth="1"/>
    <col min="3" max="3" width="9.875" style="103" customWidth="1"/>
    <col min="4" max="4" width="7.625" style="103" customWidth="1"/>
    <col min="5" max="5" width="10.00390625" style="103" customWidth="1"/>
    <col min="6" max="8" width="11.50390625" style="103" customWidth="1"/>
    <col min="9" max="9" width="10.50390625" style="103" customWidth="1"/>
    <col min="10" max="10" width="11.00390625" style="103" customWidth="1"/>
    <col min="11" max="11" width="11.625" style="103" customWidth="1"/>
    <col min="12" max="12" width="11.00390625" style="103" customWidth="1"/>
    <col min="13" max="13" width="11.50390625" style="103" customWidth="1"/>
    <col min="14" max="14" width="10.625" style="103" customWidth="1"/>
    <col min="15" max="15" width="12.875" style="103" customWidth="1"/>
    <col min="16" max="16384" width="9.375" style="103" customWidth="1"/>
  </cols>
  <sheetData>
    <row r="1" spans="1:15" s="92" customFormat="1" ht="13.5" customHeight="1" thickBot="1">
      <c r="A1" s="786"/>
      <c r="B1" s="787" t="s">
        <v>321</v>
      </c>
      <c r="C1" s="784" t="s">
        <v>195</v>
      </c>
      <c r="D1" s="784" t="s">
        <v>196</v>
      </c>
      <c r="E1" s="784" t="s">
        <v>475</v>
      </c>
      <c r="F1" s="785" t="s">
        <v>197</v>
      </c>
      <c r="G1" s="785"/>
      <c r="H1" s="785"/>
      <c r="I1" s="782" t="s">
        <v>202</v>
      </c>
      <c r="J1" s="782"/>
      <c r="K1" s="782" t="s">
        <v>304</v>
      </c>
      <c r="L1" s="782"/>
      <c r="M1" s="782" t="s">
        <v>483</v>
      </c>
      <c r="N1" s="782"/>
      <c r="O1" s="783" t="s">
        <v>203</v>
      </c>
    </row>
    <row r="2" spans="1:15" s="92" customFormat="1" ht="60.75" customHeight="1" thickBot="1">
      <c r="A2" s="786"/>
      <c r="B2" s="788"/>
      <c r="C2" s="784"/>
      <c r="D2" s="784"/>
      <c r="E2" s="784"/>
      <c r="F2" s="93" t="s">
        <v>480</v>
      </c>
      <c r="G2" s="94" t="s">
        <v>481</v>
      </c>
      <c r="H2" s="95" t="s">
        <v>482</v>
      </c>
      <c r="I2" s="96" t="s">
        <v>204</v>
      </c>
      <c r="J2" s="97" t="s">
        <v>205</v>
      </c>
      <c r="K2" s="96" t="s">
        <v>206</v>
      </c>
      <c r="L2" s="97" t="s">
        <v>205</v>
      </c>
      <c r="M2" s="96" t="s">
        <v>206</v>
      </c>
      <c r="N2" s="97" t="s">
        <v>205</v>
      </c>
      <c r="O2" s="783"/>
    </row>
    <row r="3" spans="1:15" ht="39.75" customHeight="1">
      <c r="A3" s="98" t="s">
        <v>269</v>
      </c>
      <c r="B3" s="99" t="s">
        <v>207</v>
      </c>
      <c r="C3" s="100" t="s">
        <v>208</v>
      </c>
      <c r="D3" s="101" t="s">
        <v>209</v>
      </c>
      <c r="E3" s="102">
        <v>211638</v>
      </c>
      <c r="F3" s="144">
        <v>195961</v>
      </c>
      <c r="G3" s="144"/>
      <c r="H3" s="144"/>
      <c r="I3" s="144">
        <v>10452</v>
      </c>
      <c r="J3" s="144">
        <v>5760</v>
      </c>
      <c r="K3" s="144">
        <v>10452</v>
      </c>
      <c r="L3" s="144">
        <v>5448</v>
      </c>
      <c r="M3" s="144">
        <v>10452</v>
      </c>
      <c r="N3" s="144">
        <v>5132</v>
      </c>
      <c r="O3" s="144">
        <v>164605</v>
      </c>
    </row>
    <row r="4" spans="1:15" ht="39.75" customHeight="1">
      <c r="A4" s="98" t="s">
        <v>268</v>
      </c>
      <c r="B4" s="99" t="s">
        <v>210</v>
      </c>
      <c r="C4" s="104" t="s">
        <v>208</v>
      </c>
      <c r="D4" s="104" t="s">
        <v>211</v>
      </c>
      <c r="E4" s="102">
        <v>7182</v>
      </c>
      <c r="F4" s="144">
        <v>2382</v>
      </c>
      <c r="G4" s="144"/>
      <c r="H4" s="144"/>
      <c r="I4" s="144">
        <v>1200</v>
      </c>
      <c r="J4" s="144">
        <v>56</v>
      </c>
      <c r="K4" s="144">
        <v>1182</v>
      </c>
      <c r="L4" s="144">
        <v>20</v>
      </c>
      <c r="M4" s="144"/>
      <c r="N4" s="144"/>
      <c r="O4" s="144">
        <v>0</v>
      </c>
    </row>
    <row r="5" spans="1:15" ht="39.75" customHeight="1">
      <c r="A5" s="98" t="s">
        <v>270</v>
      </c>
      <c r="B5" s="99" t="s">
        <v>212</v>
      </c>
      <c r="C5" s="104" t="s">
        <v>208</v>
      </c>
      <c r="D5" s="104" t="s">
        <v>213</v>
      </c>
      <c r="E5" s="102">
        <v>950000</v>
      </c>
      <c r="F5" s="144">
        <v>884500</v>
      </c>
      <c r="G5" s="144"/>
      <c r="H5" s="144"/>
      <c r="I5" s="144">
        <v>52400</v>
      </c>
      <c r="J5" s="144">
        <v>12974</v>
      </c>
      <c r="K5" s="144">
        <v>52400</v>
      </c>
      <c r="L5" s="144">
        <v>12187</v>
      </c>
      <c r="M5" s="144">
        <v>52400</v>
      </c>
      <c r="N5" s="144">
        <v>11400</v>
      </c>
      <c r="O5" s="144">
        <v>727300</v>
      </c>
    </row>
    <row r="6" spans="1:15" ht="39.75" customHeight="1">
      <c r="A6" s="98" t="s">
        <v>271</v>
      </c>
      <c r="B6" s="99" t="s">
        <v>131</v>
      </c>
      <c r="C6" s="104" t="s">
        <v>208</v>
      </c>
      <c r="D6" s="104" t="s">
        <v>214</v>
      </c>
      <c r="E6" s="102">
        <v>100000</v>
      </c>
      <c r="F6" s="144">
        <v>97417</v>
      </c>
      <c r="G6" s="144"/>
      <c r="H6" s="144"/>
      <c r="I6" s="144">
        <v>10000</v>
      </c>
      <c r="J6" s="144">
        <v>1126</v>
      </c>
      <c r="K6" s="144">
        <v>10000</v>
      </c>
      <c r="L6" s="144">
        <v>1006</v>
      </c>
      <c r="M6" s="144">
        <v>10000</v>
      </c>
      <c r="N6" s="144">
        <v>886</v>
      </c>
      <c r="O6" s="144">
        <v>67417</v>
      </c>
    </row>
    <row r="7" spans="1:15" ht="39.75" customHeight="1">
      <c r="A7" s="98" t="s">
        <v>259</v>
      </c>
      <c r="B7" s="99" t="s">
        <v>215</v>
      </c>
      <c r="C7" s="104" t="s">
        <v>208</v>
      </c>
      <c r="D7" s="104" t="s">
        <v>216</v>
      </c>
      <c r="E7" s="102">
        <v>240000</v>
      </c>
      <c r="F7" s="144">
        <v>232500</v>
      </c>
      <c r="G7" s="144"/>
      <c r="H7" s="144"/>
      <c r="I7" s="144">
        <v>30000</v>
      </c>
      <c r="J7" s="144">
        <v>2302</v>
      </c>
      <c r="K7" s="144">
        <v>30000</v>
      </c>
      <c r="L7" s="144">
        <v>1990</v>
      </c>
      <c r="M7" s="144">
        <v>30000</v>
      </c>
      <c r="N7" s="144">
        <v>1532</v>
      </c>
      <c r="O7" s="144">
        <v>142500</v>
      </c>
    </row>
    <row r="8" spans="1:15" ht="51.75" customHeight="1">
      <c r="A8" s="98" t="s">
        <v>258</v>
      </c>
      <c r="B8" s="99" t="s">
        <v>476</v>
      </c>
      <c r="C8" s="104" t="s">
        <v>208</v>
      </c>
      <c r="D8" s="104" t="s">
        <v>477</v>
      </c>
      <c r="E8" s="102">
        <v>150000</v>
      </c>
      <c r="F8" s="144"/>
      <c r="G8" s="144"/>
      <c r="H8" s="144">
        <v>150000</v>
      </c>
      <c r="I8" s="144"/>
      <c r="J8" s="144">
        <v>3249</v>
      </c>
      <c r="K8" s="144">
        <v>7500</v>
      </c>
      <c r="L8" s="144">
        <v>4140</v>
      </c>
      <c r="M8" s="144">
        <v>15000</v>
      </c>
      <c r="N8" s="144">
        <v>3745</v>
      </c>
      <c r="O8" s="144">
        <v>127500</v>
      </c>
    </row>
    <row r="9" spans="1:15" ht="28.5" customHeight="1">
      <c r="A9" s="145"/>
      <c r="B9" s="146" t="s">
        <v>478</v>
      </c>
      <c r="C9" s="147"/>
      <c r="D9" s="147"/>
      <c r="E9" s="148">
        <f>SUM(E3:E8)</f>
        <v>1658820</v>
      </c>
      <c r="F9" s="148">
        <f aca="true" t="shared" si="0" ref="F9:O9">SUM(F3:F8)</f>
        <v>1412760</v>
      </c>
      <c r="G9" s="148">
        <f t="shared" si="0"/>
        <v>0</v>
      </c>
      <c r="H9" s="148">
        <f t="shared" si="0"/>
        <v>150000</v>
      </c>
      <c r="I9" s="148">
        <f t="shared" si="0"/>
        <v>104052</v>
      </c>
      <c r="J9" s="148">
        <f t="shared" si="0"/>
        <v>25467</v>
      </c>
      <c r="K9" s="148">
        <f t="shared" si="0"/>
        <v>111534</v>
      </c>
      <c r="L9" s="148">
        <f t="shared" si="0"/>
        <v>24791</v>
      </c>
      <c r="M9" s="148">
        <f t="shared" si="0"/>
        <v>117852</v>
      </c>
      <c r="N9" s="148">
        <f t="shared" si="0"/>
        <v>22695</v>
      </c>
      <c r="O9" s="148">
        <f t="shared" si="0"/>
        <v>1229322</v>
      </c>
    </row>
    <row r="10" spans="1:15" ht="39.75" customHeight="1">
      <c r="A10" s="149" t="s">
        <v>260</v>
      </c>
      <c r="B10" s="150" t="s">
        <v>107</v>
      </c>
      <c r="C10" s="151"/>
      <c r="D10" s="152" t="s">
        <v>479</v>
      </c>
      <c r="E10" s="153">
        <v>450000</v>
      </c>
      <c r="F10" s="153">
        <v>375000</v>
      </c>
      <c r="G10" s="153"/>
      <c r="H10" s="153"/>
      <c r="I10" s="153">
        <v>25000</v>
      </c>
      <c r="J10" s="153"/>
      <c r="K10" s="153">
        <v>25000</v>
      </c>
      <c r="L10" s="153"/>
      <c r="M10" s="153">
        <v>25000</v>
      </c>
      <c r="N10" s="153"/>
      <c r="O10" s="153">
        <v>300000</v>
      </c>
    </row>
    <row r="11" spans="1:15" ht="19.5" customHeight="1">
      <c r="A11" s="154"/>
      <c r="B11" s="155" t="s">
        <v>320</v>
      </c>
      <c r="C11" s="156"/>
      <c r="D11" s="156"/>
      <c r="E11" s="157">
        <f>SUM(E9:E10)</f>
        <v>2108820</v>
      </c>
      <c r="F11" s="157">
        <f aca="true" t="shared" si="1" ref="F11:O11">SUM(F9:F10)</f>
        <v>1787760</v>
      </c>
      <c r="G11" s="157">
        <f t="shared" si="1"/>
        <v>0</v>
      </c>
      <c r="H11" s="157">
        <f t="shared" si="1"/>
        <v>150000</v>
      </c>
      <c r="I11" s="157">
        <f t="shared" si="1"/>
        <v>129052</v>
      </c>
      <c r="J11" s="157">
        <f t="shared" si="1"/>
        <v>25467</v>
      </c>
      <c r="K11" s="157">
        <f t="shared" si="1"/>
        <v>136534</v>
      </c>
      <c r="L11" s="157">
        <f t="shared" si="1"/>
        <v>24791</v>
      </c>
      <c r="M11" s="157">
        <f t="shared" si="1"/>
        <v>142852</v>
      </c>
      <c r="N11" s="157">
        <f t="shared" si="1"/>
        <v>22695</v>
      </c>
      <c r="O11" s="157">
        <f t="shared" si="1"/>
        <v>1529322</v>
      </c>
    </row>
    <row r="12" spans="2:11" ht="19.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3" ht="36.75" customHeight="1">
      <c r="A13"/>
      <c r="B13"/>
      <c r="C13" s="106"/>
    </row>
    <row r="14" spans="1:14" ht="19.5" customHeight="1">
      <c r="A14"/>
      <c r="B14"/>
      <c r="C14"/>
      <c r="N14" s="103" t="s">
        <v>265</v>
      </c>
    </row>
    <row r="15" spans="1:3" ht="19.5" customHeight="1">
      <c r="A15"/>
      <c r="B15"/>
      <c r="C15" s="106"/>
    </row>
    <row r="16" spans="1:3" ht="19.5" customHeight="1">
      <c r="A16"/>
      <c r="B16"/>
      <c r="C16"/>
    </row>
    <row r="17" spans="1:3" ht="19.5" customHeight="1">
      <c r="A17"/>
      <c r="B17"/>
      <c r="C17" s="106"/>
    </row>
    <row r="18" spans="1:3" ht="19.5" customHeight="1">
      <c r="A18"/>
      <c r="B18"/>
      <c r="C18"/>
    </row>
    <row r="19" spans="1:3" ht="19.5" customHeight="1">
      <c r="A19"/>
      <c r="B19"/>
      <c r="C19" s="106"/>
    </row>
    <row r="20" spans="1:3" ht="19.5" customHeight="1">
      <c r="A20"/>
      <c r="B20"/>
      <c r="C20"/>
    </row>
    <row r="21" spans="1:3" ht="19.5" customHeight="1">
      <c r="A21"/>
      <c r="B21"/>
      <c r="C21" s="106"/>
    </row>
    <row r="22" spans="1:3" ht="19.5" customHeight="1">
      <c r="A22"/>
      <c r="B22"/>
      <c r="C22"/>
    </row>
    <row r="23" spans="1:3" ht="19.5" customHeight="1">
      <c r="A23"/>
      <c r="B23"/>
      <c r="C23" s="106"/>
    </row>
    <row r="24" spans="1:3" ht="19.5" customHeight="1">
      <c r="A24"/>
      <c r="B24"/>
      <c r="C24"/>
    </row>
    <row r="25" spans="1:3" ht="19.5" customHeight="1">
      <c r="A25"/>
      <c r="B25"/>
      <c r="C25" s="106"/>
    </row>
    <row r="26" ht="19.5" customHeight="1"/>
    <row r="27" spans="2:8" ht="19.5" customHeight="1">
      <c r="B27"/>
      <c r="C27"/>
      <c r="D27"/>
      <c r="E27"/>
      <c r="F27"/>
      <c r="G27"/>
      <c r="H2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M1:N1"/>
    <mergeCell ref="O1:O2"/>
    <mergeCell ref="E1:E2"/>
    <mergeCell ref="F1:H1"/>
    <mergeCell ref="A1:A2"/>
    <mergeCell ref="B1:B2"/>
    <mergeCell ref="C1:C2"/>
    <mergeCell ref="D1:D2"/>
    <mergeCell ref="I1:J1"/>
    <mergeCell ref="K1:L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PageLayoutView="0" workbookViewId="0" topLeftCell="A1">
      <selection activeCell="O22" sqref="O22"/>
    </sheetView>
  </sheetViews>
  <sheetFormatPr defaultColWidth="10.625" defaultRowHeight="12.75"/>
  <cols>
    <col min="1" max="1" width="10.625" style="114" customWidth="1"/>
    <col min="2" max="2" width="37.00390625" style="114" customWidth="1"/>
    <col min="3" max="3" width="11.875" style="114" customWidth="1"/>
    <col min="4" max="4" width="10.625" style="114" customWidth="1"/>
    <col min="5" max="5" width="9.00390625" style="114" customWidth="1"/>
    <col min="6" max="6" width="6.625" style="114" customWidth="1"/>
    <col min="7" max="7" width="9.50390625" style="114" customWidth="1"/>
    <col min="8" max="8" width="9.625" style="114" customWidth="1"/>
    <col min="9" max="9" width="10.625" style="114" customWidth="1"/>
    <col min="10" max="10" width="9.50390625" style="114" customWidth="1"/>
    <col min="11" max="11" width="9.125" style="114" customWidth="1"/>
    <col min="12" max="12" width="11.625" style="114" customWidth="1"/>
    <col min="13" max="13" width="9.375" style="114" customWidth="1"/>
    <col min="14" max="14" width="10.625" style="114" customWidth="1"/>
    <col min="15" max="15" width="8.50390625" style="114" customWidth="1"/>
    <col min="16" max="16" width="13.00390625" style="114" customWidth="1"/>
    <col min="17" max="16384" width="10.625" style="114" customWidth="1"/>
  </cols>
  <sheetData>
    <row r="1" spans="1:13" ht="60" customHeight="1">
      <c r="A1" s="107" t="s">
        <v>391</v>
      </c>
      <c r="B1" s="108" t="s">
        <v>321</v>
      </c>
      <c r="C1" s="109" t="s">
        <v>484</v>
      </c>
      <c r="D1" s="109" t="s">
        <v>93</v>
      </c>
      <c r="E1" s="108" t="s">
        <v>132</v>
      </c>
      <c r="F1" s="108" t="s">
        <v>392</v>
      </c>
      <c r="G1" s="108" t="s">
        <v>133</v>
      </c>
      <c r="H1" s="109" t="s">
        <v>134</v>
      </c>
      <c r="I1" s="110" t="s">
        <v>278</v>
      </c>
      <c r="J1" s="110" t="s">
        <v>242</v>
      </c>
      <c r="K1" s="110" t="s">
        <v>307</v>
      </c>
      <c r="L1" s="109" t="s">
        <v>45</v>
      </c>
      <c r="M1" s="110" t="s">
        <v>166</v>
      </c>
    </row>
    <row r="2" spans="1:60" s="709" customFormat="1" ht="12.75">
      <c r="A2" s="704">
        <v>1</v>
      </c>
      <c r="B2" s="705" t="s">
        <v>381</v>
      </c>
      <c r="C2" s="706">
        <v>5</v>
      </c>
      <c r="D2" s="706">
        <v>4</v>
      </c>
      <c r="E2" s="706"/>
      <c r="F2" s="707"/>
      <c r="G2" s="707"/>
      <c r="H2" s="707"/>
      <c r="I2" s="707"/>
      <c r="J2" s="707"/>
      <c r="K2" s="708">
        <v>2</v>
      </c>
      <c r="L2" s="706">
        <f>SUM(D2:K2)</f>
        <v>6</v>
      </c>
      <c r="M2" s="706">
        <f aca="true" t="shared" si="0" ref="M2:M20">L2-C2</f>
        <v>1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</row>
    <row r="3" spans="1:60" s="115" customFormat="1" ht="15.75" customHeight="1">
      <c r="A3" s="710">
        <v>2</v>
      </c>
      <c r="B3" s="711" t="s">
        <v>279</v>
      </c>
      <c r="C3" s="712">
        <v>190</v>
      </c>
      <c r="D3" s="712"/>
      <c r="E3" s="712">
        <v>161</v>
      </c>
      <c r="F3" s="712"/>
      <c r="G3" s="712"/>
      <c r="H3" s="712"/>
      <c r="I3" s="712"/>
      <c r="J3" s="712">
        <v>22</v>
      </c>
      <c r="K3" s="712">
        <v>7</v>
      </c>
      <c r="L3" s="712">
        <f>SUM(E3:K3)</f>
        <v>190</v>
      </c>
      <c r="M3" s="706">
        <f t="shared" si="0"/>
        <v>0</v>
      </c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</row>
    <row r="4" spans="1:60" s="116" customFormat="1" ht="16.5" customHeight="1">
      <c r="A4" s="710">
        <v>3</v>
      </c>
      <c r="B4" s="711" t="s">
        <v>280</v>
      </c>
      <c r="C4" s="712">
        <v>43.5</v>
      </c>
      <c r="D4" s="712"/>
      <c r="E4" s="712"/>
      <c r="F4" s="714"/>
      <c r="G4" s="714"/>
      <c r="H4" s="712"/>
      <c r="I4" s="715"/>
      <c r="J4" s="712">
        <v>31</v>
      </c>
      <c r="K4" s="712">
        <v>12.5</v>
      </c>
      <c r="L4" s="712">
        <f>SUM(E4:K4)</f>
        <v>43.5</v>
      </c>
      <c r="M4" s="706">
        <f t="shared" si="0"/>
        <v>0</v>
      </c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</row>
    <row r="5" spans="1:60" s="116" customFormat="1" ht="15.75">
      <c r="A5" s="710">
        <v>4</v>
      </c>
      <c r="B5" s="705" t="s">
        <v>349</v>
      </c>
      <c r="C5" s="712">
        <v>122.5</v>
      </c>
      <c r="D5" s="712"/>
      <c r="E5" s="712"/>
      <c r="F5" s="714">
        <v>0.5</v>
      </c>
      <c r="G5" s="715"/>
      <c r="H5" s="712"/>
      <c r="I5" s="715">
        <v>92</v>
      </c>
      <c r="J5" s="712">
        <v>4</v>
      </c>
      <c r="K5" s="712">
        <v>26</v>
      </c>
      <c r="L5" s="712">
        <f>SUM(E5:K5)</f>
        <v>122.5</v>
      </c>
      <c r="M5" s="706">
        <f t="shared" si="0"/>
        <v>0</v>
      </c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</row>
    <row r="6" spans="1:60" s="116" customFormat="1" ht="15.75">
      <c r="A6" s="710">
        <v>5</v>
      </c>
      <c r="B6" s="705" t="s">
        <v>281</v>
      </c>
      <c r="C6" s="712">
        <v>56.5</v>
      </c>
      <c r="D6" s="712"/>
      <c r="E6" s="712"/>
      <c r="F6" s="712">
        <v>4</v>
      </c>
      <c r="G6" s="714"/>
      <c r="H6" s="712"/>
      <c r="I6" s="715">
        <v>45.5</v>
      </c>
      <c r="J6" s="712"/>
      <c r="K6" s="712">
        <v>7</v>
      </c>
      <c r="L6" s="712">
        <f>SUM(E6:K6)</f>
        <v>56.5</v>
      </c>
      <c r="M6" s="706">
        <f t="shared" si="0"/>
        <v>0</v>
      </c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716"/>
      <c r="AJ6" s="716"/>
      <c r="AK6" s="716"/>
      <c r="AL6" s="716"/>
      <c r="AM6" s="716"/>
      <c r="AN6" s="716"/>
      <c r="AO6" s="716"/>
      <c r="AP6" s="716"/>
      <c r="AQ6" s="716"/>
      <c r="AR6" s="716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716"/>
      <c r="BF6" s="716"/>
      <c r="BG6" s="716"/>
      <c r="BH6" s="716"/>
    </row>
    <row r="7" spans="1:60" s="116" customFormat="1" ht="25.5">
      <c r="A7" s="710">
        <v>6</v>
      </c>
      <c r="B7" s="717" t="s">
        <v>385</v>
      </c>
      <c r="C7" s="712">
        <v>61.5</v>
      </c>
      <c r="D7" s="712"/>
      <c r="E7" s="712"/>
      <c r="F7" s="714"/>
      <c r="G7" s="714"/>
      <c r="H7" s="712"/>
      <c r="I7" s="715">
        <v>59.5</v>
      </c>
      <c r="J7" s="712">
        <v>2</v>
      </c>
      <c r="K7" s="712"/>
      <c r="L7" s="712">
        <f>SUM(I7:K7)</f>
        <v>61.5</v>
      </c>
      <c r="M7" s="706">
        <f t="shared" si="0"/>
        <v>0</v>
      </c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716"/>
      <c r="BE7" s="716"/>
      <c r="BF7" s="716"/>
      <c r="BG7" s="716"/>
      <c r="BH7" s="716"/>
    </row>
    <row r="8" spans="1:60" s="116" customFormat="1" ht="15.75">
      <c r="A8" s="710">
        <v>7</v>
      </c>
      <c r="B8" s="705" t="s">
        <v>282</v>
      </c>
      <c r="C8" s="712">
        <v>72.5</v>
      </c>
      <c r="D8" s="712"/>
      <c r="E8" s="712"/>
      <c r="F8" s="714"/>
      <c r="G8" s="714">
        <v>39.5</v>
      </c>
      <c r="H8" s="712"/>
      <c r="I8" s="715">
        <v>26</v>
      </c>
      <c r="J8" s="712"/>
      <c r="K8" s="712">
        <v>7</v>
      </c>
      <c r="L8" s="712">
        <f>SUM(E8:K8)</f>
        <v>72.5</v>
      </c>
      <c r="M8" s="706">
        <f t="shared" si="0"/>
        <v>0</v>
      </c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</row>
    <row r="9" spans="1:60" s="116" customFormat="1" ht="15.75">
      <c r="A9" s="710">
        <v>8</v>
      </c>
      <c r="B9" s="705" t="s">
        <v>283</v>
      </c>
      <c r="C9" s="712">
        <v>63</v>
      </c>
      <c r="D9" s="712"/>
      <c r="E9" s="712"/>
      <c r="F9" s="714"/>
      <c r="G9" s="712">
        <v>33</v>
      </c>
      <c r="H9" s="712"/>
      <c r="I9" s="715">
        <v>22</v>
      </c>
      <c r="J9" s="712"/>
      <c r="K9" s="712">
        <v>8</v>
      </c>
      <c r="L9" s="712">
        <f>SUM(E9:K9)</f>
        <v>63</v>
      </c>
      <c r="M9" s="706">
        <f t="shared" si="0"/>
        <v>0</v>
      </c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</row>
    <row r="10" spans="1:60" s="116" customFormat="1" ht="15.75">
      <c r="A10" s="710">
        <v>9</v>
      </c>
      <c r="B10" s="705" t="s">
        <v>352</v>
      </c>
      <c r="C10" s="712">
        <v>70</v>
      </c>
      <c r="D10" s="712"/>
      <c r="E10" s="712"/>
      <c r="F10" s="714"/>
      <c r="G10" s="712">
        <v>39</v>
      </c>
      <c r="H10" s="712"/>
      <c r="I10" s="715">
        <v>24</v>
      </c>
      <c r="J10" s="712"/>
      <c r="K10" s="712">
        <v>7</v>
      </c>
      <c r="L10" s="712">
        <f>SUM(E10:K10)</f>
        <v>70</v>
      </c>
      <c r="M10" s="706">
        <f t="shared" si="0"/>
        <v>0</v>
      </c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716"/>
      <c r="BF10" s="716"/>
      <c r="BG10" s="716"/>
      <c r="BH10" s="716"/>
    </row>
    <row r="11" spans="1:60" s="116" customFormat="1" ht="15.75">
      <c r="A11" s="710">
        <v>10</v>
      </c>
      <c r="B11" s="705" t="s">
        <v>353</v>
      </c>
      <c r="C11" s="712">
        <v>68</v>
      </c>
      <c r="D11" s="712"/>
      <c r="E11" s="712"/>
      <c r="F11" s="714"/>
      <c r="G11" s="712">
        <v>37</v>
      </c>
      <c r="H11" s="712"/>
      <c r="I11" s="715">
        <v>22</v>
      </c>
      <c r="J11" s="712"/>
      <c r="K11" s="712">
        <v>9</v>
      </c>
      <c r="L11" s="712">
        <f>SUM(E11:K11)</f>
        <v>68</v>
      </c>
      <c r="M11" s="706">
        <f t="shared" si="0"/>
        <v>0</v>
      </c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6"/>
      <c r="AJ11" s="716"/>
      <c r="AK11" s="716"/>
      <c r="AL11" s="716"/>
      <c r="AM11" s="716"/>
      <c r="AN11" s="716"/>
      <c r="AO11" s="716"/>
      <c r="AP11" s="716"/>
      <c r="AQ11" s="716"/>
      <c r="AR11" s="716"/>
      <c r="AS11" s="716"/>
      <c r="AT11" s="716"/>
      <c r="AU11" s="716"/>
      <c r="AV11" s="716"/>
      <c r="AW11" s="716"/>
      <c r="AX11" s="716"/>
      <c r="AY11" s="716"/>
      <c r="AZ11" s="716"/>
      <c r="BA11" s="716"/>
      <c r="BB11" s="716"/>
      <c r="BC11" s="716"/>
      <c r="BD11" s="716"/>
      <c r="BE11" s="716"/>
      <c r="BF11" s="716"/>
      <c r="BG11" s="716"/>
      <c r="BH11" s="716"/>
    </row>
    <row r="12" spans="1:13" s="117" customFormat="1" ht="25.5" customHeight="1">
      <c r="A12" s="704">
        <v>11</v>
      </c>
      <c r="B12" s="717" t="s">
        <v>386</v>
      </c>
      <c r="C12" s="712">
        <v>13</v>
      </c>
      <c r="D12" s="712"/>
      <c r="E12" s="708"/>
      <c r="F12" s="718"/>
      <c r="G12" s="708"/>
      <c r="H12" s="708"/>
      <c r="I12" s="708"/>
      <c r="J12" s="708">
        <v>13</v>
      </c>
      <c r="K12" s="708"/>
      <c r="L12" s="708">
        <f>SUM(I12:K12)</f>
        <v>13</v>
      </c>
      <c r="M12" s="706">
        <f t="shared" si="0"/>
        <v>0</v>
      </c>
    </row>
    <row r="13" spans="1:13" s="117" customFormat="1" ht="27.75" customHeight="1">
      <c r="A13" s="704">
        <v>12</v>
      </c>
      <c r="B13" s="719" t="s">
        <v>284</v>
      </c>
      <c r="C13" s="712">
        <v>57.5</v>
      </c>
      <c r="D13" s="712"/>
      <c r="E13" s="708"/>
      <c r="F13" s="708"/>
      <c r="G13" s="708"/>
      <c r="H13" s="708">
        <v>16</v>
      </c>
      <c r="I13" s="708">
        <v>13</v>
      </c>
      <c r="J13" s="708">
        <v>7</v>
      </c>
      <c r="K13" s="708">
        <v>27.5</v>
      </c>
      <c r="L13" s="708">
        <f>SUM(H13:K13)</f>
        <v>63.5</v>
      </c>
      <c r="M13" s="706">
        <f t="shared" si="0"/>
        <v>6</v>
      </c>
    </row>
    <row r="14" spans="1:16" s="118" customFormat="1" ht="36.75" customHeight="1">
      <c r="A14" s="704">
        <v>13</v>
      </c>
      <c r="B14" s="717" t="s">
        <v>285</v>
      </c>
      <c r="C14" s="712">
        <v>4</v>
      </c>
      <c r="D14" s="712"/>
      <c r="E14" s="708"/>
      <c r="F14" s="718"/>
      <c r="G14" s="718"/>
      <c r="H14" s="708"/>
      <c r="I14" s="720">
        <v>4</v>
      </c>
      <c r="J14" s="720"/>
      <c r="K14" s="720"/>
      <c r="L14" s="720">
        <f>SUM(H14:K14)</f>
        <v>4</v>
      </c>
      <c r="M14" s="706">
        <f t="shared" si="0"/>
        <v>0</v>
      </c>
      <c r="P14" s="555"/>
    </row>
    <row r="15" spans="1:13" s="119" customFormat="1" ht="12.75">
      <c r="A15" s="704">
        <v>14</v>
      </c>
      <c r="B15" s="705" t="s">
        <v>347</v>
      </c>
      <c r="C15" s="712">
        <v>54</v>
      </c>
      <c r="D15" s="712"/>
      <c r="E15" s="708"/>
      <c r="F15" s="718"/>
      <c r="G15" s="718"/>
      <c r="H15" s="708">
        <v>42</v>
      </c>
      <c r="I15" s="720">
        <v>5.5</v>
      </c>
      <c r="J15" s="708">
        <v>1</v>
      </c>
      <c r="K15" s="708">
        <v>5.5</v>
      </c>
      <c r="L15" s="712">
        <f>SUM(E15:K15)</f>
        <v>54</v>
      </c>
      <c r="M15" s="706">
        <f t="shared" si="0"/>
        <v>0</v>
      </c>
    </row>
    <row r="16" spans="1:13" s="117" customFormat="1" ht="15">
      <c r="A16" s="704">
        <v>15</v>
      </c>
      <c r="B16" s="705" t="s">
        <v>348</v>
      </c>
      <c r="C16" s="712">
        <v>58</v>
      </c>
      <c r="D16" s="712"/>
      <c r="E16" s="708"/>
      <c r="F16" s="718"/>
      <c r="G16" s="718"/>
      <c r="H16" s="721"/>
      <c r="I16" s="720">
        <v>45</v>
      </c>
      <c r="J16" s="720">
        <v>3</v>
      </c>
      <c r="K16" s="720">
        <v>10</v>
      </c>
      <c r="L16" s="720">
        <f>SUM(I16:K16)</f>
        <v>58</v>
      </c>
      <c r="M16" s="706">
        <f t="shared" si="0"/>
        <v>0</v>
      </c>
    </row>
    <row r="17" spans="1:13" ht="12.75">
      <c r="A17" s="704">
        <v>16</v>
      </c>
      <c r="B17" s="705" t="s">
        <v>135</v>
      </c>
      <c r="C17" s="712">
        <v>127</v>
      </c>
      <c r="D17" s="712"/>
      <c r="E17" s="708"/>
      <c r="F17" s="718"/>
      <c r="G17" s="718"/>
      <c r="H17" s="721"/>
      <c r="I17" s="720">
        <v>39</v>
      </c>
      <c r="J17" s="708">
        <v>16</v>
      </c>
      <c r="K17" s="708">
        <v>72</v>
      </c>
      <c r="L17" s="712">
        <f>SUM(E17:K17)</f>
        <v>127</v>
      </c>
      <c r="M17" s="706">
        <f t="shared" si="0"/>
        <v>0</v>
      </c>
    </row>
    <row r="18" spans="1:13" ht="12.75">
      <c r="A18" s="704">
        <v>17</v>
      </c>
      <c r="B18" s="705" t="s">
        <v>356</v>
      </c>
      <c r="C18" s="712">
        <v>19</v>
      </c>
      <c r="D18" s="712"/>
      <c r="E18" s="708"/>
      <c r="F18" s="718"/>
      <c r="G18" s="718"/>
      <c r="H18" s="721"/>
      <c r="I18" s="720">
        <v>11</v>
      </c>
      <c r="J18" s="708">
        <v>1</v>
      </c>
      <c r="K18" s="708">
        <v>7</v>
      </c>
      <c r="L18" s="712">
        <f>SUM(E18:K18)</f>
        <v>19</v>
      </c>
      <c r="M18" s="706">
        <f t="shared" si="0"/>
        <v>0</v>
      </c>
    </row>
    <row r="19" spans="1:13" s="118" customFormat="1" ht="25.5">
      <c r="A19" s="704">
        <v>18</v>
      </c>
      <c r="B19" s="717" t="s">
        <v>286</v>
      </c>
      <c r="C19" s="712">
        <v>23</v>
      </c>
      <c r="D19" s="712"/>
      <c r="E19" s="708"/>
      <c r="F19" s="718"/>
      <c r="G19" s="718"/>
      <c r="H19" s="721"/>
      <c r="I19" s="720"/>
      <c r="J19" s="708">
        <v>4</v>
      </c>
      <c r="K19" s="708">
        <v>19</v>
      </c>
      <c r="L19" s="708">
        <f>SUM(J19:K19)</f>
        <v>23</v>
      </c>
      <c r="M19" s="706">
        <f t="shared" si="0"/>
        <v>0</v>
      </c>
    </row>
    <row r="20" spans="1:13" s="120" customFormat="1" ht="12.75">
      <c r="A20" s="704">
        <v>19</v>
      </c>
      <c r="B20" s="705" t="s">
        <v>393</v>
      </c>
      <c r="C20" s="712">
        <v>11</v>
      </c>
      <c r="D20" s="712"/>
      <c r="E20" s="708"/>
      <c r="F20" s="718"/>
      <c r="G20" s="718"/>
      <c r="H20" s="721"/>
      <c r="I20" s="720"/>
      <c r="J20" s="708">
        <v>3</v>
      </c>
      <c r="K20" s="708">
        <v>8</v>
      </c>
      <c r="L20" s="712">
        <f>SUM(E20:K20)</f>
        <v>11</v>
      </c>
      <c r="M20" s="706">
        <f t="shared" si="0"/>
        <v>0</v>
      </c>
    </row>
    <row r="21" spans="1:13" ht="13.5">
      <c r="A21" s="111"/>
      <c r="B21" s="112" t="s">
        <v>136</v>
      </c>
      <c r="C21" s="113">
        <f>C3+C4+C5+C6+C7+C8+C9+C10+C11+C12+C13+C14+C15+C16+C17+C18+C19+C20</f>
        <v>1114</v>
      </c>
      <c r="D21" s="113"/>
      <c r="E21" s="113">
        <f aca="true" t="shared" si="1" ref="E21:M21">SUM(E3:E20)</f>
        <v>161</v>
      </c>
      <c r="F21" s="113">
        <f t="shared" si="1"/>
        <v>4.5</v>
      </c>
      <c r="G21" s="113">
        <f t="shared" si="1"/>
        <v>148.5</v>
      </c>
      <c r="H21" s="113">
        <f t="shared" si="1"/>
        <v>58</v>
      </c>
      <c r="I21" s="113">
        <f t="shared" si="1"/>
        <v>408.5</v>
      </c>
      <c r="J21" s="113">
        <f t="shared" si="1"/>
        <v>107</v>
      </c>
      <c r="K21" s="113">
        <f t="shared" si="1"/>
        <v>232.5</v>
      </c>
      <c r="L21" s="113">
        <f t="shared" si="1"/>
        <v>1120</v>
      </c>
      <c r="M21" s="113">
        <f t="shared" si="1"/>
        <v>6</v>
      </c>
    </row>
    <row r="22" spans="1:13" ht="13.5">
      <c r="A22" s="121"/>
      <c r="B22" s="112" t="s">
        <v>320</v>
      </c>
      <c r="C22" s="122">
        <f>C21+C2</f>
        <v>1119</v>
      </c>
      <c r="D22" s="122">
        <v>4</v>
      </c>
      <c r="E22" s="122">
        <f aca="true" t="shared" si="2" ref="E22:M22">E21+E2</f>
        <v>161</v>
      </c>
      <c r="F22" s="122">
        <f t="shared" si="2"/>
        <v>4.5</v>
      </c>
      <c r="G22" s="122">
        <f t="shared" si="2"/>
        <v>148.5</v>
      </c>
      <c r="H22" s="122">
        <f t="shared" si="2"/>
        <v>58</v>
      </c>
      <c r="I22" s="122">
        <f t="shared" si="2"/>
        <v>408.5</v>
      </c>
      <c r="J22" s="122">
        <f t="shared" si="2"/>
        <v>107</v>
      </c>
      <c r="K22" s="122">
        <f t="shared" si="2"/>
        <v>234.5</v>
      </c>
      <c r="L22" s="122">
        <f t="shared" si="2"/>
        <v>1126</v>
      </c>
      <c r="M22" s="122">
        <f t="shared" si="2"/>
        <v>7</v>
      </c>
    </row>
    <row r="24" ht="9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Roman,Félkövér"ZMJV Önkormányzata és az általa irányított költségvetési szervek 2020. évi létszám-előirányzata                                                                                       &amp;R&amp;"Arial,Dőlt"10. melléklet
Adatok 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I1">
      <selection activeCell="S1" sqref="S1:AC16384"/>
    </sheetView>
  </sheetViews>
  <sheetFormatPr defaultColWidth="4.875" defaultRowHeight="12.75"/>
  <cols>
    <col min="1" max="1" width="4.875" style="557" customWidth="1"/>
    <col min="2" max="2" width="35.375" style="557" customWidth="1"/>
    <col min="3" max="3" width="12.125" style="557" customWidth="1"/>
    <col min="4" max="4" width="8.875" style="557" customWidth="1"/>
    <col min="5" max="5" width="10.625" style="557" customWidth="1"/>
    <col min="6" max="6" width="11.625" style="557" customWidth="1"/>
    <col min="7" max="7" width="10.00390625" style="557" customWidth="1"/>
    <col min="8" max="8" width="12.00390625" style="557" customWidth="1"/>
    <col min="9" max="9" width="11.125" style="557" customWidth="1"/>
    <col min="10" max="10" width="11.625" style="557" customWidth="1"/>
    <col min="11" max="12" width="11.00390625" style="557" customWidth="1"/>
    <col min="13" max="13" width="11.125" style="557" customWidth="1"/>
    <col min="14" max="14" width="11.00390625" style="557" bestFit="1" customWidth="1"/>
    <col min="15" max="15" width="13.625" style="633" hidden="1" customWidth="1"/>
    <col min="16" max="16" width="12.875" style="557" hidden="1" customWidth="1"/>
    <col min="17" max="17" width="10.875" style="557" hidden="1" customWidth="1"/>
    <col min="18" max="18" width="9.50390625" style="557" customWidth="1"/>
    <col min="19" max="19" width="10.625" style="556" customWidth="1"/>
    <col min="20" max="255" width="10.625" style="557" customWidth="1"/>
    <col min="256" max="16384" width="4.875" style="557" customWidth="1"/>
  </cols>
  <sheetData>
    <row r="1" spans="1:20" ht="33.75" customHeight="1">
      <c r="A1" s="790" t="s">
        <v>154</v>
      </c>
      <c r="B1" s="790" t="s">
        <v>108</v>
      </c>
      <c r="C1" s="790" t="s">
        <v>109</v>
      </c>
      <c r="D1" s="790" t="s">
        <v>110</v>
      </c>
      <c r="E1" s="790" t="s">
        <v>111</v>
      </c>
      <c r="F1" s="790" t="s">
        <v>112</v>
      </c>
      <c r="G1" s="790" t="s">
        <v>113</v>
      </c>
      <c r="H1" s="790" t="s">
        <v>114</v>
      </c>
      <c r="I1" s="790" t="s">
        <v>115</v>
      </c>
      <c r="J1" s="793" t="s">
        <v>116</v>
      </c>
      <c r="K1" s="793"/>
      <c r="L1" s="793"/>
      <c r="M1" s="793"/>
      <c r="N1" s="794"/>
      <c r="O1" s="795"/>
      <c r="P1" s="796"/>
      <c r="Q1" s="796"/>
      <c r="R1" s="797" t="s">
        <v>117</v>
      </c>
      <c r="S1" s="488"/>
      <c r="T1" s="637"/>
    </row>
    <row r="2" spans="1:20" s="560" customFormat="1" ht="30.75" customHeight="1">
      <c r="A2" s="791"/>
      <c r="B2" s="791"/>
      <c r="C2" s="791"/>
      <c r="D2" s="791"/>
      <c r="E2" s="791"/>
      <c r="F2" s="791"/>
      <c r="G2" s="791"/>
      <c r="H2" s="791"/>
      <c r="I2" s="791"/>
      <c r="J2" s="798" t="s">
        <v>118</v>
      </c>
      <c r="K2" s="800" t="s">
        <v>119</v>
      </c>
      <c r="L2" s="793"/>
      <c r="M2" s="793"/>
      <c r="N2" s="794"/>
      <c r="O2" s="558" t="s">
        <v>120</v>
      </c>
      <c r="P2" s="558" t="s">
        <v>121</v>
      </c>
      <c r="Q2" s="559" t="s">
        <v>122</v>
      </c>
      <c r="R2" s="797"/>
      <c r="S2" s="638"/>
      <c r="T2" s="638"/>
    </row>
    <row r="3" spans="1:20" s="560" customFormat="1" ht="66.75" customHeight="1">
      <c r="A3" s="792"/>
      <c r="B3" s="792"/>
      <c r="C3" s="792"/>
      <c r="D3" s="792"/>
      <c r="E3" s="792"/>
      <c r="F3" s="792"/>
      <c r="G3" s="792"/>
      <c r="H3" s="792"/>
      <c r="I3" s="792"/>
      <c r="J3" s="799"/>
      <c r="K3" s="489" t="s">
        <v>123</v>
      </c>
      <c r="L3" s="489" t="s">
        <v>778</v>
      </c>
      <c r="M3" s="489" t="s">
        <v>779</v>
      </c>
      <c r="N3" s="489" t="s">
        <v>780</v>
      </c>
      <c r="O3" s="558"/>
      <c r="P3" s="558"/>
      <c r="Q3" s="559"/>
      <c r="R3" s="797"/>
      <c r="S3" s="638"/>
      <c r="T3" s="638"/>
    </row>
    <row r="4" spans="1:20" s="560" customFormat="1" ht="24.75" customHeight="1">
      <c r="A4" s="561"/>
      <c r="B4" s="562" t="s">
        <v>781</v>
      </c>
      <c r="C4" s="563"/>
      <c r="D4" s="563"/>
      <c r="E4" s="563"/>
      <c r="F4" s="563"/>
      <c r="G4" s="563"/>
      <c r="H4" s="563"/>
      <c r="I4" s="564"/>
      <c r="J4" s="565"/>
      <c r="K4" s="258"/>
      <c r="L4" s="258"/>
      <c r="M4" s="258"/>
      <c r="N4" s="258"/>
      <c r="O4" s="566"/>
      <c r="P4" s="566"/>
      <c r="Q4" s="567"/>
      <c r="R4" s="566"/>
      <c r="S4" s="638"/>
      <c r="T4" s="638"/>
    </row>
    <row r="5" spans="1:20" ht="27.75" customHeight="1">
      <c r="A5" s="568">
        <v>1</v>
      </c>
      <c r="B5" s="569" t="s">
        <v>782</v>
      </c>
      <c r="C5" s="570">
        <v>358970</v>
      </c>
      <c r="D5" s="570">
        <v>20892</v>
      </c>
      <c r="E5" s="570"/>
      <c r="F5" s="570">
        <f>SUM(C5:E5)</f>
        <v>379862</v>
      </c>
      <c r="G5" s="570"/>
      <c r="H5" s="570">
        <f>SUM(F5:G5)</f>
        <v>379862</v>
      </c>
      <c r="I5" s="571">
        <v>377265</v>
      </c>
      <c r="J5" s="572">
        <v>2597</v>
      </c>
      <c r="K5" s="570"/>
      <c r="L5" s="570"/>
      <c r="M5" s="570"/>
      <c r="N5" s="570">
        <v>2597</v>
      </c>
      <c r="O5" s="573">
        <v>355929</v>
      </c>
      <c r="P5" s="573">
        <v>3042</v>
      </c>
      <c r="Q5" s="574"/>
      <c r="R5" s="577"/>
      <c r="S5" s="488"/>
      <c r="T5" s="637"/>
    </row>
    <row r="6" spans="1:20" ht="40.5" customHeight="1">
      <c r="A6" s="575">
        <v>2</v>
      </c>
      <c r="B6" s="576" t="s">
        <v>363</v>
      </c>
      <c r="C6" s="570">
        <v>353000</v>
      </c>
      <c r="D6" s="570"/>
      <c r="E6" s="570"/>
      <c r="F6" s="570">
        <f aca="true" t="shared" si="0" ref="F6:F34">SUM(C6:E6)</f>
        <v>353000</v>
      </c>
      <c r="G6" s="570">
        <v>17981</v>
      </c>
      <c r="H6" s="570">
        <f aca="true" t="shared" si="1" ref="H6:H34">SUM(F6:G6)</f>
        <v>370981</v>
      </c>
      <c r="I6" s="571">
        <v>360868</v>
      </c>
      <c r="J6" s="572">
        <v>10113</v>
      </c>
      <c r="K6" s="570"/>
      <c r="L6" s="570"/>
      <c r="M6" s="570"/>
      <c r="N6" s="570">
        <v>10113</v>
      </c>
      <c r="O6" s="577">
        <v>216490</v>
      </c>
      <c r="P6" s="577">
        <v>136510</v>
      </c>
      <c r="Q6" s="578"/>
      <c r="R6" s="577"/>
      <c r="S6" s="488"/>
      <c r="T6" s="637"/>
    </row>
    <row r="7" spans="1:20" ht="39" customHeight="1">
      <c r="A7" s="575">
        <v>3</v>
      </c>
      <c r="B7" s="579" t="s">
        <v>362</v>
      </c>
      <c r="C7" s="580">
        <v>199992</v>
      </c>
      <c r="D7" s="580"/>
      <c r="E7" s="580"/>
      <c r="F7" s="570">
        <f t="shared" si="0"/>
        <v>199992</v>
      </c>
      <c r="G7" s="570">
        <v>2703</v>
      </c>
      <c r="H7" s="570">
        <f t="shared" si="1"/>
        <v>202695</v>
      </c>
      <c r="I7" s="571">
        <v>198589</v>
      </c>
      <c r="J7" s="572">
        <v>4106</v>
      </c>
      <c r="K7" s="580"/>
      <c r="L7" s="580"/>
      <c r="M7" s="580"/>
      <c r="N7" s="580">
        <v>4106</v>
      </c>
      <c r="O7" s="577">
        <v>158800</v>
      </c>
      <c r="P7" s="577">
        <v>41192</v>
      </c>
      <c r="Q7" s="578"/>
      <c r="R7" s="577"/>
      <c r="S7" s="488"/>
      <c r="T7" s="637"/>
    </row>
    <row r="8" spans="1:20" ht="36" customHeight="1">
      <c r="A8" s="575">
        <v>4</v>
      </c>
      <c r="B8" s="579" t="s">
        <v>364</v>
      </c>
      <c r="C8" s="580">
        <v>149992</v>
      </c>
      <c r="D8" s="580"/>
      <c r="E8" s="580"/>
      <c r="F8" s="570">
        <f t="shared" si="0"/>
        <v>149992</v>
      </c>
      <c r="G8" s="577">
        <v>4639</v>
      </c>
      <c r="H8" s="570">
        <f t="shared" si="1"/>
        <v>154631</v>
      </c>
      <c r="I8" s="571">
        <v>8497</v>
      </c>
      <c r="J8" s="581">
        <v>146134</v>
      </c>
      <c r="K8" s="580"/>
      <c r="L8" s="580"/>
      <c r="M8" s="580"/>
      <c r="N8" s="580">
        <v>146134</v>
      </c>
      <c r="O8" s="577">
        <v>7969</v>
      </c>
      <c r="P8" s="577">
        <v>142023</v>
      </c>
      <c r="Q8" s="578"/>
      <c r="R8" s="577"/>
      <c r="S8" s="488"/>
      <c r="T8" s="637"/>
    </row>
    <row r="9" spans="1:20" ht="78" customHeight="1">
      <c r="A9" s="575">
        <v>5</v>
      </c>
      <c r="B9" s="576" t="s">
        <v>368</v>
      </c>
      <c r="C9" s="570">
        <v>997000</v>
      </c>
      <c r="D9" s="570"/>
      <c r="E9" s="570"/>
      <c r="F9" s="570">
        <f t="shared" si="0"/>
        <v>997000</v>
      </c>
      <c r="G9" s="577"/>
      <c r="H9" s="570">
        <f t="shared" si="1"/>
        <v>997000</v>
      </c>
      <c r="I9" s="571">
        <v>44158</v>
      </c>
      <c r="J9" s="572">
        <v>948842</v>
      </c>
      <c r="K9" s="570"/>
      <c r="L9" s="570"/>
      <c r="M9" s="570"/>
      <c r="N9" s="570">
        <v>948842</v>
      </c>
      <c r="O9" s="577">
        <v>22388</v>
      </c>
      <c r="P9" s="577">
        <v>970612</v>
      </c>
      <c r="Q9" s="578">
        <v>4000</v>
      </c>
      <c r="R9" s="577">
        <v>4000</v>
      </c>
      <c r="S9" s="639"/>
      <c r="T9" s="637"/>
    </row>
    <row r="10" spans="1:20" ht="37.5" customHeight="1">
      <c r="A10" s="575">
        <v>6</v>
      </c>
      <c r="B10" s="576" t="s">
        <v>358</v>
      </c>
      <c r="C10" s="570">
        <v>950000</v>
      </c>
      <c r="D10" s="570"/>
      <c r="E10" s="570"/>
      <c r="F10" s="570">
        <f t="shared" si="0"/>
        <v>950000</v>
      </c>
      <c r="G10" s="577"/>
      <c r="H10" s="570">
        <f t="shared" si="1"/>
        <v>950000</v>
      </c>
      <c r="I10" s="571">
        <v>461674</v>
      </c>
      <c r="J10" s="572">
        <v>488326</v>
      </c>
      <c r="K10" s="570"/>
      <c r="L10" s="570"/>
      <c r="M10" s="570"/>
      <c r="N10" s="570">
        <v>488326</v>
      </c>
      <c r="O10" s="577">
        <v>20540</v>
      </c>
      <c r="P10" s="577">
        <v>929460</v>
      </c>
      <c r="Q10" s="578"/>
      <c r="R10" s="577"/>
      <c r="S10" s="789"/>
      <c r="T10" s="789"/>
    </row>
    <row r="11" spans="1:20" ht="38.25" customHeight="1">
      <c r="A11" s="575">
        <v>7</v>
      </c>
      <c r="B11" s="576" t="s">
        <v>371</v>
      </c>
      <c r="C11" s="570">
        <v>456760</v>
      </c>
      <c r="D11" s="570"/>
      <c r="E11" s="570"/>
      <c r="F11" s="570">
        <f t="shared" si="0"/>
        <v>456760</v>
      </c>
      <c r="G11" s="570"/>
      <c r="H11" s="570">
        <f t="shared" si="1"/>
        <v>456760</v>
      </c>
      <c r="I11" s="571">
        <v>40844</v>
      </c>
      <c r="J11" s="572">
        <v>390916</v>
      </c>
      <c r="K11" s="570"/>
      <c r="L11" s="570"/>
      <c r="M11" s="570"/>
      <c r="N11" s="570">
        <v>390916</v>
      </c>
      <c r="O11" s="577">
        <v>22622</v>
      </c>
      <c r="P11" s="577">
        <v>409138</v>
      </c>
      <c r="Q11" s="578">
        <v>25000</v>
      </c>
      <c r="R11" s="577">
        <v>25000</v>
      </c>
      <c r="S11" s="488"/>
      <c r="T11" s="637"/>
    </row>
    <row r="12" spans="1:20" ht="53.25" customHeight="1">
      <c r="A12" s="575">
        <v>9</v>
      </c>
      <c r="B12" s="582" t="s">
        <v>365</v>
      </c>
      <c r="C12" s="583">
        <v>394925</v>
      </c>
      <c r="D12" s="583"/>
      <c r="E12" s="583"/>
      <c r="F12" s="570">
        <f t="shared" si="0"/>
        <v>394925</v>
      </c>
      <c r="G12" s="570">
        <v>6163</v>
      </c>
      <c r="H12" s="570">
        <f t="shared" si="1"/>
        <v>401088</v>
      </c>
      <c r="I12" s="571">
        <v>35748</v>
      </c>
      <c r="J12" s="572">
        <v>365340</v>
      </c>
      <c r="K12" s="583"/>
      <c r="L12" s="583"/>
      <c r="M12" s="583"/>
      <c r="N12" s="583">
        <v>365340</v>
      </c>
      <c r="O12" s="577">
        <v>26201</v>
      </c>
      <c r="P12" s="577">
        <v>368724</v>
      </c>
      <c r="Q12" s="578"/>
      <c r="R12" s="577"/>
      <c r="S12" s="488"/>
      <c r="T12" s="637"/>
    </row>
    <row r="13" spans="1:20" ht="38.25" customHeight="1">
      <c r="A13" s="575">
        <v>10</v>
      </c>
      <c r="B13" s="584" t="s">
        <v>318</v>
      </c>
      <c r="C13" s="585">
        <v>2323382</v>
      </c>
      <c r="D13" s="585"/>
      <c r="E13" s="585">
        <v>189328</v>
      </c>
      <c r="F13" s="570">
        <f t="shared" si="0"/>
        <v>2512710</v>
      </c>
      <c r="G13" s="570"/>
      <c r="H13" s="570">
        <v>2512710</v>
      </c>
      <c r="I13" s="571">
        <v>2034670</v>
      </c>
      <c r="J13" s="581">
        <v>478040</v>
      </c>
      <c r="K13" s="585"/>
      <c r="L13" s="585">
        <v>45147</v>
      </c>
      <c r="M13" s="585"/>
      <c r="N13" s="585">
        <v>432893</v>
      </c>
      <c r="O13" s="577">
        <v>349076</v>
      </c>
      <c r="P13" s="577">
        <v>1050924</v>
      </c>
      <c r="Q13" s="578">
        <v>7000</v>
      </c>
      <c r="R13" s="577"/>
      <c r="S13" s="488"/>
      <c r="T13" s="637"/>
    </row>
    <row r="14" spans="1:20" ht="37.5" customHeight="1">
      <c r="A14" s="575">
        <v>11</v>
      </c>
      <c r="B14" s="584" t="s">
        <v>783</v>
      </c>
      <c r="C14" s="585">
        <v>203400</v>
      </c>
      <c r="D14" s="585"/>
      <c r="E14" s="585">
        <v>53350</v>
      </c>
      <c r="F14" s="570">
        <f t="shared" si="0"/>
        <v>256750</v>
      </c>
      <c r="G14" s="570"/>
      <c r="H14" s="570">
        <f>SUM(F14:G14)</f>
        <v>256750</v>
      </c>
      <c r="I14" s="571">
        <v>20040</v>
      </c>
      <c r="J14" s="572">
        <v>225960</v>
      </c>
      <c r="K14" s="585"/>
      <c r="L14" s="585">
        <v>46978</v>
      </c>
      <c r="M14" s="585"/>
      <c r="N14" s="585">
        <v>178982</v>
      </c>
      <c r="O14" s="577">
        <v>298005</v>
      </c>
      <c r="P14" s="577">
        <v>176995</v>
      </c>
      <c r="Q14" s="578">
        <v>25000</v>
      </c>
      <c r="R14" s="577">
        <v>10750</v>
      </c>
      <c r="S14" s="488"/>
      <c r="T14" s="637"/>
    </row>
    <row r="15" spans="1:20" ht="50.25" customHeight="1">
      <c r="A15" s="575">
        <v>12</v>
      </c>
      <c r="B15" s="584" t="s">
        <v>359</v>
      </c>
      <c r="C15" s="585">
        <v>193015</v>
      </c>
      <c r="D15" s="585"/>
      <c r="E15" s="585"/>
      <c r="F15" s="570">
        <f t="shared" si="0"/>
        <v>193015</v>
      </c>
      <c r="G15" s="570">
        <v>1932</v>
      </c>
      <c r="H15" s="570">
        <f t="shared" si="1"/>
        <v>194947</v>
      </c>
      <c r="I15" s="571">
        <v>106499</v>
      </c>
      <c r="J15" s="572">
        <v>88448</v>
      </c>
      <c r="K15" s="585"/>
      <c r="L15" s="585"/>
      <c r="M15" s="585"/>
      <c r="N15" s="585">
        <v>88448</v>
      </c>
      <c r="O15" s="577">
        <v>11838</v>
      </c>
      <c r="P15" s="577">
        <v>181177</v>
      </c>
      <c r="Q15" s="578">
        <v>6985</v>
      </c>
      <c r="R15" s="577"/>
      <c r="S15" s="488"/>
      <c r="T15" s="637"/>
    </row>
    <row r="16" spans="1:20" ht="65.25" customHeight="1">
      <c r="A16" s="575">
        <v>13</v>
      </c>
      <c r="B16" s="586" t="s">
        <v>370</v>
      </c>
      <c r="C16" s="585">
        <v>83320</v>
      </c>
      <c r="D16" s="585"/>
      <c r="E16" s="585"/>
      <c r="F16" s="570">
        <f t="shared" si="0"/>
        <v>83320</v>
      </c>
      <c r="G16" s="570"/>
      <c r="H16" s="570">
        <f t="shared" si="1"/>
        <v>83320</v>
      </c>
      <c r="I16" s="571">
        <v>74632</v>
      </c>
      <c r="J16" s="572">
        <v>8688</v>
      </c>
      <c r="K16" s="585"/>
      <c r="L16" s="585"/>
      <c r="M16" s="585"/>
      <c r="N16" s="585">
        <v>8688</v>
      </c>
      <c r="O16" s="577">
        <v>54580</v>
      </c>
      <c r="P16" s="577">
        <v>28740</v>
      </c>
      <c r="Q16" s="578"/>
      <c r="R16" s="577"/>
      <c r="S16" s="488"/>
      <c r="T16" s="637"/>
    </row>
    <row r="17" spans="1:20" ht="37.5" customHeight="1">
      <c r="A17" s="575">
        <v>14</v>
      </c>
      <c r="B17" s="586" t="s">
        <v>366</v>
      </c>
      <c r="C17" s="585">
        <v>221448</v>
      </c>
      <c r="D17" s="585"/>
      <c r="E17" s="585"/>
      <c r="F17" s="570">
        <f t="shared" si="0"/>
        <v>221448</v>
      </c>
      <c r="G17" s="570">
        <v>16176</v>
      </c>
      <c r="H17" s="570">
        <f>SUM(F17:G17)</f>
        <v>237624</v>
      </c>
      <c r="I17" s="571">
        <v>206325</v>
      </c>
      <c r="J17" s="572">
        <v>31299</v>
      </c>
      <c r="K17" s="585"/>
      <c r="L17" s="585"/>
      <c r="M17" s="585"/>
      <c r="N17" s="585">
        <v>31299</v>
      </c>
      <c r="O17" s="577">
        <v>12179</v>
      </c>
      <c r="P17" s="577">
        <v>209269</v>
      </c>
      <c r="Q17" s="578">
        <v>10552</v>
      </c>
      <c r="R17" s="577"/>
      <c r="S17" s="488"/>
      <c r="T17" s="637"/>
    </row>
    <row r="18" spans="1:20" ht="63" customHeight="1">
      <c r="A18" s="575">
        <v>15</v>
      </c>
      <c r="B18" s="586" t="s">
        <v>367</v>
      </c>
      <c r="C18" s="585">
        <v>238749</v>
      </c>
      <c r="D18" s="585"/>
      <c r="E18" s="585"/>
      <c r="F18" s="570">
        <f t="shared" si="0"/>
        <v>238749</v>
      </c>
      <c r="G18" s="570">
        <v>30689</v>
      </c>
      <c r="H18" s="570">
        <f>SUM(F18:G18)</f>
        <v>269438</v>
      </c>
      <c r="I18" s="571">
        <v>268339</v>
      </c>
      <c r="J18" s="572">
        <v>1099</v>
      </c>
      <c r="K18" s="585"/>
      <c r="L18" s="585"/>
      <c r="M18" s="585"/>
      <c r="N18" s="585">
        <v>1099</v>
      </c>
      <c r="O18" s="577">
        <v>122348</v>
      </c>
      <c r="P18" s="577">
        <v>116401</v>
      </c>
      <c r="Q18" s="578"/>
      <c r="R18" s="577"/>
      <c r="S18" s="488"/>
      <c r="T18" s="637"/>
    </row>
    <row r="19" spans="1:20" ht="53.25" customHeight="1">
      <c r="A19" s="575">
        <v>16</v>
      </c>
      <c r="B19" s="586" t="s">
        <v>361</v>
      </c>
      <c r="C19" s="585">
        <v>149996</v>
      </c>
      <c r="D19" s="585"/>
      <c r="E19" s="585"/>
      <c r="F19" s="570">
        <f t="shared" si="0"/>
        <v>149996</v>
      </c>
      <c r="G19" s="570">
        <v>4471</v>
      </c>
      <c r="H19" s="570">
        <f t="shared" si="1"/>
        <v>154467</v>
      </c>
      <c r="I19" s="571">
        <v>137589</v>
      </c>
      <c r="J19" s="572">
        <v>2908</v>
      </c>
      <c r="K19" s="585">
        <v>2862</v>
      </c>
      <c r="L19" s="585"/>
      <c r="M19" s="585"/>
      <c r="N19" s="585">
        <v>46</v>
      </c>
      <c r="O19" s="577">
        <v>71601</v>
      </c>
      <c r="P19" s="577">
        <v>75533</v>
      </c>
      <c r="Q19" s="578"/>
      <c r="R19" s="577">
        <v>13970</v>
      </c>
      <c r="S19" s="488"/>
      <c r="T19" s="637"/>
    </row>
    <row r="20" spans="1:20" ht="36" customHeight="1">
      <c r="A20" s="575">
        <v>17</v>
      </c>
      <c r="B20" s="586" t="s">
        <v>360</v>
      </c>
      <c r="C20" s="585">
        <v>314161</v>
      </c>
      <c r="D20" s="585"/>
      <c r="E20" s="585"/>
      <c r="F20" s="570">
        <f t="shared" si="0"/>
        <v>314161</v>
      </c>
      <c r="G20" s="570">
        <v>21333</v>
      </c>
      <c r="H20" s="570">
        <f>SUM(F20:G20)</f>
        <v>335494</v>
      </c>
      <c r="I20" s="571">
        <v>332486</v>
      </c>
      <c r="J20" s="581">
        <v>3008</v>
      </c>
      <c r="K20" s="585">
        <v>3008</v>
      </c>
      <c r="L20" s="585"/>
      <c r="M20" s="585"/>
      <c r="N20" s="585"/>
      <c r="O20" s="577">
        <v>171739</v>
      </c>
      <c r="P20" s="577">
        <v>142322</v>
      </c>
      <c r="Q20" s="578"/>
      <c r="R20" s="577"/>
      <c r="S20" s="488"/>
      <c r="T20" s="637"/>
    </row>
    <row r="21" spans="1:20" ht="27.75" customHeight="1">
      <c r="A21" s="575">
        <v>18</v>
      </c>
      <c r="B21" s="29" t="s">
        <v>343</v>
      </c>
      <c r="C21" s="240">
        <v>1100000</v>
      </c>
      <c r="D21" s="240"/>
      <c r="E21" s="240"/>
      <c r="F21" s="570">
        <f t="shared" si="0"/>
        <v>1100000</v>
      </c>
      <c r="G21" s="570">
        <v>4724</v>
      </c>
      <c r="H21" s="570">
        <f t="shared" si="1"/>
        <v>1104724</v>
      </c>
      <c r="I21" s="571">
        <v>4724</v>
      </c>
      <c r="J21" s="572">
        <v>1088000</v>
      </c>
      <c r="K21" s="240">
        <v>1088000</v>
      </c>
      <c r="L21" s="240"/>
      <c r="M21" s="240"/>
      <c r="N21" s="240"/>
      <c r="O21" s="577"/>
      <c r="P21" s="577">
        <v>1088000</v>
      </c>
      <c r="Q21" s="578">
        <v>12000</v>
      </c>
      <c r="R21" s="577">
        <v>12000</v>
      </c>
      <c r="S21" s="488"/>
      <c r="T21" s="637"/>
    </row>
    <row r="22" spans="1:20" ht="41.25" customHeight="1">
      <c r="A22" s="575">
        <v>19</v>
      </c>
      <c r="B22" s="587" t="s">
        <v>369</v>
      </c>
      <c r="C22" s="585">
        <v>1300000</v>
      </c>
      <c r="D22" s="585"/>
      <c r="E22" s="585"/>
      <c r="F22" s="570">
        <f t="shared" si="0"/>
        <v>1300000</v>
      </c>
      <c r="G22" s="570"/>
      <c r="H22" s="570">
        <f t="shared" si="1"/>
        <v>1300000</v>
      </c>
      <c r="I22" s="571">
        <v>30431</v>
      </c>
      <c r="J22" s="572">
        <v>1266763</v>
      </c>
      <c r="K22" s="585">
        <v>736422</v>
      </c>
      <c r="L22" s="585"/>
      <c r="M22" s="585"/>
      <c r="N22" s="585">
        <v>530341</v>
      </c>
      <c r="O22" s="577"/>
      <c r="P22" s="577">
        <v>1297194</v>
      </c>
      <c r="Q22" s="578">
        <v>2806</v>
      </c>
      <c r="R22" s="577">
        <v>2806</v>
      </c>
      <c r="S22" s="488"/>
      <c r="T22" s="637"/>
    </row>
    <row r="23" spans="1:20" ht="36" customHeight="1">
      <c r="A23" s="575">
        <v>20</v>
      </c>
      <c r="B23" s="588" t="s">
        <v>345</v>
      </c>
      <c r="C23" s="589">
        <v>317000</v>
      </c>
      <c r="D23" s="590"/>
      <c r="E23" s="589">
        <v>89401</v>
      </c>
      <c r="F23" s="570">
        <f t="shared" si="0"/>
        <v>406401</v>
      </c>
      <c r="G23" s="570"/>
      <c r="H23" s="570">
        <v>406401</v>
      </c>
      <c r="I23" s="571">
        <v>192303</v>
      </c>
      <c r="J23" s="572">
        <v>214098</v>
      </c>
      <c r="K23" s="591"/>
      <c r="L23" s="591">
        <v>61806</v>
      </c>
      <c r="M23" s="591"/>
      <c r="N23" s="591">
        <v>152292</v>
      </c>
      <c r="O23" s="577"/>
      <c r="P23" s="577">
        <v>317000</v>
      </c>
      <c r="Q23" s="578"/>
      <c r="R23" s="577"/>
      <c r="S23" s="488"/>
      <c r="T23" s="637"/>
    </row>
    <row r="24" spans="1:20" ht="24" customHeight="1">
      <c r="A24" s="575">
        <v>21</v>
      </c>
      <c r="B24" s="592" t="s">
        <v>784</v>
      </c>
      <c r="C24" s="589">
        <v>995283</v>
      </c>
      <c r="D24" s="585"/>
      <c r="E24" s="589">
        <v>261328</v>
      </c>
      <c r="F24" s="570">
        <f>SUM(C24:E24)</f>
        <v>1256611</v>
      </c>
      <c r="G24" s="570"/>
      <c r="H24" s="570">
        <f>SUM(F24:G24)</f>
        <v>1256611</v>
      </c>
      <c r="I24" s="571">
        <v>12927</v>
      </c>
      <c r="J24" s="572">
        <v>1187100</v>
      </c>
      <c r="K24" s="585"/>
      <c r="L24" s="585">
        <v>246976</v>
      </c>
      <c r="M24" s="585"/>
      <c r="N24" s="585">
        <v>940124</v>
      </c>
      <c r="O24" s="577"/>
      <c r="P24" s="577">
        <v>1348932</v>
      </c>
      <c r="Q24" s="578">
        <v>44554</v>
      </c>
      <c r="R24" s="577">
        <v>56584</v>
      </c>
      <c r="S24" s="488"/>
      <c r="T24" s="637"/>
    </row>
    <row r="25" spans="1:20" ht="36" customHeight="1">
      <c r="A25" s="575">
        <v>22</v>
      </c>
      <c r="B25" s="593" t="s">
        <v>785</v>
      </c>
      <c r="C25" s="589">
        <v>600000</v>
      </c>
      <c r="D25" s="590"/>
      <c r="E25" s="589">
        <v>220338</v>
      </c>
      <c r="F25" s="570">
        <f t="shared" si="0"/>
        <v>820338</v>
      </c>
      <c r="G25" s="570"/>
      <c r="H25" s="570">
        <f>SUM(F25:G25)</f>
        <v>820338</v>
      </c>
      <c r="I25" s="571">
        <v>56686</v>
      </c>
      <c r="J25" s="572">
        <v>763652</v>
      </c>
      <c r="K25" s="591">
        <v>8000</v>
      </c>
      <c r="L25" s="591">
        <v>162483</v>
      </c>
      <c r="M25" s="591">
        <v>46000</v>
      </c>
      <c r="N25" s="591">
        <v>547169</v>
      </c>
      <c r="O25" s="577"/>
      <c r="P25" s="577">
        <v>592000</v>
      </c>
      <c r="Q25" s="578">
        <v>8000</v>
      </c>
      <c r="R25" s="577"/>
      <c r="S25" s="789"/>
      <c r="T25" s="789"/>
    </row>
    <row r="26" spans="1:20" ht="37.5" customHeight="1">
      <c r="A26" s="575">
        <v>23</v>
      </c>
      <c r="B26" s="175" t="s">
        <v>297</v>
      </c>
      <c r="C26" s="589">
        <v>284132</v>
      </c>
      <c r="D26" s="240"/>
      <c r="E26" s="589"/>
      <c r="F26" s="570">
        <f t="shared" si="0"/>
        <v>284132</v>
      </c>
      <c r="G26" s="570">
        <v>17104</v>
      </c>
      <c r="H26" s="570">
        <f t="shared" si="1"/>
        <v>301236</v>
      </c>
      <c r="I26" s="571">
        <v>119550</v>
      </c>
      <c r="J26" s="572">
        <v>179170</v>
      </c>
      <c r="K26" s="240"/>
      <c r="L26" s="240"/>
      <c r="M26" s="240"/>
      <c r="N26" s="240">
        <v>179170</v>
      </c>
      <c r="O26" s="577"/>
      <c r="P26" s="577">
        <v>281616</v>
      </c>
      <c r="Q26" s="578">
        <v>2516</v>
      </c>
      <c r="R26" s="577">
        <v>2516</v>
      </c>
      <c r="S26" s="789"/>
      <c r="T26" s="789"/>
    </row>
    <row r="27" spans="1:20" ht="17.25" customHeight="1">
      <c r="A27" s="575">
        <v>24</v>
      </c>
      <c r="B27" s="594" t="s">
        <v>406</v>
      </c>
      <c r="C27" s="590">
        <v>29202</v>
      </c>
      <c r="D27" s="590">
        <v>1500</v>
      </c>
      <c r="E27" s="590"/>
      <c r="F27" s="570">
        <f t="shared" si="0"/>
        <v>30702</v>
      </c>
      <c r="G27" s="595"/>
      <c r="H27" s="570">
        <f>SUM(F27:G27)</f>
        <v>30702</v>
      </c>
      <c r="I27" s="571">
        <v>25368</v>
      </c>
      <c r="J27" s="572">
        <v>5334</v>
      </c>
      <c r="K27" s="591"/>
      <c r="L27" s="591"/>
      <c r="M27" s="591"/>
      <c r="N27" s="591">
        <v>5334</v>
      </c>
      <c r="O27" s="577"/>
      <c r="P27" s="577"/>
      <c r="Q27" s="578"/>
      <c r="R27" s="577"/>
      <c r="S27" s="488"/>
      <c r="T27" s="637"/>
    </row>
    <row r="28" spans="1:20" ht="24" customHeight="1">
      <c r="A28" s="575">
        <v>25</v>
      </c>
      <c r="B28" s="596" t="s">
        <v>124</v>
      </c>
      <c r="C28" s="597">
        <v>4982</v>
      </c>
      <c r="D28" s="598"/>
      <c r="E28" s="598"/>
      <c r="F28" s="570">
        <f t="shared" si="0"/>
        <v>4982</v>
      </c>
      <c r="G28" s="570"/>
      <c r="H28" s="599">
        <f t="shared" si="1"/>
        <v>4982</v>
      </c>
      <c r="I28" s="600">
        <v>504</v>
      </c>
      <c r="J28" s="572">
        <v>4478</v>
      </c>
      <c r="K28" s="591"/>
      <c r="L28" s="591"/>
      <c r="M28" s="591"/>
      <c r="N28" s="591">
        <v>4478</v>
      </c>
      <c r="O28" s="577"/>
      <c r="P28" s="577"/>
      <c r="Q28" s="578"/>
      <c r="R28" s="577"/>
      <c r="S28" s="488"/>
      <c r="T28" s="637"/>
    </row>
    <row r="29" spans="1:20" ht="29.25" customHeight="1">
      <c r="A29" s="575">
        <v>26</v>
      </c>
      <c r="B29" s="171" t="s">
        <v>344</v>
      </c>
      <c r="C29" s="601">
        <v>41155</v>
      </c>
      <c r="D29" s="601">
        <v>2163</v>
      </c>
      <c r="E29" s="601"/>
      <c r="F29" s="570">
        <f t="shared" si="0"/>
        <v>43318</v>
      </c>
      <c r="G29" s="570"/>
      <c r="H29" s="570">
        <v>43318</v>
      </c>
      <c r="I29" s="571">
        <v>7332</v>
      </c>
      <c r="J29" s="572">
        <v>35986</v>
      </c>
      <c r="K29" s="240">
        <v>26873</v>
      </c>
      <c r="L29" s="240"/>
      <c r="M29" s="240"/>
      <c r="N29" s="240">
        <v>9113</v>
      </c>
      <c r="O29" s="577"/>
      <c r="P29" s="577"/>
      <c r="Q29" s="578"/>
      <c r="R29" s="577"/>
      <c r="S29" s="488"/>
      <c r="T29" s="637"/>
    </row>
    <row r="30" spans="1:20" ht="51" customHeight="1">
      <c r="A30" s="575">
        <v>27</v>
      </c>
      <c r="B30" s="596" t="s">
        <v>198</v>
      </c>
      <c r="C30" s="598">
        <v>296600</v>
      </c>
      <c r="D30" s="598"/>
      <c r="E30" s="597">
        <v>72452</v>
      </c>
      <c r="F30" s="570">
        <f t="shared" si="0"/>
        <v>369052</v>
      </c>
      <c r="G30" s="570"/>
      <c r="H30" s="570">
        <f t="shared" si="1"/>
        <v>369052</v>
      </c>
      <c r="I30" s="571">
        <v>19189</v>
      </c>
      <c r="J30" s="264">
        <v>335613</v>
      </c>
      <c r="K30" s="591"/>
      <c r="L30" s="591">
        <v>71351</v>
      </c>
      <c r="M30" s="591"/>
      <c r="N30" s="591">
        <v>264262</v>
      </c>
      <c r="O30" s="577"/>
      <c r="P30" s="577"/>
      <c r="Q30" s="578"/>
      <c r="R30" s="577">
        <v>14250</v>
      </c>
      <c r="S30" s="488"/>
      <c r="T30" s="637"/>
    </row>
    <row r="31" spans="1:20" ht="29.25" customHeight="1">
      <c r="A31" s="575">
        <v>28</v>
      </c>
      <c r="B31" s="227" t="s">
        <v>199</v>
      </c>
      <c r="C31" s="601">
        <v>332490</v>
      </c>
      <c r="D31" s="601"/>
      <c r="E31" s="597"/>
      <c r="F31" s="570">
        <f t="shared" si="0"/>
        <v>332490</v>
      </c>
      <c r="G31" s="570">
        <v>2626</v>
      </c>
      <c r="H31" s="570">
        <f t="shared" si="1"/>
        <v>335116</v>
      </c>
      <c r="I31" s="571">
        <v>12074</v>
      </c>
      <c r="J31" s="264">
        <v>323042</v>
      </c>
      <c r="K31" s="240">
        <v>75990</v>
      </c>
      <c r="L31" s="240"/>
      <c r="M31" s="240"/>
      <c r="N31" s="240">
        <v>247052</v>
      </c>
      <c r="O31" s="577"/>
      <c r="P31" s="577"/>
      <c r="Q31" s="578"/>
      <c r="R31" s="577"/>
      <c r="S31" s="488"/>
      <c r="T31" s="637"/>
    </row>
    <row r="32" spans="1:20" ht="29.25" customHeight="1">
      <c r="A32" s="575">
        <v>29</v>
      </c>
      <c r="B32" s="227" t="s">
        <v>200</v>
      </c>
      <c r="C32" s="601">
        <v>256600</v>
      </c>
      <c r="D32" s="601">
        <v>54888</v>
      </c>
      <c r="E32" s="602"/>
      <c r="F32" s="570">
        <f t="shared" si="0"/>
        <v>311488</v>
      </c>
      <c r="G32" s="570"/>
      <c r="H32" s="570">
        <f t="shared" si="1"/>
        <v>311488</v>
      </c>
      <c r="I32" s="571">
        <v>12459</v>
      </c>
      <c r="J32" s="264">
        <v>299029</v>
      </c>
      <c r="K32" s="240"/>
      <c r="L32" s="240"/>
      <c r="M32" s="240">
        <v>54888</v>
      </c>
      <c r="N32" s="240">
        <v>244141</v>
      </c>
      <c r="O32" s="577"/>
      <c r="P32" s="577"/>
      <c r="Q32" s="578"/>
      <c r="R32" s="577"/>
      <c r="S32" s="488"/>
      <c r="T32" s="637"/>
    </row>
    <row r="33" spans="1:20" ht="29.25" customHeight="1">
      <c r="A33" s="575">
        <v>30</v>
      </c>
      <c r="B33" s="227" t="s">
        <v>201</v>
      </c>
      <c r="C33" s="601">
        <v>303933</v>
      </c>
      <c r="D33" s="601"/>
      <c r="E33" s="602"/>
      <c r="F33" s="570">
        <f t="shared" si="0"/>
        <v>303933</v>
      </c>
      <c r="G33" s="570">
        <v>14085</v>
      </c>
      <c r="H33" s="570">
        <f t="shared" si="1"/>
        <v>318018</v>
      </c>
      <c r="I33" s="571">
        <v>164929</v>
      </c>
      <c r="J33" s="264">
        <v>153089</v>
      </c>
      <c r="K33" s="240">
        <v>49333</v>
      </c>
      <c r="L33" s="240"/>
      <c r="M33" s="240"/>
      <c r="N33" s="240">
        <v>103756</v>
      </c>
      <c r="O33" s="577"/>
      <c r="P33" s="577"/>
      <c r="Q33" s="578"/>
      <c r="R33" s="577"/>
      <c r="S33" s="488"/>
      <c r="T33" s="637"/>
    </row>
    <row r="34" spans="1:20" ht="36.75" customHeight="1">
      <c r="A34" s="575">
        <v>31</v>
      </c>
      <c r="B34" s="603" t="s">
        <v>786</v>
      </c>
      <c r="C34" s="597">
        <v>2862497</v>
      </c>
      <c r="D34" s="604">
        <v>429375</v>
      </c>
      <c r="E34" s="597">
        <v>888805</v>
      </c>
      <c r="F34" s="570">
        <f t="shared" si="0"/>
        <v>4180677</v>
      </c>
      <c r="G34" s="570">
        <v>3328</v>
      </c>
      <c r="H34" s="570">
        <f t="shared" si="1"/>
        <v>4184005</v>
      </c>
      <c r="I34" s="571">
        <v>1712778</v>
      </c>
      <c r="J34" s="264">
        <v>2471227</v>
      </c>
      <c r="K34" s="240">
        <v>1324735</v>
      </c>
      <c r="L34" s="240">
        <v>527999</v>
      </c>
      <c r="M34" s="240"/>
      <c r="N34" s="240">
        <v>618493</v>
      </c>
      <c r="O34" s="577"/>
      <c r="P34" s="577"/>
      <c r="Q34" s="578"/>
      <c r="R34" s="577"/>
      <c r="S34" s="488"/>
      <c r="T34" s="637"/>
    </row>
    <row r="35" spans="1:20" ht="36.75" customHeight="1">
      <c r="A35" s="575">
        <v>32</v>
      </c>
      <c r="B35" s="175" t="s">
        <v>1285</v>
      </c>
      <c r="C35" s="597">
        <v>8667</v>
      </c>
      <c r="D35" s="604"/>
      <c r="E35" s="597"/>
      <c r="F35" s="570">
        <v>8667</v>
      </c>
      <c r="G35" s="570"/>
      <c r="H35" s="570">
        <v>8667</v>
      </c>
      <c r="I35" s="571"/>
      <c r="J35" s="264">
        <v>8667</v>
      </c>
      <c r="K35" s="240"/>
      <c r="L35" s="240"/>
      <c r="M35" s="240"/>
      <c r="N35" s="240">
        <v>8667</v>
      </c>
      <c r="O35" s="577"/>
      <c r="P35" s="577"/>
      <c r="Q35" s="578"/>
      <c r="R35" s="577"/>
      <c r="S35" s="488"/>
      <c r="T35" s="637"/>
    </row>
    <row r="36" spans="1:20" ht="36.75" customHeight="1">
      <c r="A36" s="575">
        <v>33</v>
      </c>
      <c r="B36" s="173" t="s">
        <v>1287</v>
      </c>
      <c r="C36" s="597">
        <v>138000</v>
      </c>
      <c r="D36" s="604"/>
      <c r="E36" s="597"/>
      <c r="F36" s="570">
        <v>138000</v>
      </c>
      <c r="G36" s="570">
        <v>33888</v>
      </c>
      <c r="H36" s="570">
        <f>SUM(F36:G36)</f>
        <v>171888</v>
      </c>
      <c r="I36" s="571">
        <v>46488</v>
      </c>
      <c r="J36" s="264">
        <v>125400</v>
      </c>
      <c r="K36" s="240">
        <v>492</v>
      </c>
      <c r="L36" s="240"/>
      <c r="M36" s="240">
        <v>31188</v>
      </c>
      <c r="N36" s="240">
        <v>93720</v>
      </c>
      <c r="O36" s="577"/>
      <c r="P36" s="577"/>
      <c r="Q36" s="578"/>
      <c r="R36" s="577"/>
      <c r="S36" s="488"/>
      <c r="T36" s="637"/>
    </row>
    <row r="37" spans="1:20" s="607" customFormat="1" ht="36.75" customHeight="1">
      <c r="A37" s="575">
        <v>34</v>
      </c>
      <c r="B37" s="172" t="s">
        <v>1339</v>
      </c>
      <c r="C37" s="597">
        <v>20000</v>
      </c>
      <c r="D37" s="604"/>
      <c r="E37" s="597"/>
      <c r="F37" s="570">
        <v>20000</v>
      </c>
      <c r="G37" s="570"/>
      <c r="H37" s="570">
        <v>20000</v>
      </c>
      <c r="I37" s="571">
        <v>953</v>
      </c>
      <c r="J37" s="264">
        <v>19047</v>
      </c>
      <c r="K37" s="240"/>
      <c r="L37" s="240"/>
      <c r="M37" s="240"/>
      <c r="N37" s="240">
        <v>19047</v>
      </c>
      <c r="O37" s="605"/>
      <c r="P37" s="605"/>
      <c r="Q37" s="606"/>
      <c r="R37" s="605"/>
      <c r="S37" s="640"/>
      <c r="T37" s="641"/>
    </row>
    <row r="38" spans="1:20" ht="36.75" customHeight="1">
      <c r="A38" s="575">
        <v>35</v>
      </c>
      <c r="B38" s="236" t="s">
        <v>1202</v>
      </c>
      <c r="C38" s="597">
        <v>153816</v>
      </c>
      <c r="D38" s="604">
        <v>634</v>
      </c>
      <c r="E38" s="597">
        <v>41530</v>
      </c>
      <c r="F38" s="570">
        <f>SUM(C38:E38)</f>
        <v>195980</v>
      </c>
      <c r="G38" s="570"/>
      <c r="H38" s="570">
        <v>195980</v>
      </c>
      <c r="I38" s="571"/>
      <c r="J38" s="264">
        <v>195980</v>
      </c>
      <c r="K38" s="240">
        <v>153815</v>
      </c>
      <c r="L38" s="240">
        <v>41530</v>
      </c>
      <c r="M38" s="240"/>
      <c r="N38" s="240">
        <v>635</v>
      </c>
      <c r="O38" s="577"/>
      <c r="P38" s="577"/>
      <c r="Q38" s="578"/>
      <c r="R38" s="577"/>
      <c r="S38" s="488"/>
      <c r="T38" s="637"/>
    </row>
    <row r="39" spans="1:20" ht="24" customHeight="1">
      <c r="A39" s="575"/>
      <c r="B39" s="608" t="s">
        <v>787</v>
      </c>
      <c r="C39" s="609">
        <f aca="true" t="shared" si="2" ref="C39:H39">SUM(C5:C38)</f>
        <v>16632467</v>
      </c>
      <c r="D39" s="609">
        <f t="shared" si="2"/>
        <v>509452</v>
      </c>
      <c r="E39" s="609">
        <f t="shared" si="2"/>
        <v>1816532</v>
      </c>
      <c r="F39" s="609">
        <f t="shared" si="2"/>
        <v>18958451</v>
      </c>
      <c r="G39" s="609">
        <f t="shared" si="2"/>
        <v>181842</v>
      </c>
      <c r="H39" s="609">
        <f t="shared" si="2"/>
        <v>19140293</v>
      </c>
      <c r="I39" s="610">
        <f>SUM(I4:I38)</f>
        <v>7126918</v>
      </c>
      <c r="J39" s="610">
        <f>SUM(J5:J38)</f>
        <v>11871499</v>
      </c>
      <c r="K39" s="610">
        <f>SUM(K5:K38)</f>
        <v>3469530</v>
      </c>
      <c r="L39" s="610">
        <f aca="true" t="shared" si="3" ref="L39:R39">SUM(L5:L38)</f>
        <v>1204270</v>
      </c>
      <c r="M39" s="610">
        <f t="shared" si="3"/>
        <v>132076</v>
      </c>
      <c r="N39" s="610">
        <f t="shared" si="3"/>
        <v>7065623</v>
      </c>
      <c r="O39" s="610">
        <f t="shared" si="3"/>
        <v>1922305</v>
      </c>
      <c r="P39" s="610">
        <f t="shared" si="3"/>
        <v>9906804</v>
      </c>
      <c r="Q39" s="610">
        <f t="shared" si="3"/>
        <v>148413</v>
      </c>
      <c r="R39" s="610">
        <f t="shared" si="3"/>
        <v>141876</v>
      </c>
      <c r="S39" s="488"/>
      <c r="T39" s="637"/>
    </row>
    <row r="40" spans="1:18" ht="17.25" customHeight="1">
      <c r="A40" s="611"/>
      <c r="B40" s="612" t="s">
        <v>788</v>
      </c>
      <c r="C40" s="613"/>
      <c r="D40" s="613"/>
      <c r="E40" s="613"/>
      <c r="F40" s="570"/>
      <c r="G40" s="595"/>
      <c r="H40" s="570"/>
      <c r="I40" s="571"/>
      <c r="J40" s="614"/>
      <c r="K40" s="613"/>
      <c r="L40" s="613"/>
      <c r="M40" s="613"/>
      <c r="N40" s="613"/>
      <c r="O40" s="615"/>
      <c r="P40" s="615"/>
      <c r="Q40" s="616"/>
      <c r="R40" s="615"/>
    </row>
    <row r="41" spans="1:18" ht="24">
      <c r="A41" s="575">
        <v>36</v>
      </c>
      <c r="B41" s="634" t="s">
        <v>789</v>
      </c>
      <c r="C41" s="10"/>
      <c r="D41" s="10"/>
      <c r="E41" s="10"/>
      <c r="F41" s="570"/>
      <c r="G41" s="595"/>
      <c r="H41" s="570"/>
      <c r="I41" s="571"/>
      <c r="J41" s="264"/>
      <c r="K41" s="10"/>
      <c r="L41" s="10"/>
      <c r="M41" s="10"/>
      <c r="N41" s="10"/>
      <c r="O41" s="617"/>
      <c r="P41" s="618"/>
      <c r="Q41" s="619"/>
      <c r="R41" s="618"/>
    </row>
    <row r="42" spans="1:18" ht="24">
      <c r="A42" s="575"/>
      <c r="B42" s="635" t="s">
        <v>790</v>
      </c>
      <c r="C42" s="10">
        <v>21300</v>
      </c>
      <c r="D42" s="10"/>
      <c r="E42" s="10"/>
      <c r="F42" s="570">
        <f>SUM(C42:E42)</f>
        <v>21300</v>
      </c>
      <c r="G42" s="595"/>
      <c r="H42" s="570">
        <f aca="true" t="shared" si="4" ref="H42:H49">SUM(F42:G42)</f>
        <v>21300</v>
      </c>
      <c r="I42" s="571">
        <v>20239</v>
      </c>
      <c r="J42" s="264">
        <v>1061</v>
      </c>
      <c r="K42" s="10"/>
      <c r="L42" s="10"/>
      <c r="M42" s="10"/>
      <c r="N42" s="10">
        <v>1061</v>
      </c>
      <c r="O42" s="617"/>
      <c r="P42" s="618"/>
      <c r="Q42" s="619"/>
      <c r="R42" s="618"/>
    </row>
    <row r="43" spans="1:18" ht="24">
      <c r="A43" s="575">
        <v>37</v>
      </c>
      <c r="B43" s="634" t="s">
        <v>791</v>
      </c>
      <c r="C43" s="620"/>
      <c r="D43" s="620"/>
      <c r="E43" s="620"/>
      <c r="F43" s="621"/>
      <c r="G43" s="622"/>
      <c r="H43" s="621"/>
      <c r="I43" s="623"/>
      <c r="J43" s="624"/>
      <c r="K43" s="620"/>
      <c r="L43" s="620"/>
      <c r="M43" s="620"/>
      <c r="N43" s="620"/>
      <c r="O43" s="625"/>
      <c r="P43" s="626"/>
      <c r="Q43" s="627"/>
      <c r="R43" s="626"/>
    </row>
    <row r="44" spans="1:18" ht="24">
      <c r="A44" s="575"/>
      <c r="B44" s="636" t="s">
        <v>792</v>
      </c>
      <c r="C44" s="10">
        <v>95096</v>
      </c>
      <c r="D44" s="10"/>
      <c r="E44" s="10"/>
      <c r="F44" s="570">
        <f>SUM(C44:E44)</f>
        <v>95096</v>
      </c>
      <c r="G44" s="622"/>
      <c r="H44" s="570">
        <f t="shared" si="4"/>
        <v>95096</v>
      </c>
      <c r="I44" s="571">
        <v>46976</v>
      </c>
      <c r="J44" s="264">
        <v>3357</v>
      </c>
      <c r="K44" s="10"/>
      <c r="L44" s="10"/>
      <c r="M44" s="10"/>
      <c r="N44" s="10">
        <v>3357</v>
      </c>
      <c r="O44" s="617"/>
      <c r="P44" s="618"/>
      <c r="Q44" s="619"/>
      <c r="R44" s="618">
        <v>44763</v>
      </c>
    </row>
    <row r="45" spans="1:18" ht="24">
      <c r="A45" s="575"/>
      <c r="B45" s="636" t="s">
        <v>793</v>
      </c>
      <c r="C45" s="10">
        <v>155953</v>
      </c>
      <c r="D45" s="10"/>
      <c r="E45" s="10"/>
      <c r="F45" s="570">
        <f>SUM(C45:E45)</f>
        <v>155953</v>
      </c>
      <c r="G45" s="622"/>
      <c r="H45" s="570">
        <f t="shared" si="4"/>
        <v>155953</v>
      </c>
      <c r="I45" s="571">
        <v>20462</v>
      </c>
      <c r="J45" s="264">
        <v>110403</v>
      </c>
      <c r="K45" s="10">
        <v>110403</v>
      </c>
      <c r="L45" s="10"/>
      <c r="M45" s="10"/>
      <c r="N45" s="10"/>
      <c r="O45" s="617"/>
      <c r="P45" s="618"/>
      <c r="Q45" s="619"/>
      <c r="R45" s="618">
        <v>25088</v>
      </c>
    </row>
    <row r="46" spans="1:18" ht="36">
      <c r="A46" s="575"/>
      <c r="B46" s="636" t="s">
        <v>794</v>
      </c>
      <c r="C46" s="10">
        <v>33000</v>
      </c>
      <c r="D46" s="10"/>
      <c r="E46" s="10"/>
      <c r="F46" s="570">
        <f>SUM(C46:E46)</f>
        <v>33000</v>
      </c>
      <c r="G46" s="622"/>
      <c r="H46" s="570">
        <f t="shared" si="4"/>
        <v>33000</v>
      </c>
      <c r="I46" s="623"/>
      <c r="J46" s="264">
        <v>33000</v>
      </c>
      <c r="K46" s="10">
        <v>33000</v>
      </c>
      <c r="L46" s="10"/>
      <c r="M46" s="10"/>
      <c r="N46" s="10"/>
      <c r="O46" s="617"/>
      <c r="P46" s="618"/>
      <c r="Q46" s="619"/>
      <c r="R46" s="618"/>
    </row>
    <row r="47" spans="1:18" ht="21" customHeight="1">
      <c r="A47" s="575">
        <v>38</v>
      </c>
      <c r="B47" s="634" t="s">
        <v>795</v>
      </c>
      <c r="C47" s="620"/>
      <c r="D47" s="620"/>
      <c r="E47" s="620"/>
      <c r="F47" s="621"/>
      <c r="G47" s="622"/>
      <c r="H47" s="621"/>
      <c r="I47" s="623"/>
      <c r="J47" s="624"/>
      <c r="K47" s="620"/>
      <c r="L47" s="620"/>
      <c r="M47" s="620"/>
      <c r="N47" s="620"/>
      <c r="O47" s="625"/>
      <c r="P47" s="626"/>
      <c r="Q47" s="627"/>
      <c r="R47" s="626"/>
    </row>
    <row r="48" spans="1:18" ht="12">
      <c r="A48" s="575"/>
      <c r="B48" s="628" t="s">
        <v>796</v>
      </c>
      <c r="C48" s="10">
        <v>31133</v>
      </c>
      <c r="D48" s="10"/>
      <c r="E48" s="10"/>
      <c r="F48" s="570">
        <f>SUM(C48:E48)</f>
        <v>31133</v>
      </c>
      <c r="G48" s="595"/>
      <c r="H48" s="570">
        <f t="shared" si="4"/>
        <v>31133</v>
      </c>
      <c r="I48" s="571">
        <v>20151</v>
      </c>
      <c r="J48" s="264">
        <v>10982</v>
      </c>
      <c r="K48" s="10">
        <v>8863</v>
      </c>
      <c r="L48" s="10"/>
      <c r="M48" s="620"/>
      <c r="N48" s="10">
        <v>2119</v>
      </c>
      <c r="O48" s="625"/>
      <c r="P48" s="626"/>
      <c r="Q48" s="627"/>
      <c r="R48" s="626"/>
    </row>
    <row r="49" spans="1:18" ht="24">
      <c r="A49" s="575"/>
      <c r="B49" s="628" t="s">
        <v>797</v>
      </c>
      <c r="C49" s="10">
        <v>30000</v>
      </c>
      <c r="D49" s="10"/>
      <c r="E49" s="10"/>
      <c r="F49" s="570">
        <f>SUM(C49:E49)</f>
        <v>30000</v>
      </c>
      <c r="G49" s="570"/>
      <c r="H49" s="570">
        <f t="shared" si="4"/>
        <v>30000</v>
      </c>
      <c r="I49" s="570">
        <v>26412</v>
      </c>
      <c r="J49" s="10">
        <v>3588</v>
      </c>
      <c r="K49" s="10">
        <v>540</v>
      </c>
      <c r="L49" s="10"/>
      <c r="M49" s="10"/>
      <c r="N49" s="10">
        <v>3048</v>
      </c>
      <c r="O49" s="617"/>
      <c r="P49" s="618"/>
      <c r="Q49" s="618"/>
      <c r="R49" s="618"/>
    </row>
    <row r="50" spans="1:18" ht="18.75" customHeight="1">
      <c r="A50" s="575"/>
      <c r="B50" s="629" t="s">
        <v>136</v>
      </c>
      <c r="C50" s="396">
        <f>SUM(C41:C49)</f>
        <v>366482</v>
      </c>
      <c r="D50" s="396">
        <f aca="true" t="shared" si="5" ref="D50:R50">SUM(D41:D49)</f>
        <v>0</v>
      </c>
      <c r="E50" s="396">
        <f t="shared" si="5"/>
        <v>0</v>
      </c>
      <c r="F50" s="396">
        <f t="shared" si="5"/>
        <v>366482</v>
      </c>
      <c r="G50" s="396">
        <f t="shared" si="5"/>
        <v>0</v>
      </c>
      <c r="H50" s="396">
        <f t="shared" si="5"/>
        <v>366482</v>
      </c>
      <c r="I50" s="396">
        <f t="shared" si="5"/>
        <v>134240</v>
      </c>
      <c r="J50" s="396">
        <f t="shared" si="5"/>
        <v>162391</v>
      </c>
      <c r="K50" s="396">
        <f t="shared" si="5"/>
        <v>152806</v>
      </c>
      <c r="L50" s="396"/>
      <c r="M50" s="396">
        <f t="shared" si="5"/>
        <v>0</v>
      </c>
      <c r="N50" s="396">
        <f t="shared" si="5"/>
        <v>9585</v>
      </c>
      <c r="O50" s="396">
        <f t="shared" si="5"/>
        <v>0</v>
      </c>
      <c r="P50" s="396">
        <f t="shared" si="5"/>
        <v>0</v>
      </c>
      <c r="Q50" s="396">
        <f t="shared" si="5"/>
        <v>0</v>
      </c>
      <c r="R50" s="396">
        <f t="shared" si="5"/>
        <v>69851</v>
      </c>
    </row>
    <row r="51" spans="1:18" ht="26.25" customHeight="1">
      <c r="A51" s="630"/>
      <c r="B51" s="631" t="s">
        <v>798</v>
      </c>
      <c r="C51" s="632">
        <f>SUM(C39+C50)</f>
        <v>16998949</v>
      </c>
      <c r="D51" s="632">
        <f aca="true" t="shared" si="6" ref="D51:R51">SUM(D39+D50)</f>
        <v>509452</v>
      </c>
      <c r="E51" s="632">
        <f t="shared" si="6"/>
        <v>1816532</v>
      </c>
      <c r="F51" s="632">
        <f t="shared" si="6"/>
        <v>19324933</v>
      </c>
      <c r="G51" s="632">
        <f t="shared" si="6"/>
        <v>181842</v>
      </c>
      <c r="H51" s="632">
        <f t="shared" si="6"/>
        <v>19506775</v>
      </c>
      <c r="I51" s="632">
        <f t="shared" si="6"/>
        <v>7261158</v>
      </c>
      <c r="J51" s="632">
        <f t="shared" si="6"/>
        <v>12033890</v>
      </c>
      <c r="K51" s="632">
        <f t="shared" si="6"/>
        <v>3622336</v>
      </c>
      <c r="L51" s="632">
        <f t="shared" si="6"/>
        <v>1204270</v>
      </c>
      <c r="M51" s="632">
        <f t="shared" si="6"/>
        <v>132076</v>
      </c>
      <c r="N51" s="632">
        <f t="shared" si="6"/>
        <v>7075208</v>
      </c>
      <c r="O51" s="632">
        <f t="shared" si="6"/>
        <v>1922305</v>
      </c>
      <c r="P51" s="632">
        <f t="shared" si="6"/>
        <v>9906804</v>
      </c>
      <c r="Q51" s="632">
        <f t="shared" si="6"/>
        <v>148413</v>
      </c>
      <c r="R51" s="632">
        <f t="shared" si="6"/>
        <v>211727</v>
      </c>
    </row>
  </sheetData>
  <sheetProtection/>
  <mergeCells count="17">
    <mergeCell ref="K2:N2"/>
    <mergeCell ref="F1:F3"/>
    <mergeCell ref="A1:A3"/>
    <mergeCell ref="B1:B3"/>
    <mergeCell ref="C1:C3"/>
    <mergeCell ref="D1:D3"/>
    <mergeCell ref="E1:E3"/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6" sqref="C6"/>
    </sheetView>
  </sheetViews>
  <sheetFormatPr defaultColWidth="10.625" defaultRowHeight="12.75"/>
  <cols>
    <col min="1" max="1" width="9.375" style="504" customWidth="1"/>
    <col min="2" max="2" width="32.00390625" style="504" customWidth="1"/>
    <col min="3" max="3" width="28.00390625" style="504" customWidth="1"/>
    <col min="4" max="4" width="10.625" style="504" customWidth="1"/>
    <col min="5" max="5" width="11.625" style="504" customWidth="1"/>
    <col min="6" max="16384" width="10.625" style="504" customWidth="1"/>
  </cols>
  <sheetData>
    <row r="1" spans="2:5" ht="40.5">
      <c r="B1" s="501" t="s">
        <v>1508</v>
      </c>
      <c r="C1" s="502" t="s">
        <v>105</v>
      </c>
      <c r="D1" s="503"/>
      <c r="E1" s="503"/>
    </row>
    <row r="2" spans="2:5" ht="41.25" customHeight="1">
      <c r="B2" s="505" t="s">
        <v>1509</v>
      </c>
      <c r="C2" s="506" t="s">
        <v>1510</v>
      </c>
      <c r="D2" s="507"/>
      <c r="E2" s="508"/>
    </row>
    <row r="3" spans="2:5" ht="31.5" customHeight="1">
      <c r="B3" s="505" t="s">
        <v>1511</v>
      </c>
      <c r="C3" s="509">
        <v>5100</v>
      </c>
      <c r="D3" s="507"/>
      <c r="E3" s="508"/>
    </row>
    <row r="4" spans="2:5" ht="32.25" customHeight="1">
      <c r="B4" s="510" t="s">
        <v>1512</v>
      </c>
      <c r="C4" s="554">
        <v>82248</v>
      </c>
      <c r="D4" s="507"/>
      <c r="E4" s="508"/>
    </row>
    <row r="5" spans="2:4" ht="44.25" customHeight="1">
      <c r="B5" s="510" t="s">
        <v>1513</v>
      </c>
      <c r="C5" s="554">
        <v>57774</v>
      </c>
      <c r="D5" s="507"/>
    </row>
    <row r="6" spans="2:5" ht="33.75" customHeight="1">
      <c r="B6" s="505" t="s">
        <v>1514</v>
      </c>
      <c r="C6" s="511"/>
      <c r="D6" s="507"/>
      <c r="E6" s="508"/>
    </row>
    <row r="7" spans="2:5" ht="13.5">
      <c r="B7" s="512" t="s">
        <v>147</v>
      </c>
      <c r="C7" s="513">
        <f>SUM(C2:C6)</f>
        <v>145122</v>
      </c>
      <c r="D7" s="503"/>
      <c r="E7" s="503"/>
    </row>
    <row r="8" spans="2:5" ht="12.75">
      <c r="B8" s="503"/>
      <c r="C8" s="514"/>
      <c r="D8" s="503"/>
      <c r="E8" s="503"/>
    </row>
    <row r="9" spans="2:5" ht="12.75">
      <c r="B9" s="503"/>
      <c r="C9" s="503"/>
      <c r="D9" s="503"/>
      <c r="E9" s="503"/>
    </row>
    <row r="10" spans="2:5" ht="12.75">
      <c r="B10" s="515" t="s">
        <v>1562</v>
      </c>
      <c r="C10" s="503"/>
      <c r="D10" s="503"/>
      <c r="E10" s="503"/>
    </row>
    <row r="11" spans="2:3" ht="12.75">
      <c r="B11" s="516" t="s">
        <v>94</v>
      </c>
      <c r="C11" s="516"/>
    </row>
    <row r="12" spans="2:3" ht="12.75">
      <c r="B12" s="516" t="s">
        <v>96</v>
      </c>
      <c r="C12" s="516"/>
    </row>
    <row r="13" ht="12.75">
      <c r="B13" s="516" t="s">
        <v>95</v>
      </c>
    </row>
    <row r="14" ht="12.75">
      <c r="B14" s="516"/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M3" sqref="M3"/>
    </sheetView>
  </sheetViews>
  <sheetFormatPr defaultColWidth="10.50390625" defaultRowHeight="12.75"/>
  <cols>
    <col min="1" max="1" width="30.625" style="71" customWidth="1"/>
    <col min="2" max="2" width="10.50390625" style="71" customWidth="1"/>
    <col min="3" max="3" width="10.375" style="71" customWidth="1"/>
    <col min="4" max="11" width="11.00390625" style="71" bestFit="1" customWidth="1"/>
    <col min="12" max="12" width="10.375" style="71" customWidth="1"/>
    <col min="13" max="13" width="11.00390625" style="71" bestFit="1" customWidth="1"/>
    <col min="14" max="14" width="11.875" style="71" customWidth="1"/>
    <col min="15" max="237" width="9.375" style="71" customWidth="1"/>
    <col min="238" max="238" width="30.625" style="71" customWidth="1"/>
    <col min="239" max="239" width="10.50390625" style="71" customWidth="1"/>
    <col min="240" max="240" width="30.625" style="71" customWidth="1"/>
    <col min="241" max="241" width="10.50390625" style="71" customWidth="1"/>
    <col min="242" max="254" width="10.375" style="71" customWidth="1"/>
    <col min="255" max="255" width="30.625" style="71" customWidth="1"/>
    <col min="256" max="16384" width="10.50390625" style="71" customWidth="1"/>
  </cols>
  <sheetData>
    <row r="1" spans="1:14" s="72" customFormat="1" ht="42" customHeight="1">
      <c r="A1" s="89" t="s">
        <v>321</v>
      </c>
      <c r="B1" s="539" t="s">
        <v>1542</v>
      </c>
      <c r="C1" s="74" t="s">
        <v>1543</v>
      </c>
      <c r="D1" s="74" t="s">
        <v>1544</v>
      </c>
      <c r="E1" s="74" t="s">
        <v>1545</v>
      </c>
      <c r="F1" s="74" t="s">
        <v>1546</v>
      </c>
      <c r="G1" s="74" t="s">
        <v>1547</v>
      </c>
      <c r="H1" s="74" t="s">
        <v>1548</v>
      </c>
      <c r="I1" s="74" t="s">
        <v>1549</v>
      </c>
      <c r="J1" s="74" t="s">
        <v>1550</v>
      </c>
      <c r="K1" s="74" t="s">
        <v>1551</v>
      </c>
      <c r="L1" s="74" t="s">
        <v>1552</v>
      </c>
      <c r="M1" s="74" t="s">
        <v>1553</v>
      </c>
      <c r="N1" s="89" t="s">
        <v>322</v>
      </c>
    </row>
    <row r="2" spans="1:14" ht="18.75" customHeight="1">
      <c r="A2" s="540" t="s">
        <v>1554</v>
      </c>
      <c r="B2" s="541">
        <v>3549471</v>
      </c>
      <c r="C2" s="77">
        <v>7720582</v>
      </c>
      <c r="D2" s="77">
        <v>4819649</v>
      </c>
      <c r="E2" s="77">
        <v>8205878</v>
      </c>
      <c r="F2" s="77">
        <v>4145968</v>
      </c>
      <c r="G2" s="77">
        <v>4843340</v>
      </c>
      <c r="H2" s="77">
        <v>4273033</v>
      </c>
      <c r="I2" s="77">
        <v>3565406</v>
      </c>
      <c r="J2" s="77">
        <v>7761205</v>
      </c>
      <c r="K2" s="77">
        <v>5095435</v>
      </c>
      <c r="L2" s="77">
        <v>4141387</v>
      </c>
      <c r="M2" s="77">
        <v>3923254</v>
      </c>
      <c r="N2" s="77">
        <f>SUM(B2:M2)</f>
        <v>62044608</v>
      </c>
    </row>
    <row r="3" spans="1:14" ht="18" customHeight="1">
      <c r="A3" s="542" t="s">
        <v>1555</v>
      </c>
      <c r="B3" s="541"/>
      <c r="C3" s="77"/>
      <c r="D3" s="77"/>
      <c r="E3" s="543"/>
      <c r="F3" s="77"/>
      <c r="G3" s="77"/>
      <c r="H3" s="77"/>
      <c r="I3" s="77"/>
      <c r="J3" s="77"/>
      <c r="K3" s="77"/>
      <c r="L3" s="77"/>
      <c r="M3" s="77"/>
      <c r="N3" s="77"/>
    </row>
    <row r="4" spans="1:14" ht="19.5" customHeight="1">
      <c r="A4" s="544" t="s">
        <v>323</v>
      </c>
      <c r="B4" s="541">
        <v>11600</v>
      </c>
      <c r="C4" s="77">
        <v>11600</v>
      </c>
      <c r="D4" s="77">
        <v>11600</v>
      </c>
      <c r="E4" s="77">
        <v>11600</v>
      </c>
      <c r="F4" s="77">
        <v>9267</v>
      </c>
      <c r="G4" s="77">
        <v>1600</v>
      </c>
      <c r="H4" s="77">
        <v>1500</v>
      </c>
      <c r="I4" s="77">
        <v>1500</v>
      </c>
      <c r="J4" s="77">
        <v>1700</v>
      </c>
      <c r="K4" s="77">
        <v>1700</v>
      </c>
      <c r="L4" s="77">
        <v>1700</v>
      </c>
      <c r="M4" s="77">
        <v>1800</v>
      </c>
      <c r="N4" s="77">
        <f aca="true" t="shared" si="0" ref="N4:N22">SUM(B4:M4)</f>
        <v>67167</v>
      </c>
    </row>
    <row r="5" spans="1:14" ht="24.75" customHeight="1">
      <c r="A5" s="544" t="s">
        <v>316</v>
      </c>
      <c r="B5" s="541">
        <v>47000</v>
      </c>
      <c r="C5" s="77">
        <v>47000</v>
      </c>
      <c r="D5" s="77">
        <v>47000</v>
      </c>
      <c r="E5" s="77">
        <v>47000</v>
      </c>
      <c r="F5" s="77">
        <v>47000</v>
      </c>
      <c r="G5" s="77">
        <v>500</v>
      </c>
      <c r="H5" s="77">
        <v>393</v>
      </c>
      <c r="I5" s="77">
        <v>47000</v>
      </c>
      <c r="J5" s="77">
        <v>47000</v>
      </c>
      <c r="K5" s="77">
        <v>47000</v>
      </c>
      <c r="L5" s="77">
        <v>47000</v>
      </c>
      <c r="M5" s="77">
        <v>47000</v>
      </c>
      <c r="N5" s="77">
        <f t="shared" si="0"/>
        <v>470893</v>
      </c>
    </row>
    <row r="6" spans="1:14" ht="12.75">
      <c r="A6" s="544" t="s">
        <v>349</v>
      </c>
      <c r="B6" s="541">
        <v>8316</v>
      </c>
      <c r="C6" s="77">
        <v>8520</v>
      </c>
      <c r="D6" s="77">
        <v>8316</v>
      </c>
      <c r="E6" s="77">
        <v>8316</v>
      </c>
      <c r="F6" s="77">
        <v>8316</v>
      </c>
      <c r="G6" s="77">
        <v>8316</v>
      </c>
      <c r="H6" s="77">
        <v>8316</v>
      </c>
      <c r="I6" s="77">
        <v>8316</v>
      </c>
      <c r="J6" s="77">
        <v>8316</v>
      </c>
      <c r="K6" s="77">
        <v>8316</v>
      </c>
      <c r="L6" s="77">
        <v>8316</v>
      </c>
      <c r="M6" s="77">
        <v>8316</v>
      </c>
      <c r="N6" s="77">
        <f t="shared" si="0"/>
        <v>99996</v>
      </c>
    </row>
    <row r="7" spans="1:14" ht="24" customHeight="1">
      <c r="A7" s="545" t="s">
        <v>384</v>
      </c>
      <c r="B7" s="541">
        <v>28848</v>
      </c>
      <c r="C7" s="77">
        <v>28848</v>
      </c>
      <c r="D7" s="77">
        <v>28848</v>
      </c>
      <c r="E7" s="77">
        <v>28848</v>
      </c>
      <c r="F7" s="77">
        <v>28848</v>
      </c>
      <c r="G7" s="77">
        <v>28847</v>
      </c>
      <c r="H7" s="77">
        <v>28847</v>
      </c>
      <c r="I7" s="77">
        <v>28847</v>
      </c>
      <c r="J7" s="77">
        <v>28847</v>
      </c>
      <c r="K7" s="77">
        <v>28847</v>
      </c>
      <c r="L7" s="77">
        <v>28847</v>
      </c>
      <c r="M7" s="77">
        <v>28854</v>
      </c>
      <c r="N7" s="77">
        <f t="shared" si="0"/>
        <v>346176</v>
      </c>
    </row>
    <row r="8" spans="1:14" ht="27" customHeight="1">
      <c r="A8" s="545" t="s">
        <v>385</v>
      </c>
      <c r="B8" s="541">
        <v>1500</v>
      </c>
      <c r="C8" s="77">
        <v>1500</v>
      </c>
      <c r="D8" s="77">
        <v>1500</v>
      </c>
      <c r="E8" s="77">
        <v>1500</v>
      </c>
      <c r="F8" s="77">
        <v>1500</v>
      </c>
      <c r="G8" s="77">
        <v>1654</v>
      </c>
      <c r="H8" s="77">
        <v>1500</v>
      </c>
      <c r="I8" s="77">
        <v>1500</v>
      </c>
      <c r="J8" s="77">
        <v>2000</v>
      </c>
      <c r="K8" s="77">
        <v>1500</v>
      </c>
      <c r="L8" s="77">
        <v>1500</v>
      </c>
      <c r="M8" s="77">
        <v>1500</v>
      </c>
      <c r="N8" s="77">
        <f t="shared" si="0"/>
        <v>18654</v>
      </c>
    </row>
    <row r="9" spans="1:14" ht="12.75">
      <c r="A9" s="80" t="s">
        <v>350</v>
      </c>
      <c r="B9" s="541">
        <v>2576</v>
      </c>
      <c r="C9" s="77">
        <v>2586</v>
      </c>
      <c r="D9" s="77">
        <v>2576</v>
      </c>
      <c r="E9" s="77">
        <v>2576</v>
      </c>
      <c r="F9" s="77">
        <v>2574</v>
      </c>
      <c r="G9" s="77">
        <v>2574</v>
      </c>
      <c r="H9" s="77">
        <v>1870</v>
      </c>
      <c r="I9" s="77">
        <v>1870</v>
      </c>
      <c r="J9" s="77">
        <v>2574</v>
      </c>
      <c r="K9" s="77">
        <v>2574</v>
      </c>
      <c r="L9" s="77">
        <v>2574</v>
      </c>
      <c r="M9" s="77">
        <v>2574</v>
      </c>
      <c r="N9" s="77">
        <f t="shared" si="0"/>
        <v>29498</v>
      </c>
    </row>
    <row r="10" spans="1:14" ht="12.75">
      <c r="A10" s="80" t="s">
        <v>351</v>
      </c>
      <c r="B10" s="541">
        <v>3565</v>
      </c>
      <c r="C10" s="77">
        <v>3557</v>
      </c>
      <c r="D10" s="77">
        <v>3557</v>
      </c>
      <c r="E10" s="77">
        <v>3557</v>
      </c>
      <c r="F10" s="77">
        <v>3557</v>
      </c>
      <c r="G10" s="77">
        <v>2552</v>
      </c>
      <c r="H10" s="77">
        <v>2549</v>
      </c>
      <c r="I10" s="77">
        <v>3557</v>
      </c>
      <c r="J10" s="77">
        <v>3557</v>
      </c>
      <c r="K10" s="77">
        <v>3557</v>
      </c>
      <c r="L10" s="77">
        <v>3557</v>
      </c>
      <c r="M10" s="77">
        <v>3557</v>
      </c>
      <c r="N10" s="77">
        <f t="shared" si="0"/>
        <v>40679</v>
      </c>
    </row>
    <row r="11" spans="1:14" ht="12.75">
      <c r="A11" s="80" t="s">
        <v>352</v>
      </c>
      <c r="B11" s="541">
        <v>3420</v>
      </c>
      <c r="C11" s="77">
        <v>3420</v>
      </c>
      <c r="D11" s="77">
        <v>3420</v>
      </c>
      <c r="E11" s="77">
        <v>3420</v>
      </c>
      <c r="F11" s="77">
        <v>3420</v>
      </c>
      <c r="G11" s="77">
        <v>3420</v>
      </c>
      <c r="H11" s="77">
        <v>2335</v>
      </c>
      <c r="I11" s="77">
        <v>2345</v>
      </c>
      <c r="J11" s="77">
        <v>3420</v>
      </c>
      <c r="K11" s="77">
        <v>3420</v>
      </c>
      <c r="L11" s="77">
        <v>3420</v>
      </c>
      <c r="M11" s="77">
        <v>3420</v>
      </c>
      <c r="N11" s="77">
        <f t="shared" si="0"/>
        <v>38880</v>
      </c>
    </row>
    <row r="12" spans="1:14" ht="15" customHeight="1">
      <c r="A12" s="80" t="s">
        <v>353</v>
      </c>
      <c r="B12" s="541">
        <v>2865</v>
      </c>
      <c r="C12" s="77">
        <v>2865</v>
      </c>
      <c r="D12" s="77">
        <v>2865</v>
      </c>
      <c r="E12" s="77">
        <v>2865</v>
      </c>
      <c r="F12" s="77">
        <v>2865</v>
      </c>
      <c r="G12" s="77">
        <v>2865</v>
      </c>
      <c r="H12" s="77">
        <v>1933</v>
      </c>
      <c r="I12" s="77">
        <v>1932</v>
      </c>
      <c r="J12" s="540">
        <v>2865</v>
      </c>
      <c r="K12" s="77">
        <v>2865</v>
      </c>
      <c r="L12" s="77">
        <v>2865</v>
      </c>
      <c r="M12" s="77">
        <v>2865</v>
      </c>
      <c r="N12" s="77">
        <f t="shared" si="0"/>
        <v>32515</v>
      </c>
    </row>
    <row r="13" spans="1:14" ht="22.5" customHeight="1">
      <c r="A13" s="545" t="s">
        <v>386</v>
      </c>
      <c r="B13" s="541"/>
      <c r="C13" s="77"/>
      <c r="D13" s="77">
        <v>3123</v>
      </c>
      <c r="E13" s="540"/>
      <c r="F13" s="77"/>
      <c r="G13" s="77"/>
      <c r="H13" s="77">
        <v>3123</v>
      </c>
      <c r="I13" s="77"/>
      <c r="J13" s="77">
        <v>3123</v>
      </c>
      <c r="K13" s="77"/>
      <c r="L13" s="77"/>
      <c r="M13" s="77">
        <v>3123</v>
      </c>
      <c r="N13" s="77">
        <f t="shared" si="0"/>
        <v>12492</v>
      </c>
    </row>
    <row r="14" spans="1:14" ht="17.25" customHeight="1">
      <c r="A14" s="546" t="s">
        <v>346</v>
      </c>
      <c r="B14" s="541">
        <v>38130</v>
      </c>
      <c r="C14" s="77">
        <v>33427</v>
      </c>
      <c r="D14" s="77">
        <v>38000</v>
      </c>
      <c r="E14" s="77">
        <v>38000</v>
      </c>
      <c r="F14" s="77">
        <v>31403</v>
      </c>
      <c r="G14" s="77">
        <v>23000</v>
      </c>
      <c r="H14" s="77">
        <v>7000</v>
      </c>
      <c r="I14" s="77">
        <v>8000</v>
      </c>
      <c r="J14" s="77">
        <v>8000</v>
      </c>
      <c r="K14" s="77">
        <v>8000</v>
      </c>
      <c r="L14" s="77">
        <v>9186</v>
      </c>
      <c r="M14" s="77">
        <v>7000</v>
      </c>
      <c r="N14" s="77">
        <f t="shared" si="0"/>
        <v>249146</v>
      </c>
    </row>
    <row r="15" spans="1:14" ht="25.5" customHeight="1">
      <c r="A15" s="545" t="s">
        <v>354</v>
      </c>
      <c r="B15" s="541">
        <v>30</v>
      </c>
      <c r="C15" s="77">
        <v>35</v>
      </c>
      <c r="D15" s="77">
        <v>40</v>
      </c>
      <c r="E15" s="77">
        <v>80</v>
      </c>
      <c r="F15" s="77">
        <v>100</v>
      </c>
      <c r="G15" s="77">
        <v>120</v>
      </c>
      <c r="H15" s="77">
        <v>120</v>
      </c>
      <c r="I15" s="77">
        <v>125</v>
      </c>
      <c r="J15" s="77">
        <v>200</v>
      </c>
      <c r="K15" s="77">
        <v>200</v>
      </c>
      <c r="L15" s="77">
        <v>200</v>
      </c>
      <c r="M15" s="77">
        <v>250</v>
      </c>
      <c r="N15" s="77">
        <f t="shared" si="0"/>
        <v>1500</v>
      </c>
    </row>
    <row r="16" spans="1:14" ht="17.25" customHeight="1">
      <c r="A16" s="80" t="s">
        <v>347</v>
      </c>
      <c r="B16" s="541">
        <v>2561</v>
      </c>
      <c r="C16" s="77">
        <v>1700</v>
      </c>
      <c r="D16" s="77">
        <v>1500</v>
      </c>
      <c r="E16" s="77">
        <v>1500</v>
      </c>
      <c r="F16" s="77">
        <v>1500</v>
      </c>
      <c r="G16" s="77">
        <v>1900</v>
      </c>
      <c r="H16" s="77">
        <v>5500</v>
      </c>
      <c r="I16" s="77">
        <v>1800</v>
      </c>
      <c r="J16" s="77">
        <v>1900</v>
      </c>
      <c r="K16" s="77">
        <v>5500</v>
      </c>
      <c r="L16" s="77">
        <v>3025</v>
      </c>
      <c r="M16" s="77">
        <v>1800</v>
      </c>
      <c r="N16" s="77">
        <f t="shared" si="0"/>
        <v>30186</v>
      </c>
    </row>
    <row r="17" spans="1:14" ht="12.75">
      <c r="A17" s="80" t="s">
        <v>348</v>
      </c>
      <c r="B17" s="541">
        <v>7167</v>
      </c>
      <c r="C17" s="77">
        <v>9000</v>
      </c>
      <c r="D17" s="77">
        <v>22283</v>
      </c>
      <c r="E17" s="77">
        <v>14344</v>
      </c>
      <c r="F17" s="77">
        <v>19675</v>
      </c>
      <c r="G17" s="77">
        <v>12210</v>
      </c>
      <c r="H17" s="77">
        <v>13000</v>
      </c>
      <c r="I17" s="77">
        <v>15000</v>
      </c>
      <c r="J17" s="77">
        <v>17153</v>
      </c>
      <c r="K17" s="77">
        <v>12000</v>
      </c>
      <c r="L17" s="77">
        <v>16900</v>
      </c>
      <c r="M17" s="77">
        <v>12758</v>
      </c>
      <c r="N17" s="77">
        <f t="shared" si="0"/>
        <v>171490</v>
      </c>
    </row>
    <row r="18" spans="1:14" ht="16.5" customHeight="1">
      <c r="A18" s="80" t="s">
        <v>355</v>
      </c>
      <c r="B18" s="541">
        <v>27500</v>
      </c>
      <c r="C18" s="77">
        <v>27500</v>
      </c>
      <c r="D18" s="77">
        <v>10000</v>
      </c>
      <c r="E18" s="77">
        <v>8000</v>
      </c>
      <c r="F18" s="77">
        <v>8000</v>
      </c>
      <c r="G18" s="77">
        <v>15000</v>
      </c>
      <c r="H18" s="77">
        <v>15000</v>
      </c>
      <c r="I18" s="77">
        <v>16000</v>
      </c>
      <c r="J18" s="77">
        <v>33000</v>
      </c>
      <c r="K18" s="77">
        <v>60000</v>
      </c>
      <c r="L18" s="77">
        <v>60000</v>
      </c>
      <c r="M18" s="77">
        <v>68257</v>
      </c>
      <c r="N18" s="77">
        <f t="shared" si="0"/>
        <v>348257</v>
      </c>
    </row>
    <row r="19" spans="1:14" ht="19.5" customHeight="1">
      <c r="A19" s="80" t="s">
        <v>356</v>
      </c>
      <c r="B19" s="541">
        <v>6100</v>
      </c>
      <c r="C19" s="77">
        <v>6100</v>
      </c>
      <c r="D19" s="77">
        <v>1000</v>
      </c>
      <c r="E19" s="77">
        <v>1000</v>
      </c>
      <c r="F19" s="77">
        <v>1000</v>
      </c>
      <c r="G19" s="77">
        <v>1000</v>
      </c>
      <c r="H19" s="77">
        <v>1000</v>
      </c>
      <c r="I19" s="77">
        <v>0</v>
      </c>
      <c r="J19" s="77">
        <v>4000</v>
      </c>
      <c r="K19" s="77">
        <v>8000</v>
      </c>
      <c r="L19" s="77">
        <v>11000</v>
      </c>
      <c r="M19" s="77">
        <v>11965</v>
      </c>
      <c r="N19" s="77">
        <f t="shared" si="0"/>
        <v>52165</v>
      </c>
    </row>
    <row r="20" spans="1:14" ht="17.25" customHeight="1">
      <c r="A20" s="80" t="s">
        <v>388</v>
      </c>
      <c r="B20" s="541">
        <v>11187</v>
      </c>
      <c r="C20" s="77">
        <v>10887</v>
      </c>
      <c r="D20" s="77">
        <v>11658</v>
      </c>
      <c r="E20" s="77">
        <v>7256</v>
      </c>
      <c r="F20" s="77">
        <v>1720</v>
      </c>
      <c r="G20" s="77">
        <v>7188</v>
      </c>
      <c r="H20" s="77">
        <v>2282</v>
      </c>
      <c r="I20" s="77">
        <v>2282</v>
      </c>
      <c r="J20" s="77">
        <v>5993</v>
      </c>
      <c r="K20" s="77">
        <v>1882</v>
      </c>
      <c r="L20" s="77">
        <v>382</v>
      </c>
      <c r="M20" s="77">
        <v>12594</v>
      </c>
      <c r="N20" s="77">
        <f t="shared" si="0"/>
        <v>75311</v>
      </c>
    </row>
    <row r="21" spans="1:14" ht="18.75" customHeight="1">
      <c r="A21" s="80" t="s">
        <v>393</v>
      </c>
      <c r="B21" s="541">
        <v>9037</v>
      </c>
      <c r="C21" s="77">
        <v>9037</v>
      </c>
      <c r="D21" s="77">
        <v>9037</v>
      </c>
      <c r="E21" s="77">
        <v>9037</v>
      </c>
      <c r="F21" s="77">
        <v>9037</v>
      </c>
      <c r="G21" s="77">
        <v>9037</v>
      </c>
      <c r="H21" s="77">
        <v>9037</v>
      </c>
      <c r="I21" s="77">
        <v>9036</v>
      </c>
      <c r="J21" s="77">
        <v>9036</v>
      </c>
      <c r="K21" s="77">
        <v>9036</v>
      </c>
      <c r="L21" s="77">
        <v>9036</v>
      </c>
      <c r="M21" s="77">
        <v>9036</v>
      </c>
      <c r="N21" s="77">
        <f t="shared" si="0"/>
        <v>108439</v>
      </c>
    </row>
    <row r="22" spans="1:14" ht="13.5" customHeight="1">
      <c r="A22" s="90" t="s">
        <v>1556</v>
      </c>
      <c r="B22" s="547">
        <f aca="true" t="shared" si="1" ref="B22:M22">SUM(B2:B21)</f>
        <v>3760873</v>
      </c>
      <c r="C22" s="547">
        <f t="shared" si="1"/>
        <v>7928164</v>
      </c>
      <c r="D22" s="547">
        <f t="shared" si="1"/>
        <v>5025972</v>
      </c>
      <c r="E22" s="547">
        <f t="shared" si="1"/>
        <v>8394777</v>
      </c>
      <c r="F22" s="547">
        <f t="shared" si="1"/>
        <v>4325750</v>
      </c>
      <c r="G22" s="547">
        <f t="shared" si="1"/>
        <v>4965123</v>
      </c>
      <c r="H22" s="547">
        <f t="shared" si="1"/>
        <v>4378338</v>
      </c>
      <c r="I22" s="547">
        <f t="shared" si="1"/>
        <v>3714516</v>
      </c>
      <c r="J22" s="547">
        <f t="shared" si="1"/>
        <v>7943889</v>
      </c>
      <c r="K22" s="547">
        <f t="shared" si="1"/>
        <v>5299832</v>
      </c>
      <c r="L22" s="547">
        <f t="shared" si="1"/>
        <v>4350895</v>
      </c>
      <c r="M22" s="547">
        <f t="shared" si="1"/>
        <v>4149923</v>
      </c>
      <c r="N22" s="548">
        <f t="shared" si="0"/>
        <v>64238052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300" verticalDpi="300" orientation="landscape" paperSize="9" scale="91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71" customWidth="1"/>
    <col min="2" max="2" width="10.50390625" style="71" customWidth="1"/>
    <col min="3" max="6" width="10.375" style="71" customWidth="1"/>
    <col min="7" max="8" width="10.50390625" style="71" customWidth="1"/>
    <col min="9" max="9" width="10.875" style="71" customWidth="1"/>
    <col min="10" max="10" width="11.125" style="71" customWidth="1"/>
    <col min="11" max="11" width="10.625" style="71" customWidth="1"/>
    <col min="12" max="12" width="10.50390625" style="71" customWidth="1"/>
    <col min="13" max="13" width="11.625" style="71" customWidth="1"/>
    <col min="14" max="14" width="12.875" style="71" customWidth="1"/>
    <col min="15" max="16384" width="9.375" style="71" customWidth="1"/>
  </cols>
  <sheetData>
    <row r="1" spans="1:14" s="72" customFormat="1" ht="42" customHeight="1">
      <c r="A1" s="89" t="s">
        <v>321</v>
      </c>
      <c r="B1" s="74" t="s">
        <v>1542</v>
      </c>
      <c r="C1" s="74" t="s">
        <v>1543</v>
      </c>
      <c r="D1" s="74" t="s">
        <v>1544</v>
      </c>
      <c r="E1" s="74" t="s">
        <v>1545</v>
      </c>
      <c r="F1" s="74" t="s">
        <v>1546</v>
      </c>
      <c r="G1" s="74" t="s">
        <v>1547</v>
      </c>
      <c r="H1" s="74" t="s">
        <v>1548</v>
      </c>
      <c r="I1" s="74" t="s">
        <v>1549</v>
      </c>
      <c r="J1" s="74" t="s">
        <v>1550</v>
      </c>
      <c r="K1" s="74" t="s">
        <v>1551</v>
      </c>
      <c r="L1" s="74" t="s">
        <v>1552</v>
      </c>
      <c r="M1" s="74" t="s">
        <v>1553</v>
      </c>
      <c r="N1" s="89" t="s">
        <v>322</v>
      </c>
    </row>
    <row r="2" spans="1:14" ht="15" customHeight="1">
      <c r="A2" s="540" t="s">
        <v>1557</v>
      </c>
      <c r="B2" s="77">
        <v>306431</v>
      </c>
      <c r="C2" s="77">
        <v>351883</v>
      </c>
      <c r="D2" s="77">
        <v>539823</v>
      </c>
      <c r="E2" s="77">
        <v>351883</v>
      </c>
      <c r="F2" s="77">
        <v>379883</v>
      </c>
      <c r="G2" s="77">
        <v>539946</v>
      </c>
      <c r="H2" s="77">
        <v>376883</v>
      </c>
      <c r="I2" s="77">
        <v>277883</v>
      </c>
      <c r="J2" s="77">
        <v>551227</v>
      </c>
      <c r="K2" s="77">
        <v>416883</v>
      </c>
      <c r="L2" s="77">
        <v>426883</v>
      </c>
      <c r="M2" s="77">
        <v>575114</v>
      </c>
      <c r="N2" s="77">
        <f>SUM(B2:M2)</f>
        <v>5094722</v>
      </c>
    </row>
    <row r="3" spans="1:14" ht="15" customHeight="1">
      <c r="A3" s="540" t="s">
        <v>1558</v>
      </c>
      <c r="B3" s="549">
        <v>2791851</v>
      </c>
      <c r="C3" s="549">
        <v>6868499</v>
      </c>
      <c r="D3" s="549">
        <v>3802407</v>
      </c>
      <c r="E3" s="549">
        <v>7367211</v>
      </c>
      <c r="F3" s="549">
        <v>3220071</v>
      </c>
      <c r="G3" s="77">
        <v>3744609</v>
      </c>
      <c r="H3" s="77">
        <v>3403056</v>
      </c>
      <c r="I3" s="77">
        <v>2875817</v>
      </c>
      <c r="J3" s="77">
        <v>6805907</v>
      </c>
      <c r="K3" s="77">
        <v>4223713</v>
      </c>
      <c r="L3" s="77">
        <v>3269119</v>
      </c>
      <c r="M3" s="77">
        <v>2915051</v>
      </c>
      <c r="N3" s="77">
        <f>SUM(B3:M3)</f>
        <v>51287311</v>
      </c>
    </row>
    <row r="4" spans="1:14" ht="28.5" customHeight="1">
      <c r="A4" s="90" t="s">
        <v>1559</v>
      </c>
      <c r="B4" s="550">
        <f aca="true" t="shared" si="0" ref="B4:N4">SUM(B2:B3)</f>
        <v>3098282</v>
      </c>
      <c r="C4" s="550">
        <f t="shared" si="0"/>
        <v>7220382</v>
      </c>
      <c r="D4" s="550">
        <f t="shared" si="0"/>
        <v>4342230</v>
      </c>
      <c r="E4" s="550">
        <f t="shared" si="0"/>
        <v>7719094</v>
      </c>
      <c r="F4" s="550">
        <f t="shared" si="0"/>
        <v>3599954</v>
      </c>
      <c r="G4" s="550">
        <f t="shared" si="0"/>
        <v>4284555</v>
      </c>
      <c r="H4" s="550">
        <f t="shared" si="0"/>
        <v>3779939</v>
      </c>
      <c r="I4" s="550">
        <f t="shared" si="0"/>
        <v>3153700</v>
      </c>
      <c r="J4" s="550">
        <f t="shared" si="0"/>
        <v>7357134</v>
      </c>
      <c r="K4" s="550">
        <f t="shared" si="0"/>
        <v>4640596</v>
      </c>
      <c r="L4" s="550">
        <f t="shared" si="0"/>
        <v>3696002</v>
      </c>
      <c r="M4" s="550">
        <f t="shared" si="0"/>
        <v>3490165</v>
      </c>
      <c r="N4" s="550">
        <f t="shared" si="0"/>
        <v>56382033</v>
      </c>
    </row>
    <row r="5" spans="1:14" ht="17.25" customHeight="1">
      <c r="A5" s="542" t="s">
        <v>1555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 customHeight="1">
      <c r="A6" s="544" t="s">
        <v>323</v>
      </c>
      <c r="B6" s="77">
        <v>129036</v>
      </c>
      <c r="C6" s="77">
        <v>162573</v>
      </c>
      <c r="D6" s="77">
        <v>134575</v>
      </c>
      <c r="E6" s="77">
        <v>132695</v>
      </c>
      <c r="F6" s="77">
        <v>176115</v>
      </c>
      <c r="G6" s="77">
        <v>133235</v>
      </c>
      <c r="H6" s="77">
        <v>133355</v>
      </c>
      <c r="I6" s="77">
        <v>134475</v>
      </c>
      <c r="J6" s="77">
        <v>132595</v>
      </c>
      <c r="K6" s="77">
        <v>131915</v>
      </c>
      <c r="L6" s="77">
        <v>132235</v>
      </c>
      <c r="M6" s="77">
        <v>132471</v>
      </c>
      <c r="N6" s="77">
        <f aca="true" t="shared" si="1" ref="N6:N24">SUM(B6:M6)</f>
        <v>1665275</v>
      </c>
    </row>
    <row r="7" spans="1:14" ht="24">
      <c r="A7" s="544" t="s">
        <v>316</v>
      </c>
      <c r="B7" s="77">
        <v>98212</v>
      </c>
      <c r="C7" s="77">
        <v>104463</v>
      </c>
      <c r="D7" s="77">
        <v>103206</v>
      </c>
      <c r="E7" s="77">
        <v>103206</v>
      </c>
      <c r="F7" s="77">
        <v>103206</v>
      </c>
      <c r="G7" s="77">
        <v>98306</v>
      </c>
      <c r="H7" s="77">
        <v>58206</v>
      </c>
      <c r="I7" s="77">
        <v>16306</v>
      </c>
      <c r="J7" s="77">
        <v>18206</v>
      </c>
      <c r="K7" s="77">
        <v>100764</v>
      </c>
      <c r="L7" s="77">
        <v>99049</v>
      </c>
      <c r="M7" s="77">
        <v>98206</v>
      </c>
      <c r="N7" s="77">
        <f t="shared" si="1"/>
        <v>1001336</v>
      </c>
    </row>
    <row r="8" spans="1:14" ht="12.75">
      <c r="A8" s="544" t="s">
        <v>349</v>
      </c>
      <c r="B8" s="77">
        <v>51847</v>
      </c>
      <c r="C8" s="77">
        <v>53128</v>
      </c>
      <c r="D8" s="77">
        <v>51847</v>
      </c>
      <c r="E8" s="77">
        <v>51947</v>
      </c>
      <c r="F8" s="77">
        <v>51847</v>
      </c>
      <c r="G8" s="77">
        <v>51847</v>
      </c>
      <c r="H8" s="77">
        <v>51847</v>
      </c>
      <c r="I8" s="77">
        <v>51947</v>
      </c>
      <c r="J8" s="77">
        <v>51847</v>
      </c>
      <c r="K8" s="77">
        <v>51847</v>
      </c>
      <c r="L8" s="77">
        <v>52047</v>
      </c>
      <c r="M8" s="77">
        <v>51847</v>
      </c>
      <c r="N8" s="77">
        <f t="shared" si="1"/>
        <v>623845</v>
      </c>
    </row>
    <row r="9" spans="1:14" ht="24" customHeight="1">
      <c r="A9" s="545" t="s">
        <v>384</v>
      </c>
      <c r="B9" s="77">
        <v>37169</v>
      </c>
      <c r="C9" s="77">
        <v>38326</v>
      </c>
      <c r="D9" s="77">
        <v>37169</v>
      </c>
      <c r="E9" s="77">
        <v>37269</v>
      </c>
      <c r="F9" s="77">
        <v>37274</v>
      </c>
      <c r="G9" s="77">
        <v>37169</v>
      </c>
      <c r="H9" s="77">
        <v>37169</v>
      </c>
      <c r="I9" s="77">
        <v>38269</v>
      </c>
      <c r="J9" s="77">
        <v>37169</v>
      </c>
      <c r="K9" s="77">
        <v>37169</v>
      </c>
      <c r="L9" s="77">
        <v>37269</v>
      </c>
      <c r="M9" s="77">
        <v>37192</v>
      </c>
      <c r="N9" s="77">
        <f t="shared" si="1"/>
        <v>448613</v>
      </c>
    </row>
    <row r="10" spans="1:14" ht="24">
      <c r="A10" s="545" t="s">
        <v>385</v>
      </c>
      <c r="B10" s="77">
        <v>18411</v>
      </c>
      <c r="C10" s="77">
        <v>18507</v>
      </c>
      <c r="D10" s="77">
        <v>18407</v>
      </c>
      <c r="E10" s="77">
        <v>18607</v>
      </c>
      <c r="F10" s="77">
        <v>18407</v>
      </c>
      <c r="G10" s="77">
        <v>18407</v>
      </c>
      <c r="H10" s="77">
        <v>18241</v>
      </c>
      <c r="I10" s="77">
        <v>18341</v>
      </c>
      <c r="J10" s="77">
        <v>18241</v>
      </c>
      <c r="K10" s="77">
        <v>18241</v>
      </c>
      <c r="L10" s="77">
        <v>18341</v>
      </c>
      <c r="M10" s="77">
        <v>18248</v>
      </c>
      <c r="N10" s="77">
        <f t="shared" si="1"/>
        <v>220399</v>
      </c>
    </row>
    <row r="11" spans="1:14" ht="12.75">
      <c r="A11" s="80" t="s">
        <v>350</v>
      </c>
      <c r="B11" s="77">
        <v>30208</v>
      </c>
      <c r="C11" s="77">
        <v>30371</v>
      </c>
      <c r="D11" s="77">
        <v>30308</v>
      </c>
      <c r="E11" s="77">
        <v>30208</v>
      </c>
      <c r="F11" s="77">
        <v>30308</v>
      </c>
      <c r="G11" s="77">
        <v>30208</v>
      </c>
      <c r="H11" s="77">
        <v>27550</v>
      </c>
      <c r="I11" s="77">
        <v>27649</v>
      </c>
      <c r="J11" s="77">
        <v>30208</v>
      </c>
      <c r="K11" s="77">
        <v>30308</v>
      </c>
      <c r="L11" s="77">
        <v>30258</v>
      </c>
      <c r="M11" s="77">
        <v>30208</v>
      </c>
      <c r="N11" s="77">
        <f t="shared" si="1"/>
        <v>357792</v>
      </c>
    </row>
    <row r="12" spans="1:14" ht="12.75">
      <c r="A12" s="80" t="s">
        <v>351</v>
      </c>
      <c r="B12" s="77">
        <v>28546</v>
      </c>
      <c r="C12" s="77">
        <v>28696</v>
      </c>
      <c r="D12" s="77">
        <v>28645</v>
      </c>
      <c r="E12" s="77">
        <v>28546</v>
      </c>
      <c r="F12" s="77">
        <v>28643</v>
      </c>
      <c r="G12" s="77">
        <v>24794</v>
      </c>
      <c r="H12" s="77">
        <v>24794</v>
      </c>
      <c r="I12" s="77">
        <v>28640</v>
      </c>
      <c r="J12" s="77">
        <v>28543</v>
      </c>
      <c r="K12" s="77">
        <v>28643</v>
      </c>
      <c r="L12" s="77">
        <v>28593</v>
      </c>
      <c r="M12" s="77">
        <v>28543</v>
      </c>
      <c r="N12" s="77">
        <f t="shared" si="1"/>
        <v>335626</v>
      </c>
    </row>
    <row r="13" spans="1:14" ht="12.75">
      <c r="A13" s="80" t="s">
        <v>352</v>
      </c>
      <c r="B13" s="77">
        <v>32376</v>
      </c>
      <c r="C13" s="77">
        <v>32520</v>
      </c>
      <c r="D13" s="77">
        <v>32470</v>
      </c>
      <c r="E13" s="77">
        <v>32370</v>
      </c>
      <c r="F13" s="77">
        <v>32470</v>
      </c>
      <c r="G13" s="77">
        <v>32370</v>
      </c>
      <c r="H13" s="77">
        <v>27963</v>
      </c>
      <c r="I13" s="77">
        <v>28071</v>
      </c>
      <c r="J13" s="77">
        <v>32370</v>
      </c>
      <c r="K13" s="77">
        <v>32470</v>
      </c>
      <c r="L13" s="77">
        <v>32420</v>
      </c>
      <c r="M13" s="77">
        <v>32373</v>
      </c>
      <c r="N13" s="77">
        <f t="shared" si="1"/>
        <v>380243</v>
      </c>
    </row>
    <row r="14" spans="1:14" ht="14.25" customHeight="1">
      <c r="A14" s="80" t="s">
        <v>353</v>
      </c>
      <c r="B14" s="77">
        <v>28939</v>
      </c>
      <c r="C14" s="77">
        <v>29079</v>
      </c>
      <c r="D14" s="77">
        <v>29029</v>
      </c>
      <c r="E14" s="77">
        <v>28929</v>
      </c>
      <c r="F14" s="77">
        <v>29029</v>
      </c>
      <c r="G14" s="77">
        <v>28929</v>
      </c>
      <c r="H14" s="77">
        <v>25898</v>
      </c>
      <c r="I14" s="77">
        <v>25988</v>
      </c>
      <c r="J14" s="77">
        <v>28929</v>
      </c>
      <c r="K14" s="77">
        <v>29029</v>
      </c>
      <c r="L14" s="77">
        <v>28979</v>
      </c>
      <c r="M14" s="77">
        <v>28929</v>
      </c>
      <c r="N14" s="77">
        <f t="shared" si="1"/>
        <v>341686</v>
      </c>
    </row>
    <row r="15" spans="1:14" ht="11.25" customHeight="1">
      <c r="A15" s="80" t="s">
        <v>386</v>
      </c>
      <c r="B15" s="77">
        <v>3894</v>
      </c>
      <c r="C15" s="77">
        <v>4408</v>
      </c>
      <c r="D15" s="77">
        <v>4692</v>
      </c>
      <c r="E15" s="77">
        <v>4408</v>
      </c>
      <c r="F15" s="77">
        <v>4407</v>
      </c>
      <c r="G15" s="77">
        <v>4667</v>
      </c>
      <c r="H15" s="77">
        <v>4407</v>
      </c>
      <c r="I15" s="77">
        <v>4337</v>
      </c>
      <c r="J15" s="77">
        <v>4621</v>
      </c>
      <c r="K15" s="77">
        <v>4337</v>
      </c>
      <c r="L15" s="77">
        <v>4336</v>
      </c>
      <c r="M15" s="77">
        <v>4703</v>
      </c>
      <c r="N15" s="77">
        <f t="shared" si="1"/>
        <v>53217</v>
      </c>
    </row>
    <row r="16" spans="1:14" ht="16.5" customHeight="1">
      <c r="A16" s="546" t="s">
        <v>346</v>
      </c>
      <c r="B16" s="77">
        <v>38130</v>
      </c>
      <c r="C16" s="77">
        <v>48145</v>
      </c>
      <c r="D16" s="77">
        <v>50611</v>
      </c>
      <c r="E16" s="77">
        <v>43020</v>
      </c>
      <c r="F16" s="77">
        <v>41020</v>
      </c>
      <c r="G16" s="77">
        <v>37020</v>
      </c>
      <c r="H16" s="77">
        <v>37020</v>
      </c>
      <c r="I16" s="77">
        <v>37020</v>
      </c>
      <c r="J16" s="77">
        <v>41020</v>
      </c>
      <c r="K16" s="77">
        <v>37020</v>
      </c>
      <c r="L16" s="77">
        <v>37020</v>
      </c>
      <c r="M16" s="77">
        <v>37020</v>
      </c>
      <c r="N16" s="77">
        <f t="shared" si="1"/>
        <v>484066</v>
      </c>
    </row>
    <row r="17" spans="1:14" ht="23.25" customHeight="1">
      <c r="A17" s="545" t="s">
        <v>354</v>
      </c>
      <c r="B17" s="77">
        <v>1662</v>
      </c>
      <c r="C17" s="77">
        <v>1757</v>
      </c>
      <c r="D17" s="77">
        <v>1757</v>
      </c>
      <c r="E17" s="77">
        <v>1757</v>
      </c>
      <c r="F17" s="77">
        <v>1757</v>
      </c>
      <c r="G17" s="77">
        <v>1757</v>
      </c>
      <c r="H17" s="77">
        <v>1757</v>
      </c>
      <c r="I17" s="77">
        <v>1812</v>
      </c>
      <c r="J17" s="77">
        <v>1732</v>
      </c>
      <c r="K17" s="77">
        <v>1732</v>
      </c>
      <c r="L17" s="77">
        <v>1732</v>
      </c>
      <c r="M17" s="77">
        <v>1746</v>
      </c>
      <c r="N17" s="77">
        <f t="shared" si="1"/>
        <v>20958</v>
      </c>
    </row>
    <row r="18" spans="1:14" ht="12.75">
      <c r="A18" s="80" t="s">
        <v>347</v>
      </c>
      <c r="B18" s="77">
        <v>38220</v>
      </c>
      <c r="C18" s="77">
        <v>28867</v>
      </c>
      <c r="D18" s="77">
        <v>40370</v>
      </c>
      <c r="E18" s="77">
        <v>41490</v>
      </c>
      <c r="F18" s="77">
        <v>39220</v>
      </c>
      <c r="G18" s="77">
        <v>43832</v>
      </c>
      <c r="H18" s="77">
        <v>32850</v>
      </c>
      <c r="I18" s="77">
        <v>30120</v>
      </c>
      <c r="J18" s="77">
        <v>29220</v>
      </c>
      <c r="K18" s="77">
        <v>32120</v>
      </c>
      <c r="L18" s="77">
        <v>32072</v>
      </c>
      <c r="M18" s="77">
        <v>30120</v>
      </c>
      <c r="N18" s="77">
        <f t="shared" si="1"/>
        <v>418501</v>
      </c>
    </row>
    <row r="19" spans="1:14" ht="12.75">
      <c r="A19" s="80" t="s">
        <v>348</v>
      </c>
      <c r="B19" s="77">
        <v>31200</v>
      </c>
      <c r="C19" s="77">
        <v>32200</v>
      </c>
      <c r="D19" s="77">
        <v>23461</v>
      </c>
      <c r="E19" s="77">
        <v>23589</v>
      </c>
      <c r="F19" s="77">
        <v>34471</v>
      </c>
      <c r="G19" s="77">
        <v>33300</v>
      </c>
      <c r="H19" s="77">
        <v>33200</v>
      </c>
      <c r="I19" s="77">
        <v>33700</v>
      </c>
      <c r="J19" s="77">
        <v>32900</v>
      </c>
      <c r="K19" s="77">
        <v>29000</v>
      </c>
      <c r="L19" s="77">
        <v>25900</v>
      </c>
      <c r="M19" s="77">
        <v>26300</v>
      </c>
      <c r="N19" s="77">
        <f t="shared" si="1"/>
        <v>359221</v>
      </c>
    </row>
    <row r="20" spans="1:14" ht="15" customHeight="1">
      <c r="A20" s="80" t="s">
        <v>355</v>
      </c>
      <c r="B20" s="77">
        <v>62000</v>
      </c>
      <c r="C20" s="77">
        <v>62000</v>
      </c>
      <c r="D20" s="77">
        <v>66000</v>
      </c>
      <c r="E20" s="77">
        <v>66000</v>
      </c>
      <c r="F20" s="77">
        <v>66000</v>
      </c>
      <c r="G20" s="77">
        <v>73000</v>
      </c>
      <c r="H20" s="77">
        <v>53000</v>
      </c>
      <c r="I20" s="77">
        <v>54000</v>
      </c>
      <c r="J20" s="77">
        <v>64513</v>
      </c>
      <c r="K20" s="77">
        <v>60000</v>
      </c>
      <c r="L20" s="77">
        <v>60000</v>
      </c>
      <c r="M20" s="77">
        <v>68257</v>
      </c>
      <c r="N20" s="77">
        <f t="shared" si="1"/>
        <v>754770</v>
      </c>
    </row>
    <row r="21" spans="1:14" ht="15.75" customHeight="1">
      <c r="A21" s="80" t="s">
        <v>356</v>
      </c>
      <c r="B21" s="77">
        <v>11600</v>
      </c>
      <c r="C21" s="77">
        <v>11600</v>
      </c>
      <c r="D21" s="77">
        <v>10500</v>
      </c>
      <c r="E21" s="77">
        <v>10500</v>
      </c>
      <c r="F21" s="77">
        <v>10500</v>
      </c>
      <c r="G21" s="77">
        <v>10585</v>
      </c>
      <c r="H21" s="77">
        <v>10000</v>
      </c>
      <c r="I21" s="77">
        <v>9000</v>
      </c>
      <c r="J21" s="77">
        <v>13500</v>
      </c>
      <c r="K21" s="77">
        <v>13500</v>
      </c>
      <c r="L21" s="77">
        <v>13500</v>
      </c>
      <c r="M21" s="77">
        <v>11965</v>
      </c>
      <c r="N21" s="77">
        <f t="shared" si="1"/>
        <v>136750</v>
      </c>
    </row>
    <row r="22" spans="1:14" ht="14.25" customHeight="1">
      <c r="A22" s="80" t="s">
        <v>388</v>
      </c>
      <c r="B22" s="77">
        <v>12104</v>
      </c>
      <c r="C22" s="77">
        <v>12105</v>
      </c>
      <c r="D22" s="77">
        <v>11658</v>
      </c>
      <c r="E22" s="77">
        <v>12105</v>
      </c>
      <c r="F22" s="77">
        <v>12085</v>
      </c>
      <c r="G22" s="77">
        <v>12105</v>
      </c>
      <c r="H22" s="77">
        <v>12105</v>
      </c>
      <c r="I22" s="77">
        <v>12105</v>
      </c>
      <c r="J22" s="77">
        <v>12105</v>
      </c>
      <c r="K22" s="77">
        <v>12105</v>
      </c>
      <c r="L22" s="77">
        <v>12106</v>
      </c>
      <c r="M22" s="77">
        <v>12594</v>
      </c>
      <c r="N22" s="77">
        <f t="shared" si="1"/>
        <v>145282</v>
      </c>
    </row>
    <row r="23" spans="1:14" ht="12.75">
      <c r="A23" s="80" t="s">
        <v>393</v>
      </c>
      <c r="B23" s="77">
        <v>9037</v>
      </c>
      <c r="C23" s="77">
        <v>9037</v>
      </c>
      <c r="D23" s="77">
        <v>9037</v>
      </c>
      <c r="E23" s="77">
        <v>9037</v>
      </c>
      <c r="F23" s="77">
        <v>9037</v>
      </c>
      <c r="G23" s="77">
        <v>9037</v>
      </c>
      <c r="H23" s="77">
        <v>9037</v>
      </c>
      <c r="I23" s="77">
        <v>9036</v>
      </c>
      <c r="J23" s="77">
        <v>9036</v>
      </c>
      <c r="K23" s="77">
        <v>9036</v>
      </c>
      <c r="L23" s="77">
        <v>9036</v>
      </c>
      <c r="M23" s="77">
        <v>9036</v>
      </c>
      <c r="N23" s="77">
        <f t="shared" si="1"/>
        <v>108439</v>
      </c>
    </row>
    <row r="24" spans="1:14" ht="13.5" customHeight="1">
      <c r="A24" s="90" t="s">
        <v>1560</v>
      </c>
      <c r="B24" s="548">
        <f aca="true" t="shared" si="2" ref="B24:M24">SUM(B4:B23)</f>
        <v>3760873</v>
      </c>
      <c r="C24" s="548">
        <f t="shared" si="2"/>
        <v>7928164</v>
      </c>
      <c r="D24" s="548">
        <f t="shared" si="2"/>
        <v>5025972</v>
      </c>
      <c r="E24" s="548">
        <f t="shared" si="2"/>
        <v>8394777</v>
      </c>
      <c r="F24" s="548">
        <f t="shared" si="2"/>
        <v>4325750</v>
      </c>
      <c r="G24" s="548">
        <f t="shared" si="2"/>
        <v>4965123</v>
      </c>
      <c r="H24" s="548">
        <f t="shared" si="2"/>
        <v>4378338</v>
      </c>
      <c r="I24" s="548">
        <f t="shared" si="2"/>
        <v>3714516</v>
      </c>
      <c r="J24" s="548">
        <f t="shared" si="2"/>
        <v>7943889</v>
      </c>
      <c r="K24" s="548">
        <f t="shared" si="2"/>
        <v>5299832</v>
      </c>
      <c r="L24" s="548">
        <f t="shared" si="2"/>
        <v>4350895</v>
      </c>
      <c r="M24" s="548">
        <f t="shared" si="2"/>
        <v>4149923</v>
      </c>
      <c r="N24" s="548">
        <f t="shared" si="1"/>
        <v>64238052</v>
      </c>
    </row>
    <row r="25" spans="2:14" ht="13.5" customHeight="1">
      <c r="B25" s="73"/>
      <c r="C25" s="73"/>
      <c r="D25" s="73"/>
      <c r="E25" s="73"/>
      <c r="F25" s="73"/>
      <c r="G25" s="73"/>
      <c r="N25" s="73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D24" sqref="D24"/>
    </sheetView>
  </sheetViews>
  <sheetFormatPr defaultColWidth="10.625" defaultRowHeight="12.75"/>
  <cols>
    <col min="1" max="1" width="61.125" style="517" customWidth="1"/>
    <col min="2" max="2" width="15.125" style="517" customWidth="1"/>
    <col min="3" max="3" width="16.625" style="517" customWidth="1"/>
    <col min="4" max="4" width="16.375" style="517" customWidth="1"/>
    <col min="5" max="5" width="37.00390625" style="517" customWidth="1"/>
    <col min="6" max="16384" width="10.625" style="517" customWidth="1"/>
  </cols>
  <sheetData>
    <row r="1" spans="1:5" ht="12.75">
      <c r="A1" s="503"/>
      <c r="B1" s="503"/>
      <c r="C1" s="503"/>
      <c r="D1" s="503"/>
      <c r="E1" s="503"/>
    </row>
    <row r="2" spans="1:5" ht="12.75">
      <c r="A2" s="503"/>
      <c r="B2" s="503"/>
      <c r="C2" s="503"/>
      <c r="D2" s="503"/>
      <c r="E2" s="503"/>
    </row>
    <row r="3" spans="1:5" ht="12.75">
      <c r="A3" s="503"/>
      <c r="B3" s="503"/>
      <c r="C3" s="503"/>
      <c r="D3" s="503"/>
      <c r="E3" s="503"/>
    </row>
    <row r="4" spans="1:5" ht="12.75">
      <c r="A4" s="503"/>
      <c r="B4" s="503"/>
      <c r="C4" s="503"/>
      <c r="D4" s="503"/>
      <c r="E4" s="503"/>
    </row>
    <row r="5" spans="1:5" ht="25.5">
      <c r="A5" s="518"/>
      <c r="B5" s="519" t="s">
        <v>1515</v>
      </c>
      <c r="C5" s="519" t="s">
        <v>1516</v>
      </c>
      <c r="D5" s="519" t="s">
        <v>1539</v>
      </c>
      <c r="E5" s="520" t="s">
        <v>1517</v>
      </c>
    </row>
    <row r="6" spans="1:5" ht="20.25" customHeight="1">
      <c r="A6" s="521" t="s">
        <v>1518</v>
      </c>
      <c r="B6" s="522">
        <v>136325</v>
      </c>
      <c r="C6" s="522">
        <v>140547</v>
      </c>
      <c r="D6" s="523">
        <v>138736</v>
      </c>
      <c r="E6" s="524" t="s">
        <v>1519</v>
      </c>
    </row>
    <row r="7" spans="1:5" ht="12.75">
      <c r="A7" s="524"/>
      <c r="B7" s="525"/>
      <c r="C7" s="525"/>
      <c r="D7" s="525"/>
      <c r="E7" s="524"/>
    </row>
    <row r="8" spans="1:5" ht="17.25" customHeight="1">
      <c r="A8" s="526" t="s">
        <v>1520</v>
      </c>
      <c r="B8" s="525"/>
      <c r="C8" s="525"/>
      <c r="D8" s="525"/>
      <c r="E8" s="524"/>
    </row>
    <row r="9" spans="1:5" ht="24" customHeight="1">
      <c r="A9" s="527" t="s">
        <v>1521</v>
      </c>
      <c r="B9" s="533">
        <v>150000</v>
      </c>
      <c r="C9" s="533">
        <v>150000</v>
      </c>
      <c r="D9" s="533">
        <v>150000</v>
      </c>
      <c r="E9" s="536" t="s">
        <v>1540</v>
      </c>
    </row>
    <row r="10" spans="1:5" ht="27.75" customHeight="1">
      <c r="A10" s="528" t="s">
        <v>1522</v>
      </c>
      <c r="B10" s="533">
        <v>25000</v>
      </c>
      <c r="C10" s="533">
        <v>25000</v>
      </c>
      <c r="D10" s="533"/>
      <c r="E10" s="537" t="s">
        <v>1523</v>
      </c>
    </row>
    <row r="11" spans="1:5" ht="27" customHeight="1">
      <c r="A11" s="528" t="s">
        <v>1522</v>
      </c>
      <c r="B11" s="533">
        <v>20783</v>
      </c>
      <c r="C11" s="533"/>
      <c r="D11" s="533"/>
      <c r="E11" s="538" t="s">
        <v>1524</v>
      </c>
    </row>
    <row r="12" spans="1:5" ht="33" customHeight="1">
      <c r="A12" s="527" t="s">
        <v>1525</v>
      </c>
      <c r="B12" s="533">
        <v>25000</v>
      </c>
      <c r="C12" s="533">
        <v>25000</v>
      </c>
      <c r="D12" s="533">
        <v>25000</v>
      </c>
      <c r="E12" s="538" t="s">
        <v>1526</v>
      </c>
    </row>
    <row r="13" spans="1:5" ht="18.75" customHeight="1">
      <c r="A13" s="526" t="s">
        <v>1527</v>
      </c>
      <c r="B13" s="535">
        <f>SUM(B9:B12)</f>
        <v>220783</v>
      </c>
      <c r="C13" s="535">
        <f>SUM(C9:C12)</f>
        <v>200000</v>
      </c>
      <c r="D13" s="535">
        <f>SUM(D9:D12)</f>
        <v>175000</v>
      </c>
      <c r="E13" s="537"/>
    </row>
    <row r="14" spans="1:5" ht="12.75">
      <c r="A14" s="526"/>
      <c r="B14" s="535"/>
      <c r="C14" s="535"/>
      <c r="D14" s="535"/>
      <c r="E14" s="537"/>
    </row>
    <row r="15" spans="1:5" ht="12.75">
      <c r="A15" s="526" t="s">
        <v>1528</v>
      </c>
      <c r="B15" s="533"/>
      <c r="C15" s="533"/>
      <c r="D15" s="533"/>
      <c r="E15" s="537"/>
    </row>
    <row r="16" spans="1:5" s="529" customFormat="1" ht="26.25" customHeight="1">
      <c r="A16" s="528" t="s">
        <v>1529</v>
      </c>
      <c r="B16" s="533">
        <v>8904</v>
      </c>
      <c r="C16" s="533">
        <v>4470</v>
      </c>
      <c r="D16" s="533"/>
      <c r="E16" s="538" t="s">
        <v>1530</v>
      </c>
    </row>
    <row r="17" spans="1:5" ht="28.5" customHeight="1">
      <c r="A17" s="528" t="s">
        <v>1531</v>
      </c>
      <c r="B17" s="533">
        <v>3763</v>
      </c>
      <c r="C17" s="533">
        <v>14627</v>
      </c>
      <c r="D17" s="533"/>
      <c r="E17" s="538" t="s">
        <v>1532</v>
      </c>
    </row>
    <row r="18" spans="1:5" s="529" customFormat="1" ht="29.25" customHeight="1">
      <c r="A18" s="528" t="s">
        <v>1533</v>
      </c>
      <c r="B18" s="533">
        <v>93750</v>
      </c>
      <c r="C18" s="533">
        <v>93750</v>
      </c>
      <c r="D18" s="533">
        <v>93750</v>
      </c>
      <c r="E18" s="538" t="s">
        <v>1534</v>
      </c>
    </row>
    <row r="19" spans="1:5" s="529" customFormat="1" ht="28.5" customHeight="1">
      <c r="A19" s="528" t="s">
        <v>1535</v>
      </c>
      <c r="B19" s="533">
        <v>27000</v>
      </c>
      <c r="C19" s="533">
        <v>27000</v>
      </c>
      <c r="D19" s="533">
        <v>27000</v>
      </c>
      <c r="E19" s="538" t="s">
        <v>1536</v>
      </c>
    </row>
    <row r="20" spans="1:5" s="529" customFormat="1" ht="28.5" customHeight="1">
      <c r="A20" s="528" t="s">
        <v>1541</v>
      </c>
      <c r="B20" s="533">
        <v>27152</v>
      </c>
      <c r="C20" s="533">
        <v>28072</v>
      </c>
      <c r="D20" s="533">
        <v>27950</v>
      </c>
      <c r="E20" s="551" t="s">
        <v>1561</v>
      </c>
    </row>
    <row r="21" spans="1:5" ht="19.5" customHeight="1">
      <c r="A21" s="521" t="s">
        <v>1537</v>
      </c>
      <c r="B21" s="535">
        <f>SUM(B16:B20)</f>
        <v>160569</v>
      </c>
      <c r="C21" s="535">
        <f>SUM(C16:C20)</f>
        <v>167919</v>
      </c>
      <c r="D21" s="535">
        <f>SUM(D16:D20)</f>
        <v>148700</v>
      </c>
      <c r="E21" s="534"/>
    </row>
    <row r="22" spans="1:5" ht="19.5" customHeight="1">
      <c r="A22" s="530" t="s">
        <v>1538</v>
      </c>
      <c r="B22" s="531">
        <f>SUM(B6+B13+B21)</f>
        <v>517677</v>
      </c>
      <c r="C22" s="531">
        <f>SUM(C6+C13+C21)</f>
        <v>508466</v>
      </c>
      <c r="D22" s="531">
        <f>SUM(D6+D13+D21)</f>
        <v>462436</v>
      </c>
      <c r="E22" s="530"/>
    </row>
    <row r="23" spans="1:5" ht="12.75">
      <c r="A23" s="503"/>
      <c r="B23" s="503"/>
      <c r="C23" s="503"/>
      <c r="D23" s="503"/>
      <c r="E23" s="503"/>
    </row>
    <row r="24" spans="1:5" ht="12.75">
      <c r="A24" s="503"/>
      <c r="B24" s="503"/>
      <c r="C24" s="503"/>
      <c r="D24" s="503"/>
      <c r="E24" s="503"/>
    </row>
    <row r="25" spans="1:5" ht="12.75">
      <c r="A25" s="532" t="s">
        <v>265</v>
      </c>
      <c r="B25" s="532"/>
      <c r="C25" s="532"/>
      <c r="D25" s="532"/>
      <c r="E25" s="532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4">
      <selection activeCell="B69" sqref="B69"/>
    </sheetView>
  </sheetViews>
  <sheetFormatPr defaultColWidth="9.00390625" defaultRowHeight="12.75"/>
  <cols>
    <col min="1" max="1" width="7.50390625" style="16" customWidth="1"/>
    <col min="2" max="2" width="65.50390625" style="15" customWidth="1"/>
    <col min="3" max="4" width="16.375" style="15" customWidth="1"/>
    <col min="5" max="5" width="15.375" style="15" customWidth="1"/>
    <col min="6" max="16384" width="9.375" style="13" customWidth="1"/>
  </cols>
  <sheetData>
    <row r="1" spans="1:5" ht="55.5" customHeight="1" thickBot="1">
      <c r="A1" s="35" t="s">
        <v>334</v>
      </c>
      <c r="B1" s="36" t="s">
        <v>321</v>
      </c>
      <c r="C1" s="37" t="s">
        <v>485</v>
      </c>
      <c r="D1" s="37" t="s">
        <v>43</v>
      </c>
      <c r="E1" s="37" t="s">
        <v>45</v>
      </c>
    </row>
    <row r="2" spans="1:5" s="12" customFormat="1" ht="14.25" customHeight="1">
      <c r="A2" s="729" t="s">
        <v>168</v>
      </c>
      <c r="B2" s="730" t="s">
        <v>296</v>
      </c>
      <c r="C2" s="730"/>
      <c r="D2" s="730"/>
      <c r="E2" s="730"/>
    </row>
    <row r="3" spans="1:5" ht="14.25" customHeight="1">
      <c r="A3" s="729" t="s">
        <v>169</v>
      </c>
      <c r="B3" s="730" t="s">
        <v>170</v>
      </c>
      <c r="C3" s="301"/>
      <c r="D3" s="730"/>
      <c r="E3" s="301"/>
    </row>
    <row r="4" spans="1:5" ht="14.25" customHeight="1">
      <c r="A4" s="304" t="s">
        <v>171</v>
      </c>
      <c r="B4" s="301" t="s">
        <v>172</v>
      </c>
      <c r="C4" s="301"/>
      <c r="D4" s="301"/>
      <c r="E4" s="301"/>
    </row>
    <row r="5" spans="1:7" ht="18" customHeight="1">
      <c r="A5" s="731" t="s">
        <v>173</v>
      </c>
      <c r="B5" s="301" t="s">
        <v>174</v>
      </c>
      <c r="C5" s="301">
        <v>100</v>
      </c>
      <c r="D5" s="301">
        <v>109143</v>
      </c>
      <c r="E5" s="301">
        <f>SUM(C5:D5)</f>
        <v>109243</v>
      </c>
      <c r="F5"/>
      <c r="G5"/>
    </row>
    <row r="6" spans="1:7" ht="18" customHeight="1">
      <c r="A6" s="731" t="s">
        <v>175</v>
      </c>
      <c r="B6" s="301" t="s">
        <v>188</v>
      </c>
      <c r="C6" s="91">
        <v>1028163</v>
      </c>
      <c r="D6" s="301"/>
      <c r="E6" s="301">
        <f aca="true" t="shared" si="0" ref="E6:E44">SUM(C6:D6)</f>
        <v>1028163</v>
      </c>
      <c r="F6"/>
      <c r="G6"/>
    </row>
    <row r="7" spans="1:7" ht="24.75" customHeight="1">
      <c r="A7" s="731" t="s">
        <v>176</v>
      </c>
      <c r="B7" s="301" t="s">
        <v>177</v>
      </c>
      <c r="C7" s="500">
        <v>1264465</v>
      </c>
      <c r="D7" s="301">
        <v>-384</v>
      </c>
      <c r="E7" s="301">
        <f t="shared" si="0"/>
        <v>1264081</v>
      </c>
      <c r="F7"/>
      <c r="G7"/>
    </row>
    <row r="8" spans="1:7" ht="15" customHeight="1">
      <c r="A8" s="731" t="s">
        <v>178</v>
      </c>
      <c r="B8" s="301" t="s">
        <v>180</v>
      </c>
      <c r="C8" s="500">
        <v>447133</v>
      </c>
      <c r="D8" s="301"/>
      <c r="E8" s="301">
        <f t="shared" si="0"/>
        <v>447133</v>
      </c>
      <c r="F8"/>
      <c r="G8"/>
    </row>
    <row r="9" spans="1:5" ht="16.5" customHeight="1" hidden="1">
      <c r="A9" s="731" t="s">
        <v>179</v>
      </c>
      <c r="B9" s="301" t="s">
        <v>273</v>
      </c>
      <c r="C9" s="301"/>
      <c r="D9" s="301"/>
      <c r="E9" s="301">
        <f t="shared" si="0"/>
        <v>0</v>
      </c>
    </row>
    <row r="10" spans="1:5" ht="16.5" customHeight="1">
      <c r="A10" s="731" t="s">
        <v>179</v>
      </c>
      <c r="B10" s="301" t="s">
        <v>46</v>
      </c>
      <c r="C10" s="301"/>
      <c r="D10" s="301">
        <v>52762</v>
      </c>
      <c r="E10" s="301">
        <f t="shared" si="0"/>
        <v>52762</v>
      </c>
    </row>
    <row r="11" spans="1:5" ht="24.75" customHeight="1">
      <c r="A11" s="304" t="s">
        <v>125</v>
      </c>
      <c r="B11" s="301" t="s">
        <v>126</v>
      </c>
      <c r="C11" s="301">
        <v>34350</v>
      </c>
      <c r="D11" s="301"/>
      <c r="E11" s="301">
        <f t="shared" si="0"/>
        <v>34350</v>
      </c>
    </row>
    <row r="12" spans="1:5" ht="18.75" customHeight="1">
      <c r="A12" s="304" t="s">
        <v>311</v>
      </c>
      <c r="B12" s="301" t="s">
        <v>312</v>
      </c>
      <c r="C12" s="301">
        <v>1145280</v>
      </c>
      <c r="D12" s="301">
        <v>-81139</v>
      </c>
      <c r="E12" s="301">
        <f t="shared" si="0"/>
        <v>1064141</v>
      </c>
    </row>
    <row r="13" spans="1:5" s="12" customFormat="1" ht="22.5" customHeight="1">
      <c r="A13" s="37"/>
      <c r="B13" s="34" t="s">
        <v>181</v>
      </c>
      <c r="C13" s="34">
        <f>SUM(C4:C12)</f>
        <v>3919491</v>
      </c>
      <c r="D13" s="34">
        <f>SUM(D4:D12)</f>
        <v>80382</v>
      </c>
      <c r="E13" s="732">
        <f t="shared" si="0"/>
        <v>3999873</v>
      </c>
    </row>
    <row r="14" spans="1:5" ht="14.25" customHeight="1">
      <c r="A14" s="729" t="s">
        <v>182</v>
      </c>
      <c r="B14" s="730" t="s">
        <v>183</v>
      </c>
      <c r="C14" s="301"/>
      <c r="D14" s="730"/>
      <c r="E14" s="301"/>
    </row>
    <row r="15" spans="1:5" ht="14.25" customHeight="1">
      <c r="A15" s="304" t="s">
        <v>184</v>
      </c>
      <c r="B15" s="301" t="s">
        <v>185</v>
      </c>
      <c r="C15" s="301"/>
      <c r="D15" s="301">
        <v>2140</v>
      </c>
      <c r="E15" s="301">
        <f t="shared" si="0"/>
        <v>2140</v>
      </c>
    </row>
    <row r="16" spans="1:5" ht="17.25" customHeight="1">
      <c r="A16" s="304" t="s">
        <v>186</v>
      </c>
      <c r="B16" s="301" t="s">
        <v>187</v>
      </c>
      <c r="C16" s="301">
        <v>9335556</v>
      </c>
      <c r="D16" s="301"/>
      <c r="E16" s="301">
        <f t="shared" si="0"/>
        <v>9335556</v>
      </c>
    </row>
    <row r="17" spans="1:5" s="12" customFormat="1" ht="18.75" customHeight="1">
      <c r="A17" s="37"/>
      <c r="B17" s="34" t="s">
        <v>189</v>
      </c>
      <c r="C17" s="34">
        <f>SUM(C15:C16)</f>
        <v>9335556</v>
      </c>
      <c r="D17" s="34">
        <f>SUM(D15:D16)</f>
        <v>2140</v>
      </c>
      <c r="E17" s="732">
        <f t="shared" si="0"/>
        <v>9337696</v>
      </c>
    </row>
    <row r="18" spans="1:5" ht="14.25" customHeight="1">
      <c r="A18" s="729" t="s">
        <v>190</v>
      </c>
      <c r="B18" s="730" t="s">
        <v>150</v>
      </c>
      <c r="C18" s="301"/>
      <c r="D18" s="730"/>
      <c r="E18" s="301"/>
    </row>
    <row r="19" spans="1:5" ht="14.25" customHeight="1">
      <c r="A19" s="733" t="s">
        <v>274</v>
      </c>
      <c r="B19" s="734" t="s">
        <v>275</v>
      </c>
      <c r="C19" s="301">
        <v>1086000</v>
      </c>
      <c r="D19" s="734"/>
      <c r="E19" s="301">
        <f t="shared" si="0"/>
        <v>1086000</v>
      </c>
    </row>
    <row r="20" spans="1:5" ht="14.25" customHeight="1">
      <c r="A20" s="304" t="s">
        <v>191</v>
      </c>
      <c r="B20" s="301" t="s">
        <v>193</v>
      </c>
      <c r="C20" s="301"/>
      <c r="D20" s="301"/>
      <c r="E20" s="301"/>
    </row>
    <row r="21" spans="1:5" ht="14.25" customHeight="1">
      <c r="A21" s="731" t="s">
        <v>192</v>
      </c>
      <c r="B21" s="301" t="s">
        <v>141</v>
      </c>
      <c r="C21" s="301">
        <v>4700000</v>
      </c>
      <c r="D21" s="301"/>
      <c r="E21" s="301">
        <f t="shared" si="0"/>
        <v>4700000</v>
      </c>
    </row>
    <row r="22" spans="1:5" ht="14.25" customHeight="1">
      <c r="A22" s="731" t="s">
        <v>194</v>
      </c>
      <c r="B22" s="301" t="s">
        <v>217</v>
      </c>
      <c r="C22" s="301">
        <v>280000</v>
      </c>
      <c r="D22" s="301"/>
      <c r="E22" s="301">
        <f t="shared" si="0"/>
        <v>280000</v>
      </c>
    </row>
    <row r="23" spans="1:5" ht="15" customHeight="1">
      <c r="A23" s="731" t="s">
        <v>218</v>
      </c>
      <c r="B23" s="301" t="s">
        <v>303</v>
      </c>
      <c r="C23" s="301">
        <v>21000</v>
      </c>
      <c r="D23" s="301"/>
      <c r="E23" s="301">
        <f t="shared" si="0"/>
        <v>21000</v>
      </c>
    </row>
    <row r="24" spans="1:5" ht="14.25" customHeight="1">
      <c r="A24" s="304" t="s">
        <v>219</v>
      </c>
      <c r="B24" s="301" t="s">
        <v>302</v>
      </c>
      <c r="C24" s="301">
        <v>8000</v>
      </c>
      <c r="D24" s="301"/>
      <c r="E24" s="301">
        <f t="shared" si="0"/>
        <v>8000</v>
      </c>
    </row>
    <row r="25" spans="1:5" ht="15" customHeight="1">
      <c r="A25" s="37"/>
      <c r="B25" s="34" t="s">
        <v>220</v>
      </c>
      <c r="C25" s="34">
        <f>SUM(C18:C24)</f>
        <v>6095000</v>
      </c>
      <c r="D25" s="34">
        <f>SUM(D18:D24)</f>
        <v>0</v>
      </c>
      <c r="E25" s="732">
        <f t="shared" si="0"/>
        <v>6095000</v>
      </c>
    </row>
    <row r="26" spans="1:5" ht="15" customHeight="1">
      <c r="A26" s="37" t="s">
        <v>221</v>
      </c>
      <c r="B26" s="34" t="s">
        <v>395</v>
      </c>
      <c r="C26" s="34">
        <v>7031389</v>
      </c>
      <c r="D26" s="34">
        <v>7710</v>
      </c>
      <c r="E26" s="732">
        <f t="shared" si="0"/>
        <v>7039099</v>
      </c>
    </row>
    <row r="27" spans="1:5" ht="15" customHeight="1">
      <c r="A27" s="729" t="s">
        <v>222</v>
      </c>
      <c r="B27" s="730" t="s">
        <v>396</v>
      </c>
      <c r="C27" s="301"/>
      <c r="D27" s="730"/>
      <c r="E27" s="301">
        <f t="shared" si="0"/>
        <v>0</v>
      </c>
    </row>
    <row r="28" spans="1:5" ht="15" customHeight="1">
      <c r="A28" s="687" t="s">
        <v>223</v>
      </c>
      <c r="B28" s="301" t="s">
        <v>224</v>
      </c>
      <c r="C28" s="301">
        <v>76000</v>
      </c>
      <c r="D28" s="301"/>
      <c r="E28" s="301">
        <f t="shared" si="0"/>
        <v>76000</v>
      </c>
    </row>
    <row r="29" spans="1:5" ht="15" customHeight="1">
      <c r="A29" s="687" t="s">
        <v>276</v>
      </c>
      <c r="B29" s="301" t="s">
        <v>277</v>
      </c>
      <c r="C29" s="301"/>
      <c r="D29" s="301"/>
      <c r="E29" s="301">
        <f t="shared" si="0"/>
        <v>0</v>
      </c>
    </row>
    <row r="30" spans="1:5" ht="15" customHeight="1">
      <c r="A30" s="60"/>
      <c r="B30" s="34" t="s">
        <v>225</v>
      </c>
      <c r="C30" s="34">
        <f>SUM(C28:C29)</f>
        <v>76000</v>
      </c>
      <c r="D30" s="34"/>
      <c r="E30" s="732">
        <f t="shared" si="0"/>
        <v>76000</v>
      </c>
    </row>
    <row r="31" spans="1:5" ht="15" customHeight="1">
      <c r="A31" s="37" t="s">
        <v>226</v>
      </c>
      <c r="B31" s="34" t="s">
        <v>397</v>
      </c>
      <c r="C31" s="34"/>
      <c r="D31" s="34">
        <v>50</v>
      </c>
      <c r="E31" s="732">
        <f t="shared" si="0"/>
        <v>50</v>
      </c>
    </row>
    <row r="32" spans="1:5" ht="15" customHeight="1">
      <c r="A32" s="729" t="s">
        <v>227</v>
      </c>
      <c r="B32" s="730" t="s">
        <v>398</v>
      </c>
      <c r="C32" s="730"/>
      <c r="D32" s="730"/>
      <c r="E32" s="301">
        <f t="shared" si="0"/>
        <v>0</v>
      </c>
    </row>
    <row r="33" spans="1:5" ht="24.75" customHeight="1">
      <c r="A33" s="687" t="s">
        <v>47</v>
      </c>
      <c r="B33" s="301" t="s">
        <v>228</v>
      </c>
      <c r="C33" s="301">
        <v>3000</v>
      </c>
      <c r="D33" s="301"/>
      <c r="E33" s="301">
        <f t="shared" si="0"/>
        <v>3000</v>
      </c>
    </row>
    <row r="34" spans="1:5" ht="15" customHeight="1">
      <c r="A34" s="687" t="s">
        <v>229</v>
      </c>
      <c r="B34" s="301" t="s">
        <v>230</v>
      </c>
      <c r="C34" s="301"/>
      <c r="D34" s="301"/>
      <c r="E34" s="301">
        <f t="shared" si="0"/>
        <v>0</v>
      </c>
    </row>
    <row r="35" spans="1:5" ht="15" customHeight="1">
      <c r="A35" s="60"/>
      <c r="B35" s="34" t="s">
        <v>231</v>
      </c>
      <c r="C35" s="34">
        <f>SUM(C33:C34)</f>
        <v>3000</v>
      </c>
      <c r="D35" s="34">
        <f>SUM(D33:D34)</f>
        <v>0</v>
      </c>
      <c r="E35" s="732">
        <f t="shared" si="0"/>
        <v>3000</v>
      </c>
    </row>
    <row r="36" spans="1:5" ht="15" customHeight="1">
      <c r="A36" s="37" t="s">
        <v>232</v>
      </c>
      <c r="B36" s="34" t="s">
        <v>328</v>
      </c>
      <c r="C36" s="34">
        <f>SUM(C13+C17+C25+C26+C30+C31+C35)</f>
        <v>26460436</v>
      </c>
      <c r="D36" s="34">
        <f>SUM(D13+D17+D25+D26+D30+D31+D35)</f>
        <v>90282</v>
      </c>
      <c r="E36" s="732">
        <f t="shared" si="0"/>
        <v>26550718</v>
      </c>
    </row>
    <row r="37" spans="1:5" ht="15.75" customHeight="1">
      <c r="A37" s="729" t="s">
        <v>233</v>
      </c>
      <c r="B37" s="730" t="s">
        <v>399</v>
      </c>
      <c r="C37" s="730"/>
      <c r="D37" s="730"/>
      <c r="E37" s="301">
        <f t="shared" si="0"/>
        <v>0</v>
      </c>
    </row>
    <row r="38" spans="1:5" ht="14.25" customHeight="1">
      <c r="A38" s="304" t="s">
        <v>234</v>
      </c>
      <c r="B38" s="301" t="s">
        <v>235</v>
      </c>
      <c r="C38" s="301"/>
      <c r="D38" s="301"/>
      <c r="E38" s="301">
        <f t="shared" si="0"/>
        <v>0</v>
      </c>
    </row>
    <row r="39" spans="1:5" ht="14.25" customHeight="1">
      <c r="A39" s="678" t="s">
        <v>236</v>
      </c>
      <c r="B39" s="679" t="s">
        <v>237</v>
      </c>
      <c r="C39" s="301">
        <v>150000</v>
      </c>
      <c r="D39" s="679"/>
      <c r="E39" s="301">
        <f t="shared" si="0"/>
        <v>150000</v>
      </c>
    </row>
    <row r="40" spans="1:5" ht="14.25" customHeight="1">
      <c r="A40" s="678" t="s">
        <v>408</v>
      </c>
      <c r="B40" s="735" t="s">
        <v>407</v>
      </c>
      <c r="C40" s="301">
        <v>20687575</v>
      </c>
      <c r="D40" s="678">
        <v>200000</v>
      </c>
      <c r="E40" s="301">
        <f t="shared" si="0"/>
        <v>20887575</v>
      </c>
    </row>
    <row r="41" spans="1:5" ht="14.25" customHeight="1">
      <c r="A41" s="678" t="s">
        <v>238</v>
      </c>
      <c r="B41" s="679" t="s">
        <v>330</v>
      </c>
      <c r="C41" s="301">
        <v>16940041</v>
      </c>
      <c r="D41" s="679">
        <v>-23603</v>
      </c>
      <c r="E41" s="301">
        <f t="shared" si="0"/>
        <v>16916438</v>
      </c>
    </row>
    <row r="42" spans="1:5" ht="14.25" customHeight="1">
      <c r="A42" s="678" t="s">
        <v>48</v>
      </c>
      <c r="B42" s="679" t="s">
        <v>49</v>
      </c>
      <c r="C42" s="301"/>
      <c r="D42" s="679">
        <v>1020</v>
      </c>
      <c r="E42" s="301">
        <f t="shared" si="0"/>
        <v>1020</v>
      </c>
    </row>
    <row r="43" spans="1:5" ht="14.25" customHeight="1">
      <c r="A43" s="67"/>
      <c r="B43" s="34" t="s">
        <v>239</v>
      </c>
      <c r="C43" s="34">
        <f>SUM(C39:C41)</f>
        <v>37777616</v>
      </c>
      <c r="D43" s="34">
        <f>SUM(D39:D42)</f>
        <v>177417</v>
      </c>
      <c r="E43" s="34">
        <f>SUM(E39:E42)</f>
        <v>37955033</v>
      </c>
    </row>
    <row r="44" spans="1:5" ht="15.75" customHeight="1">
      <c r="A44" s="37"/>
      <c r="B44" s="34" t="s">
        <v>240</v>
      </c>
      <c r="C44" s="34">
        <f>SUM(C36+C43)</f>
        <v>64238052</v>
      </c>
      <c r="D44" s="34">
        <f>SUM(D36+D43)</f>
        <v>267699</v>
      </c>
      <c r="E44" s="732">
        <f t="shared" si="0"/>
        <v>64505751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="98" zoomScaleNormal="98" zoomScalePageLayoutView="0"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" sqref="K7"/>
    </sheetView>
  </sheetViews>
  <sheetFormatPr defaultColWidth="9.00390625" defaultRowHeight="12.75"/>
  <cols>
    <col min="1" max="1" width="66.125" style="124" customWidth="1"/>
    <col min="2" max="2" width="10.625" style="124" customWidth="1"/>
    <col min="3" max="3" width="9.875" style="124" customWidth="1"/>
    <col min="4" max="4" width="12.50390625" style="124" customWidth="1"/>
    <col min="5" max="5" width="12.625" style="124" customWidth="1"/>
    <col min="6" max="6" width="12.00390625" style="124" customWidth="1"/>
    <col min="7" max="7" width="11.50390625" style="124" customWidth="1"/>
    <col min="8" max="8" width="9.375" style="124" customWidth="1"/>
    <col min="9" max="9" width="10.375" style="124" customWidth="1"/>
    <col min="10" max="10" width="12.00390625" style="124" customWidth="1"/>
    <col min="11" max="11" width="11.50390625" style="124" customWidth="1"/>
    <col min="12" max="12" width="15.125" style="124" hidden="1" customWidth="1"/>
    <col min="13" max="16384" width="9.375" style="124" customWidth="1"/>
  </cols>
  <sheetData>
    <row r="1" spans="1:12" ht="21" customHeight="1">
      <c r="A1" s="123"/>
      <c r="B1" s="744" t="s">
        <v>410</v>
      </c>
      <c r="C1" s="745"/>
      <c r="D1" s="746" t="s">
        <v>50</v>
      </c>
      <c r="E1" s="747"/>
      <c r="F1" s="747"/>
      <c r="G1" s="744" t="s">
        <v>410</v>
      </c>
      <c r="H1" s="745"/>
      <c r="I1" s="746" t="s">
        <v>51</v>
      </c>
      <c r="J1" s="747"/>
      <c r="K1" s="747"/>
      <c r="L1" s="736"/>
    </row>
    <row r="2" spans="1:12" ht="32.25" customHeight="1">
      <c r="A2" s="737" t="s">
        <v>411</v>
      </c>
      <c r="B2" s="801"/>
      <c r="C2" s="802"/>
      <c r="D2" s="738" t="s">
        <v>412</v>
      </c>
      <c r="E2" s="738" t="s">
        <v>413</v>
      </c>
      <c r="F2" s="739" t="s">
        <v>414</v>
      </c>
      <c r="G2" s="801"/>
      <c r="H2" s="802"/>
      <c r="I2" s="738" t="s">
        <v>412</v>
      </c>
      <c r="J2" s="738" t="s">
        <v>413</v>
      </c>
      <c r="K2" s="739" t="s">
        <v>414</v>
      </c>
      <c r="L2" s="740" t="s">
        <v>415</v>
      </c>
    </row>
    <row r="3" spans="1:12" ht="11.25" customHeight="1">
      <c r="A3" s="125" t="s">
        <v>416</v>
      </c>
      <c r="B3" s="126" t="s">
        <v>417</v>
      </c>
      <c r="C3" s="127" t="s">
        <v>418</v>
      </c>
      <c r="D3" s="128"/>
      <c r="E3" s="128"/>
      <c r="F3" s="496"/>
      <c r="G3" s="126" t="s">
        <v>417</v>
      </c>
      <c r="H3" s="127" t="s">
        <v>418</v>
      </c>
      <c r="I3" s="128"/>
      <c r="J3" s="128"/>
      <c r="K3" s="496"/>
      <c r="L3" s="126"/>
    </row>
    <row r="4" spans="1:12" ht="13.5" customHeight="1">
      <c r="A4" s="129" t="s">
        <v>419</v>
      </c>
      <c r="B4" s="126"/>
      <c r="C4" s="126"/>
      <c r="D4" s="130"/>
      <c r="E4" s="130"/>
      <c r="F4" s="130"/>
      <c r="G4" s="126"/>
      <c r="H4" s="126"/>
      <c r="I4" s="130"/>
      <c r="J4" s="130"/>
      <c r="K4" s="130"/>
      <c r="L4" s="126"/>
    </row>
    <row r="5" spans="1:12" ht="15" customHeight="1">
      <c r="A5" s="126" t="s">
        <v>420</v>
      </c>
      <c r="B5" s="126"/>
      <c r="C5" s="126"/>
      <c r="D5" s="130">
        <v>5450000</v>
      </c>
      <c r="E5" s="130">
        <v>606621</v>
      </c>
      <c r="F5" s="130"/>
      <c r="G5" s="126"/>
      <c r="H5" s="126">
        <v>131.67</v>
      </c>
      <c r="I5" s="130">
        <v>5450000</v>
      </c>
      <c r="J5" s="130">
        <v>717601</v>
      </c>
      <c r="K5" s="130"/>
      <c r="L5" s="132"/>
    </row>
    <row r="6" spans="1:12" ht="15" customHeight="1">
      <c r="A6" s="126" t="s">
        <v>421</v>
      </c>
      <c r="B6" s="133"/>
      <c r="C6" s="133"/>
      <c r="D6" s="130"/>
      <c r="E6" s="130"/>
      <c r="F6" s="741"/>
      <c r="G6" s="133"/>
      <c r="H6" s="133"/>
      <c r="I6" s="130"/>
      <c r="J6" s="130"/>
      <c r="K6" s="130">
        <v>109143</v>
      </c>
      <c r="L6" s="132">
        <v>109143413</v>
      </c>
    </row>
    <row r="7" spans="1:12" ht="15" customHeight="1">
      <c r="A7" s="126" t="s">
        <v>422</v>
      </c>
      <c r="B7" s="126"/>
      <c r="C7" s="126"/>
      <c r="D7" s="130"/>
      <c r="E7" s="130"/>
      <c r="F7" s="130"/>
      <c r="G7" s="126"/>
      <c r="H7" s="126"/>
      <c r="I7" s="130"/>
      <c r="J7" s="130"/>
      <c r="K7" s="130"/>
      <c r="L7" s="132"/>
    </row>
    <row r="8" spans="1:12" ht="15" customHeight="1">
      <c r="A8" s="126" t="s">
        <v>423</v>
      </c>
      <c r="B8" s="126"/>
      <c r="C8" s="134">
        <v>2310</v>
      </c>
      <c r="D8" s="135">
        <v>25200</v>
      </c>
      <c r="E8" s="131">
        <v>59553</v>
      </c>
      <c r="F8" s="130"/>
      <c r="G8" s="126"/>
      <c r="H8" s="134">
        <v>2310</v>
      </c>
      <c r="I8" s="135">
        <v>25200</v>
      </c>
      <c r="J8" s="131">
        <v>59553</v>
      </c>
      <c r="K8" s="130"/>
      <c r="L8" s="132"/>
    </row>
    <row r="9" spans="1:12" ht="15" customHeight="1">
      <c r="A9" s="126" t="s">
        <v>424</v>
      </c>
      <c r="B9" s="126"/>
      <c r="C9" s="134">
        <v>399.2</v>
      </c>
      <c r="D9" s="135">
        <v>415000</v>
      </c>
      <c r="E9" s="131">
        <v>166539</v>
      </c>
      <c r="F9" s="130"/>
      <c r="G9" s="126"/>
      <c r="H9" s="134">
        <v>399.2</v>
      </c>
      <c r="I9" s="135">
        <v>415000</v>
      </c>
      <c r="J9" s="131">
        <v>166539</v>
      </c>
      <c r="K9" s="130"/>
      <c r="L9" s="132"/>
    </row>
    <row r="10" spans="1:12" ht="15" customHeight="1">
      <c r="A10" s="126" t="s">
        <v>425</v>
      </c>
      <c r="B10" s="126"/>
      <c r="C10" s="135">
        <v>323446</v>
      </c>
      <c r="D10" s="135">
        <v>70</v>
      </c>
      <c r="E10" s="131">
        <v>22641</v>
      </c>
      <c r="F10" s="130"/>
      <c r="G10" s="126"/>
      <c r="H10" s="135">
        <v>323446</v>
      </c>
      <c r="I10" s="135">
        <v>70</v>
      </c>
      <c r="J10" s="131">
        <v>22641</v>
      </c>
      <c r="K10" s="130"/>
      <c r="L10" s="132"/>
    </row>
    <row r="11" spans="1:12" ht="15" customHeight="1">
      <c r="A11" s="126" t="s">
        <v>426</v>
      </c>
      <c r="B11" s="126"/>
      <c r="C11" s="136">
        <v>219.09</v>
      </c>
      <c r="D11" s="135">
        <v>470000</v>
      </c>
      <c r="E11" s="131">
        <v>103339</v>
      </c>
      <c r="F11" s="130"/>
      <c r="G11" s="126"/>
      <c r="H11" s="136">
        <v>219.09</v>
      </c>
      <c r="I11" s="135">
        <v>470000</v>
      </c>
      <c r="J11" s="131">
        <v>103339</v>
      </c>
      <c r="K11" s="130"/>
      <c r="L11" s="132"/>
    </row>
    <row r="12" spans="1:12" ht="15" customHeight="1">
      <c r="A12" s="126" t="s">
        <v>427</v>
      </c>
      <c r="B12" s="126"/>
      <c r="C12" s="126"/>
      <c r="D12" s="135"/>
      <c r="E12" s="135"/>
      <c r="F12" s="130"/>
      <c r="G12" s="126"/>
      <c r="H12" s="126"/>
      <c r="I12" s="135"/>
      <c r="J12" s="135"/>
      <c r="K12" s="130"/>
      <c r="L12" s="132"/>
    </row>
    <row r="13" spans="1:12" ht="15" customHeight="1">
      <c r="A13" s="126" t="s">
        <v>428</v>
      </c>
      <c r="B13" s="126">
        <v>57513</v>
      </c>
      <c r="C13" s="126"/>
      <c r="D13" s="135">
        <v>2700</v>
      </c>
      <c r="E13" s="135">
        <f>SUM(B13*D13)/1000</f>
        <v>155285.1</v>
      </c>
      <c r="F13" s="130"/>
      <c r="G13" s="126">
        <v>57513</v>
      </c>
      <c r="H13" s="126"/>
      <c r="I13" s="135">
        <v>2700</v>
      </c>
      <c r="J13" s="135">
        <f>SUM(G13*I13)/1000</f>
        <v>155285.1</v>
      </c>
      <c r="K13" s="130"/>
      <c r="L13" s="132"/>
    </row>
    <row r="14" spans="1:12" ht="15" customHeight="1">
      <c r="A14" s="126" t="s">
        <v>429</v>
      </c>
      <c r="B14" s="126"/>
      <c r="C14" s="126"/>
      <c r="D14" s="135"/>
      <c r="E14" s="135"/>
      <c r="F14" s="130"/>
      <c r="G14" s="126"/>
      <c r="H14" s="126"/>
      <c r="I14" s="135"/>
      <c r="J14" s="135"/>
      <c r="K14" s="130"/>
      <c r="L14" s="132"/>
    </row>
    <row r="15" spans="1:12" ht="15" customHeight="1">
      <c r="A15" s="126" t="s">
        <v>430</v>
      </c>
      <c r="B15" s="126">
        <v>4112</v>
      </c>
      <c r="C15" s="126"/>
      <c r="D15" s="135">
        <v>2550</v>
      </c>
      <c r="E15" s="135">
        <v>10486</v>
      </c>
      <c r="F15" s="130"/>
      <c r="G15" s="126">
        <v>4112</v>
      </c>
      <c r="H15" s="126"/>
      <c r="I15" s="135">
        <v>2550</v>
      </c>
      <c r="J15" s="135">
        <v>10486</v>
      </c>
      <c r="K15" s="130"/>
      <c r="L15" s="132"/>
    </row>
    <row r="16" spans="1:12" ht="15" customHeight="1">
      <c r="A16" s="126" t="s">
        <v>431</v>
      </c>
      <c r="B16" s="126"/>
      <c r="C16" s="126"/>
      <c r="D16" s="135"/>
      <c r="E16" s="135"/>
      <c r="F16" s="130"/>
      <c r="G16" s="126"/>
      <c r="H16" s="126"/>
      <c r="I16" s="135"/>
      <c r="J16" s="135"/>
      <c r="K16" s="130"/>
      <c r="L16" s="132"/>
    </row>
    <row r="17" spans="1:12" ht="15" customHeight="1">
      <c r="A17" s="126" t="s">
        <v>432</v>
      </c>
      <c r="B17" s="126"/>
      <c r="C17" s="126"/>
      <c r="D17" s="136">
        <v>1</v>
      </c>
      <c r="E17" s="135">
        <v>22370</v>
      </c>
      <c r="F17" s="130"/>
      <c r="G17" s="126"/>
      <c r="H17" s="126"/>
      <c r="I17" s="136">
        <v>1</v>
      </c>
      <c r="J17" s="135">
        <v>22370</v>
      </c>
      <c r="K17" s="130"/>
      <c r="L17" s="132"/>
    </row>
    <row r="18" spans="1:12" ht="15" customHeight="1">
      <c r="A18" s="126" t="s">
        <v>433</v>
      </c>
      <c r="B18" s="126"/>
      <c r="C18" s="126"/>
      <c r="D18" s="130"/>
      <c r="E18" s="130"/>
      <c r="F18" s="130"/>
      <c r="G18" s="126"/>
      <c r="H18" s="126"/>
      <c r="I18" s="130"/>
      <c r="J18" s="130"/>
      <c r="K18" s="130"/>
      <c r="L18" s="132"/>
    </row>
    <row r="19" spans="1:12" ht="15" customHeight="1">
      <c r="A19" s="126" t="s">
        <v>434</v>
      </c>
      <c r="B19" s="126"/>
      <c r="C19" s="126"/>
      <c r="D19" s="130"/>
      <c r="E19" s="130">
        <v>-1148671</v>
      </c>
      <c r="F19" s="130"/>
      <c r="G19" s="126"/>
      <c r="H19" s="126"/>
      <c r="I19" s="130"/>
      <c r="J19" s="130">
        <v>-1148671</v>
      </c>
      <c r="K19" s="130"/>
      <c r="L19" s="132"/>
    </row>
    <row r="20" spans="1:12" ht="15" customHeight="1">
      <c r="A20" s="126" t="s">
        <v>52</v>
      </c>
      <c r="B20" s="126"/>
      <c r="C20" s="126"/>
      <c r="D20" s="130"/>
      <c r="E20" s="130"/>
      <c r="F20" s="130"/>
      <c r="G20" s="126"/>
      <c r="H20" s="126"/>
      <c r="I20" s="130"/>
      <c r="J20" s="130">
        <f>SUM(J5:J19)</f>
        <v>109143.1000000001</v>
      </c>
      <c r="K20" s="130"/>
      <c r="L20" s="132"/>
    </row>
    <row r="21" spans="1:12" ht="15" customHeight="1">
      <c r="A21" s="126" t="s">
        <v>435</v>
      </c>
      <c r="B21" s="126"/>
      <c r="C21" s="126">
        <v>1000</v>
      </c>
      <c r="D21" s="130">
        <v>100</v>
      </c>
      <c r="E21" s="130"/>
      <c r="F21" s="130">
        <v>100</v>
      </c>
      <c r="G21" s="126"/>
      <c r="H21" s="126">
        <v>1000</v>
      </c>
      <c r="I21" s="130">
        <v>100</v>
      </c>
      <c r="J21" s="130"/>
      <c r="K21" s="130">
        <v>100</v>
      </c>
      <c r="L21" s="132">
        <v>100000</v>
      </c>
    </row>
    <row r="22" spans="1:12" ht="15" customHeight="1">
      <c r="A22" s="129" t="s">
        <v>436</v>
      </c>
      <c r="B22" s="126"/>
      <c r="C22" s="126"/>
      <c r="D22" s="130"/>
      <c r="E22" s="130"/>
      <c r="F22" s="130"/>
      <c r="G22" s="126"/>
      <c r="H22" s="126"/>
      <c r="I22" s="130"/>
      <c r="J22" s="130"/>
      <c r="K22" s="130"/>
      <c r="L22" s="132"/>
    </row>
    <row r="23" spans="1:12" ht="24.75" customHeight="1">
      <c r="A23" s="137" t="s">
        <v>437</v>
      </c>
      <c r="B23" s="126"/>
      <c r="C23" s="126"/>
      <c r="D23" s="130"/>
      <c r="E23" s="130"/>
      <c r="F23" s="130"/>
      <c r="G23" s="126"/>
      <c r="H23" s="126"/>
      <c r="I23" s="130"/>
      <c r="J23" s="130"/>
      <c r="K23" s="130"/>
      <c r="L23" s="132"/>
    </row>
    <row r="24" spans="1:12" ht="15" customHeight="1">
      <c r="A24" s="137" t="s">
        <v>438</v>
      </c>
      <c r="B24" s="126"/>
      <c r="C24" s="126">
        <v>143.2</v>
      </c>
      <c r="D24" s="130">
        <v>4371500</v>
      </c>
      <c r="E24" s="130"/>
      <c r="F24" s="130">
        <v>625999</v>
      </c>
      <c r="G24" s="126"/>
      <c r="H24" s="126">
        <v>143.2</v>
      </c>
      <c r="I24" s="130">
        <v>4371500</v>
      </c>
      <c r="J24" s="130"/>
      <c r="K24" s="130">
        <v>625999</v>
      </c>
      <c r="L24" s="132">
        <v>625998800</v>
      </c>
    </row>
    <row r="25" spans="1:12" ht="24.75" customHeight="1">
      <c r="A25" s="137" t="s">
        <v>439</v>
      </c>
      <c r="B25" s="126"/>
      <c r="C25" s="126">
        <v>93</v>
      </c>
      <c r="D25" s="130">
        <v>2400000</v>
      </c>
      <c r="E25" s="130"/>
      <c r="F25" s="130">
        <v>223200</v>
      </c>
      <c r="G25" s="126"/>
      <c r="H25" s="126">
        <v>93</v>
      </c>
      <c r="I25" s="130">
        <v>2400000</v>
      </c>
      <c r="J25" s="130"/>
      <c r="K25" s="130">
        <v>223200</v>
      </c>
      <c r="L25" s="132">
        <v>223200000</v>
      </c>
    </row>
    <row r="26" spans="1:12" ht="13.5" customHeight="1">
      <c r="A26" s="126" t="s">
        <v>440</v>
      </c>
      <c r="B26" s="126"/>
      <c r="C26" s="126">
        <v>1617.7</v>
      </c>
      <c r="D26" s="130">
        <v>97400</v>
      </c>
      <c r="E26" s="130"/>
      <c r="F26" s="130">
        <v>157564</v>
      </c>
      <c r="G26" s="126"/>
      <c r="H26" s="126">
        <v>1617.7</v>
      </c>
      <c r="I26" s="130">
        <v>97400</v>
      </c>
      <c r="J26" s="130"/>
      <c r="K26" s="130">
        <v>157564</v>
      </c>
      <c r="L26" s="132">
        <v>157563980</v>
      </c>
    </row>
    <row r="27" spans="1:12" ht="15" customHeight="1">
      <c r="A27" s="126" t="s">
        <v>441</v>
      </c>
      <c r="B27" s="126"/>
      <c r="C27" s="126"/>
      <c r="D27" s="130"/>
      <c r="E27" s="130"/>
      <c r="F27" s="130"/>
      <c r="G27" s="126"/>
      <c r="H27" s="126"/>
      <c r="I27" s="130"/>
      <c r="J27" s="130"/>
      <c r="K27" s="130"/>
      <c r="L27" s="132"/>
    </row>
    <row r="28" spans="1:12" ht="15" customHeight="1">
      <c r="A28" s="126" t="s">
        <v>442</v>
      </c>
      <c r="B28" s="126"/>
      <c r="C28" s="126">
        <v>43</v>
      </c>
      <c r="D28" s="130">
        <v>396700</v>
      </c>
      <c r="E28" s="130"/>
      <c r="F28" s="130">
        <v>17058</v>
      </c>
      <c r="G28" s="126"/>
      <c r="H28" s="126">
        <v>43</v>
      </c>
      <c r="I28" s="130">
        <v>396700</v>
      </c>
      <c r="J28" s="130"/>
      <c r="K28" s="130">
        <v>17058</v>
      </c>
      <c r="L28" s="132">
        <v>17058100</v>
      </c>
    </row>
    <row r="29" spans="1:12" ht="24.75" customHeight="1" hidden="1">
      <c r="A29" s="137" t="s">
        <v>443</v>
      </c>
      <c r="B29" s="126"/>
      <c r="C29" s="126"/>
      <c r="D29" s="130">
        <v>363642</v>
      </c>
      <c r="E29" s="130"/>
      <c r="F29" s="130"/>
      <c r="G29" s="126"/>
      <c r="H29" s="126"/>
      <c r="I29" s="130">
        <v>363642</v>
      </c>
      <c r="J29" s="130"/>
      <c r="K29" s="130"/>
      <c r="L29" s="132"/>
    </row>
    <row r="30" spans="1:12" ht="15" customHeight="1">
      <c r="A30" s="126" t="s">
        <v>444</v>
      </c>
      <c r="B30" s="126"/>
      <c r="C30" s="126">
        <v>3</v>
      </c>
      <c r="D30" s="130">
        <v>1447300</v>
      </c>
      <c r="E30" s="130"/>
      <c r="F30" s="130">
        <v>4342</v>
      </c>
      <c r="G30" s="126"/>
      <c r="H30" s="126">
        <v>3</v>
      </c>
      <c r="I30" s="130">
        <v>1447300</v>
      </c>
      <c r="J30" s="130"/>
      <c r="K30" s="130">
        <v>4342</v>
      </c>
      <c r="L30" s="132">
        <v>4341900</v>
      </c>
    </row>
    <row r="31" spans="1:12" ht="15" customHeight="1">
      <c r="A31" s="129" t="s">
        <v>445</v>
      </c>
      <c r="B31" s="126"/>
      <c r="C31" s="126"/>
      <c r="D31" s="130"/>
      <c r="E31" s="130"/>
      <c r="F31" s="130"/>
      <c r="G31" s="126"/>
      <c r="H31" s="126"/>
      <c r="I31" s="130"/>
      <c r="J31" s="130"/>
      <c r="K31" s="130"/>
      <c r="L31" s="132"/>
    </row>
    <row r="32" spans="1:12" ht="15" customHeight="1">
      <c r="A32" s="126" t="s">
        <v>446</v>
      </c>
      <c r="B32" s="126"/>
      <c r="C32" s="126"/>
      <c r="D32" s="130">
        <v>3780000</v>
      </c>
      <c r="E32" s="130"/>
      <c r="F32" s="130">
        <v>31620</v>
      </c>
      <c r="G32" s="126"/>
      <c r="H32" s="126">
        <v>8.7</v>
      </c>
      <c r="I32" s="130">
        <v>3780000</v>
      </c>
      <c r="J32" s="130"/>
      <c r="K32" s="130">
        <v>32886</v>
      </c>
      <c r="L32" s="132">
        <v>32886000</v>
      </c>
    </row>
    <row r="33" spans="1:12" ht="15" customHeight="1">
      <c r="A33" s="126" t="s">
        <v>447</v>
      </c>
      <c r="B33" s="126"/>
      <c r="C33" s="126"/>
      <c r="D33" s="130">
        <v>3300000</v>
      </c>
      <c r="E33" s="130"/>
      <c r="F33" s="130">
        <v>78540</v>
      </c>
      <c r="G33" s="126"/>
      <c r="H33" s="126">
        <v>23.3</v>
      </c>
      <c r="I33" s="130">
        <v>3300000</v>
      </c>
      <c r="J33" s="130"/>
      <c r="K33" s="130">
        <v>76890</v>
      </c>
      <c r="L33" s="132">
        <v>76890000</v>
      </c>
    </row>
    <row r="34" spans="1:12" ht="12.75" customHeight="1">
      <c r="A34" s="126" t="s">
        <v>448</v>
      </c>
      <c r="B34" s="126"/>
      <c r="C34" s="126">
        <v>325</v>
      </c>
      <c r="D34" s="130">
        <v>71896</v>
      </c>
      <c r="E34" s="130"/>
      <c r="F34" s="130">
        <v>23366</v>
      </c>
      <c r="G34" s="126"/>
      <c r="H34" s="126">
        <v>325</v>
      </c>
      <c r="I34" s="130">
        <v>71896</v>
      </c>
      <c r="J34" s="130"/>
      <c r="K34" s="130">
        <v>23366</v>
      </c>
      <c r="L34" s="132">
        <v>23366200</v>
      </c>
    </row>
    <row r="35" spans="1:12" ht="9.75" customHeight="1">
      <c r="A35" s="126" t="s">
        <v>449</v>
      </c>
      <c r="B35" s="126"/>
      <c r="C35" s="126"/>
      <c r="D35" s="130"/>
      <c r="E35" s="130"/>
      <c r="F35" s="130"/>
      <c r="G35" s="126"/>
      <c r="H35" s="126"/>
      <c r="I35" s="130"/>
      <c r="J35" s="130"/>
      <c r="K35" s="130"/>
      <c r="L35" s="132"/>
    </row>
    <row r="36" spans="1:12" ht="15" customHeight="1">
      <c r="A36" s="126" t="s">
        <v>450</v>
      </c>
      <c r="B36" s="126"/>
      <c r="C36" s="126">
        <v>2</v>
      </c>
      <c r="D36" s="130">
        <v>25000</v>
      </c>
      <c r="E36" s="130"/>
      <c r="F36" s="130">
        <v>50</v>
      </c>
      <c r="G36" s="126"/>
      <c r="H36" s="126">
        <v>2</v>
      </c>
      <c r="I36" s="130">
        <v>25000</v>
      </c>
      <c r="J36" s="130"/>
      <c r="K36" s="130">
        <v>50</v>
      </c>
      <c r="L36" s="132">
        <v>50000</v>
      </c>
    </row>
    <row r="37" spans="1:12" ht="15" customHeight="1">
      <c r="A37" s="126" t="s">
        <v>451</v>
      </c>
      <c r="B37" s="126"/>
      <c r="C37" s="126">
        <v>53</v>
      </c>
      <c r="D37" s="130">
        <v>429000</v>
      </c>
      <c r="E37" s="130"/>
      <c r="F37" s="130">
        <v>22737</v>
      </c>
      <c r="G37" s="126"/>
      <c r="H37" s="126">
        <v>53</v>
      </c>
      <c r="I37" s="130">
        <v>429000</v>
      </c>
      <c r="J37" s="130"/>
      <c r="K37" s="130">
        <v>22737</v>
      </c>
      <c r="L37" s="132">
        <v>22737000</v>
      </c>
    </row>
    <row r="38" spans="1:12" ht="15" customHeight="1">
      <c r="A38" s="137" t="s">
        <v>452</v>
      </c>
      <c r="B38" s="126"/>
      <c r="C38" s="126">
        <v>70</v>
      </c>
      <c r="D38" s="130">
        <v>285000</v>
      </c>
      <c r="E38" s="130"/>
      <c r="F38" s="130">
        <v>19950</v>
      </c>
      <c r="G38" s="126"/>
      <c r="H38" s="126">
        <v>70</v>
      </c>
      <c r="I38" s="130">
        <v>285000</v>
      </c>
      <c r="J38" s="130"/>
      <c r="K38" s="130">
        <v>19950</v>
      </c>
      <c r="L38" s="132">
        <v>19950000</v>
      </c>
    </row>
    <row r="39" spans="1:12" ht="15" customHeight="1">
      <c r="A39" s="137" t="s">
        <v>453</v>
      </c>
      <c r="B39" s="126"/>
      <c r="C39" s="126">
        <v>4</v>
      </c>
      <c r="D39" s="130">
        <v>757900</v>
      </c>
      <c r="E39" s="130"/>
      <c r="F39" s="130">
        <v>3032</v>
      </c>
      <c r="G39" s="126"/>
      <c r="H39" s="126">
        <v>4</v>
      </c>
      <c r="I39" s="130">
        <v>757900</v>
      </c>
      <c r="J39" s="130"/>
      <c r="K39" s="130">
        <v>3032</v>
      </c>
      <c r="L39" s="132">
        <v>3031600</v>
      </c>
    </row>
    <row r="40" spans="1:12" ht="15" customHeight="1">
      <c r="A40" s="137" t="s">
        <v>454</v>
      </c>
      <c r="B40" s="126"/>
      <c r="C40" s="126">
        <v>25</v>
      </c>
      <c r="D40" s="130">
        <v>430800</v>
      </c>
      <c r="E40" s="130"/>
      <c r="F40" s="130">
        <v>10770</v>
      </c>
      <c r="G40" s="126"/>
      <c r="H40" s="126">
        <v>25</v>
      </c>
      <c r="I40" s="130">
        <v>430800</v>
      </c>
      <c r="J40" s="130"/>
      <c r="K40" s="130">
        <v>10770</v>
      </c>
      <c r="L40" s="132">
        <v>10770000</v>
      </c>
    </row>
    <row r="41" spans="1:12" ht="15" customHeight="1">
      <c r="A41" s="137" t="s">
        <v>455</v>
      </c>
      <c r="B41" s="126"/>
      <c r="C41" s="126">
        <v>15</v>
      </c>
      <c r="D41" s="130"/>
      <c r="E41" s="130"/>
      <c r="F41" s="130">
        <v>54229</v>
      </c>
      <c r="G41" s="126"/>
      <c r="H41" s="126">
        <v>15</v>
      </c>
      <c r="I41" s="130"/>
      <c r="J41" s="130"/>
      <c r="K41" s="130">
        <v>54229</v>
      </c>
      <c r="L41" s="132">
        <v>54228837</v>
      </c>
    </row>
    <row r="42" spans="1:12" ht="13.5" customHeight="1">
      <c r="A42" s="126" t="s">
        <v>456</v>
      </c>
      <c r="B42" s="126"/>
      <c r="C42" s="126"/>
      <c r="D42" s="130"/>
      <c r="E42" s="130"/>
      <c r="F42" s="130"/>
      <c r="G42" s="126"/>
      <c r="H42" s="126"/>
      <c r="I42" s="130"/>
      <c r="J42" s="130"/>
      <c r="K42" s="130"/>
      <c r="L42" s="132"/>
    </row>
    <row r="43" spans="1:12" ht="13.5" customHeight="1">
      <c r="A43" s="126" t="s">
        <v>457</v>
      </c>
      <c r="B43" s="126"/>
      <c r="C43" s="126">
        <v>18</v>
      </c>
      <c r="D43" s="130">
        <v>4419000</v>
      </c>
      <c r="E43" s="130"/>
      <c r="F43" s="130">
        <v>79542</v>
      </c>
      <c r="G43" s="126"/>
      <c r="H43" s="126">
        <v>18</v>
      </c>
      <c r="I43" s="130">
        <v>4419000</v>
      </c>
      <c r="J43" s="130"/>
      <c r="K43" s="130">
        <v>79542</v>
      </c>
      <c r="L43" s="132">
        <v>79542000</v>
      </c>
    </row>
    <row r="44" spans="1:12" ht="13.5" customHeight="1">
      <c r="A44" s="126" t="s">
        <v>458</v>
      </c>
      <c r="B44" s="126"/>
      <c r="C44" s="126">
        <v>51.4</v>
      </c>
      <c r="D44" s="130">
        <v>2993000</v>
      </c>
      <c r="E44" s="130"/>
      <c r="F44" s="130">
        <v>153840</v>
      </c>
      <c r="G44" s="126"/>
      <c r="H44" s="126">
        <v>51.4</v>
      </c>
      <c r="I44" s="130">
        <v>2993000</v>
      </c>
      <c r="J44" s="130"/>
      <c r="K44" s="130">
        <v>153840</v>
      </c>
      <c r="L44" s="132">
        <v>153840200</v>
      </c>
    </row>
    <row r="45" spans="1:12" ht="13.5" customHeight="1">
      <c r="A45" s="126" t="s">
        <v>459</v>
      </c>
      <c r="B45" s="126"/>
      <c r="C45" s="126"/>
      <c r="D45" s="130"/>
      <c r="E45" s="130"/>
      <c r="F45" s="130">
        <v>97692</v>
      </c>
      <c r="G45" s="126"/>
      <c r="H45" s="126"/>
      <c r="I45" s="130"/>
      <c r="J45" s="130"/>
      <c r="K45" s="130">
        <v>97692</v>
      </c>
      <c r="L45" s="132">
        <v>97692000</v>
      </c>
    </row>
    <row r="46" spans="1:12" ht="26.25" customHeight="1">
      <c r="A46" s="137" t="s">
        <v>460</v>
      </c>
      <c r="B46" s="126"/>
      <c r="C46" s="126"/>
      <c r="D46" s="130"/>
      <c r="E46" s="130"/>
      <c r="F46" s="130"/>
      <c r="G46" s="126"/>
      <c r="H46" s="126"/>
      <c r="I46" s="130"/>
      <c r="J46" s="130"/>
      <c r="K46" s="130"/>
      <c r="L46" s="132"/>
    </row>
    <row r="47" spans="1:12" ht="13.5" customHeight="1">
      <c r="A47" s="137" t="s">
        <v>461</v>
      </c>
      <c r="B47" s="126"/>
      <c r="C47" s="126">
        <v>36.2</v>
      </c>
      <c r="D47" s="130">
        <v>3858040</v>
      </c>
      <c r="E47" s="130"/>
      <c r="F47" s="130">
        <v>139661</v>
      </c>
      <c r="G47" s="126"/>
      <c r="H47" s="126">
        <v>36.2</v>
      </c>
      <c r="I47" s="130">
        <v>3858040</v>
      </c>
      <c r="J47" s="130"/>
      <c r="K47" s="130">
        <v>139661</v>
      </c>
      <c r="L47" s="132">
        <v>139661048</v>
      </c>
    </row>
    <row r="48" spans="1:12" ht="13.5" customHeight="1">
      <c r="A48" s="126" t="s">
        <v>462</v>
      </c>
      <c r="B48" s="126"/>
      <c r="C48" s="126"/>
      <c r="D48" s="130"/>
      <c r="E48" s="130"/>
      <c r="F48" s="130">
        <v>19913</v>
      </c>
      <c r="G48" s="126"/>
      <c r="H48" s="126"/>
      <c r="I48" s="130"/>
      <c r="J48" s="130"/>
      <c r="K48" s="130">
        <v>19913</v>
      </c>
      <c r="L48" s="132">
        <v>19913000</v>
      </c>
    </row>
    <row r="49" spans="1:12" ht="13.5" customHeight="1">
      <c r="A49" s="138" t="s">
        <v>463</v>
      </c>
      <c r="B49" s="126"/>
      <c r="C49" s="126"/>
      <c r="D49" s="130"/>
      <c r="E49" s="130"/>
      <c r="F49" s="130"/>
      <c r="G49" s="126"/>
      <c r="H49" s="126"/>
      <c r="I49" s="130"/>
      <c r="J49" s="130"/>
      <c r="K49" s="130"/>
      <c r="L49" s="132"/>
    </row>
    <row r="50" spans="1:12" ht="13.5" customHeight="1">
      <c r="A50" s="126" t="s">
        <v>464</v>
      </c>
      <c r="B50" s="126"/>
      <c r="C50" s="126">
        <v>106.91</v>
      </c>
      <c r="D50" s="130">
        <v>2200000</v>
      </c>
      <c r="E50" s="130"/>
      <c r="F50" s="130">
        <v>235202</v>
      </c>
      <c r="G50" s="126"/>
      <c r="H50" s="126">
        <v>106.91</v>
      </c>
      <c r="I50" s="130">
        <v>2200000</v>
      </c>
      <c r="J50" s="130"/>
      <c r="K50" s="130">
        <v>235202</v>
      </c>
      <c r="L50" s="132">
        <v>235202000</v>
      </c>
    </row>
    <row r="51" spans="1:12" ht="13.5" customHeight="1">
      <c r="A51" s="126" t="s">
        <v>465</v>
      </c>
      <c r="B51" s="126"/>
      <c r="C51" s="126"/>
      <c r="D51" s="130"/>
      <c r="E51" s="130"/>
      <c r="F51" s="130">
        <v>293738</v>
      </c>
      <c r="G51" s="126"/>
      <c r="H51" s="126"/>
      <c r="I51" s="130"/>
      <c r="J51" s="130"/>
      <c r="K51" s="130">
        <v>293738</v>
      </c>
      <c r="L51" s="132">
        <v>293738201</v>
      </c>
    </row>
    <row r="52" spans="1:12" ht="13.5" customHeight="1">
      <c r="A52" s="126" t="s">
        <v>466</v>
      </c>
      <c r="B52" s="126"/>
      <c r="C52" s="126">
        <v>2046</v>
      </c>
      <c r="D52" s="130">
        <v>285</v>
      </c>
      <c r="E52" s="130"/>
      <c r="F52" s="130">
        <v>583</v>
      </c>
      <c r="G52" s="126"/>
      <c r="H52" s="126">
        <v>2046</v>
      </c>
      <c r="I52" s="130">
        <v>285</v>
      </c>
      <c r="J52" s="130"/>
      <c r="K52" s="130">
        <v>583</v>
      </c>
      <c r="L52" s="132">
        <v>583110</v>
      </c>
    </row>
    <row r="53" spans="1:12" ht="13.5" customHeight="1">
      <c r="A53" s="139" t="s">
        <v>467</v>
      </c>
      <c r="B53" s="126"/>
      <c r="C53" s="126"/>
      <c r="D53" s="130"/>
      <c r="E53" s="130"/>
      <c r="F53" s="130"/>
      <c r="G53" s="126"/>
      <c r="H53" s="126"/>
      <c r="I53" s="130"/>
      <c r="J53" s="130"/>
      <c r="K53" s="130"/>
      <c r="L53" s="132"/>
    </row>
    <row r="54" spans="1:12" ht="13.5" customHeight="1">
      <c r="A54" s="137" t="s">
        <v>468</v>
      </c>
      <c r="B54" s="126">
        <v>57513</v>
      </c>
      <c r="C54" s="126"/>
      <c r="D54" s="130">
        <v>459</v>
      </c>
      <c r="E54" s="130"/>
      <c r="F54" s="130">
        <v>26399</v>
      </c>
      <c r="G54" s="126">
        <v>57513</v>
      </c>
      <c r="H54" s="126"/>
      <c r="I54" s="130">
        <v>459</v>
      </c>
      <c r="J54" s="130"/>
      <c r="K54" s="130">
        <v>26399</v>
      </c>
      <c r="L54" s="132">
        <v>26398467</v>
      </c>
    </row>
    <row r="55" spans="1:12" ht="24.75" customHeight="1">
      <c r="A55" s="137" t="s">
        <v>469</v>
      </c>
      <c r="B55" s="126"/>
      <c r="C55" s="126"/>
      <c r="D55" s="130"/>
      <c r="E55" s="130"/>
      <c r="F55" s="130">
        <v>175534</v>
      </c>
      <c r="G55" s="126"/>
      <c r="H55" s="126"/>
      <c r="I55" s="130"/>
      <c r="J55" s="130"/>
      <c r="K55" s="130">
        <v>175534</v>
      </c>
      <c r="L55" s="132">
        <v>175534300</v>
      </c>
    </row>
    <row r="56" spans="1:12" ht="17.25" customHeight="1">
      <c r="A56" s="140" t="s">
        <v>470</v>
      </c>
      <c r="B56" s="126"/>
      <c r="C56" s="126"/>
      <c r="D56" s="130"/>
      <c r="E56" s="130"/>
      <c r="F56" s="130"/>
      <c r="G56" s="126"/>
      <c r="H56" s="126"/>
      <c r="I56" s="130"/>
      <c r="J56" s="130"/>
      <c r="K56" s="130"/>
      <c r="L56" s="132"/>
    </row>
    <row r="57" spans="1:12" ht="17.25" customHeight="1">
      <c r="A57" s="140" t="s">
        <v>53</v>
      </c>
      <c r="B57" s="126"/>
      <c r="C57" s="126"/>
      <c r="D57" s="130"/>
      <c r="E57" s="130"/>
      <c r="F57" s="130"/>
      <c r="G57" s="126"/>
      <c r="H57" s="126"/>
      <c r="I57" s="130"/>
      <c r="J57" s="130"/>
      <c r="K57" s="130"/>
      <c r="L57" s="132"/>
    </row>
    <row r="58" spans="1:12" ht="27.75" customHeight="1">
      <c r="A58" s="137" t="s">
        <v>54</v>
      </c>
      <c r="B58" s="126"/>
      <c r="C58" s="126"/>
      <c r="D58" s="130"/>
      <c r="E58" s="130"/>
      <c r="F58" s="130"/>
      <c r="G58" s="126"/>
      <c r="H58" s="126"/>
      <c r="I58" s="130"/>
      <c r="J58" s="130"/>
      <c r="K58" s="130">
        <v>2879</v>
      </c>
      <c r="L58" s="132">
        <v>2878525</v>
      </c>
    </row>
    <row r="59" spans="1:12" ht="17.25" customHeight="1">
      <c r="A59" s="137" t="s">
        <v>55</v>
      </c>
      <c r="B59" s="126"/>
      <c r="C59" s="126"/>
      <c r="D59" s="130"/>
      <c r="E59" s="130"/>
      <c r="F59" s="130"/>
      <c r="G59" s="126"/>
      <c r="H59" s="126"/>
      <c r="I59" s="130"/>
      <c r="J59" s="130"/>
      <c r="K59" s="130"/>
      <c r="L59" s="132"/>
    </row>
    <row r="60" spans="1:12" ht="17.25" customHeight="1">
      <c r="A60" s="137" t="s">
        <v>56</v>
      </c>
      <c r="B60" s="126"/>
      <c r="C60" s="126"/>
      <c r="D60" s="130"/>
      <c r="E60" s="130"/>
      <c r="F60" s="130"/>
      <c r="G60" s="126"/>
      <c r="H60" s="126"/>
      <c r="I60" s="130"/>
      <c r="J60" s="130"/>
      <c r="K60" s="130">
        <v>32127</v>
      </c>
      <c r="L60" s="132">
        <v>32127028</v>
      </c>
    </row>
    <row r="61" spans="1:12" ht="17.25" customHeight="1">
      <c r="A61" s="137" t="s">
        <v>57</v>
      </c>
      <c r="B61" s="126"/>
      <c r="C61" s="126"/>
      <c r="D61" s="130"/>
      <c r="E61" s="130"/>
      <c r="F61" s="130"/>
      <c r="G61" s="126"/>
      <c r="H61" s="126"/>
      <c r="I61" s="130"/>
      <c r="J61" s="130"/>
      <c r="K61" s="130">
        <v>791</v>
      </c>
      <c r="L61" s="132">
        <v>790527</v>
      </c>
    </row>
    <row r="62" spans="1:12" ht="17.25" customHeight="1">
      <c r="A62" s="137" t="s">
        <v>471</v>
      </c>
      <c r="B62" s="126"/>
      <c r="C62" s="126"/>
      <c r="D62" s="130"/>
      <c r="E62" s="130"/>
      <c r="F62" s="130"/>
      <c r="G62" s="126"/>
      <c r="H62" s="126"/>
      <c r="I62" s="130"/>
      <c r="J62" s="130"/>
      <c r="K62" s="130"/>
      <c r="L62" s="132"/>
    </row>
    <row r="63" spans="1:12" ht="24.75" customHeight="1">
      <c r="A63" s="137" t="s">
        <v>472</v>
      </c>
      <c r="B63" s="126"/>
      <c r="C63" s="126"/>
      <c r="D63" s="130"/>
      <c r="E63" s="130"/>
      <c r="F63" s="130">
        <v>110200</v>
      </c>
      <c r="G63" s="126"/>
      <c r="H63" s="126"/>
      <c r="I63" s="130"/>
      <c r="J63" s="130"/>
      <c r="K63" s="130">
        <v>110200</v>
      </c>
      <c r="L63" s="132">
        <v>110200000</v>
      </c>
    </row>
    <row r="64" spans="1:12" ht="24.75" customHeight="1">
      <c r="A64" s="137" t="s">
        <v>473</v>
      </c>
      <c r="B64" s="126"/>
      <c r="C64" s="126"/>
      <c r="D64" s="130"/>
      <c r="E64" s="130"/>
      <c r="F64" s="130">
        <v>135000</v>
      </c>
      <c r="G64" s="126"/>
      <c r="H64" s="126"/>
      <c r="I64" s="130"/>
      <c r="J64" s="130"/>
      <c r="K64" s="130">
        <v>135000</v>
      </c>
      <c r="L64" s="132">
        <v>135000000</v>
      </c>
    </row>
    <row r="65" spans="1:12" ht="21.75" customHeight="1">
      <c r="A65" s="137" t="s">
        <v>58</v>
      </c>
      <c r="B65" s="126"/>
      <c r="C65" s="126"/>
      <c r="D65" s="130"/>
      <c r="E65" s="130"/>
      <c r="F65" s="130"/>
      <c r="G65" s="126"/>
      <c r="H65" s="126"/>
      <c r="I65" s="130"/>
      <c r="J65" s="130"/>
      <c r="K65" s="130">
        <v>16965</v>
      </c>
      <c r="L65" s="132">
        <v>16965456</v>
      </c>
    </row>
    <row r="66" spans="1:12" ht="21" customHeight="1">
      <c r="A66" s="140" t="s">
        <v>59</v>
      </c>
      <c r="B66" s="126"/>
      <c r="C66" s="126"/>
      <c r="D66" s="130"/>
      <c r="E66" s="130"/>
      <c r="F66" s="130"/>
      <c r="G66" s="126"/>
      <c r="H66" s="126"/>
      <c r="I66" s="130"/>
      <c r="J66" s="130"/>
      <c r="K66" s="130">
        <v>2140</v>
      </c>
      <c r="L66" s="132">
        <v>2139989</v>
      </c>
    </row>
    <row r="67" spans="1:12" ht="13.5" customHeight="1">
      <c r="A67" s="141" t="s">
        <v>474</v>
      </c>
      <c r="B67" s="142"/>
      <c r="C67" s="742"/>
      <c r="D67" s="743"/>
      <c r="E67" s="743"/>
      <c r="F67" s="743">
        <f>SUM(F5:F66)</f>
        <v>2739861</v>
      </c>
      <c r="G67" s="142"/>
      <c r="H67" s="742"/>
      <c r="I67" s="743"/>
      <c r="J67" s="743"/>
      <c r="K67" s="743">
        <f>SUM(K5:K66)</f>
        <v>2903522</v>
      </c>
      <c r="L67" s="743">
        <f>SUM(L5:L66)</f>
        <v>2903521681</v>
      </c>
    </row>
    <row r="68" spans="2:6" ht="12.75" customHeight="1">
      <c r="B68" s="143"/>
      <c r="C68" s="143"/>
      <c r="D68" s="143"/>
      <c r="E68" s="143"/>
      <c r="F68" s="143"/>
    </row>
    <row r="69" ht="12.75" customHeight="1"/>
  </sheetData>
  <sheetProtection selectLockedCells="1" selectUnlockedCells="1"/>
  <mergeCells count="4">
    <mergeCell ref="G1:H2"/>
    <mergeCell ref="I1:K1"/>
    <mergeCell ref="B1:C2"/>
    <mergeCell ref="D1:F1"/>
  </mergeCells>
  <printOptions horizontalCentered="1" verticalCentered="1"/>
  <pageMargins left="0.03937007874015748" right="0.03937007874015748" top="0.3937007874015748" bottom="0.03937007874015748" header="0" footer="0.03937007874015748"/>
  <pageSetup horizontalDpi="300" verticalDpi="300" orientation="landscape" paperSize="9" scale="75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375" style="13" customWidth="1"/>
    <col min="2" max="2" width="50.50390625" style="13" customWidth="1"/>
    <col min="3" max="5" width="16.375" style="13" customWidth="1"/>
    <col min="6" max="16384" width="9.375" style="13" customWidth="1"/>
  </cols>
  <sheetData>
    <row r="1" spans="1:5" s="33" customFormat="1" ht="49.5" customHeight="1" thickBot="1">
      <c r="A1" s="47" t="s">
        <v>334</v>
      </c>
      <c r="B1" s="47" t="s">
        <v>321</v>
      </c>
      <c r="C1" s="47" t="s">
        <v>485</v>
      </c>
      <c r="D1" s="47" t="s">
        <v>43</v>
      </c>
      <c r="E1" s="47" t="s">
        <v>45</v>
      </c>
    </row>
    <row r="2" spans="1:5" s="33" customFormat="1" ht="19.5" customHeight="1">
      <c r="A2" s="803"/>
      <c r="B2" s="804" t="s">
        <v>327</v>
      </c>
      <c r="C2" s="804"/>
      <c r="D2" s="804"/>
      <c r="E2" s="803"/>
    </row>
    <row r="3" spans="1:5" s="22" customFormat="1" ht="12.75">
      <c r="A3" s="805" t="s">
        <v>335</v>
      </c>
      <c r="B3" s="49" t="s">
        <v>300</v>
      </c>
      <c r="C3" s="680">
        <v>4466098</v>
      </c>
      <c r="D3" s="680">
        <f>25371+'[2]táj.2'!G817</f>
        <v>25371</v>
      </c>
      <c r="E3" s="806">
        <f>SUM(C3:D3)</f>
        <v>4491469</v>
      </c>
    </row>
    <row r="4" spans="1:5" s="22" customFormat="1" ht="12.75">
      <c r="A4" s="805" t="s">
        <v>336</v>
      </c>
      <c r="B4" s="49" t="s">
        <v>389</v>
      </c>
      <c r="C4" s="680">
        <v>857992</v>
      </c>
      <c r="D4" s="680">
        <f>4972+'[2]táj.2'!H817</f>
        <v>4972</v>
      </c>
      <c r="E4" s="806">
        <f>SUM(C4:D4)</f>
        <v>862964</v>
      </c>
    </row>
    <row r="5" spans="1:5" s="22" customFormat="1" ht="12.75">
      <c r="A5" s="805" t="s">
        <v>337</v>
      </c>
      <c r="B5" s="51" t="s">
        <v>390</v>
      </c>
      <c r="C5" s="681">
        <v>11480656</v>
      </c>
      <c r="D5" s="680">
        <f>-28759+'[2]táj.2'!I817</f>
        <v>-28759</v>
      </c>
      <c r="E5" s="806">
        <f>SUM(C5:D5)</f>
        <v>11451897</v>
      </c>
    </row>
    <row r="6" spans="1:5" s="22" customFormat="1" ht="12.75">
      <c r="A6" s="805" t="s">
        <v>338</v>
      </c>
      <c r="B6" s="51" t="s">
        <v>151</v>
      </c>
      <c r="C6" s="681">
        <v>100500</v>
      </c>
      <c r="D6" s="680">
        <f>-1650+'[2]táj.2'!J817</f>
        <v>-1650</v>
      </c>
      <c r="E6" s="806">
        <f>SUM(C6:D6)</f>
        <v>98850</v>
      </c>
    </row>
    <row r="7" spans="1:5" s="22" customFormat="1" ht="12.75">
      <c r="A7" s="805" t="s">
        <v>339</v>
      </c>
      <c r="B7" s="51" t="s">
        <v>167</v>
      </c>
      <c r="C7" s="681">
        <v>2325878</v>
      </c>
      <c r="D7" s="680">
        <f>93687+'[2]táj.2'!K817</f>
        <v>93687</v>
      </c>
      <c r="E7" s="806">
        <f>SUM(C7:D7)</f>
        <v>2419565</v>
      </c>
    </row>
    <row r="8" spans="1:5" s="22" customFormat="1" ht="13.5">
      <c r="A8" s="805"/>
      <c r="B8" s="59" t="s">
        <v>402</v>
      </c>
      <c r="C8" s="682">
        <v>19231124</v>
      </c>
      <c r="D8" s="682">
        <f>SUM(D3:D7)</f>
        <v>93621</v>
      </c>
      <c r="E8" s="58">
        <f>SUM(E3:E7)</f>
        <v>19324745</v>
      </c>
    </row>
    <row r="9" spans="1:5" s="22" customFormat="1" ht="12.75">
      <c r="A9" s="48" t="s">
        <v>340</v>
      </c>
      <c r="B9" s="50" t="s">
        <v>157</v>
      </c>
      <c r="C9" s="681">
        <v>27277699</v>
      </c>
      <c r="D9" s="681">
        <f>4167+'[2]táj.2'!L817</f>
        <v>204167</v>
      </c>
      <c r="E9" s="50">
        <f>SUM(C9:D9)</f>
        <v>27481866</v>
      </c>
    </row>
    <row r="10" spans="1:5" s="22" customFormat="1" ht="12.75">
      <c r="A10" s="48" t="s">
        <v>341</v>
      </c>
      <c r="B10" s="50" t="s">
        <v>156</v>
      </c>
      <c r="C10" s="681">
        <v>5398062</v>
      </c>
      <c r="D10" s="681">
        <f>-41059+'[2]táj.2'!M817</f>
        <v>-41059</v>
      </c>
      <c r="E10" s="50">
        <f>SUM(C10:D10)</f>
        <v>5357003</v>
      </c>
    </row>
    <row r="11" spans="1:5" s="22" customFormat="1" ht="12.75">
      <c r="A11" s="48" t="s">
        <v>342</v>
      </c>
      <c r="B11" s="50" t="s">
        <v>254</v>
      </c>
      <c r="C11" s="681">
        <v>102329</v>
      </c>
      <c r="D11" s="681">
        <f>9950+'[2]táj.2'!N817</f>
        <v>9950</v>
      </c>
      <c r="E11" s="50">
        <f>SUM(C11:D11)</f>
        <v>112279</v>
      </c>
    </row>
    <row r="12" spans="1:5" s="22" customFormat="1" ht="13.5">
      <c r="A12" s="48"/>
      <c r="B12" s="59" t="s">
        <v>403</v>
      </c>
      <c r="C12" s="682">
        <v>32778090</v>
      </c>
      <c r="D12" s="682">
        <f>SUM(D9:D11)</f>
        <v>173058</v>
      </c>
      <c r="E12" s="58">
        <f>SUM(E9:E11)</f>
        <v>32951148</v>
      </c>
    </row>
    <row r="13" spans="1:5" s="22" customFormat="1" ht="18" customHeight="1">
      <c r="A13" s="48" t="s">
        <v>255</v>
      </c>
      <c r="B13" s="59" t="s">
        <v>256</v>
      </c>
      <c r="C13" s="682">
        <v>52009214</v>
      </c>
      <c r="D13" s="682">
        <f>SUM(D8+D12)</f>
        <v>266679</v>
      </c>
      <c r="E13" s="58">
        <f>SUM(E8+E12)</f>
        <v>52275893</v>
      </c>
    </row>
    <row r="14" spans="1:5" s="22" customFormat="1" ht="16.5" customHeight="1">
      <c r="A14" s="48" t="s">
        <v>257</v>
      </c>
      <c r="B14" s="59" t="s">
        <v>326</v>
      </c>
      <c r="C14" s="682">
        <v>12228838</v>
      </c>
      <c r="D14" s="682">
        <f>1020+'[2]táj.2'!O817+'[2]táj.2'!P817</f>
        <v>1020</v>
      </c>
      <c r="E14" s="58">
        <f>SUM(C14:D14)</f>
        <v>12229858</v>
      </c>
    </row>
    <row r="15" spans="1:5" s="22" customFormat="1" ht="18.75" customHeight="1">
      <c r="A15" s="52"/>
      <c r="B15" s="53" t="s">
        <v>310</v>
      </c>
      <c r="C15" s="683">
        <v>64238052</v>
      </c>
      <c r="D15" s="683">
        <f>SUM(D14+D13)</f>
        <v>267699</v>
      </c>
      <c r="E15" s="54">
        <f>SUM(E13:E14)</f>
        <v>64505751</v>
      </c>
    </row>
    <row r="16" spans="1:5" s="1" customFormat="1" ht="12.75">
      <c r="A16" s="55"/>
      <c r="B16" s="55"/>
      <c r="C16" s="55"/>
      <c r="D16" s="55"/>
      <c r="E16" s="55"/>
    </row>
    <row r="17" spans="1:5" s="1" customFormat="1" ht="12.75">
      <c r="A17" s="55"/>
      <c r="B17" s="55"/>
      <c r="C17" s="55"/>
      <c r="D17" s="55"/>
      <c r="E17" s="55"/>
    </row>
    <row r="18" spans="1:5" s="1" customFormat="1" ht="12.75">
      <c r="A18" s="55"/>
      <c r="B18" s="55"/>
      <c r="C18" s="55"/>
      <c r="D18" s="55"/>
      <c r="E18" s="55"/>
    </row>
    <row r="19" spans="1:5" s="1" customFormat="1" ht="12.75">
      <c r="A19" s="55"/>
      <c r="B19" s="55"/>
      <c r="C19" s="55"/>
      <c r="D19" s="55"/>
      <c r="E19" s="55"/>
    </row>
    <row r="20" spans="1:5" s="1" customFormat="1" ht="12.75">
      <c r="A20" s="55"/>
      <c r="B20" s="55"/>
      <c r="C20" s="55"/>
      <c r="D20" s="55"/>
      <c r="E20" s="55"/>
    </row>
    <row r="21" spans="1:5" s="1" customFormat="1" ht="12.75">
      <c r="A21" s="55"/>
      <c r="B21" s="55"/>
      <c r="C21" s="55"/>
      <c r="D21" s="55"/>
      <c r="E21" s="55"/>
    </row>
    <row r="22" spans="1:5" s="1" customFormat="1" ht="12.75">
      <c r="A22" s="55"/>
      <c r="B22" s="55"/>
      <c r="C22" s="55"/>
      <c r="D22" s="55"/>
      <c r="E22" s="55"/>
    </row>
    <row r="23" spans="1:5" s="1" customFormat="1" ht="12.75">
      <c r="A23" s="55"/>
      <c r="B23" s="55"/>
      <c r="C23" s="55"/>
      <c r="D23" s="55"/>
      <c r="E23" s="55"/>
    </row>
    <row r="24" spans="1:5" s="1" customFormat="1" ht="12.75">
      <c r="A24" s="55"/>
      <c r="B24" s="55"/>
      <c r="C24" s="55"/>
      <c r="D24" s="55"/>
      <c r="E24" s="55"/>
    </row>
    <row r="25" spans="1:5" s="1" customFormat="1" ht="12.75">
      <c r="A25" s="55"/>
      <c r="B25" s="55"/>
      <c r="C25" s="55"/>
      <c r="D25" s="55"/>
      <c r="E25" s="55"/>
    </row>
    <row r="26" spans="1:5" s="1" customFormat="1" ht="12.75">
      <c r="A26" s="56"/>
      <c r="B26" s="55"/>
      <c r="C26" s="55"/>
      <c r="D26" s="55"/>
      <c r="E26" s="55"/>
    </row>
    <row r="27" spans="1:5" ht="12.75">
      <c r="A27" s="56"/>
      <c r="B27" s="56"/>
      <c r="C27" s="56"/>
      <c r="D27" s="56"/>
      <c r="E27" s="56"/>
    </row>
    <row r="28" spans="1:5" ht="12.75">
      <c r="A28" s="56"/>
      <c r="B28" s="56"/>
      <c r="C28" s="56"/>
      <c r="D28" s="56"/>
      <c r="E28" s="56"/>
    </row>
    <row r="29" spans="1:5" ht="12.75">
      <c r="A29" s="56"/>
      <c r="B29" s="56"/>
      <c r="C29" s="56"/>
      <c r="D29" s="56"/>
      <c r="E29" s="56"/>
    </row>
    <row r="30" spans="1:5" ht="12.75">
      <c r="A30" s="56"/>
      <c r="B30" s="56"/>
      <c r="C30" s="56"/>
      <c r="D30" s="56"/>
      <c r="E30" s="56"/>
    </row>
    <row r="31" spans="1:5" ht="12.75">
      <c r="A31" s="56"/>
      <c r="B31" s="56"/>
      <c r="C31" s="56"/>
      <c r="D31" s="56"/>
      <c r="E31" s="56"/>
    </row>
    <row r="32" spans="2:5" ht="12.75">
      <c r="B32" s="56"/>
      <c r="C32" s="56"/>
      <c r="D32" s="56"/>
      <c r="E32" s="5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3.375" style="17" customWidth="1"/>
    <col min="2" max="2" width="7.00390625" style="17" customWidth="1"/>
    <col min="3" max="3" width="23.375" style="17" customWidth="1"/>
    <col min="4" max="4" width="12.375" style="17" customWidth="1"/>
    <col min="5" max="5" width="14.375" style="17" customWidth="1"/>
    <col min="6" max="6" width="10.875" style="17" customWidth="1"/>
    <col min="7" max="7" width="10.375" style="17" customWidth="1"/>
    <col min="8" max="8" width="12.00390625" style="17" customWidth="1"/>
    <col min="9" max="9" width="14.00390625" style="17" customWidth="1"/>
    <col min="10" max="10" width="14.875" style="17" customWidth="1"/>
    <col min="11" max="11" width="13.375" style="17" customWidth="1"/>
    <col min="12" max="12" width="14.875" style="17" customWidth="1"/>
    <col min="13" max="13" width="13.625" style="17" customWidth="1"/>
    <col min="14" max="14" width="11.50390625" style="17" customWidth="1"/>
    <col min="15" max="16384" width="9.375" style="17" customWidth="1"/>
  </cols>
  <sheetData>
    <row r="1" spans="1:14" ht="12.75">
      <c r="A1" s="752" t="s">
        <v>266</v>
      </c>
      <c r="B1" s="752" t="s">
        <v>267</v>
      </c>
      <c r="C1" s="753" t="s">
        <v>321</v>
      </c>
      <c r="D1" s="750" t="s">
        <v>328</v>
      </c>
      <c r="E1" s="750"/>
      <c r="F1" s="750"/>
      <c r="G1" s="750"/>
      <c r="H1" s="750"/>
      <c r="I1" s="750"/>
      <c r="J1" s="750"/>
      <c r="K1" s="750" t="s">
        <v>399</v>
      </c>
      <c r="L1" s="750"/>
      <c r="M1" s="751"/>
      <c r="N1" s="748" t="s">
        <v>322</v>
      </c>
    </row>
    <row r="2" spans="1:14" s="18" customFormat="1" ht="54.75" customHeight="1" thickBot="1">
      <c r="A2" s="752"/>
      <c r="B2" s="752"/>
      <c r="C2" s="753"/>
      <c r="D2" s="66" t="s">
        <v>148</v>
      </c>
      <c r="E2" s="66" t="s">
        <v>149</v>
      </c>
      <c r="F2" s="65" t="s">
        <v>150</v>
      </c>
      <c r="G2" s="63" t="s">
        <v>395</v>
      </c>
      <c r="H2" s="65" t="s">
        <v>396</v>
      </c>
      <c r="I2" s="65" t="s">
        <v>397</v>
      </c>
      <c r="J2" s="65" t="s">
        <v>398</v>
      </c>
      <c r="K2" s="65" t="s">
        <v>329</v>
      </c>
      <c r="L2" s="65" t="s">
        <v>330</v>
      </c>
      <c r="M2" s="69" t="s">
        <v>332</v>
      </c>
      <c r="N2" s="749"/>
    </row>
    <row r="3" spans="1:14" ht="16.5" customHeight="1">
      <c r="A3" s="38">
        <v>1</v>
      </c>
      <c r="B3" s="38"/>
      <c r="C3" s="38" t="s">
        <v>381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70"/>
    </row>
    <row r="4" spans="1:14" ht="24.75" customHeight="1">
      <c r="A4" s="39"/>
      <c r="B4" s="39">
        <v>12</v>
      </c>
      <c r="C4" s="68" t="s">
        <v>287</v>
      </c>
      <c r="D4" s="40">
        <f>'[2]5.a'!E8</f>
        <v>0</v>
      </c>
      <c r="E4" s="40">
        <f>'[2]5.a'!F8</f>
        <v>0</v>
      </c>
      <c r="F4" s="40">
        <f>'[2]5.a'!G8</f>
        <v>0</v>
      </c>
      <c r="G4" s="40">
        <f>'[2]5.a'!H8</f>
        <v>9906</v>
      </c>
      <c r="H4" s="40">
        <f>'[2]5.a'!I8</f>
        <v>0</v>
      </c>
      <c r="I4" s="40">
        <f>'[2]5.a'!J8</f>
        <v>0</v>
      </c>
      <c r="J4" s="40">
        <f>'[2]5.a'!K8</f>
        <v>0</v>
      </c>
      <c r="K4" s="40">
        <f>'[2]5.a'!L8</f>
        <v>0</v>
      </c>
      <c r="L4" s="40">
        <f>'[2]5.a'!M8</f>
        <v>0</v>
      </c>
      <c r="M4" s="40">
        <f>'[2]5.a'!N8</f>
        <v>0</v>
      </c>
      <c r="N4" s="40">
        <f>SUM(D4:M4)</f>
        <v>9906</v>
      </c>
    </row>
    <row r="5" spans="1:14" ht="16.5" customHeight="1">
      <c r="A5" s="39"/>
      <c r="B5" s="39">
        <v>13</v>
      </c>
      <c r="C5" s="38" t="s">
        <v>288</v>
      </c>
      <c r="D5" s="40">
        <f>'[2]5.a'!E14</f>
        <v>41101</v>
      </c>
      <c r="E5" s="40">
        <f>'[2]5.a'!F14</f>
        <v>0</v>
      </c>
      <c r="F5" s="40">
        <f>'[2]5.a'!G14</f>
        <v>0</v>
      </c>
      <c r="G5" s="40">
        <f>'[2]5.a'!H14</f>
        <v>5715</v>
      </c>
      <c r="H5" s="40">
        <f>'[2]5.a'!I14</f>
        <v>0</v>
      </c>
      <c r="I5" s="40">
        <f>'[2]5.a'!J14</f>
        <v>0</v>
      </c>
      <c r="J5" s="40">
        <f>'[2]5.a'!K14</f>
        <v>0</v>
      </c>
      <c r="K5" s="40">
        <f>'[2]5.a'!L14</f>
        <v>0</v>
      </c>
      <c r="L5" s="40">
        <f>'[2]5.a'!M14</f>
        <v>0</v>
      </c>
      <c r="M5" s="40">
        <f>'[2]5.a'!N14</f>
        <v>0</v>
      </c>
      <c r="N5" s="40">
        <f aca="true" t="shared" si="0" ref="N5:N16">SUM(D5:M5)</f>
        <v>46816</v>
      </c>
    </row>
    <row r="6" spans="1:14" ht="16.5" customHeight="1">
      <c r="A6" s="198"/>
      <c r="B6" s="198">
        <v>14</v>
      </c>
      <c r="C6" s="211" t="s">
        <v>383</v>
      </c>
      <c r="D6" s="40">
        <f>'[2]5.a'!E18</f>
        <v>0</v>
      </c>
      <c r="E6" s="40">
        <f>'[2]5.a'!F18</f>
        <v>0</v>
      </c>
      <c r="F6" s="40">
        <f>'[2]5.a'!G18</f>
        <v>0</v>
      </c>
      <c r="G6" s="40">
        <f>'[2]5.a'!H18</f>
        <v>5080</v>
      </c>
      <c r="H6" s="40">
        <f>'[2]5.a'!I18</f>
        <v>0</v>
      </c>
      <c r="I6" s="40">
        <f>'[2]5.a'!J18</f>
        <v>0</v>
      </c>
      <c r="J6" s="40">
        <f>'[2]5.a'!K18</f>
        <v>0</v>
      </c>
      <c r="K6" s="40">
        <f>'[2]5.a'!L18</f>
        <v>0</v>
      </c>
      <c r="L6" s="40">
        <f>'[2]5.a'!M18</f>
        <v>0</v>
      </c>
      <c r="M6" s="40">
        <f>'[2]5.a'!N18</f>
        <v>0</v>
      </c>
      <c r="N6" s="40">
        <f t="shared" si="0"/>
        <v>5080</v>
      </c>
    </row>
    <row r="7" spans="1:14" ht="16.5" customHeight="1">
      <c r="A7" s="39"/>
      <c r="B7" s="39">
        <v>15</v>
      </c>
      <c r="C7" s="38" t="s">
        <v>377</v>
      </c>
      <c r="D7" s="40">
        <f>'[2]5.a'!E32</f>
        <v>0</v>
      </c>
      <c r="E7" s="40">
        <f>'[2]5.a'!F32</f>
        <v>2499</v>
      </c>
      <c r="F7" s="40">
        <f>'[2]5.a'!G32</f>
        <v>0</v>
      </c>
      <c r="G7" s="40">
        <f>'[2]5.a'!H32</f>
        <v>536868</v>
      </c>
      <c r="H7" s="40">
        <f>'[2]5.a'!I32</f>
        <v>0</v>
      </c>
      <c r="I7" s="40">
        <f>'[2]5.a'!J32</f>
        <v>0</v>
      </c>
      <c r="J7" s="40">
        <f>'[2]5.a'!K32</f>
        <v>0</v>
      </c>
      <c r="K7" s="40">
        <f>'[2]5.a'!L32</f>
        <v>0</v>
      </c>
      <c r="L7" s="40">
        <f>'[2]5.a'!M32</f>
        <v>0</v>
      </c>
      <c r="M7" s="40">
        <f>'[2]5.a'!N32</f>
        <v>0</v>
      </c>
      <c r="N7" s="40">
        <f t="shared" si="0"/>
        <v>539367</v>
      </c>
    </row>
    <row r="8" spans="1:14" ht="16.5" customHeight="1">
      <c r="A8" s="39"/>
      <c r="B8" s="39">
        <v>16</v>
      </c>
      <c r="C8" s="38" t="s">
        <v>309</v>
      </c>
      <c r="D8" s="40">
        <f>'[2]5.a'!E84</f>
        <v>125235</v>
      </c>
      <c r="E8" s="40">
        <f>'[2]5.a'!F84</f>
        <v>9333057</v>
      </c>
      <c r="F8" s="40">
        <f>'[2]5.a'!G84</f>
        <v>0</v>
      </c>
      <c r="G8" s="40">
        <f>'[2]5.a'!H84</f>
        <v>4563836</v>
      </c>
      <c r="H8" s="40">
        <f>'[2]5.a'!I84</f>
        <v>0</v>
      </c>
      <c r="I8" s="40">
        <f>'[2]5.a'!J84</f>
        <v>0</v>
      </c>
      <c r="J8" s="40">
        <f>'[2]5.a'!K84</f>
        <v>0</v>
      </c>
      <c r="K8" s="40">
        <f>'[2]5.a'!L84</f>
        <v>132076</v>
      </c>
      <c r="L8" s="40">
        <f>'[2]5.a'!M84</f>
        <v>15263430</v>
      </c>
      <c r="M8" s="40">
        <f>'[2]5.a'!N84</f>
        <v>8320000</v>
      </c>
      <c r="N8" s="40">
        <f t="shared" si="0"/>
        <v>37737634</v>
      </c>
    </row>
    <row r="9" spans="1:14" ht="16.5" customHeight="1">
      <c r="A9" s="39"/>
      <c r="B9" s="39">
        <v>17</v>
      </c>
      <c r="C9" s="38" t="s">
        <v>378</v>
      </c>
      <c r="D9" s="40">
        <f>'[2]5.a'!E108</f>
        <v>0</v>
      </c>
      <c r="E9" s="40">
        <f>'[2]5.a'!F108</f>
        <v>0</v>
      </c>
      <c r="F9" s="40">
        <f>'[2]5.a'!G108</f>
        <v>0</v>
      </c>
      <c r="G9" s="40">
        <f>'[2]5.a'!H108</f>
        <v>431671</v>
      </c>
      <c r="H9" s="40">
        <f>'[2]5.a'!I108</f>
        <v>76000</v>
      </c>
      <c r="I9" s="40">
        <f>'[2]5.a'!J108</f>
        <v>0</v>
      </c>
      <c r="J9" s="40">
        <f>'[2]5.a'!K108</f>
        <v>3000</v>
      </c>
      <c r="K9" s="40">
        <f>'[2]5.a'!L108</f>
        <v>0</v>
      </c>
      <c r="L9" s="40">
        <f>'[2]5.a'!M108</f>
        <v>120445</v>
      </c>
      <c r="M9" s="40">
        <f>'[2]5.a'!N108</f>
        <v>117575</v>
      </c>
      <c r="N9" s="40">
        <f t="shared" si="0"/>
        <v>748691</v>
      </c>
    </row>
    <row r="10" spans="1:14" ht="16.5" customHeight="1">
      <c r="A10" s="39"/>
      <c r="B10" s="39">
        <v>18</v>
      </c>
      <c r="C10" s="38" t="s">
        <v>379</v>
      </c>
      <c r="D10" s="40">
        <f>'[2]5.a'!E116</f>
        <v>0</v>
      </c>
      <c r="E10" s="40">
        <f>'[2]5.a'!F116</f>
        <v>0</v>
      </c>
      <c r="F10" s="40">
        <f>'[2]5.a'!G116</f>
        <v>3000</v>
      </c>
      <c r="G10" s="40">
        <f>'[2]5.a'!H116</f>
        <v>75620</v>
      </c>
      <c r="H10" s="40">
        <f>'[2]5.a'!I116</f>
        <v>0</v>
      </c>
      <c r="I10" s="40">
        <f>'[2]5.a'!J116</f>
        <v>0</v>
      </c>
      <c r="J10" s="40">
        <f>'[2]5.a'!K116</f>
        <v>0</v>
      </c>
      <c r="K10" s="40">
        <f>'[2]5.a'!L116</f>
        <v>0</v>
      </c>
      <c r="L10" s="40">
        <f>'[2]5.a'!M116</f>
        <v>0</v>
      </c>
      <c r="M10" s="40">
        <f>'[2]5.a'!N116</f>
        <v>0</v>
      </c>
      <c r="N10" s="40">
        <f t="shared" si="0"/>
        <v>78620</v>
      </c>
    </row>
    <row r="11" spans="1:14" ht="16.5" customHeight="1">
      <c r="A11" s="39"/>
      <c r="B11" s="39">
        <v>19</v>
      </c>
      <c r="C11" s="38" t="s">
        <v>264</v>
      </c>
      <c r="D11" s="40">
        <f>'[2]5.a'!E146</f>
        <v>3206132</v>
      </c>
      <c r="E11" s="40">
        <f>'[2]5.a'!F146</f>
        <v>2140</v>
      </c>
      <c r="F11" s="40">
        <f>'[2]5.a'!G146</f>
        <v>6092000</v>
      </c>
      <c r="G11" s="40">
        <f>'[2]5.a'!H146</f>
        <v>112044</v>
      </c>
      <c r="H11" s="40">
        <f>'[2]5.a'!I146</f>
        <v>0</v>
      </c>
      <c r="I11" s="40">
        <f>'[2]5.a'!J146</f>
        <v>0</v>
      </c>
      <c r="J11" s="40">
        <f>'[2]5.a'!K146</f>
        <v>0</v>
      </c>
      <c r="K11" s="40">
        <f>'[2]5.a'!L146</f>
        <v>17924</v>
      </c>
      <c r="L11" s="40">
        <f>'[2]5.a'!M146</f>
        <v>1239885</v>
      </c>
      <c r="M11" s="40">
        <f>'[2]5.a'!N146</f>
        <v>12451020</v>
      </c>
      <c r="N11" s="40">
        <f t="shared" si="0"/>
        <v>23121145</v>
      </c>
    </row>
    <row r="12" spans="1:14" ht="16.5" customHeight="1">
      <c r="A12" s="39"/>
      <c r="B12" s="39">
        <v>20</v>
      </c>
      <c r="C12" s="7" t="s">
        <v>138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f t="shared" si="0"/>
        <v>0</v>
      </c>
    </row>
    <row r="13" spans="1:14" ht="16.5" customHeight="1">
      <c r="A13" s="39"/>
      <c r="B13" s="39">
        <v>22</v>
      </c>
      <c r="C13" s="807" t="s">
        <v>143</v>
      </c>
      <c r="D13" s="40">
        <f>'[2]5.a'!E156</f>
        <v>9250</v>
      </c>
      <c r="E13" s="40">
        <f>'[2]5.a'!F156</f>
        <v>0</v>
      </c>
      <c r="F13" s="40">
        <f>'[2]5.a'!G156</f>
        <v>0</v>
      </c>
      <c r="G13" s="40">
        <f>'[2]5.a'!H156</f>
        <v>15748</v>
      </c>
      <c r="H13" s="40">
        <f>'[2]5.a'!I156</f>
        <v>0</v>
      </c>
      <c r="I13" s="40">
        <f>'[2]5.a'!J156</f>
        <v>50</v>
      </c>
      <c r="J13" s="40">
        <f>'[2]5.a'!K156</f>
        <v>0</v>
      </c>
      <c r="K13" s="40">
        <f>'[2]5.a'!L156</f>
        <v>0</v>
      </c>
      <c r="L13" s="40">
        <f>'[2]5.a'!M156</f>
        <v>0</v>
      </c>
      <c r="M13" s="40">
        <f>'[2]5.a'!N156</f>
        <v>0</v>
      </c>
      <c r="N13" s="40">
        <f t="shared" si="0"/>
        <v>25048</v>
      </c>
    </row>
    <row r="14" spans="1:14" ht="36" customHeight="1">
      <c r="A14" s="41"/>
      <c r="B14" s="41"/>
      <c r="C14" s="62" t="s">
        <v>146</v>
      </c>
      <c r="D14" s="57">
        <f aca="true" t="shared" si="1" ref="D14:M14">SUM(D4:D13)</f>
        <v>3381718</v>
      </c>
      <c r="E14" s="57">
        <f t="shared" si="1"/>
        <v>9337696</v>
      </c>
      <c r="F14" s="57">
        <f t="shared" si="1"/>
        <v>6095000</v>
      </c>
      <c r="G14" s="57">
        <f t="shared" si="1"/>
        <v>5756488</v>
      </c>
      <c r="H14" s="57">
        <f t="shared" si="1"/>
        <v>76000</v>
      </c>
      <c r="I14" s="57">
        <f t="shared" si="1"/>
        <v>50</v>
      </c>
      <c r="J14" s="57">
        <f t="shared" si="1"/>
        <v>3000</v>
      </c>
      <c r="K14" s="57">
        <f t="shared" si="1"/>
        <v>150000</v>
      </c>
      <c r="L14" s="57">
        <f t="shared" si="1"/>
        <v>16623760</v>
      </c>
      <c r="M14" s="57">
        <f t="shared" si="1"/>
        <v>20888595</v>
      </c>
      <c r="N14" s="57">
        <f t="shared" si="0"/>
        <v>62312307</v>
      </c>
    </row>
    <row r="15" spans="1:14" ht="16.5" customHeight="1">
      <c r="A15" s="43">
        <v>2</v>
      </c>
      <c r="B15" s="43"/>
      <c r="C15" s="38" t="s">
        <v>382</v>
      </c>
      <c r="D15" s="40">
        <f>'[2]5.a'!E158</f>
        <v>618155</v>
      </c>
      <c r="E15" s="40">
        <f>'[2]5.a'!F158</f>
        <v>0</v>
      </c>
      <c r="F15" s="40">
        <f>'[2]5.a'!G158</f>
        <v>0</v>
      </c>
      <c r="G15" s="40">
        <f>'[2]5.a'!H158</f>
        <v>1282611</v>
      </c>
      <c r="H15" s="40">
        <f>'[2]5.a'!I158</f>
        <v>0</v>
      </c>
      <c r="I15" s="40">
        <f>'[2]5.a'!J158</f>
        <v>0</v>
      </c>
      <c r="J15" s="40">
        <f>'[2]5.a'!K158</f>
        <v>0</v>
      </c>
      <c r="K15" s="40"/>
      <c r="L15" s="40">
        <f>'[2]5.a'!M158</f>
        <v>292678</v>
      </c>
      <c r="M15" s="40"/>
      <c r="N15" s="40">
        <f t="shared" si="0"/>
        <v>2193444</v>
      </c>
    </row>
    <row r="16" spans="1:14" ht="16.5" customHeight="1">
      <c r="A16" s="41"/>
      <c r="B16" s="41"/>
      <c r="C16" s="42" t="s">
        <v>372</v>
      </c>
      <c r="D16" s="57">
        <f aca="true" t="shared" si="2" ref="D16:M16">SUM(D14:D15)</f>
        <v>3999873</v>
      </c>
      <c r="E16" s="57">
        <f t="shared" si="2"/>
        <v>9337696</v>
      </c>
      <c r="F16" s="57">
        <f t="shared" si="2"/>
        <v>6095000</v>
      </c>
      <c r="G16" s="57">
        <f t="shared" si="2"/>
        <v>7039099</v>
      </c>
      <c r="H16" s="57">
        <f t="shared" si="2"/>
        <v>76000</v>
      </c>
      <c r="I16" s="57">
        <f t="shared" si="2"/>
        <v>50</v>
      </c>
      <c r="J16" s="57">
        <f t="shared" si="2"/>
        <v>3000</v>
      </c>
      <c r="K16" s="57">
        <f t="shared" si="2"/>
        <v>150000</v>
      </c>
      <c r="L16" s="57">
        <f t="shared" si="2"/>
        <v>16916438</v>
      </c>
      <c r="M16" s="57">
        <f t="shared" si="2"/>
        <v>20888595</v>
      </c>
      <c r="N16" s="57">
        <f t="shared" si="0"/>
        <v>64505751</v>
      </c>
    </row>
    <row r="17" spans="3:13" ht="16.5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3:12" ht="13.5" customHeight="1">
      <c r="C18" s="19"/>
      <c r="D18" s="20"/>
      <c r="E18" s="20"/>
      <c r="F18" s="20"/>
      <c r="G18" s="20"/>
      <c r="H18" s="20"/>
      <c r="I18" s="20"/>
      <c r="J18" s="20"/>
      <c r="K18" s="20"/>
      <c r="L18" s="20"/>
    </row>
    <row r="19" spans="4:12" ht="13.5" customHeight="1">
      <c r="D19" s="20"/>
      <c r="E19" s="20"/>
      <c r="F19" s="20"/>
      <c r="G19" s="20"/>
      <c r="H19" s="20"/>
      <c r="I19" s="20"/>
      <c r="J19" s="20"/>
      <c r="K19" s="20"/>
      <c r="L19" s="20"/>
    </row>
    <row r="20" spans="4:12" ht="13.5" customHeight="1">
      <c r="D20" s="20"/>
      <c r="E20" s="20"/>
      <c r="F20" s="20"/>
      <c r="G20" s="20"/>
      <c r="H20" s="20"/>
      <c r="I20" s="20"/>
      <c r="J20" s="20"/>
      <c r="K20" s="20"/>
      <c r="L20" s="20"/>
    </row>
    <row r="21" spans="4:12" ht="13.5" customHeight="1">
      <c r="D21" s="20"/>
      <c r="E21" s="20"/>
      <c r="F21" s="20"/>
      <c r="G21" s="20"/>
      <c r="H21" s="20"/>
      <c r="I21" s="20"/>
      <c r="J21" s="20"/>
      <c r="K21" s="20"/>
      <c r="L21" s="20"/>
    </row>
    <row r="22" spans="4:12" ht="13.5" customHeight="1">
      <c r="D22" s="20"/>
      <c r="E22" s="20"/>
      <c r="F22" s="20"/>
      <c r="G22" s="20"/>
      <c r="H22" s="20"/>
      <c r="I22" s="20"/>
      <c r="J22" s="20"/>
      <c r="K22" s="20"/>
      <c r="L22" s="20"/>
    </row>
    <row r="23" spans="4:12" ht="13.5" customHeight="1">
      <c r="D23" s="20"/>
      <c r="E23" s="20"/>
      <c r="F23" s="20"/>
      <c r="G23" s="20"/>
      <c r="H23" s="20"/>
      <c r="I23" s="20"/>
      <c r="J23" s="20"/>
      <c r="K23" s="20"/>
      <c r="L23" s="20"/>
    </row>
    <row r="24" spans="4:12" ht="13.5" customHeight="1">
      <c r="D24" s="20"/>
      <c r="E24" s="20"/>
      <c r="F24" s="20"/>
      <c r="G24" s="20"/>
      <c r="H24" s="20"/>
      <c r="I24" s="20"/>
      <c r="J24" s="20"/>
      <c r="K24" s="20"/>
      <c r="L24" s="20"/>
    </row>
    <row r="25" spans="4:12" ht="13.5" customHeight="1">
      <c r="D25" s="20"/>
      <c r="E25" s="20"/>
      <c r="F25" s="20"/>
      <c r="G25" s="20"/>
      <c r="H25" s="20"/>
      <c r="I25" s="20"/>
      <c r="J25" s="20"/>
      <c r="K25" s="20"/>
      <c r="L25" s="20"/>
    </row>
    <row r="26" spans="4:12" ht="13.5" customHeight="1">
      <c r="D26" s="20"/>
      <c r="E26" s="20"/>
      <c r="F26" s="20"/>
      <c r="G26" s="20"/>
      <c r="H26" s="20"/>
      <c r="I26" s="20"/>
      <c r="J26" s="20"/>
      <c r="K26" s="20"/>
      <c r="L26" s="20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1200" verticalDpi="1200" orientation="landscape" paperSize="9" scale="9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5"/>
  <sheetViews>
    <sheetView zoomScale="96" zoomScaleNormal="96" zoomScalePageLayoutView="0" workbookViewId="0" topLeftCell="A1">
      <pane ySplit="1" topLeftCell="A137" activePane="bottomLeft" state="frozen"/>
      <selection pane="topLeft" activeCell="A1" sqref="A1"/>
      <selection pane="bottomLeft" activeCell="C162" sqref="C162"/>
    </sheetView>
  </sheetViews>
  <sheetFormatPr defaultColWidth="9.00390625" defaultRowHeight="12.75"/>
  <cols>
    <col min="1" max="1" width="5.375" style="158" customWidth="1"/>
    <col min="2" max="2" width="5.50390625" style="158" customWidth="1"/>
    <col min="3" max="3" width="40.875" style="158" customWidth="1"/>
    <col min="4" max="4" width="9.875" style="186" customWidth="1"/>
    <col min="5" max="5" width="13.00390625" style="158" customWidth="1"/>
    <col min="6" max="6" width="13.125" style="158" customWidth="1"/>
    <col min="7" max="7" width="12.375" style="158" customWidth="1"/>
    <col min="8" max="8" width="11.375" style="158" customWidth="1"/>
    <col min="9" max="9" width="11.875" style="158" customWidth="1"/>
    <col min="10" max="10" width="10.875" style="158" customWidth="1"/>
    <col min="11" max="11" width="13.125" style="158" customWidth="1"/>
    <col min="12" max="12" width="11.50390625" style="158" customWidth="1"/>
    <col min="13" max="14" width="12.375" style="158" customWidth="1"/>
    <col min="15" max="15" width="13.125" style="158" customWidth="1"/>
    <col min="16" max="16" width="7.375" style="158" customWidth="1"/>
    <col min="17" max="255" width="9.375" style="158" customWidth="1"/>
    <col min="256" max="16384" width="5.375" style="158" customWidth="1"/>
  </cols>
  <sheetData>
    <row r="1" spans="1:15" ht="13.5">
      <c r="A1" s="757" t="s">
        <v>266</v>
      </c>
      <c r="B1" s="757" t="s">
        <v>267</v>
      </c>
      <c r="C1" s="758" t="s">
        <v>321</v>
      </c>
      <c r="D1" s="757" t="s">
        <v>486</v>
      </c>
      <c r="E1" s="755" t="s">
        <v>328</v>
      </c>
      <c r="F1" s="755"/>
      <c r="G1" s="755"/>
      <c r="H1" s="755"/>
      <c r="I1" s="755"/>
      <c r="J1" s="755"/>
      <c r="K1" s="755"/>
      <c r="L1" s="756" t="s">
        <v>399</v>
      </c>
      <c r="M1" s="756"/>
      <c r="N1" s="756"/>
      <c r="O1" s="758" t="s">
        <v>147</v>
      </c>
    </row>
    <row r="2" spans="1:256" ht="67.5">
      <c r="A2" s="757"/>
      <c r="B2" s="757"/>
      <c r="C2" s="758"/>
      <c r="D2" s="759"/>
      <c r="E2" s="159" t="s">
        <v>148</v>
      </c>
      <c r="F2" s="159" t="s">
        <v>149</v>
      </c>
      <c r="G2" s="160" t="s">
        <v>150</v>
      </c>
      <c r="H2" s="161" t="s">
        <v>395</v>
      </c>
      <c r="I2" s="160" t="s">
        <v>396</v>
      </c>
      <c r="J2" s="160" t="s">
        <v>397</v>
      </c>
      <c r="K2" s="160" t="s">
        <v>398</v>
      </c>
      <c r="L2" s="160" t="s">
        <v>329</v>
      </c>
      <c r="M2" s="160" t="s">
        <v>330</v>
      </c>
      <c r="N2" s="160" t="s">
        <v>332</v>
      </c>
      <c r="O2" s="758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  <c r="IV2" s="162"/>
    </row>
    <row r="3" spans="1:256" ht="13.5">
      <c r="A3" s="163">
        <v>1</v>
      </c>
      <c r="B3" s="163"/>
      <c r="C3" s="417" t="s">
        <v>381</v>
      </c>
      <c r="D3" s="418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</row>
    <row r="4" spans="1:256" ht="13.5">
      <c r="A4" s="164">
        <v>1</v>
      </c>
      <c r="B4" s="164">
        <v>1</v>
      </c>
      <c r="C4" s="420" t="s">
        <v>137</v>
      </c>
      <c r="D4" s="421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</row>
    <row r="5" spans="1:256" ht="13.5">
      <c r="A5" s="166">
        <v>1</v>
      </c>
      <c r="B5" s="166">
        <v>12</v>
      </c>
      <c r="C5" s="423" t="s">
        <v>287</v>
      </c>
      <c r="D5" s="424"/>
      <c r="E5" s="425"/>
      <c r="F5" s="425"/>
      <c r="G5" s="426"/>
      <c r="H5" s="426"/>
      <c r="I5" s="426"/>
      <c r="J5" s="426"/>
      <c r="K5" s="426"/>
      <c r="L5" s="426"/>
      <c r="M5" s="426"/>
      <c r="N5" s="426"/>
      <c r="O5" s="426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ht="25.5">
      <c r="A6" s="166"/>
      <c r="B6" s="166"/>
      <c r="C6" s="427" t="s">
        <v>487</v>
      </c>
      <c r="D6" s="428"/>
      <c r="E6" s="425"/>
      <c r="F6" s="425"/>
      <c r="G6" s="426"/>
      <c r="H6" s="426"/>
      <c r="I6" s="426"/>
      <c r="J6" s="426"/>
      <c r="K6" s="426"/>
      <c r="L6" s="426"/>
      <c r="M6" s="426"/>
      <c r="N6" s="426"/>
      <c r="O6" s="42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ht="12.75">
      <c r="A7" s="164"/>
      <c r="B7" s="164"/>
      <c r="C7" s="429" t="s">
        <v>488</v>
      </c>
      <c r="D7" s="430" t="s">
        <v>489</v>
      </c>
      <c r="E7" s="426">
        <f>0+'[2]táj.1'!E7</f>
        <v>0</v>
      </c>
      <c r="F7" s="426">
        <f>0+'[2]táj.1'!F7</f>
        <v>0</v>
      </c>
      <c r="G7" s="426">
        <f>0+'[2]táj.1'!G7</f>
        <v>0</v>
      </c>
      <c r="H7" s="426">
        <f>9906+'[2]táj.1'!H7</f>
        <v>9906</v>
      </c>
      <c r="I7" s="426">
        <f>0+'[2]táj.1'!I7</f>
        <v>0</v>
      </c>
      <c r="J7" s="426">
        <f>0+'[2]táj.1'!J7</f>
        <v>0</v>
      </c>
      <c r="K7" s="426">
        <f>0+'[2]táj.1'!K7</f>
        <v>0</v>
      </c>
      <c r="L7" s="426">
        <f>0+'[2]táj.1'!L7</f>
        <v>0</v>
      </c>
      <c r="M7" s="426">
        <f>0+'[2]táj.1'!M7</f>
        <v>0</v>
      </c>
      <c r="N7" s="426">
        <f>0+'[2]táj.1'!N7</f>
        <v>0</v>
      </c>
      <c r="O7" s="426">
        <f>SUM(H7:N7)</f>
        <v>9906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ht="13.5">
      <c r="A8" s="168"/>
      <c r="B8" s="168"/>
      <c r="C8" s="431" t="s">
        <v>490</v>
      </c>
      <c r="D8" s="432"/>
      <c r="E8" s="432">
        <f aca="true" t="shared" si="0" ref="E8:K8">SUM(E5:E7)</f>
        <v>0</v>
      </c>
      <c r="F8" s="432">
        <f t="shared" si="0"/>
        <v>0</v>
      </c>
      <c r="G8" s="432">
        <f t="shared" si="0"/>
        <v>0</v>
      </c>
      <c r="H8" s="432">
        <f t="shared" si="0"/>
        <v>9906</v>
      </c>
      <c r="I8" s="432">
        <f t="shared" si="0"/>
        <v>0</v>
      </c>
      <c r="J8" s="432">
        <f t="shared" si="0"/>
        <v>0</v>
      </c>
      <c r="K8" s="432">
        <f t="shared" si="0"/>
        <v>0</v>
      </c>
      <c r="L8" s="432"/>
      <c r="M8" s="432"/>
      <c r="N8" s="432">
        <f>SUM(N7:N7)</f>
        <v>0</v>
      </c>
      <c r="O8" s="432">
        <f>SUM(O7:O7)</f>
        <v>9906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ht="13.5">
      <c r="A9" s="165">
        <v>1</v>
      </c>
      <c r="B9" s="165">
        <v>13</v>
      </c>
      <c r="C9" s="423" t="s">
        <v>288</v>
      </c>
      <c r="D9" s="430"/>
      <c r="E9" s="433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ht="13.5">
      <c r="A10" s="165"/>
      <c r="B10" s="165"/>
      <c r="C10" s="427" t="s">
        <v>491</v>
      </c>
      <c r="D10" s="430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ht="25.5">
      <c r="A11" s="165"/>
      <c r="B11" s="165"/>
      <c r="C11" s="427" t="s">
        <v>492</v>
      </c>
      <c r="D11" s="684">
        <v>131705</v>
      </c>
      <c r="E11" s="426">
        <f>41101+'[2]táj.1'!E11</f>
        <v>41101</v>
      </c>
      <c r="F11" s="426">
        <f>0+'[2]táj.1'!F11</f>
        <v>0</v>
      </c>
      <c r="G11" s="426">
        <f>0+'[2]táj.1'!G11</f>
        <v>0</v>
      </c>
      <c r="H11" s="426">
        <f>0+'[2]táj.1'!H11</f>
        <v>0</v>
      </c>
      <c r="I11" s="426">
        <f>0+'[2]táj.1'!I11</f>
        <v>0</v>
      </c>
      <c r="J11" s="426">
        <f>0+'[2]táj.1'!J11</f>
        <v>0</v>
      </c>
      <c r="K11" s="426">
        <f>0+'[2]táj.1'!K11</f>
        <v>0</v>
      </c>
      <c r="L11" s="426">
        <f>0+'[2]táj.1'!L11</f>
        <v>0</v>
      </c>
      <c r="M11" s="426">
        <f>0+'[2]táj.1'!M11</f>
        <v>0</v>
      </c>
      <c r="N11" s="426">
        <f>0+'[2]táj.1'!N11</f>
        <v>0</v>
      </c>
      <c r="O11" s="426">
        <f>SUM(E11:N11)</f>
        <v>41101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ht="25.5">
      <c r="A12" s="165"/>
      <c r="B12" s="165"/>
      <c r="C12" s="435" t="s">
        <v>493</v>
      </c>
      <c r="D12" s="430" t="s">
        <v>265</v>
      </c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3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ht="25.5">
      <c r="A13" s="165"/>
      <c r="B13" s="165"/>
      <c r="C13" s="435" t="s">
        <v>494</v>
      </c>
      <c r="D13" s="684">
        <v>131703</v>
      </c>
      <c r="E13" s="426">
        <f>0+'[2]táj.1'!E13</f>
        <v>0</v>
      </c>
      <c r="F13" s="426">
        <f>0+'[2]táj.1'!F13</f>
        <v>0</v>
      </c>
      <c r="G13" s="426">
        <f>0+'[2]táj.1'!G13</f>
        <v>0</v>
      </c>
      <c r="H13" s="426">
        <f>5715+'[2]táj.1'!H13</f>
        <v>5715</v>
      </c>
      <c r="I13" s="426">
        <f>0+'[2]táj.1'!I13</f>
        <v>0</v>
      </c>
      <c r="J13" s="426">
        <f>0+'[2]táj.1'!J13</f>
        <v>0</v>
      </c>
      <c r="K13" s="426">
        <f>0+'[2]táj.1'!K13</f>
        <v>0</v>
      </c>
      <c r="L13" s="426">
        <f>0+'[2]táj.1'!L13</f>
        <v>0</v>
      </c>
      <c r="M13" s="426">
        <f>0+'[2]táj.1'!M13</f>
        <v>0</v>
      </c>
      <c r="N13" s="426">
        <f>0+'[2]táj.1'!N13</f>
        <v>0</v>
      </c>
      <c r="O13" s="426">
        <f>SUM(E13:N13)</f>
        <v>5715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3.5">
      <c r="A14" s="168"/>
      <c r="B14" s="168"/>
      <c r="C14" s="431" t="s">
        <v>495</v>
      </c>
      <c r="D14" s="437"/>
      <c r="E14" s="432">
        <f aca="true" t="shared" si="1" ref="E14:N14">SUM(E11:E13)</f>
        <v>41101</v>
      </c>
      <c r="F14" s="432">
        <f t="shared" si="1"/>
        <v>0</v>
      </c>
      <c r="G14" s="432">
        <f t="shared" si="1"/>
        <v>0</v>
      </c>
      <c r="H14" s="432">
        <f t="shared" si="1"/>
        <v>5715</v>
      </c>
      <c r="I14" s="432">
        <f t="shared" si="1"/>
        <v>0</v>
      </c>
      <c r="J14" s="432">
        <f t="shared" si="1"/>
        <v>0</v>
      </c>
      <c r="K14" s="432">
        <f t="shared" si="1"/>
        <v>0</v>
      </c>
      <c r="L14" s="432">
        <f t="shared" si="1"/>
        <v>0</v>
      </c>
      <c r="M14" s="432">
        <f t="shared" si="1"/>
        <v>0</v>
      </c>
      <c r="N14" s="432">
        <f t="shared" si="1"/>
        <v>0</v>
      </c>
      <c r="O14" s="432">
        <f>SUM(O11:O13)</f>
        <v>46816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3.5">
      <c r="A15" s="170">
        <v>1</v>
      </c>
      <c r="B15" s="170">
        <v>14</v>
      </c>
      <c r="C15" s="438" t="s">
        <v>383</v>
      </c>
      <c r="D15" s="439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25.5">
      <c r="A16" s="165"/>
      <c r="B16" s="165"/>
      <c r="C16" s="440" t="s">
        <v>496</v>
      </c>
      <c r="D16" s="441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ht="25.5">
      <c r="A17" s="165"/>
      <c r="B17" s="165"/>
      <c r="C17" s="442" t="s">
        <v>497</v>
      </c>
      <c r="D17" s="443">
        <v>171967</v>
      </c>
      <c r="E17" s="500">
        <f>0+'[2]táj.1'!E17</f>
        <v>0</v>
      </c>
      <c r="F17" s="500">
        <f>0+'[2]táj.1'!F17</f>
        <v>0</v>
      </c>
      <c r="G17" s="500">
        <f>0+'[2]táj.1'!G17</f>
        <v>0</v>
      </c>
      <c r="H17" s="500">
        <f>5080+'[2]táj.1'!H17</f>
        <v>5080</v>
      </c>
      <c r="I17" s="500">
        <f>0+'[2]táj.1'!I17</f>
        <v>0</v>
      </c>
      <c r="J17" s="500">
        <f>0+'[2]táj.1'!J17</f>
        <v>0</v>
      </c>
      <c r="K17" s="500">
        <f>0+'[2]táj.1'!K17</f>
        <v>0</v>
      </c>
      <c r="L17" s="500">
        <f>0+'[2]táj.1'!L17</f>
        <v>0</v>
      </c>
      <c r="M17" s="500">
        <f>0+'[2]táj.1'!M17</f>
        <v>0</v>
      </c>
      <c r="N17" s="500">
        <f>0+'[2]táj.1'!N17</f>
        <v>0</v>
      </c>
      <c r="O17" s="426">
        <f>SUM(E17:N17)</f>
        <v>5080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13.5">
      <c r="A18" s="168"/>
      <c r="B18" s="168"/>
      <c r="C18" s="431" t="s">
        <v>498</v>
      </c>
      <c r="D18" s="437"/>
      <c r="E18" s="432"/>
      <c r="F18" s="432"/>
      <c r="G18" s="432"/>
      <c r="H18" s="432">
        <f>SUM(H17:H17)</f>
        <v>5080</v>
      </c>
      <c r="I18" s="432"/>
      <c r="J18" s="432"/>
      <c r="K18" s="432"/>
      <c r="L18" s="432"/>
      <c r="M18" s="432"/>
      <c r="N18" s="432"/>
      <c r="O18" s="432">
        <f>SUM(O17:O17)</f>
        <v>5080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ht="13.5">
      <c r="A19" s="164">
        <v>1</v>
      </c>
      <c r="B19" s="164">
        <v>15</v>
      </c>
      <c r="C19" s="420" t="s">
        <v>324</v>
      </c>
      <c r="D19" s="444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2"/>
      <c r="IV19" s="162"/>
    </row>
    <row r="20" spans="1:256" ht="25.5">
      <c r="A20" s="164"/>
      <c r="B20" s="164"/>
      <c r="C20" s="445" t="s">
        <v>499</v>
      </c>
      <c r="D20" s="446"/>
      <c r="E20" s="433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  <c r="IU20" s="162"/>
      <c r="IV20" s="162"/>
    </row>
    <row r="21" spans="1:256" ht="25.5">
      <c r="A21" s="164"/>
      <c r="B21" s="164"/>
      <c r="C21" s="442" t="s">
        <v>500</v>
      </c>
      <c r="D21" s="446">
        <v>151906</v>
      </c>
      <c r="E21" s="426">
        <f>0+'[2]táj.1'!E21</f>
        <v>0</v>
      </c>
      <c r="F21" s="426">
        <f>0+'[2]táj.1'!F21</f>
        <v>0</v>
      </c>
      <c r="G21" s="426">
        <f>0+'[2]táj.1'!G21</f>
        <v>0</v>
      </c>
      <c r="H21" s="426">
        <f>36251+'[2]táj.1'!H21</f>
        <v>36251</v>
      </c>
      <c r="I21" s="426">
        <f>0+'[2]táj.1'!I21</f>
        <v>0</v>
      </c>
      <c r="J21" s="426">
        <f>0+'[2]táj.1'!J21</f>
        <v>0</v>
      </c>
      <c r="K21" s="426">
        <f>0+'[2]táj.1'!K21</f>
        <v>0</v>
      </c>
      <c r="L21" s="426">
        <f>0+'[2]táj.1'!L21</f>
        <v>0</v>
      </c>
      <c r="M21" s="426">
        <f>0+'[2]táj.1'!M21</f>
        <v>0</v>
      </c>
      <c r="N21" s="426">
        <f>0+'[2]táj.1'!N21</f>
        <v>0</v>
      </c>
      <c r="O21" s="426">
        <f>SUM(E21:N21)</f>
        <v>36251</v>
      </c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  <c r="IT21" s="162"/>
      <c r="IU21" s="162"/>
      <c r="IV21" s="162"/>
    </row>
    <row r="22" spans="1:256" ht="12.75">
      <c r="A22" s="164"/>
      <c r="B22" s="164"/>
      <c r="C22" s="429" t="s">
        <v>501</v>
      </c>
      <c r="D22" s="447" t="s">
        <v>502</v>
      </c>
      <c r="E22" s="426">
        <f>0+'[2]táj.1'!E22</f>
        <v>0</v>
      </c>
      <c r="F22" s="426">
        <f>0+'[2]táj.1'!F22</f>
        <v>0</v>
      </c>
      <c r="G22" s="426">
        <f>0+'[2]táj.1'!G22</f>
        <v>0</v>
      </c>
      <c r="H22" s="426">
        <f>175260+'[2]táj.1'!H22</f>
        <v>175260</v>
      </c>
      <c r="I22" s="426">
        <f>0+'[2]táj.1'!I22</f>
        <v>0</v>
      </c>
      <c r="J22" s="426">
        <f>0+'[2]táj.1'!J22</f>
        <v>0</v>
      </c>
      <c r="K22" s="426">
        <f>0+'[2]táj.1'!K22</f>
        <v>0</v>
      </c>
      <c r="L22" s="426">
        <f>0+'[2]táj.1'!L22</f>
        <v>0</v>
      </c>
      <c r="M22" s="426">
        <f>0+'[2]táj.1'!M22</f>
        <v>0</v>
      </c>
      <c r="N22" s="426">
        <f>0+'[2]táj.1'!N22</f>
        <v>0</v>
      </c>
      <c r="O22" s="426">
        <f>SUM(E22:N22)</f>
        <v>175260</v>
      </c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  <c r="IT22" s="162"/>
      <c r="IU22" s="162"/>
      <c r="IV22" s="162"/>
    </row>
    <row r="23" spans="1:256" ht="12.75">
      <c r="A23" s="164"/>
      <c r="B23" s="164"/>
      <c r="C23" s="429" t="s">
        <v>503</v>
      </c>
      <c r="D23" s="447" t="s">
        <v>504</v>
      </c>
      <c r="E23" s="426">
        <f>0+'[2]táj.1'!E23</f>
        <v>0</v>
      </c>
      <c r="F23" s="426">
        <f>0+'[2]táj.1'!F23</f>
        <v>0</v>
      </c>
      <c r="G23" s="426">
        <f>0+'[2]táj.1'!G23</f>
        <v>0</v>
      </c>
      <c r="H23" s="426">
        <f>2667+'[2]táj.1'!H23</f>
        <v>2667</v>
      </c>
      <c r="I23" s="426">
        <f>0+'[2]táj.1'!I23</f>
        <v>0</v>
      </c>
      <c r="J23" s="426">
        <f>0+'[2]táj.1'!J23</f>
        <v>0</v>
      </c>
      <c r="K23" s="426">
        <f>0+'[2]táj.1'!K23</f>
        <v>0</v>
      </c>
      <c r="L23" s="426">
        <f>0+'[2]táj.1'!L23</f>
        <v>0</v>
      </c>
      <c r="M23" s="426">
        <f>0+'[2]táj.1'!M23</f>
        <v>0</v>
      </c>
      <c r="N23" s="426">
        <f>0+'[2]táj.1'!N23</f>
        <v>0</v>
      </c>
      <c r="O23" s="426">
        <f>SUM(E23:N23)</f>
        <v>2667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  <c r="IT23" s="162"/>
      <c r="IU23" s="162"/>
      <c r="IV23" s="162"/>
    </row>
    <row r="24" spans="1:256" ht="12.75">
      <c r="A24" s="164"/>
      <c r="B24" s="164"/>
      <c r="C24" s="448" t="s">
        <v>505</v>
      </c>
      <c r="D24" s="449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</row>
    <row r="25" spans="1:256" ht="12.75">
      <c r="A25" s="164"/>
      <c r="B25" s="164"/>
      <c r="C25" s="429" t="s">
        <v>506</v>
      </c>
      <c r="D25" s="447" t="s">
        <v>507</v>
      </c>
      <c r="E25" s="426">
        <f>0+'[2]táj.1'!E25</f>
        <v>0</v>
      </c>
      <c r="F25" s="426">
        <f>0+'[2]táj.1'!F25</f>
        <v>0</v>
      </c>
      <c r="G25" s="426">
        <f>0+'[2]táj.1'!G25</f>
        <v>0</v>
      </c>
      <c r="H25" s="426">
        <f>3810+'[2]táj.1'!H25</f>
        <v>3810</v>
      </c>
      <c r="I25" s="426">
        <f>0+'[2]táj.1'!I25</f>
        <v>0</v>
      </c>
      <c r="J25" s="426">
        <f>0+'[2]táj.1'!J25</f>
        <v>0</v>
      </c>
      <c r="K25" s="426">
        <f>0+'[2]táj.1'!K25</f>
        <v>0</v>
      </c>
      <c r="L25" s="426">
        <f>0+'[2]táj.1'!L25</f>
        <v>0</v>
      </c>
      <c r="M25" s="426">
        <f>0+'[2]táj.1'!M25</f>
        <v>0</v>
      </c>
      <c r="N25" s="426">
        <f>0+'[2]táj.1'!N25</f>
        <v>0</v>
      </c>
      <c r="O25" s="426">
        <f>SUM(E25:N25)</f>
        <v>3810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</row>
    <row r="26" spans="1:256" ht="12.75">
      <c r="A26" s="164"/>
      <c r="B26" s="164"/>
      <c r="C26" s="450" t="s">
        <v>508</v>
      </c>
      <c r="D26" s="447" t="s">
        <v>509</v>
      </c>
      <c r="E26" s="426">
        <f>0+'[2]táj.1'!E26</f>
        <v>0</v>
      </c>
      <c r="F26" s="426">
        <f>0+'[2]táj.1'!F26</f>
        <v>0</v>
      </c>
      <c r="G26" s="426">
        <f>0+'[2]táj.1'!G26</f>
        <v>0</v>
      </c>
      <c r="H26" s="426">
        <f>2540+'[2]táj.1'!H26</f>
        <v>2540</v>
      </c>
      <c r="I26" s="426">
        <f>0+'[2]táj.1'!I26</f>
        <v>0</v>
      </c>
      <c r="J26" s="426">
        <f>0+'[2]táj.1'!J26</f>
        <v>0</v>
      </c>
      <c r="K26" s="426">
        <f>0+'[2]táj.1'!K26</f>
        <v>0</v>
      </c>
      <c r="L26" s="426">
        <f>0+'[2]táj.1'!L26</f>
        <v>0</v>
      </c>
      <c r="M26" s="426">
        <f>0+'[2]táj.1'!M26</f>
        <v>0</v>
      </c>
      <c r="N26" s="426">
        <f>0+'[2]táj.1'!N26</f>
        <v>0</v>
      </c>
      <c r="O26" s="426">
        <f>SUM(E26:N26)</f>
        <v>2540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  <c r="IT26" s="162"/>
      <c r="IU26" s="162"/>
      <c r="IV26" s="162"/>
    </row>
    <row r="27" spans="1:256" ht="25.5">
      <c r="A27" s="164"/>
      <c r="B27" s="164"/>
      <c r="C27" s="445" t="s">
        <v>510</v>
      </c>
      <c r="D27" s="451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</row>
    <row r="28" spans="1:256" ht="25.5">
      <c r="A28" s="164"/>
      <c r="B28" s="164"/>
      <c r="C28" s="442" t="s">
        <v>511</v>
      </c>
      <c r="D28" s="453">
        <v>151701</v>
      </c>
      <c r="E28" s="426">
        <f>0+'[2]táj.1'!E28</f>
        <v>0</v>
      </c>
      <c r="F28" s="426">
        <f>0+'[2]táj.1'!F28</f>
        <v>0</v>
      </c>
      <c r="G28" s="426">
        <f>0+'[2]táj.1'!G28</f>
        <v>0</v>
      </c>
      <c r="H28" s="426">
        <f>4318+'[2]táj.1'!H28</f>
        <v>4318</v>
      </c>
      <c r="I28" s="426">
        <f>0+'[2]táj.1'!I28</f>
        <v>0</v>
      </c>
      <c r="J28" s="426">
        <f>0+'[2]táj.1'!J28</f>
        <v>0</v>
      </c>
      <c r="K28" s="426">
        <f>0+'[2]táj.1'!K28</f>
        <v>0</v>
      </c>
      <c r="L28" s="426">
        <f>0+'[2]táj.1'!L28</f>
        <v>0</v>
      </c>
      <c r="M28" s="426">
        <f>0+'[2]táj.1'!M28</f>
        <v>0</v>
      </c>
      <c r="N28" s="426">
        <f>0+'[2]táj.1'!N28</f>
        <v>0</v>
      </c>
      <c r="O28" s="426">
        <f>SUM(E28:N28)</f>
        <v>4318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</row>
    <row r="29" spans="1:256" ht="24">
      <c r="A29" s="164"/>
      <c r="B29" s="164"/>
      <c r="C29" s="452" t="s">
        <v>512</v>
      </c>
      <c r="D29" s="453" t="s">
        <v>513</v>
      </c>
      <c r="E29" s="426">
        <f>0+'[2]táj.1'!E29</f>
        <v>0</v>
      </c>
      <c r="F29" s="426">
        <f>2499+'[2]táj.1'!F29</f>
        <v>2499</v>
      </c>
      <c r="G29" s="426">
        <f>0+'[2]táj.1'!G29</f>
        <v>0</v>
      </c>
      <c r="H29" s="426">
        <f>0+'[2]táj.1'!H29</f>
        <v>0</v>
      </c>
      <c r="I29" s="426">
        <f>0+'[2]táj.1'!I29</f>
        <v>0</v>
      </c>
      <c r="J29" s="426">
        <f>0+'[2]táj.1'!J29</f>
        <v>0</v>
      </c>
      <c r="K29" s="426">
        <f>0+'[2]táj.1'!K29</f>
        <v>0</v>
      </c>
      <c r="L29" s="426">
        <f>0+'[2]táj.1'!L29</f>
        <v>0</v>
      </c>
      <c r="M29" s="426">
        <f>0+'[2]táj.1'!M29</f>
        <v>0</v>
      </c>
      <c r="N29" s="426">
        <f>0+'[2]táj.1'!N29</f>
        <v>0</v>
      </c>
      <c r="O29" s="426">
        <f>SUM(E29:N29)</f>
        <v>2499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</row>
    <row r="30" spans="1:256" ht="25.5">
      <c r="A30" s="164"/>
      <c r="B30" s="164"/>
      <c r="C30" s="442" t="s">
        <v>514</v>
      </c>
      <c r="D30" s="453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</row>
    <row r="31" spans="1:256" ht="25.5">
      <c r="A31" s="164"/>
      <c r="B31" s="164"/>
      <c r="C31" s="427" t="s">
        <v>515</v>
      </c>
      <c r="D31" s="451" t="s">
        <v>516</v>
      </c>
      <c r="E31" s="426">
        <f>0+'[2]táj.1'!E31</f>
        <v>0</v>
      </c>
      <c r="F31" s="426">
        <f>0+'[2]táj.1'!F31</f>
        <v>0</v>
      </c>
      <c r="G31" s="426">
        <f>0+'[2]táj.1'!G31</f>
        <v>0</v>
      </c>
      <c r="H31" s="426">
        <f>312022+'[2]táj.1'!H31</f>
        <v>312022</v>
      </c>
      <c r="I31" s="426">
        <f>0+'[2]táj.1'!I31</f>
        <v>0</v>
      </c>
      <c r="J31" s="426">
        <f>0+'[2]táj.1'!J31</f>
        <v>0</v>
      </c>
      <c r="K31" s="426"/>
      <c r="L31" s="426">
        <f>0+'[2]táj.1'!L31</f>
        <v>0</v>
      </c>
      <c r="M31" s="426">
        <f>0+'[2]táj.1'!M31</f>
        <v>0</v>
      </c>
      <c r="N31" s="426">
        <f>0+'[2]táj.1'!N31</f>
        <v>0</v>
      </c>
      <c r="O31" s="426">
        <f>SUM(E31:N31)</f>
        <v>312022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</row>
    <row r="32" spans="1:256" ht="13.5">
      <c r="A32" s="168"/>
      <c r="B32" s="168"/>
      <c r="C32" s="455" t="s">
        <v>517</v>
      </c>
      <c r="D32" s="456"/>
      <c r="E32" s="432">
        <f aca="true" t="shared" si="2" ref="E32:K32">SUM(E20:E31)</f>
        <v>0</v>
      </c>
      <c r="F32" s="432">
        <f t="shared" si="2"/>
        <v>2499</v>
      </c>
      <c r="G32" s="432">
        <f t="shared" si="2"/>
        <v>0</v>
      </c>
      <c r="H32" s="432">
        <f t="shared" si="2"/>
        <v>536868</v>
      </c>
      <c r="I32" s="432">
        <f t="shared" si="2"/>
        <v>0</v>
      </c>
      <c r="J32" s="432">
        <f t="shared" si="2"/>
        <v>0</v>
      </c>
      <c r="K32" s="432">
        <f t="shared" si="2"/>
        <v>0</v>
      </c>
      <c r="L32" s="432"/>
      <c r="M32" s="432"/>
      <c r="N32" s="432">
        <f>SUM(N20:N31)</f>
        <v>0</v>
      </c>
      <c r="O32" s="432">
        <f>SUM(O20:O31)</f>
        <v>539367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  <c r="IV32" s="162"/>
    </row>
    <row r="33" spans="1:256" ht="13.5">
      <c r="A33" s="164">
        <v>1</v>
      </c>
      <c r="B33" s="164" t="s">
        <v>263</v>
      </c>
      <c r="C33" s="420" t="s">
        <v>309</v>
      </c>
      <c r="D33" s="421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:256" ht="25.5">
      <c r="A34" s="164"/>
      <c r="B34" s="164"/>
      <c r="C34" s="442" t="s">
        <v>518</v>
      </c>
      <c r="D34" s="457"/>
      <c r="E34" s="458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2"/>
      <c r="IV34" s="162"/>
    </row>
    <row r="35" spans="1:256" ht="25.5">
      <c r="A35" s="164"/>
      <c r="B35" s="164"/>
      <c r="C35" s="427" t="s">
        <v>60</v>
      </c>
      <c r="D35" s="459">
        <v>161909</v>
      </c>
      <c r="E35" s="454">
        <f>0+'[2]táj.1'!E35</f>
        <v>0</v>
      </c>
      <c r="F35" s="454">
        <f>0+'[2]táj.1'!F35</f>
        <v>0</v>
      </c>
      <c r="G35" s="454">
        <f>0+'[2]táj.1'!G35</f>
        <v>0</v>
      </c>
      <c r="H35" s="454">
        <f>34882+'[2]táj.1'!H35</f>
        <v>34882</v>
      </c>
      <c r="I35" s="454">
        <f>0+'[2]táj.1'!I35</f>
        <v>0</v>
      </c>
      <c r="J35" s="454">
        <f>0+'[2]táj.1'!J35</f>
        <v>0</v>
      </c>
      <c r="K35" s="454">
        <f>0+'[2]táj.1'!K35</f>
        <v>0</v>
      </c>
      <c r="L35" s="454">
        <f>0+'[2]táj.1'!L35</f>
        <v>0</v>
      </c>
      <c r="M35" s="454">
        <f>0+'[2]táj.1'!M35</f>
        <v>0</v>
      </c>
      <c r="N35" s="454">
        <f>0+'[2]táj.1'!N35</f>
        <v>0</v>
      </c>
      <c r="O35" s="426">
        <f>SUM(E35:N35)</f>
        <v>34882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</row>
    <row r="36" spans="1:256" ht="25.5">
      <c r="A36" s="164"/>
      <c r="B36" s="164"/>
      <c r="C36" s="427" t="s">
        <v>1492</v>
      </c>
      <c r="D36" s="459">
        <v>164106</v>
      </c>
      <c r="E36" s="454">
        <f>0+'[2]táj.1'!E36</f>
        <v>0</v>
      </c>
      <c r="F36" s="454">
        <f>0+'[2]táj.1'!F36</f>
        <v>0</v>
      </c>
      <c r="G36" s="454">
        <f>0+'[2]táj.1'!G36</f>
        <v>0</v>
      </c>
      <c r="H36" s="454">
        <f>524254+'[2]táj.1'!H36</f>
        <v>524254</v>
      </c>
      <c r="I36" s="454">
        <f>0+'[2]táj.1'!I36</f>
        <v>0</v>
      </c>
      <c r="J36" s="454">
        <f>0+'[2]táj.1'!J36</f>
        <v>0</v>
      </c>
      <c r="K36" s="454">
        <f>0+'[2]táj.1'!K36</f>
        <v>0</v>
      </c>
      <c r="L36" s="454">
        <f>0+'[2]táj.1'!L36</f>
        <v>0</v>
      </c>
      <c r="M36" s="454">
        <f>86593+'[2]táj.1'!M36</f>
        <v>86593</v>
      </c>
      <c r="N36" s="454">
        <f>0+'[2]táj.1'!N36</f>
        <v>0</v>
      </c>
      <c r="O36" s="426">
        <f>SUM(E36:N36)</f>
        <v>610847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</row>
    <row r="37" spans="1:256" ht="25.5">
      <c r="A37" s="164"/>
      <c r="B37" s="164"/>
      <c r="C37" s="427" t="s">
        <v>1493</v>
      </c>
      <c r="D37" s="459">
        <v>164204</v>
      </c>
      <c r="E37" s="454">
        <f>0+'[2]táj.1'!E37</f>
        <v>0</v>
      </c>
      <c r="F37" s="454">
        <f>0+'[2]táj.1'!F37</f>
        <v>0</v>
      </c>
      <c r="G37" s="454">
        <f>0+'[2]táj.1'!G37</f>
        <v>0</v>
      </c>
      <c r="H37" s="454">
        <f>207602+'[2]táj.1'!H37</f>
        <v>207602</v>
      </c>
      <c r="I37" s="454">
        <f>0+'[2]táj.1'!I37</f>
        <v>0</v>
      </c>
      <c r="J37" s="454">
        <f>0+'[2]táj.1'!J37</f>
        <v>0</v>
      </c>
      <c r="K37" s="454">
        <f>0+'[2]táj.1'!K37</f>
        <v>0</v>
      </c>
      <c r="L37" s="454">
        <f>0+'[2]táj.1'!L37</f>
        <v>0</v>
      </c>
      <c r="M37" s="454">
        <f>95703+'[2]táj.1'!M37</f>
        <v>95703</v>
      </c>
      <c r="N37" s="454">
        <f>0+'[2]táj.1'!N37</f>
        <v>0</v>
      </c>
      <c r="O37" s="426">
        <f>SUM(E37:N37)</f>
        <v>303305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2"/>
      <c r="IV37" s="162"/>
    </row>
    <row r="38" spans="1:256" ht="38.25">
      <c r="A38" s="164"/>
      <c r="B38" s="164"/>
      <c r="C38" s="356" t="s">
        <v>519</v>
      </c>
      <c r="D38" s="459">
        <v>164205</v>
      </c>
      <c r="E38" s="454">
        <f>0+'[2]táj.1'!E38</f>
        <v>0</v>
      </c>
      <c r="F38" s="454">
        <f>1324735+'[2]táj.1'!F38</f>
        <v>1324735</v>
      </c>
      <c r="G38" s="454">
        <f>0+'[2]táj.1'!G38</f>
        <v>0</v>
      </c>
      <c r="H38" s="454">
        <f>527999+'[2]táj.1'!H38</f>
        <v>527999</v>
      </c>
      <c r="I38" s="454">
        <f>0+'[2]táj.1'!I38</f>
        <v>0</v>
      </c>
      <c r="J38" s="454">
        <f>0+'[2]táj.1'!J38</f>
        <v>0</v>
      </c>
      <c r="K38" s="454">
        <f>0+'[2]táj.1'!K38</f>
        <v>0</v>
      </c>
      <c r="L38" s="454">
        <f>0+'[2]táj.1'!L38</f>
        <v>0</v>
      </c>
      <c r="M38" s="454">
        <f>618493+'[2]táj.1'!M38</f>
        <v>618493</v>
      </c>
      <c r="N38" s="454">
        <f>0+'[2]táj.1'!N38</f>
        <v>0</v>
      </c>
      <c r="O38" s="426">
        <f>SUM(E38:N38)</f>
        <v>2471227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2"/>
      <c r="IV38" s="162"/>
    </row>
    <row r="39" spans="1:256" ht="38.25">
      <c r="A39" s="164"/>
      <c r="B39" s="164"/>
      <c r="C39" s="356" t="s">
        <v>520</v>
      </c>
      <c r="D39" s="459">
        <v>164206</v>
      </c>
      <c r="E39" s="454">
        <f>0+'[2]táj.1'!E39</f>
        <v>0</v>
      </c>
      <c r="F39" s="454">
        <f>153815+'[2]táj.1'!F39</f>
        <v>153815</v>
      </c>
      <c r="G39" s="454">
        <f>0+'[2]táj.1'!G39</f>
        <v>0</v>
      </c>
      <c r="H39" s="454">
        <f>41530+'[2]táj.1'!H39</f>
        <v>41530</v>
      </c>
      <c r="I39" s="454">
        <f>0+'[2]táj.1'!I39</f>
        <v>0</v>
      </c>
      <c r="J39" s="454">
        <f>0+'[2]táj.1'!J39</f>
        <v>0</v>
      </c>
      <c r="K39" s="454">
        <f>0+'[2]táj.1'!K39</f>
        <v>0</v>
      </c>
      <c r="L39" s="454">
        <f>0+'[2]táj.1'!L39</f>
        <v>0</v>
      </c>
      <c r="M39" s="454">
        <f>0+'[2]táj.1'!M39</f>
        <v>0</v>
      </c>
      <c r="N39" s="454">
        <f>0+'[2]táj.1'!N39</f>
        <v>0</v>
      </c>
      <c r="O39" s="426">
        <f>SUM(E39:N39)</f>
        <v>195345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</row>
    <row r="40" spans="1:256" ht="25.5">
      <c r="A40" s="164"/>
      <c r="B40" s="164"/>
      <c r="C40" s="448" t="s">
        <v>521</v>
      </c>
      <c r="D40" s="460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26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</row>
    <row r="41" spans="1:256" ht="25.5">
      <c r="A41" s="164"/>
      <c r="B41" s="164"/>
      <c r="C41" s="448" t="s">
        <v>522</v>
      </c>
      <c r="D41" s="685">
        <v>163700</v>
      </c>
      <c r="E41" s="454">
        <f>26873+'[2]táj.1'!E41</f>
        <v>26873</v>
      </c>
      <c r="F41" s="454">
        <f>0+'[2]táj.1'!F41</f>
        <v>0</v>
      </c>
      <c r="G41" s="454">
        <f>0+'[2]táj.1'!G41</f>
        <v>0</v>
      </c>
      <c r="H41" s="454">
        <f>0+'[2]táj.1'!H41</f>
        <v>0</v>
      </c>
      <c r="I41" s="454">
        <f>0+'[2]táj.1'!I41</f>
        <v>0</v>
      </c>
      <c r="J41" s="454">
        <f>0+'[2]táj.1'!J41</f>
        <v>0</v>
      </c>
      <c r="K41" s="454">
        <f>0+'[2]táj.1'!K41</f>
        <v>0</v>
      </c>
      <c r="L41" s="454">
        <f>0+'[2]táj.1'!L41</f>
        <v>0</v>
      </c>
      <c r="M41" s="454">
        <f>9113+'[2]táj.1'!M41</f>
        <v>9113</v>
      </c>
      <c r="N41" s="454">
        <f>0+'[2]táj.1'!N41</f>
        <v>0</v>
      </c>
      <c r="O41" s="426">
        <f>SUM(E41:N41)</f>
        <v>35986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</row>
    <row r="42" spans="1:256" ht="25.5">
      <c r="A42" s="164"/>
      <c r="B42" s="164"/>
      <c r="C42" s="442" t="s">
        <v>523</v>
      </c>
      <c r="D42" s="686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26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</row>
    <row r="43" spans="1:256" ht="25.5">
      <c r="A43" s="164"/>
      <c r="B43" s="164"/>
      <c r="C43" s="448" t="s">
        <v>524</v>
      </c>
      <c r="D43" s="685">
        <v>162695</v>
      </c>
      <c r="E43" s="454">
        <f>5193+'[2]táj.1'!E43</f>
        <v>5193</v>
      </c>
      <c r="F43" s="454">
        <f>0+'[2]táj.1'!F43</f>
        <v>0</v>
      </c>
      <c r="G43" s="454">
        <f>0+'[2]táj.1'!G43</f>
        <v>0</v>
      </c>
      <c r="H43" s="454">
        <f>0+'[2]táj.1'!H43</f>
        <v>0</v>
      </c>
      <c r="I43" s="454">
        <f>0+'[2]táj.1'!I43</f>
        <v>0</v>
      </c>
      <c r="J43" s="454">
        <f>0+'[2]táj.1'!J43</f>
        <v>0</v>
      </c>
      <c r="K43" s="454">
        <f>0+'[2]táj.1'!K43</f>
        <v>0</v>
      </c>
      <c r="L43" s="454">
        <f>0+'[2]táj.1'!L43</f>
        <v>0</v>
      </c>
      <c r="M43" s="454">
        <f>0+'[2]táj.1'!M43</f>
        <v>0</v>
      </c>
      <c r="N43" s="454">
        <f>0+'[2]táj.1'!N43</f>
        <v>0</v>
      </c>
      <c r="O43" s="426">
        <f>SUM(E43:N43)</f>
        <v>5193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2"/>
      <c r="IV43" s="162"/>
    </row>
    <row r="44" spans="1:256" ht="12.75">
      <c r="A44" s="164"/>
      <c r="B44" s="164"/>
      <c r="C44" s="461" t="s">
        <v>525</v>
      </c>
      <c r="D44" s="685">
        <v>162607</v>
      </c>
      <c r="E44" s="454">
        <f>0+'[2]táj.1'!E44</f>
        <v>0</v>
      </c>
      <c r="F44" s="454">
        <f>0+'[2]táj.1'!F44</f>
        <v>0</v>
      </c>
      <c r="G44" s="454">
        <f>0+'[2]táj.1'!G44</f>
        <v>0</v>
      </c>
      <c r="H44" s="454">
        <f>0+'[2]táj.1'!H44</f>
        <v>0</v>
      </c>
      <c r="I44" s="454">
        <f>0+'[2]táj.1'!I44</f>
        <v>0</v>
      </c>
      <c r="J44" s="454">
        <f>0+'[2]táj.1'!J44</f>
        <v>0</v>
      </c>
      <c r="K44" s="454">
        <f>0+'[2]táj.1'!K44</f>
        <v>0</v>
      </c>
      <c r="L44" s="454">
        <f>0+'[2]táj.1'!L44</f>
        <v>0</v>
      </c>
      <c r="M44" s="454">
        <f>5334+'[2]táj.1'!M44</f>
        <v>5334</v>
      </c>
      <c r="N44" s="454">
        <f>0+'[2]táj.1'!N44</f>
        <v>0</v>
      </c>
      <c r="O44" s="426">
        <f>SUM(E44:N44)</f>
        <v>5334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</row>
    <row r="45" spans="1:256" ht="25.5">
      <c r="A45" s="164"/>
      <c r="B45" s="164"/>
      <c r="C45" s="448" t="s">
        <v>526</v>
      </c>
      <c r="D45" s="685">
        <v>162640</v>
      </c>
      <c r="E45" s="454">
        <f>0+'[2]táj.1'!E45</f>
        <v>0</v>
      </c>
      <c r="F45" s="454">
        <f>0+'[2]táj.1'!F45</f>
        <v>0</v>
      </c>
      <c r="G45" s="454">
        <f>0+'[2]táj.1'!G45</f>
        <v>0</v>
      </c>
      <c r="H45" s="454">
        <f>0+'[2]táj.1'!H45</f>
        <v>0</v>
      </c>
      <c r="I45" s="454">
        <f>0+'[2]táj.1'!I45</f>
        <v>0</v>
      </c>
      <c r="J45" s="454">
        <f>0+'[2]táj.1'!J45</f>
        <v>0</v>
      </c>
      <c r="K45" s="454">
        <f>0+'[2]táj.1'!K45</f>
        <v>0</v>
      </c>
      <c r="L45" s="454">
        <f>0+'[2]táj.1'!L45</f>
        <v>0</v>
      </c>
      <c r="M45" s="454">
        <f>183429+'[2]táj.1'!M45</f>
        <v>183429</v>
      </c>
      <c r="N45" s="454">
        <f>0+'[2]táj.1'!N45</f>
        <v>0</v>
      </c>
      <c r="O45" s="426">
        <f>SUM(E45:N45)</f>
        <v>183429</v>
      </c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2"/>
      <c r="IV45" s="162"/>
    </row>
    <row r="46" spans="1:256" ht="38.25">
      <c r="A46" s="164"/>
      <c r="B46" s="164"/>
      <c r="C46" s="462" t="s">
        <v>527</v>
      </c>
      <c r="D46" s="685">
        <v>163636</v>
      </c>
      <c r="E46" s="454">
        <f>0+'[2]táj.1'!E46</f>
        <v>0</v>
      </c>
      <c r="F46" s="454">
        <f>492+'[2]táj.1'!F46</f>
        <v>492</v>
      </c>
      <c r="G46" s="454">
        <f>0+'[2]táj.1'!G46</f>
        <v>0</v>
      </c>
      <c r="H46" s="454">
        <f>0+'[2]táj.1'!H46</f>
        <v>0</v>
      </c>
      <c r="I46" s="454">
        <f>0+'[2]táj.1'!I46</f>
        <v>0</v>
      </c>
      <c r="J46" s="454">
        <f>0+'[2]táj.1'!J46</f>
        <v>0</v>
      </c>
      <c r="K46" s="454">
        <f>0+'[2]táj.1'!K46</f>
        <v>0</v>
      </c>
      <c r="L46" s="454">
        <f>31188+'[2]táj.1'!L46</f>
        <v>31188</v>
      </c>
      <c r="M46" s="454">
        <f>93720+'[2]táj.1'!M46</f>
        <v>93720</v>
      </c>
      <c r="N46" s="454">
        <f>0+'[2]táj.1'!N46</f>
        <v>0</v>
      </c>
      <c r="O46" s="426">
        <f>SUM(E46:N46)</f>
        <v>125400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  <c r="IT46" s="162"/>
      <c r="IU46" s="162"/>
      <c r="IV46" s="162"/>
    </row>
    <row r="47" spans="1:256" ht="25.5">
      <c r="A47" s="164"/>
      <c r="B47" s="164"/>
      <c r="C47" s="463" t="s">
        <v>528</v>
      </c>
      <c r="D47" s="383">
        <v>163601</v>
      </c>
      <c r="E47" s="454">
        <f>0+'[2]táj.1'!E47</f>
        <v>0</v>
      </c>
      <c r="F47" s="454">
        <f>0+'[2]táj.1'!F47</f>
        <v>0</v>
      </c>
      <c r="G47" s="454">
        <f>0+'[2]táj.1'!G47</f>
        <v>0</v>
      </c>
      <c r="H47" s="454">
        <f>0+'[2]táj.1'!H47</f>
        <v>0</v>
      </c>
      <c r="I47" s="454">
        <f>0+'[2]táj.1'!I47</f>
        <v>0</v>
      </c>
      <c r="J47" s="454">
        <f>0+'[2]táj.1'!J47</f>
        <v>0</v>
      </c>
      <c r="K47" s="454">
        <f>0+'[2]táj.1'!K47</f>
        <v>0</v>
      </c>
      <c r="L47" s="454">
        <f>0+'[2]táj.1'!L47</f>
        <v>0</v>
      </c>
      <c r="M47" s="454">
        <f>2597+'[2]táj.1'!M47</f>
        <v>2597</v>
      </c>
      <c r="N47" s="454">
        <f>0+'[2]táj.1'!N47</f>
        <v>0</v>
      </c>
      <c r="O47" s="426">
        <f aca="true" t="shared" si="3" ref="O47:O83">SUM(E47:N47)</f>
        <v>2597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2"/>
      <c r="IV47" s="162"/>
    </row>
    <row r="48" spans="1:256" ht="38.25">
      <c r="A48" s="164"/>
      <c r="B48" s="164"/>
      <c r="C48" s="463" t="s">
        <v>529</v>
      </c>
      <c r="D48" s="383">
        <v>163603</v>
      </c>
      <c r="E48" s="454">
        <f>0+'[2]táj.1'!E48</f>
        <v>0</v>
      </c>
      <c r="F48" s="454">
        <f>0+'[2]táj.1'!F48</f>
        <v>0</v>
      </c>
      <c r="G48" s="454">
        <f>0+'[2]táj.1'!G48</f>
        <v>0</v>
      </c>
      <c r="H48" s="454">
        <f>0+'[2]táj.1'!H48</f>
        <v>0</v>
      </c>
      <c r="I48" s="454">
        <f>0+'[2]táj.1'!I48</f>
        <v>0</v>
      </c>
      <c r="J48" s="454">
        <f>0+'[2]táj.1'!J48</f>
        <v>0</v>
      </c>
      <c r="K48" s="454">
        <f>0+'[2]táj.1'!K48</f>
        <v>0</v>
      </c>
      <c r="L48" s="454">
        <f>0+'[2]táj.1'!L48</f>
        <v>0</v>
      </c>
      <c r="M48" s="454">
        <f>10113+'[2]táj.1'!M48</f>
        <v>10113</v>
      </c>
      <c r="N48" s="454">
        <f>0+'[2]táj.1'!N48</f>
        <v>0</v>
      </c>
      <c r="O48" s="426">
        <f t="shared" si="3"/>
        <v>10113</v>
      </c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  <c r="IT48" s="162"/>
      <c r="IU48" s="162"/>
      <c r="IV48" s="162"/>
    </row>
    <row r="49" spans="1:256" ht="38.25">
      <c r="A49" s="164"/>
      <c r="B49" s="164"/>
      <c r="C49" s="464" t="s">
        <v>530</v>
      </c>
      <c r="D49" s="383">
        <v>163604</v>
      </c>
      <c r="E49" s="454">
        <f>0+'[2]táj.1'!E49</f>
        <v>0</v>
      </c>
      <c r="F49" s="454">
        <f>0+'[2]táj.1'!F49</f>
        <v>0</v>
      </c>
      <c r="G49" s="454">
        <f>0+'[2]táj.1'!G49</f>
        <v>0</v>
      </c>
      <c r="H49" s="454">
        <f>0+'[2]táj.1'!H49</f>
        <v>0</v>
      </c>
      <c r="I49" s="454">
        <f>0+'[2]táj.1'!I49</f>
        <v>0</v>
      </c>
      <c r="J49" s="454">
        <f>0+'[2]táj.1'!J49</f>
        <v>0</v>
      </c>
      <c r="K49" s="454">
        <f>0+'[2]táj.1'!K49</f>
        <v>0</v>
      </c>
      <c r="L49" s="454">
        <f>0+'[2]táj.1'!L49</f>
        <v>0</v>
      </c>
      <c r="M49" s="454">
        <f>4106+'[2]táj.1'!M49</f>
        <v>4106</v>
      </c>
      <c r="N49" s="454">
        <f>0+'[2]táj.1'!N49</f>
        <v>0</v>
      </c>
      <c r="O49" s="426">
        <f t="shared" si="3"/>
        <v>4106</v>
      </c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2"/>
      <c r="IV49" s="162"/>
    </row>
    <row r="50" spans="1:256" ht="38.25">
      <c r="A50" s="164"/>
      <c r="B50" s="164"/>
      <c r="C50" s="464" t="s">
        <v>531</v>
      </c>
      <c r="D50" s="383">
        <v>163606</v>
      </c>
      <c r="E50" s="454">
        <f>0+'[2]táj.1'!E50</f>
        <v>0</v>
      </c>
      <c r="F50" s="454">
        <f>0+'[2]táj.1'!F50</f>
        <v>0</v>
      </c>
      <c r="G50" s="454">
        <f>0+'[2]táj.1'!G50</f>
        <v>0</v>
      </c>
      <c r="H50" s="454">
        <f>0+'[2]táj.1'!H50</f>
        <v>0</v>
      </c>
      <c r="I50" s="454">
        <f>0+'[2]táj.1'!I50</f>
        <v>0</v>
      </c>
      <c r="J50" s="454">
        <f>0+'[2]táj.1'!J50</f>
        <v>0</v>
      </c>
      <c r="K50" s="454">
        <f>0+'[2]táj.1'!K50</f>
        <v>0</v>
      </c>
      <c r="L50" s="454">
        <f>0+'[2]táj.1'!L50</f>
        <v>0</v>
      </c>
      <c r="M50" s="454">
        <f>146134+'[2]táj.1'!M50</f>
        <v>146134</v>
      </c>
      <c r="N50" s="454">
        <f>0+'[2]táj.1'!N50</f>
        <v>0</v>
      </c>
      <c r="O50" s="426">
        <f t="shared" si="3"/>
        <v>146134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  <c r="IT50" s="162"/>
      <c r="IU50" s="162"/>
      <c r="IV50" s="162"/>
    </row>
    <row r="51" spans="1:256" ht="76.5">
      <c r="A51" s="164"/>
      <c r="B51" s="164"/>
      <c r="C51" s="463" t="s">
        <v>532</v>
      </c>
      <c r="D51" s="383">
        <v>163607</v>
      </c>
      <c r="E51" s="454">
        <f>0+'[2]táj.1'!E51</f>
        <v>0</v>
      </c>
      <c r="F51" s="454">
        <f>0+'[2]táj.1'!F51</f>
        <v>0</v>
      </c>
      <c r="G51" s="454">
        <f>0+'[2]táj.1'!G51</f>
        <v>0</v>
      </c>
      <c r="H51" s="454">
        <f>0+'[2]táj.1'!H51</f>
        <v>0</v>
      </c>
      <c r="I51" s="454">
        <f>0+'[2]táj.1'!I51</f>
        <v>0</v>
      </c>
      <c r="J51" s="454">
        <f>0+'[2]táj.1'!J51</f>
        <v>0</v>
      </c>
      <c r="K51" s="454">
        <f>0+'[2]táj.1'!K51</f>
        <v>0</v>
      </c>
      <c r="L51" s="454">
        <f>0+'[2]táj.1'!L51</f>
        <v>0</v>
      </c>
      <c r="M51" s="454">
        <f>948842+'[2]táj.1'!M51</f>
        <v>948842</v>
      </c>
      <c r="N51" s="454">
        <f>0+'[2]táj.1'!N51</f>
        <v>0</v>
      </c>
      <c r="O51" s="426">
        <f t="shared" si="3"/>
        <v>948842</v>
      </c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2"/>
      <c r="IR51" s="162"/>
      <c r="IS51" s="162"/>
      <c r="IT51" s="162"/>
      <c r="IU51" s="162"/>
      <c r="IV51" s="162"/>
    </row>
    <row r="52" spans="1:256" ht="38.25">
      <c r="A52" s="164"/>
      <c r="B52" s="164"/>
      <c r="C52" s="463" t="s">
        <v>533</v>
      </c>
      <c r="D52" s="383">
        <v>163608</v>
      </c>
      <c r="E52" s="454">
        <f>0+'[2]táj.1'!E52</f>
        <v>0</v>
      </c>
      <c r="F52" s="454">
        <f>0+'[2]táj.1'!F52</f>
        <v>0</v>
      </c>
      <c r="G52" s="454">
        <f>0+'[2]táj.1'!G52</f>
        <v>0</v>
      </c>
      <c r="H52" s="454">
        <f>0+'[2]táj.1'!H52</f>
        <v>0</v>
      </c>
      <c r="I52" s="454">
        <f>0+'[2]táj.1'!I52</f>
        <v>0</v>
      </c>
      <c r="J52" s="454">
        <f>0+'[2]táj.1'!J52</f>
        <v>0</v>
      </c>
      <c r="K52" s="454">
        <f>0+'[2]táj.1'!K52</f>
        <v>0</v>
      </c>
      <c r="L52" s="454">
        <f>0+'[2]táj.1'!L52</f>
        <v>0</v>
      </c>
      <c r="M52" s="454">
        <f>488326+'[2]táj.1'!M52</f>
        <v>488326</v>
      </c>
      <c r="N52" s="454">
        <f>0+'[2]táj.1'!N52</f>
        <v>0</v>
      </c>
      <c r="O52" s="426">
        <f t="shared" si="3"/>
        <v>488326</v>
      </c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2"/>
      <c r="IR52" s="162"/>
      <c r="IS52" s="162"/>
      <c r="IT52" s="162"/>
      <c r="IU52" s="162"/>
      <c r="IV52" s="162"/>
    </row>
    <row r="53" spans="1:256" ht="38.25">
      <c r="A53" s="164"/>
      <c r="B53" s="164"/>
      <c r="C53" s="463" t="s">
        <v>534</v>
      </c>
      <c r="D53" s="383">
        <v>163609</v>
      </c>
      <c r="E53" s="454">
        <f>0+'[2]táj.1'!E53</f>
        <v>0</v>
      </c>
      <c r="F53" s="454">
        <f>0+'[2]táj.1'!F53</f>
        <v>0</v>
      </c>
      <c r="G53" s="454">
        <f>0+'[2]táj.1'!G53</f>
        <v>0</v>
      </c>
      <c r="H53" s="454">
        <f>0+'[2]táj.1'!H53</f>
        <v>0</v>
      </c>
      <c r="I53" s="454">
        <f>0+'[2]táj.1'!I53</f>
        <v>0</v>
      </c>
      <c r="J53" s="454">
        <f>0+'[2]táj.1'!J53</f>
        <v>0</v>
      </c>
      <c r="K53" s="454">
        <f>0+'[2]táj.1'!K53</f>
        <v>0</v>
      </c>
      <c r="L53" s="454">
        <f>0+'[2]táj.1'!L53</f>
        <v>0</v>
      </c>
      <c r="M53" s="454">
        <f>390916+'[2]táj.1'!M53</f>
        <v>390916</v>
      </c>
      <c r="N53" s="454">
        <f>0+'[2]táj.1'!N53</f>
        <v>0</v>
      </c>
      <c r="O53" s="426">
        <f t="shared" si="3"/>
        <v>390916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  <c r="IT53" s="162"/>
      <c r="IU53" s="162"/>
      <c r="IV53" s="162"/>
    </row>
    <row r="54" spans="1:256" ht="51">
      <c r="A54" s="164"/>
      <c r="B54" s="164"/>
      <c r="C54" s="465" t="s">
        <v>535</v>
      </c>
      <c r="D54" s="383">
        <v>163611</v>
      </c>
      <c r="E54" s="454">
        <f>0+'[2]táj.1'!E54</f>
        <v>0</v>
      </c>
      <c r="F54" s="454">
        <f>0+'[2]táj.1'!F54</f>
        <v>0</v>
      </c>
      <c r="G54" s="454">
        <f>0+'[2]táj.1'!G54</f>
        <v>0</v>
      </c>
      <c r="H54" s="454">
        <f>0+'[2]táj.1'!H54</f>
        <v>0</v>
      </c>
      <c r="I54" s="454">
        <f>0+'[2]táj.1'!I54</f>
        <v>0</v>
      </c>
      <c r="J54" s="454">
        <f>0+'[2]táj.1'!J54</f>
        <v>0</v>
      </c>
      <c r="K54" s="454">
        <f>0+'[2]táj.1'!K54</f>
        <v>0</v>
      </c>
      <c r="L54" s="454">
        <f>0+'[2]táj.1'!L54</f>
        <v>0</v>
      </c>
      <c r="M54" s="454">
        <f>365340+'[2]táj.1'!M54</f>
        <v>365340</v>
      </c>
      <c r="N54" s="454">
        <f>0+'[2]táj.1'!N54</f>
        <v>0</v>
      </c>
      <c r="O54" s="426">
        <f t="shared" si="3"/>
        <v>365340</v>
      </c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2"/>
      <c r="IR54" s="162"/>
      <c r="IS54" s="162"/>
      <c r="IT54" s="162"/>
      <c r="IU54" s="162"/>
      <c r="IV54" s="162"/>
    </row>
    <row r="55" spans="1:256" ht="38.25">
      <c r="A55" s="164"/>
      <c r="B55" s="164"/>
      <c r="C55" s="466" t="s">
        <v>536</v>
      </c>
      <c r="D55" s="383">
        <v>163612</v>
      </c>
      <c r="E55" s="454">
        <f>0+'[2]táj.1'!E55</f>
        <v>0</v>
      </c>
      <c r="F55" s="454">
        <f>0+'[2]táj.1'!F55</f>
        <v>0</v>
      </c>
      <c r="G55" s="454">
        <f>0+'[2]táj.1'!G55</f>
        <v>0</v>
      </c>
      <c r="H55" s="454">
        <f>45800+'[2]táj.1'!H55</f>
        <v>45800</v>
      </c>
      <c r="I55" s="454">
        <f>0+'[2]táj.1'!I55</f>
        <v>0</v>
      </c>
      <c r="J55" s="454">
        <f>0+'[2]táj.1'!J55</f>
        <v>0</v>
      </c>
      <c r="K55" s="454">
        <f>0+'[2]táj.1'!K55</f>
        <v>0</v>
      </c>
      <c r="L55" s="454">
        <f>0+'[2]táj.1'!L55</f>
        <v>0</v>
      </c>
      <c r="M55" s="454">
        <f>432893+'[2]táj.1'!M55</f>
        <v>432893</v>
      </c>
      <c r="N55" s="454">
        <f>0+'[2]táj.1'!N55</f>
        <v>0</v>
      </c>
      <c r="O55" s="426">
        <f t="shared" si="3"/>
        <v>478693</v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2"/>
      <c r="IR55" s="162"/>
      <c r="IS55" s="162"/>
      <c r="IT55" s="162"/>
      <c r="IU55" s="162"/>
      <c r="IV55" s="162"/>
    </row>
    <row r="56" spans="1:256" ht="38.25">
      <c r="A56" s="164"/>
      <c r="B56" s="164"/>
      <c r="C56" s="466" t="s">
        <v>537</v>
      </c>
      <c r="D56" s="383">
        <v>163613</v>
      </c>
      <c r="E56" s="454">
        <f>0+'[2]táj.1'!E56</f>
        <v>0</v>
      </c>
      <c r="F56" s="454">
        <f>0+'[2]táj.1'!F56</f>
        <v>0</v>
      </c>
      <c r="G56" s="454">
        <f>0+'[2]táj.1'!G56</f>
        <v>0</v>
      </c>
      <c r="H56" s="454">
        <f>46978+'[2]táj.1'!H56</f>
        <v>46978</v>
      </c>
      <c r="I56" s="454">
        <f>0+'[2]táj.1'!I56</f>
        <v>0</v>
      </c>
      <c r="J56" s="454">
        <f>0+'[2]táj.1'!J56</f>
        <v>0</v>
      </c>
      <c r="K56" s="454">
        <f>0+'[2]táj.1'!K56</f>
        <v>0</v>
      </c>
      <c r="L56" s="454">
        <f>0+'[2]táj.1'!L56</f>
        <v>0</v>
      </c>
      <c r="M56" s="454">
        <f>178982+'[2]táj.1'!M56</f>
        <v>178982</v>
      </c>
      <c r="N56" s="454">
        <f>0+'[2]táj.1'!N56</f>
        <v>0</v>
      </c>
      <c r="O56" s="426">
        <f t="shared" si="3"/>
        <v>225960</v>
      </c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2"/>
      <c r="IR56" s="162"/>
      <c r="IS56" s="162"/>
      <c r="IT56" s="162"/>
      <c r="IU56" s="162"/>
      <c r="IV56" s="162"/>
    </row>
    <row r="57" spans="1:256" ht="51">
      <c r="A57" s="164"/>
      <c r="B57" s="164"/>
      <c r="C57" s="466" t="s">
        <v>538</v>
      </c>
      <c r="D57" s="383">
        <v>163614</v>
      </c>
      <c r="E57" s="454">
        <f>0+'[2]táj.1'!E57</f>
        <v>0</v>
      </c>
      <c r="F57" s="454">
        <f>0+'[2]táj.1'!F57</f>
        <v>0</v>
      </c>
      <c r="G57" s="454">
        <f>0+'[2]táj.1'!G57</f>
        <v>0</v>
      </c>
      <c r="H57" s="454">
        <f>0+'[2]táj.1'!H57</f>
        <v>0</v>
      </c>
      <c r="I57" s="454">
        <f>0+'[2]táj.1'!I57</f>
        <v>0</v>
      </c>
      <c r="J57" s="454">
        <f>0+'[2]táj.1'!J57</f>
        <v>0</v>
      </c>
      <c r="K57" s="454">
        <f>0+'[2]táj.1'!K57</f>
        <v>0</v>
      </c>
      <c r="L57" s="454">
        <f>0+'[2]táj.1'!L57</f>
        <v>0</v>
      </c>
      <c r="M57" s="454">
        <f>88448+'[2]táj.1'!M57</f>
        <v>88448</v>
      </c>
      <c r="N57" s="454">
        <f>0+'[2]táj.1'!N57</f>
        <v>0</v>
      </c>
      <c r="O57" s="426">
        <f t="shared" si="3"/>
        <v>88448</v>
      </c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2"/>
      <c r="IR57" s="162"/>
      <c r="IS57" s="162"/>
      <c r="IT57" s="162"/>
      <c r="IU57" s="162"/>
      <c r="IV57" s="162"/>
    </row>
    <row r="58" spans="1:256" ht="63.75">
      <c r="A58" s="164"/>
      <c r="B58" s="164"/>
      <c r="C58" s="466" t="s">
        <v>539</v>
      </c>
      <c r="D58" s="383">
        <v>163615</v>
      </c>
      <c r="E58" s="454">
        <f>299+'[2]táj.1'!E58</f>
        <v>299</v>
      </c>
      <c r="F58" s="454">
        <f>0+'[2]táj.1'!F58</f>
        <v>0</v>
      </c>
      <c r="G58" s="454">
        <f>0+'[2]táj.1'!G58</f>
        <v>0</v>
      </c>
      <c r="H58" s="454">
        <f>0+'[2]táj.1'!H58</f>
        <v>0</v>
      </c>
      <c r="I58" s="454">
        <f>0+'[2]táj.1'!I58</f>
        <v>0</v>
      </c>
      <c r="J58" s="454">
        <f>0+'[2]táj.1'!J58</f>
        <v>0</v>
      </c>
      <c r="K58" s="454">
        <f>0+'[2]táj.1'!K58</f>
        <v>0</v>
      </c>
      <c r="L58" s="454">
        <f>0+'[2]táj.1'!L58</f>
        <v>0</v>
      </c>
      <c r="M58" s="454">
        <f>8688+'[2]táj.1'!M58</f>
        <v>8688</v>
      </c>
      <c r="N58" s="454">
        <f>0+'[2]táj.1'!N58</f>
        <v>0</v>
      </c>
      <c r="O58" s="426">
        <f t="shared" si="3"/>
        <v>8987</v>
      </c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2"/>
      <c r="IR58" s="162"/>
      <c r="IS58" s="162"/>
      <c r="IT58" s="162"/>
      <c r="IU58" s="162"/>
      <c r="IV58" s="162"/>
    </row>
    <row r="59" spans="1:256" ht="25.5">
      <c r="A59" s="164"/>
      <c r="B59" s="164"/>
      <c r="C59" s="466" t="s">
        <v>540</v>
      </c>
      <c r="D59" s="383">
        <v>163616</v>
      </c>
      <c r="E59" s="454">
        <f>0+'[2]táj.1'!E59</f>
        <v>0</v>
      </c>
      <c r="F59" s="454">
        <f>0+'[2]táj.1'!F59</f>
        <v>0</v>
      </c>
      <c r="G59" s="454">
        <f>0+'[2]táj.1'!G59</f>
        <v>0</v>
      </c>
      <c r="H59" s="454">
        <f>0+'[2]táj.1'!H59</f>
        <v>0</v>
      </c>
      <c r="I59" s="454">
        <f>0+'[2]táj.1'!I59</f>
        <v>0</v>
      </c>
      <c r="J59" s="454">
        <f>0+'[2]táj.1'!J59</f>
        <v>0</v>
      </c>
      <c r="K59" s="454">
        <f>0+'[2]táj.1'!K59</f>
        <v>0</v>
      </c>
      <c r="L59" s="454">
        <f>0+'[2]táj.1'!L59</f>
        <v>0</v>
      </c>
      <c r="M59" s="454">
        <f>31299+'[2]táj.1'!M59</f>
        <v>31299</v>
      </c>
      <c r="N59" s="454">
        <f>0+'[2]táj.1'!N59</f>
        <v>0</v>
      </c>
      <c r="O59" s="426">
        <f t="shared" si="3"/>
        <v>31299</v>
      </c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2"/>
      <c r="IR59" s="162"/>
      <c r="IS59" s="162"/>
      <c r="IT59" s="162"/>
      <c r="IU59" s="162"/>
      <c r="IV59" s="162"/>
    </row>
    <row r="60" spans="1:256" ht="63.75">
      <c r="A60" s="164"/>
      <c r="B60" s="164"/>
      <c r="C60" s="466" t="s">
        <v>541</v>
      </c>
      <c r="D60" s="383">
        <v>163617</v>
      </c>
      <c r="E60" s="454">
        <f>0+'[2]táj.1'!E60</f>
        <v>0</v>
      </c>
      <c r="F60" s="454">
        <f>0+'[2]táj.1'!F60</f>
        <v>0</v>
      </c>
      <c r="G60" s="454">
        <f>0+'[2]táj.1'!G60</f>
        <v>0</v>
      </c>
      <c r="H60" s="454">
        <f>0+'[2]táj.1'!H60</f>
        <v>0</v>
      </c>
      <c r="I60" s="454">
        <f>0+'[2]táj.1'!I60</f>
        <v>0</v>
      </c>
      <c r="J60" s="454">
        <f>0+'[2]táj.1'!J60</f>
        <v>0</v>
      </c>
      <c r="K60" s="454">
        <f>0+'[2]táj.1'!K60</f>
        <v>0</v>
      </c>
      <c r="L60" s="454">
        <f>0+'[2]táj.1'!L60</f>
        <v>0</v>
      </c>
      <c r="M60" s="454">
        <f>1099+'[2]táj.1'!M60</f>
        <v>1099</v>
      </c>
      <c r="N60" s="454">
        <f>0+'[2]táj.1'!N60</f>
        <v>0</v>
      </c>
      <c r="O60" s="426">
        <f t="shared" si="3"/>
        <v>1099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2"/>
      <c r="IR60" s="162"/>
      <c r="IS60" s="162"/>
      <c r="IT60" s="162"/>
      <c r="IU60" s="162"/>
      <c r="IV60" s="162"/>
    </row>
    <row r="61" spans="1:256" ht="51">
      <c r="A61" s="164"/>
      <c r="B61" s="164"/>
      <c r="C61" s="466" t="s">
        <v>542</v>
      </c>
      <c r="D61" s="685">
        <v>163622</v>
      </c>
      <c r="E61" s="454">
        <f>2862+'[2]táj.1'!E61</f>
        <v>2862</v>
      </c>
      <c r="F61" s="454">
        <f>0+'[2]táj.1'!F61</f>
        <v>0</v>
      </c>
      <c r="G61" s="454">
        <f>0+'[2]táj.1'!G61</f>
        <v>0</v>
      </c>
      <c r="H61" s="454">
        <f>0+'[2]táj.1'!H61</f>
        <v>0</v>
      </c>
      <c r="I61" s="454">
        <f>0+'[2]táj.1'!I61</f>
        <v>0</v>
      </c>
      <c r="J61" s="454">
        <f>0+'[2]táj.1'!J61</f>
        <v>0</v>
      </c>
      <c r="K61" s="454">
        <f>0+'[2]táj.1'!K61</f>
        <v>0</v>
      </c>
      <c r="L61" s="454">
        <f>0+'[2]táj.1'!L61</f>
        <v>0</v>
      </c>
      <c r="M61" s="454">
        <f>46+'[2]táj.1'!M61</f>
        <v>46</v>
      </c>
      <c r="N61" s="454">
        <f>0+'[2]táj.1'!N61</f>
        <v>0</v>
      </c>
      <c r="O61" s="426">
        <f t="shared" si="3"/>
        <v>2908</v>
      </c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</row>
    <row r="62" spans="1:256" ht="38.25">
      <c r="A62" s="164"/>
      <c r="B62" s="164"/>
      <c r="C62" s="466" t="s">
        <v>543</v>
      </c>
      <c r="D62" s="685">
        <v>163623</v>
      </c>
      <c r="E62" s="454">
        <f>3008+'[2]táj.1'!E62</f>
        <v>3008</v>
      </c>
      <c r="F62" s="454">
        <f>0+'[2]táj.1'!F62</f>
        <v>0</v>
      </c>
      <c r="G62" s="454">
        <f>0+'[2]táj.1'!G62</f>
        <v>0</v>
      </c>
      <c r="H62" s="454">
        <f>0+'[2]táj.1'!H62</f>
        <v>0</v>
      </c>
      <c r="I62" s="454">
        <f>0+'[2]táj.1'!I62</f>
        <v>0</v>
      </c>
      <c r="J62" s="454">
        <f>0+'[2]táj.1'!J62</f>
        <v>0</v>
      </c>
      <c r="K62" s="454">
        <f>0+'[2]táj.1'!K62</f>
        <v>0</v>
      </c>
      <c r="L62" s="454">
        <f>0+'[2]táj.1'!L62</f>
        <v>0</v>
      </c>
      <c r="M62" s="454">
        <f>0+'[2]táj.1'!M62</f>
        <v>0</v>
      </c>
      <c r="N62" s="454">
        <f>0+'[2]táj.1'!N62</f>
        <v>0</v>
      </c>
      <c r="O62" s="426">
        <f t="shared" si="3"/>
        <v>3008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  <c r="IT62" s="162"/>
      <c r="IU62" s="162"/>
      <c r="IV62" s="162"/>
    </row>
    <row r="63" spans="1:256" ht="25.5">
      <c r="A63" s="164"/>
      <c r="B63" s="164"/>
      <c r="C63" s="467" t="s">
        <v>544</v>
      </c>
      <c r="D63" s="685">
        <v>163625</v>
      </c>
      <c r="E63" s="454">
        <f>87000+'[2]táj.1'!E63</f>
        <v>87000</v>
      </c>
      <c r="F63" s="454">
        <f>1001000+'[2]táj.1'!F63</f>
        <v>1001000</v>
      </c>
      <c r="G63" s="454">
        <f>0+'[2]táj.1'!G63</f>
        <v>0</v>
      </c>
      <c r="H63" s="454">
        <f>0+'[2]táj.1'!H63</f>
        <v>0</v>
      </c>
      <c r="I63" s="454">
        <f>0+'[2]táj.1'!I63</f>
        <v>0</v>
      </c>
      <c r="J63" s="454">
        <f>0+'[2]táj.1'!J63</f>
        <v>0</v>
      </c>
      <c r="K63" s="454">
        <f>0+'[2]táj.1'!K63</f>
        <v>0</v>
      </c>
      <c r="L63" s="454">
        <f>0+'[2]táj.1'!L63</f>
        <v>0</v>
      </c>
      <c r="M63" s="454">
        <f>0+'[2]táj.1'!M63</f>
        <v>0</v>
      </c>
      <c r="N63" s="454">
        <f>0+'[2]táj.1'!N63</f>
        <v>0</v>
      </c>
      <c r="O63" s="426">
        <f t="shared" si="3"/>
        <v>1088000</v>
      </c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  <c r="IT63" s="162"/>
      <c r="IU63" s="162"/>
      <c r="IV63" s="162"/>
    </row>
    <row r="64" spans="1:256" ht="38.25">
      <c r="A64" s="164"/>
      <c r="B64" s="164"/>
      <c r="C64" s="448" t="s">
        <v>545</v>
      </c>
      <c r="D64" s="685">
        <v>163626</v>
      </c>
      <c r="E64" s="454">
        <f>0+'[2]táj.1'!E64</f>
        <v>0</v>
      </c>
      <c r="F64" s="454">
        <f>0+'[2]táj.1'!F64</f>
        <v>0</v>
      </c>
      <c r="G64" s="454">
        <f>0+'[2]táj.1'!G64</f>
        <v>0</v>
      </c>
      <c r="H64" s="454">
        <f>61806+'[2]táj.1'!H64</f>
        <v>61806</v>
      </c>
      <c r="I64" s="454">
        <f>0+'[2]táj.1'!I64</f>
        <v>0</v>
      </c>
      <c r="J64" s="454">
        <f>0+'[2]táj.1'!J64</f>
        <v>0</v>
      </c>
      <c r="K64" s="454">
        <f>0+'[2]táj.1'!K64</f>
        <v>0</v>
      </c>
      <c r="L64" s="454">
        <f>0+'[2]táj.1'!L64</f>
        <v>0</v>
      </c>
      <c r="M64" s="454">
        <f>152292+'[2]táj.1'!M64</f>
        <v>152292</v>
      </c>
      <c r="N64" s="454">
        <f>0+'[2]táj.1'!N64</f>
        <v>0</v>
      </c>
      <c r="O64" s="426">
        <f t="shared" si="3"/>
        <v>214098</v>
      </c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  <c r="IT64" s="162"/>
      <c r="IU64" s="162"/>
      <c r="IV64" s="162"/>
    </row>
    <row r="65" spans="1:256" ht="38.25">
      <c r="A65" s="164"/>
      <c r="B65" s="164"/>
      <c r="C65" s="468" t="s">
        <v>546</v>
      </c>
      <c r="D65" s="685">
        <v>163627</v>
      </c>
      <c r="E65" s="454">
        <f>0+'[2]táj.1'!E65</f>
        <v>0</v>
      </c>
      <c r="F65" s="454">
        <f>736422+'[2]táj.1'!F65</f>
        <v>736422</v>
      </c>
      <c r="G65" s="454">
        <f>0+'[2]táj.1'!G65</f>
        <v>0</v>
      </c>
      <c r="H65" s="454">
        <f>0+'[2]táj.1'!H65</f>
        <v>0</v>
      </c>
      <c r="I65" s="454">
        <f>0+'[2]táj.1'!I65</f>
        <v>0</v>
      </c>
      <c r="J65" s="454">
        <f>0+'[2]táj.1'!J65</f>
        <v>0</v>
      </c>
      <c r="K65" s="454">
        <f>0+'[2]táj.1'!K65</f>
        <v>0</v>
      </c>
      <c r="L65" s="454">
        <f>0+'[2]táj.1'!L65</f>
        <v>0</v>
      </c>
      <c r="M65" s="454">
        <f>530341+'[2]táj.1'!M65</f>
        <v>530341</v>
      </c>
      <c r="N65" s="454">
        <f>0+'[2]táj.1'!N65</f>
        <v>0</v>
      </c>
      <c r="O65" s="426">
        <f t="shared" si="3"/>
        <v>1266763</v>
      </c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</row>
    <row r="66" spans="1:256" ht="25.5">
      <c r="A66" s="164"/>
      <c r="B66" s="164"/>
      <c r="C66" s="468" t="s">
        <v>547</v>
      </c>
      <c r="D66" s="685">
        <v>163629</v>
      </c>
      <c r="E66" s="454">
        <f>0+'[2]táj.1'!E66</f>
        <v>0</v>
      </c>
      <c r="F66" s="454">
        <f>0+'[2]táj.1'!F66</f>
        <v>0</v>
      </c>
      <c r="G66" s="454">
        <f>0+'[2]táj.1'!G66</f>
        <v>0</v>
      </c>
      <c r="H66" s="454">
        <f>246976+'[2]táj.1'!H66</f>
        <v>246976</v>
      </c>
      <c r="I66" s="454">
        <f>0+'[2]táj.1'!I66</f>
        <v>0</v>
      </c>
      <c r="J66" s="454">
        <f>0+'[2]táj.1'!J66</f>
        <v>0</v>
      </c>
      <c r="K66" s="454">
        <f>0+'[2]táj.1'!K66</f>
        <v>0</v>
      </c>
      <c r="L66" s="454">
        <f>0+'[2]táj.1'!L66</f>
        <v>0</v>
      </c>
      <c r="M66" s="454">
        <f>940124+'[2]táj.1'!M66</f>
        <v>940124</v>
      </c>
      <c r="N66" s="454">
        <f>0+'[2]táj.1'!N66</f>
        <v>0</v>
      </c>
      <c r="O66" s="426">
        <f t="shared" si="3"/>
        <v>1187100</v>
      </c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  <c r="IT66" s="162"/>
      <c r="IU66" s="162"/>
      <c r="IV66" s="162"/>
    </row>
    <row r="67" spans="1:256" ht="38.25">
      <c r="A67" s="164"/>
      <c r="B67" s="164"/>
      <c r="C67" s="469" t="s">
        <v>548</v>
      </c>
      <c r="D67" s="685">
        <v>163628</v>
      </c>
      <c r="E67" s="454">
        <f>0+'[2]táj.1'!E67</f>
        <v>0</v>
      </c>
      <c r="F67" s="454">
        <f>8000+'[2]táj.1'!F67</f>
        <v>8000</v>
      </c>
      <c r="G67" s="454">
        <f>0+'[2]táj.1'!G67</f>
        <v>0</v>
      </c>
      <c r="H67" s="454">
        <f>162483+'[2]táj.1'!H67</f>
        <v>162483</v>
      </c>
      <c r="I67" s="454">
        <f>0+'[2]táj.1'!I67</f>
        <v>0</v>
      </c>
      <c r="J67" s="454">
        <f>0+'[2]táj.1'!J67</f>
        <v>0</v>
      </c>
      <c r="K67" s="454">
        <f>0+'[2]táj.1'!K67</f>
        <v>0</v>
      </c>
      <c r="L67" s="454">
        <f>46000+'[2]táj.1'!L67</f>
        <v>46000</v>
      </c>
      <c r="M67" s="454">
        <f>547169+'[2]táj.1'!M67</f>
        <v>547169</v>
      </c>
      <c r="N67" s="454">
        <f>0+'[2]táj.1'!N67</f>
        <v>0</v>
      </c>
      <c r="O67" s="426">
        <f t="shared" si="3"/>
        <v>763652</v>
      </c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  <c r="IU67" s="162"/>
      <c r="IV67" s="162"/>
    </row>
    <row r="68" spans="1:256" ht="38.25">
      <c r="A68" s="164"/>
      <c r="B68" s="164"/>
      <c r="C68" s="445" t="s">
        <v>549</v>
      </c>
      <c r="D68" s="685">
        <v>163633</v>
      </c>
      <c r="E68" s="454">
        <f>0+'[2]táj.1'!E68</f>
        <v>0</v>
      </c>
      <c r="F68" s="454">
        <f>0+'[2]táj.1'!F68</f>
        <v>0</v>
      </c>
      <c r="G68" s="454">
        <f>0+'[2]táj.1'!G68</f>
        <v>0</v>
      </c>
      <c r="H68" s="454">
        <f>0+'[2]táj.1'!H68</f>
        <v>0</v>
      </c>
      <c r="I68" s="454">
        <f>0+'[2]táj.1'!I68</f>
        <v>0</v>
      </c>
      <c r="J68" s="454">
        <f>0+'[2]táj.1'!J68</f>
        <v>0</v>
      </c>
      <c r="K68" s="454">
        <f>0+'[2]táj.1'!K68</f>
        <v>0</v>
      </c>
      <c r="L68" s="454">
        <f>0+'[2]táj.1'!L68</f>
        <v>0</v>
      </c>
      <c r="M68" s="454">
        <f>179170+'[2]táj.1'!M68</f>
        <v>179170</v>
      </c>
      <c r="N68" s="454">
        <f>0+'[2]táj.1'!N68</f>
        <v>0</v>
      </c>
      <c r="O68" s="426">
        <f t="shared" si="3"/>
        <v>179170</v>
      </c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</row>
    <row r="69" spans="1:256" ht="24">
      <c r="A69" s="164"/>
      <c r="B69" s="164"/>
      <c r="C69" s="470" t="s">
        <v>550</v>
      </c>
      <c r="D69" s="685">
        <v>163646</v>
      </c>
      <c r="E69" s="454">
        <f>0+'[2]táj.1'!E69</f>
        <v>0</v>
      </c>
      <c r="F69" s="454">
        <f>0+'[2]táj.1'!F69</f>
        <v>0</v>
      </c>
      <c r="G69" s="454">
        <f>0+'[2]táj.1'!G69</f>
        <v>0</v>
      </c>
      <c r="H69" s="454">
        <f>0+'[2]táj.1'!H69</f>
        <v>0</v>
      </c>
      <c r="I69" s="454">
        <f>0+'[2]táj.1'!I69</f>
        <v>0</v>
      </c>
      <c r="J69" s="454">
        <f>0+'[2]táj.1'!J69</f>
        <v>0</v>
      </c>
      <c r="K69" s="454">
        <f>0+'[2]táj.1'!K69</f>
        <v>0</v>
      </c>
      <c r="L69" s="454">
        <f>0+'[2]táj.1'!L69</f>
        <v>0</v>
      </c>
      <c r="M69" s="454">
        <f>8667+'[2]táj.1'!M69</f>
        <v>8667</v>
      </c>
      <c r="N69" s="454">
        <f>0+'[2]táj.1'!N69</f>
        <v>0</v>
      </c>
      <c r="O69" s="426">
        <f t="shared" si="3"/>
        <v>8667</v>
      </c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</row>
    <row r="70" spans="1:256" ht="51">
      <c r="A70" s="164"/>
      <c r="B70" s="164"/>
      <c r="C70" s="448" t="s">
        <v>551</v>
      </c>
      <c r="D70" s="685">
        <v>163637</v>
      </c>
      <c r="E70" s="454">
        <f>0+'[2]táj.1'!E70</f>
        <v>0</v>
      </c>
      <c r="F70" s="454">
        <f>0+'[2]táj.1'!F70</f>
        <v>0</v>
      </c>
      <c r="G70" s="454">
        <f>0+'[2]táj.1'!G70</f>
        <v>0</v>
      </c>
      <c r="H70" s="454">
        <f>71351+'[2]táj.1'!H70</f>
        <v>71351</v>
      </c>
      <c r="I70" s="454">
        <f>0+'[2]táj.1'!I70</f>
        <v>0</v>
      </c>
      <c r="J70" s="454">
        <f>0+'[2]táj.1'!J70</f>
        <v>0</v>
      </c>
      <c r="K70" s="454">
        <f>0+'[2]táj.1'!K70</f>
        <v>0</v>
      </c>
      <c r="L70" s="454">
        <f>0+'[2]táj.1'!L70</f>
        <v>0</v>
      </c>
      <c r="M70" s="454">
        <f>264262+'[2]táj.1'!M70</f>
        <v>264262</v>
      </c>
      <c r="N70" s="454">
        <f>0+'[2]táj.1'!N70</f>
        <v>0</v>
      </c>
      <c r="O70" s="426">
        <f t="shared" si="3"/>
        <v>335613</v>
      </c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  <c r="IO70" s="162"/>
      <c r="IP70" s="162"/>
      <c r="IQ70" s="162"/>
      <c r="IR70" s="162"/>
      <c r="IS70" s="162"/>
      <c r="IT70" s="162"/>
      <c r="IU70" s="162"/>
      <c r="IV70" s="162"/>
    </row>
    <row r="71" spans="1:256" ht="25.5">
      <c r="A71" s="164"/>
      <c r="B71" s="164"/>
      <c r="C71" s="445" t="s">
        <v>552</v>
      </c>
      <c r="D71" s="685">
        <v>163638</v>
      </c>
      <c r="E71" s="454">
        <f>0+'[2]táj.1'!E71</f>
        <v>0</v>
      </c>
      <c r="F71" s="454">
        <f>75990+'[2]táj.1'!F71</f>
        <v>75990</v>
      </c>
      <c r="G71" s="454">
        <f>0+'[2]táj.1'!G71</f>
        <v>0</v>
      </c>
      <c r="H71" s="454">
        <f>0+'[2]táj.1'!H71</f>
        <v>0</v>
      </c>
      <c r="I71" s="454">
        <f>0+'[2]táj.1'!I71</f>
        <v>0</v>
      </c>
      <c r="J71" s="454">
        <f>0+'[2]táj.1'!J71</f>
        <v>0</v>
      </c>
      <c r="K71" s="454">
        <f>0+'[2]táj.1'!K71</f>
        <v>0</v>
      </c>
      <c r="L71" s="454">
        <f>0+'[2]táj.1'!L71</f>
        <v>0</v>
      </c>
      <c r="M71" s="454">
        <f>247052+'[2]táj.1'!M71</f>
        <v>247052</v>
      </c>
      <c r="N71" s="454">
        <f>0+'[2]táj.1'!N71</f>
        <v>0</v>
      </c>
      <c r="O71" s="426">
        <f t="shared" si="3"/>
        <v>323042</v>
      </c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2"/>
      <c r="IR71" s="162"/>
      <c r="IS71" s="162"/>
      <c r="IT71" s="162"/>
      <c r="IU71" s="162"/>
      <c r="IV71" s="162"/>
    </row>
    <row r="72" spans="1:256" ht="25.5">
      <c r="A72" s="164"/>
      <c r="B72" s="164"/>
      <c r="C72" s="445" t="s">
        <v>553</v>
      </c>
      <c r="D72" s="685">
        <v>163639</v>
      </c>
      <c r="E72" s="454">
        <f>0+'[2]táj.1'!E72</f>
        <v>0</v>
      </c>
      <c r="F72" s="454">
        <f>0+'[2]táj.1'!F72</f>
        <v>0</v>
      </c>
      <c r="G72" s="454">
        <f>0+'[2]táj.1'!G72</f>
        <v>0</v>
      </c>
      <c r="H72" s="454">
        <f>0+'[2]táj.1'!H72</f>
        <v>0</v>
      </c>
      <c r="I72" s="454">
        <f>0+'[2]táj.1'!I72</f>
        <v>0</v>
      </c>
      <c r="J72" s="454">
        <f>0+'[2]táj.1'!J72</f>
        <v>0</v>
      </c>
      <c r="K72" s="454">
        <f>0+'[2]táj.1'!K72</f>
        <v>0</v>
      </c>
      <c r="L72" s="454">
        <f>54888+'[2]táj.1'!L72</f>
        <v>54888</v>
      </c>
      <c r="M72" s="454">
        <f>244141+'[2]táj.1'!M72</f>
        <v>244141</v>
      </c>
      <c r="N72" s="454">
        <f>0+'[2]táj.1'!N72</f>
        <v>0</v>
      </c>
      <c r="O72" s="426">
        <f t="shared" si="3"/>
        <v>299029</v>
      </c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  <c r="IN72" s="162"/>
      <c r="IO72" s="162"/>
      <c r="IP72" s="162"/>
      <c r="IQ72" s="162"/>
      <c r="IR72" s="162"/>
      <c r="IS72" s="162"/>
      <c r="IT72" s="162"/>
      <c r="IU72" s="162"/>
      <c r="IV72" s="162"/>
    </row>
    <row r="73" spans="1:256" ht="25.5">
      <c r="A73" s="164"/>
      <c r="B73" s="164"/>
      <c r="C73" s="445" t="s">
        <v>554</v>
      </c>
      <c r="D73" s="685">
        <v>163640</v>
      </c>
      <c r="E73" s="454">
        <f>0+'[2]táj.1'!E73</f>
        <v>0</v>
      </c>
      <c r="F73" s="454">
        <f>49333+'[2]táj.1'!F73</f>
        <v>49333</v>
      </c>
      <c r="G73" s="454">
        <f>0+'[2]táj.1'!G73</f>
        <v>0</v>
      </c>
      <c r="H73" s="454">
        <f>0+'[2]táj.1'!H73</f>
        <v>0</v>
      </c>
      <c r="I73" s="454">
        <f>0+'[2]táj.1'!I73</f>
        <v>0</v>
      </c>
      <c r="J73" s="454">
        <f>0+'[2]táj.1'!J73</f>
        <v>0</v>
      </c>
      <c r="K73" s="454">
        <f>0+'[2]táj.1'!K73</f>
        <v>0</v>
      </c>
      <c r="L73" s="454">
        <f>0+'[2]táj.1'!L73</f>
        <v>0</v>
      </c>
      <c r="M73" s="454">
        <f>80153+'[2]táj.1'!M73</f>
        <v>80153</v>
      </c>
      <c r="N73" s="454">
        <f>0+'[2]táj.1'!N73</f>
        <v>0</v>
      </c>
      <c r="O73" s="426">
        <f t="shared" si="3"/>
        <v>129486</v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2"/>
      <c r="IL73" s="162"/>
      <c r="IM73" s="162"/>
      <c r="IN73" s="162"/>
      <c r="IO73" s="162"/>
      <c r="IP73" s="162"/>
      <c r="IQ73" s="162"/>
      <c r="IR73" s="162"/>
      <c r="IS73" s="162"/>
      <c r="IT73" s="162"/>
      <c r="IU73" s="162"/>
      <c r="IV73" s="162"/>
    </row>
    <row r="74" spans="1:256" ht="38.25">
      <c r="A74" s="164"/>
      <c r="B74" s="164"/>
      <c r="C74" s="461" t="s">
        <v>555</v>
      </c>
      <c r="D74" s="685">
        <v>163621</v>
      </c>
      <c r="E74" s="454">
        <f>0+'[2]táj.1'!E74</f>
        <v>0</v>
      </c>
      <c r="F74" s="454">
        <f>1988270+'[2]táj.1'!F74</f>
        <v>1988270</v>
      </c>
      <c r="G74" s="454">
        <f>0+'[2]táj.1'!G74</f>
        <v>0</v>
      </c>
      <c r="H74" s="454">
        <f>541+'[2]táj.1'!H74</f>
        <v>541</v>
      </c>
      <c r="I74" s="454">
        <f>0+'[2]táj.1'!I74</f>
        <v>0</v>
      </c>
      <c r="J74" s="454">
        <f>0+'[2]táj.1'!J74</f>
        <v>0</v>
      </c>
      <c r="K74" s="454">
        <f>0+'[2]táj.1'!K74</f>
        <v>0</v>
      </c>
      <c r="L74" s="454">
        <f>0+'[2]táj.1'!L74</f>
        <v>0</v>
      </c>
      <c r="M74" s="454">
        <f>5961633+'[2]táj.1'!M74</f>
        <v>5961633</v>
      </c>
      <c r="N74" s="454">
        <f>3158730+'[2]táj.1'!N74</f>
        <v>3158730</v>
      </c>
      <c r="O74" s="426">
        <f t="shared" si="3"/>
        <v>11109174</v>
      </c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2"/>
      <c r="IR74" s="162"/>
      <c r="IS74" s="162"/>
      <c r="IT74" s="162"/>
      <c r="IU74" s="162"/>
      <c r="IV74" s="162"/>
    </row>
    <row r="75" spans="1:256" ht="25.5">
      <c r="A75" s="164"/>
      <c r="B75" s="164"/>
      <c r="C75" s="471" t="s">
        <v>556</v>
      </c>
      <c r="D75" s="685">
        <v>162687</v>
      </c>
      <c r="E75" s="454">
        <f>0+'[2]táj.1'!E75</f>
        <v>0</v>
      </c>
      <c r="F75" s="454">
        <f>3995000+'[2]táj.1'!F75</f>
        <v>3995000</v>
      </c>
      <c r="G75" s="454">
        <f>0+'[2]táj.1'!G75</f>
        <v>0</v>
      </c>
      <c r="H75" s="454">
        <f>2288640+'[2]táj.1'!H75</f>
        <v>2288640</v>
      </c>
      <c r="I75" s="454">
        <f>0+'[2]táj.1'!I75</f>
        <v>0</v>
      </c>
      <c r="J75" s="454">
        <f>0+'[2]táj.1'!J75</f>
        <v>0</v>
      </c>
      <c r="K75" s="454">
        <f>0+'[2]táj.1'!K75</f>
        <v>0</v>
      </c>
      <c r="L75" s="454">
        <f>0+'[2]táj.1'!L75</f>
        <v>0</v>
      </c>
      <c r="M75" s="454">
        <f>727255+'[2]táj.1'!M75</f>
        <v>727255</v>
      </c>
      <c r="N75" s="454">
        <f>3754190+'[2]táj.1'!N75</f>
        <v>3754190</v>
      </c>
      <c r="O75" s="426">
        <f t="shared" si="3"/>
        <v>10765085</v>
      </c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2"/>
      <c r="IR75" s="162"/>
      <c r="IS75" s="162"/>
      <c r="IT75" s="162"/>
      <c r="IU75" s="162"/>
      <c r="IV75" s="162"/>
    </row>
    <row r="76" spans="1:256" ht="25.5">
      <c r="A76" s="164"/>
      <c r="B76" s="164"/>
      <c r="C76" s="448" t="s">
        <v>557</v>
      </c>
      <c r="D76" s="685">
        <v>163702</v>
      </c>
      <c r="E76" s="454">
        <f>0+'[2]táj.1'!E76</f>
        <v>0</v>
      </c>
      <c r="F76" s="454">
        <f>0+'[2]táj.1'!F76</f>
        <v>0</v>
      </c>
      <c r="G76" s="454">
        <f>0+'[2]táj.1'!G76</f>
        <v>0</v>
      </c>
      <c r="H76" s="454">
        <f>302994+'[2]táj.1'!H76</f>
        <v>302994</v>
      </c>
      <c r="I76" s="454">
        <f>0+'[2]táj.1'!I76</f>
        <v>0</v>
      </c>
      <c r="J76" s="454">
        <f>0+'[2]táj.1'!J76</f>
        <v>0</v>
      </c>
      <c r="K76" s="454">
        <f>0+'[2]táj.1'!K76</f>
        <v>0</v>
      </c>
      <c r="L76" s="454">
        <f>0+'[2]táj.1'!L76</f>
        <v>0</v>
      </c>
      <c r="M76" s="454">
        <f>74260+'[2]táj.1'!M76</f>
        <v>74260</v>
      </c>
      <c r="N76" s="454">
        <f>1199580+'[2]táj.1'!N76</f>
        <v>1199580</v>
      </c>
      <c r="O76" s="426">
        <f t="shared" si="3"/>
        <v>1576834</v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2"/>
      <c r="IR76" s="162"/>
      <c r="IS76" s="162"/>
      <c r="IT76" s="162"/>
      <c r="IU76" s="162"/>
      <c r="IV76" s="162"/>
    </row>
    <row r="77" spans="1:256" ht="25.5">
      <c r="A77" s="164"/>
      <c r="B77" s="164"/>
      <c r="C77" s="448" t="s">
        <v>558</v>
      </c>
      <c r="D77" s="685">
        <v>162677</v>
      </c>
      <c r="E77" s="454">
        <f>0+'[2]táj.1'!E77</f>
        <v>0</v>
      </c>
      <c r="F77" s="454">
        <f>0+'[2]táj.1'!F77</f>
        <v>0</v>
      </c>
      <c r="G77" s="454">
        <f>0+'[2]táj.1'!G77</f>
        <v>0</v>
      </c>
      <c r="H77" s="454">
        <f>0+'[2]táj.1'!H77</f>
        <v>0</v>
      </c>
      <c r="I77" s="454">
        <f>0+'[2]táj.1'!I77</f>
        <v>0</v>
      </c>
      <c r="J77" s="454">
        <f>0+'[2]táj.1'!J77</f>
        <v>0</v>
      </c>
      <c r="K77" s="454">
        <f>0+'[2]táj.1'!K77</f>
        <v>0</v>
      </c>
      <c r="L77" s="454">
        <f>0+'[2]táj.1'!L77</f>
        <v>0</v>
      </c>
      <c r="M77" s="454">
        <f>65858+'[2]táj.1'!M77</f>
        <v>65858</v>
      </c>
      <c r="N77" s="454">
        <f>0+'[2]táj.1'!N77</f>
        <v>0</v>
      </c>
      <c r="O77" s="426">
        <f t="shared" si="3"/>
        <v>65858</v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  <c r="HU77" s="162"/>
      <c r="HV77" s="162"/>
      <c r="HW77" s="162"/>
      <c r="HX77" s="162"/>
      <c r="HY77" s="162"/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2"/>
      <c r="IL77" s="162"/>
      <c r="IM77" s="162"/>
      <c r="IN77" s="162"/>
      <c r="IO77" s="162"/>
      <c r="IP77" s="162"/>
      <c r="IQ77" s="162"/>
      <c r="IR77" s="162"/>
      <c r="IS77" s="162"/>
      <c r="IT77" s="162"/>
      <c r="IU77" s="162"/>
      <c r="IV77" s="162"/>
    </row>
    <row r="78" spans="1:256" ht="25.5">
      <c r="A78" s="164"/>
      <c r="B78" s="164"/>
      <c r="C78" s="448" t="s">
        <v>559</v>
      </c>
      <c r="D78" s="685">
        <v>163641</v>
      </c>
      <c r="E78" s="454">
        <f>0+'[2]táj.1'!E78</f>
        <v>0</v>
      </c>
      <c r="F78" s="454">
        <f>0+'[2]táj.1'!F78</f>
        <v>0</v>
      </c>
      <c r="G78" s="454">
        <f>0+'[2]táj.1'!G78</f>
        <v>0</v>
      </c>
      <c r="H78" s="454">
        <f>0+'[2]táj.1'!H78</f>
        <v>0</v>
      </c>
      <c r="I78" s="454">
        <f>0+'[2]táj.1'!I78</f>
        <v>0</v>
      </c>
      <c r="J78" s="454">
        <f>0+'[2]táj.1'!J78</f>
        <v>0</v>
      </c>
      <c r="K78" s="454">
        <f>0+'[2]táj.1'!K78</f>
        <v>0</v>
      </c>
      <c r="L78" s="454">
        <f>0+'[2]táj.1'!L78</f>
        <v>0</v>
      </c>
      <c r="M78" s="454">
        <f>255358+'[2]táj.1'!M78</f>
        <v>255358</v>
      </c>
      <c r="N78" s="454">
        <f>0+'[2]táj.1'!N78</f>
        <v>0</v>
      </c>
      <c r="O78" s="426">
        <f t="shared" si="3"/>
        <v>255358</v>
      </c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2"/>
      <c r="IL78" s="162"/>
      <c r="IM78" s="162"/>
      <c r="IN78" s="162"/>
      <c r="IO78" s="162"/>
      <c r="IP78" s="162"/>
      <c r="IQ78" s="162"/>
      <c r="IR78" s="162"/>
      <c r="IS78" s="162"/>
      <c r="IT78" s="162"/>
      <c r="IU78" s="162"/>
      <c r="IV78" s="162"/>
    </row>
    <row r="79" spans="1:256" ht="25.5">
      <c r="A79" s="164"/>
      <c r="B79" s="164"/>
      <c r="C79" s="472" t="s">
        <v>560</v>
      </c>
      <c r="D79" s="685">
        <v>163644</v>
      </c>
      <c r="E79" s="454">
        <f>0+'[2]táj.1'!E79</f>
        <v>0</v>
      </c>
      <c r="F79" s="454">
        <f>0+'[2]táj.1'!F79</f>
        <v>0</v>
      </c>
      <c r="G79" s="454">
        <f>0+'[2]táj.1'!G79</f>
        <v>0</v>
      </c>
      <c r="H79" s="454">
        <f>0+'[2]táj.1'!H79</f>
        <v>0</v>
      </c>
      <c r="I79" s="454">
        <f>0+'[2]táj.1'!I79</f>
        <v>0</v>
      </c>
      <c r="J79" s="454">
        <f>0+'[2]táj.1'!J79</f>
        <v>0</v>
      </c>
      <c r="K79" s="454">
        <f>0+'[2]táj.1'!K79</f>
        <v>0</v>
      </c>
      <c r="L79" s="454">
        <f>0+'[2]táj.1'!L79</f>
        <v>0</v>
      </c>
      <c r="M79" s="454">
        <f>713945+'[2]táj.1'!M79</f>
        <v>713945</v>
      </c>
      <c r="N79" s="454">
        <f>0+'[2]táj.1'!N79</f>
        <v>0</v>
      </c>
      <c r="O79" s="426">
        <f t="shared" si="3"/>
        <v>713945</v>
      </c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2"/>
      <c r="IL79" s="162"/>
      <c r="IM79" s="162"/>
      <c r="IN79" s="162"/>
      <c r="IO79" s="162"/>
      <c r="IP79" s="162"/>
      <c r="IQ79" s="162"/>
      <c r="IR79" s="162"/>
      <c r="IS79" s="162"/>
      <c r="IT79" s="162"/>
      <c r="IU79" s="162"/>
      <c r="IV79" s="162"/>
    </row>
    <row r="80" spans="1:256" ht="25.5">
      <c r="A80" s="164"/>
      <c r="B80" s="164"/>
      <c r="C80" s="448" t="s">
        <v>561</v>
      </c>
      <c r="D80" s="685">
        <v>163643</v>
      </c>
      <c r="E80" s="454">
        <f>0+'[2]táj.1'!E80</f>
        <v>0</v>
      </c>
      <c r="F80" s="454">
        <f>0+'[2]táj.1'!F80</f>
        <v>0</v>
      </c>
      <c r="G80" s="454">
        <f>0+'[2]táj.1'!G80</f>
        <v>0</v>
      </c>
      <c r="H80" s="454">
        <f>0+'[2]táj.1'!H80</f>
        <v>0</v>
      </c>
      <c r="I80" s="454">
        <f>0+'[2]táj.1'!I80</f>
        <v>0</v>
      </c>
      <c r="J80" s="454">
        <f>0+'[2]táj.1'!J80</f>
        <v>0</v>
      </c>
      <c r="K80" s="454">
        <f>0+'[2]táj.1'!K80</f>
        <v>0</v>
      </c>
      <c r="L80" s="454">
        <f>0+'[2]táj.1'!L80</f>
        <v>0</v>
      </c>
      <c r="M80" s="454">
        <f>4478+'[2]táj.1'!M80</f>
        <v>4478</v>
      </c>
      <c r="N80" s="454">
        <f>0+'[2]táj.1'!N80</f>
        <v>0</v>
      </c>
      <c r="O80" s="426">
        <f t="shared" si="3"/>
        <v>4478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2"/>
      <c r="IL80" s="162"/>
      <c r="IM80" s="162"/>
      <c r="IN80" s="162"/>
      <c r="IO80" s="162"/>
      <c r="IP80" s="162"/>
      <c r="IQ80" s="162"/>
      <c r="IR80" s="162"/>
      <c r="IS80" s="162"/>
      <c r="IT80" s="162"/>
      <c r="IU80" s="162"/>
      <c r="IV80" s="162"/>
    </row>
    <row r="81" spans="1:256" ht="51">
      <c r="A81" s="164"/>
      <c r="B81" s="164"/>
      <c r="C81" s="448" t="s">
        <v>562</v>
      </c>
      <c r="D81" s="685">
        <v>163645</v>
      </c>
      <c r="E81" s="454">
        <f>0+'[2]táj.1'!E81</f>
        <v>0</v>
      </c>
      <c r="F81" s="454">
        <f>0+'[2]táj.1'!F81</f>
        <v>0</v>
      </c>
      <c r="G81" s="454">
        <f>0+'[2]táj.1'!G81</f>
        <v>0</v>
      </c>
      <c r="H81" s="454">
        <f>0+'[2]táj.1'!H81</f>
        <v>0</v>
      </c>
      <c r="I81" s="454">
        <f>0+'[2]táj.1'!I81</f>
        <v>0</v>
      </c>
      <c r="J81" s="454">
        <f>0+'[2]táj.1'!J81</f>
        <v>0</v>
      </c>
      <c r="K81" s="454">
        <f>0+'[2]táj.1'!K81</f>
        <v>0</v>
      </c>
      <c r="L81" s="454">
        <f>0+'[2]táj.1'!L81</f>
        <v>0</v>
      </c>
      <c r="M81" s="454">
        <f>19047+'[2]táj.1'!M81</f>
        <v>19047</v>
      </c>
      <c r="N81" s="454">
        <f>0+'[2]táj.1'!N81</f>
        <v>0</v>
      </c>
      <c r="O81" s="426">
        <f t="shared" si="3"/>
        <v>19047</v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  <c r="IR81" s="162"/>
      <c r="IS81" s="162"/>
      <c r="IT81" s="162"/>
      <c r="IU81" s="162"/>
      <c r="IV81" s="162"/>
    </row>
    <row r="82" spans="1:256" ht="38.25">
      <c r="A82" s="164"/>
      <c r="B82" s="164"/>
      <c r="C82" s="442" t="s">
        <v>563</v>
      </c>
      <c r="D82" s="685">
        <v>182906</v>
      </c>
      <c r="E82" s="454">
        <f>0+'[2]táj.1'!E82</f>
        <v>0</v>
      </c>
      <c r="F82" s="454">
        <f>0+'[2]táj.1'!F82</f>
        <v>0</v>
      </c>
      <c r="G82" s="454">
        <f>0+'[2]táj.1'!G82</f>
        <v>0</v>
      </c>
      <c r="H82" s="454">
        <f>0+'[2]táj.1'!H82</f>
        <v>0</v>
      </c>
      <c r="I82" s="454">
        <f>0+'[2]táj.1'!I82</f>
        <v>0</v>
      </c>
      <c r="J82" s="454">
        <f>0+'[2]táj.1'!J82</f>
        <v>0</v>
      </c>
      <c r="K82" s="454">
        <f>0+'[2]táj.1'!K82</f>
        <v>0</v>
      </c>
      <c r="L82" s="454">
        <f>0+'[2]táj.1'!L82</f>
        <v>0</v>
      </c>
      <c r="M82" s="454">
        <f>29960+'[2]táj.1'!M82</f>
        <v>29960</v>
      </c>
      <c r="N82" s="454">
        <f>0+'[2]táj.1'!N82</f>
        <v>0</v>
      </c>
      <c r="O82" s="426">
        <f t="shared" si="3"/>
        <v>29960</v>
      </c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</row>
    <row r="83" spans="1:256" ht="25.5">
      <c r="A83" s="164"/>
      <c r="B83" s="164"/>
      <c r="C83" s="473" t="s">
        <v>564</v>
      </c>
      <c r="D83" s="685">
        <v>162630</v>
      </c>
      <c r="E83" s="454">
        <f>0+'[2]táj.1'!E83</f>
        <v>0</v>
      </c>
      <c r="F83" s="454">
        <f>0+'[2]táj.1'!F83</f>
        <v>0</v>
      </c>
      <c r="G83" s="454">
        <f>0+'[2]táj.1'!G83</f>
        <v>0</v>
      </c>
      <c r="H83" s="454">
        <f>0+'[2]táj.1'!H83</f>
        <v>0</v>
      </c>
      <c r="I83" s="454">
        <f>0+'[2]táj.1'!I83</f>
        <v>0</v>
      </c>
      <c r="J83" s="454">
        <f>0+'[2]táj.1'!J83</f>
        <v>0</v>
      </c>
      <c r="K83" s="454">
        <f>0+'[2]táj.1'!K83</f>
        <v>0</v>
      </c>
      <c r="L83" s="454">
        <f>0+'[2]táj.1'!L83</f>
        <v>0</v>
      </c>
      <c r="M83" s="454">
        <f>28051+'[2]táj.1'!M83</f>
        <v>28051</v>
      </c>
      <c r="N83" s="454">
        <f>207500+'[2]táj.1'!N83</f>
        <v>207500</v>
      </c>
      <c r="O83" s="426">
        <f t="shared" si="3"/>
        <v>235551</v>
      </c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  <c r="IR83" s="162"/>
      <c r="IS83" s="162"/>
      <c r="IT83" s="162"/>
      <c r="IU83" s="162"/>
      <c r="IV83" s="162"/>
    </row>
    <row r="84" spans="1:256" ht="13.5">
      <c r="A84" s="168"/>
      <c r="B84" s="168"/>
      <c r="C84" s="455" t="s">
        <v>565</v>
      </c>
      <c r="D84" s="474"/>
      <c r="E84" s="432">
        <f aca="true" t="shared" si="4" ref="E84:O84">SUM(E34:E83)</f>
        <v>125235</v>
      </c>
      <c r="F84" s="432">
        <f t="shared" si="4"/>
        <v>9333057</v>
      </c>
      <c r="G84" s="432">
        <f t="shared" si="4"/>
        <v>0</v>
      </c>
      <c r="H84" s="432">
        <f t="shared" si="4"/>
        <v>4563836</v>
      </c>
      <c r="I84" s="432">
        <f t="shared" si="4"/>
        <v>0</v>
      </c>
      <c r="J84" s="432">
        <f t="shared" si="4"/>
        <v>0</v>
      </c>
      <c r="K84" s="432">
        <f t="shared" si="4"/>
        <v>0</v>
      </c>
      <c r="L84" s="432">
        <f t="shared" si="4"/>
        <v>132076</v>
      </c>
      <c r="M84" s="432">
        <f t="shared" si="4"/>
        <v>15263430</v>
      </c>
      <c r="N84" s="432">
        <f t="shared" si="4"/>
        <v>8320000</v>
      </c>
      <c r="O84" s="432">
        <f t="shared" si="4"/>
        <v>37737634</v>
      </c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2"/>
      <c r="IL84" s="162"/>
      <c r="IM84" s="162"/>
      <c r="IN84" s="162"/>
      <c r="IO84" s="162"/>
      <c r="IP84" s="162"/>
      <c r="IQ84" s="162"/>
      <c r="IR84" s="162"/>
      <c r="IS84" s="162"/>
      <c r="IT84" s="162"/>
      <c r="IU84" s="162"/>
      <c r="IV84" s="162"/>
    </row>
    <row r="85" spans="1:256" ht="13.5">
      <c r="A85" s="164">
        <v>1</v>
      </c>
      <c r="B85" s="164">
        <v>17</v>
      </c>
      <c r="C85" s="420" t="s">
        <v>325</v>
      </c>
      <c r="D85" s="421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  <c r="IO85" s="162"/>
      <c r="IP85" s="162"/>
      <c r="IQ85" s="162"/>
      <c r="IR85" s="162"/>
      <c r="IS85" s="162"/>
      <c r="IT85" s="162"/>
      <c r="IU85" s="162"/>
      <c r="IV85" s="162"/>
    </row>
    <row r="86" spans="1:256" ht="25.5">
      <c r="A86" s="164"/>
      <c r="B86" s="164"/>
      <c r="C86" s="442" t="s">
        <v>523</v>
      </c>
      <c r="D86" s="457"/>
      <c r="E86" s="433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2"/>
      <c r="IL86" s="162"/>
      <c r="IM86" s="162"/>
      <c r="IN86" s="162"/>
      <c r="IO86" s="162"/>
      <c r="IP86" s="162"/>
      <c r="IQ86" s="162"/>
      <c r="IR86" s="162"/>
      <c r="IS86" s="162"/>
      <c r="IT86" s="162"/>
      <c r="IU86" s="162"/>
      <c r="IV86" s="162"/>
    </row>
    <row r="87" spans="1:256" ht="12.75">
      <c r="A87" s="164"/>
      <c r="B87" s="164"/>
      <c r="C87" s="429" t="s">
        <v>566</v>
      </c>
      <c r="D87" s="475">
        <v>171907</v>
      </c>
      <c r="E87" s="426">
        <f>0+'[2]táj.1'!E87</f>
        <v>0</v>
      </c>
      <c r="F87" s="426">
        <f>0+'[2]táj.1'!F87</f>
        <v>0</v>
      </c>
      <c r="G87" s="426">
        <f>0+'[2]táj.1'!G87</f>
        <v>0</v>
      </c>
      <c r="H87" s="426">
        <f>0+'[2]táj.1'!H87</f>
        <v>0</v>
      </c>
      <c r="I87" s="426">
        <f>76000+'[2]táj.1'!I87</f>
        <v>76000</v>
      </c>
      <c r="J87" s="426">
        <f>0+'[2]táj.1'!J87</f>
        <v>0</v>
      </c>
      <c r="K87" s="426">
        <f>0+'[2]táj.1'!K87</f>
        <v>0</v>
      </c>
      <c r="L87" s="426">
        <f>0+'[2]táj.1'!L87</f>
        <v>0</v>
      </c>
      <c r="M87" s="426">
        <f>0+'[2]táj.1'!M87</f>
        <v>0</v>
      </c>
      <c r="N87" s="426">
        <f>0+'[2]táj.1'!N87</f>
        <v>0</v>
      </c>
      <c r="O87" s="426">
        <f>SUM(E87:N87)</f>
        <v>76000</v>
      </c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  <c r="IR87" s="162"/>
      <c r="IS87" s="162"/>
      <c r="IT87" s="162"/>
      <c r="IU87" s="162"/>
      <c r="IV87" s="162"/>
    </row>
    <row r="88" spans="1:256" ht="25.5">
      <c r="A88" s="164"/>
      <c r="B88" s="164"/>
      <c r="C88" s="427" t="s">
        <v>567</v>
      </c>
      <c r="D88" s="47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  <c r="IR88" s="162"/>
      <c r="IS88" s="162"/>
      <c r="IT88" s="162"/>
      <c r="IU88" s="162"/>
      <c r="IV88" s="162"/>
    </row>
    <row r="89" spans="1:256" ht="12.75">
      <c r="A89" s="164"/>
      <c r="B89" s="164"/>
      <c r="C89" s="477" t="s">
        <v>568</v>
      </c>
      <c r="D89" s="478">
        <v>171980</v>
      </c>
      <c r="E89" s="426">
        <f>0+'[2]táj.1'!E89</f>
        <v>0</v>
      </c>
      <c r="F89" s="426">
        <f>0+'[2]táj.1'!F89</f>
        <v>0</v>
      </c>
      <c r="G89" s="426">
        <f>0+'[2]táj.1'!G89</f>
        <v>0</v>
      </c>
      <c r="H89" s="426">
        <f>38100+'[2]táj.1'!H89</f>
        <v>38100</v>
      </c>
      <c r="I89" s="426">
        <f>0+'[2]táj.1'!I89</f>
        <v>0</v>
      </c>
      <c r="J89" s="426">
        <f>0+'[2]táj.1'!J89</f>
        <v>0</v>
      </c>
      <c r="K89" s="426">
        <f>0+'[2]táj.1'!K89</f>
        <v>0</v>
      </c>
      <c r="L89" s="426">
        <f>0+'[2]táj.1'!L89</f>
        <v>0</v>
      </c>
      <c r="M89" s="426">
        <f>0+'[2]táj.1'!M89</f>
        <v>0</v>
      </c>
      <c r="N89" s="426">
        <f>0+'[2]táj.1'!N89</f>
        <v>0</v>
      </c>
      <c r="O89" s="426">
        <f>SUM(E89:N89)</f>
        <v>38100</v>
      </c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2"/>
      <c r="IL89" s="162"/>
      <c r="IM89" s="162"/>
      <c r="IN89" s="162"/>
      <c r="IO89" s="162"/>
      <c r="IP89" s="162"/>
      <c r="IQ89" s="162"/>
      <c r="IR89" s="162"/>
      <c r="IS89" s="162"/>
      <c r="IT89" s="162"/>
      <c r="IU89" s="162"/>
      <c r="IV89" s="162"/>
    </row>
    <row r="90" spans="1:256" ht="25.5">
      <c r="A90" s="179"/>
      <c r="B90" s="179"/>
      <c r="C90" s="442" t="s">
        <v>523</v>
      </c>
      <c r="D90" s="457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  <c r="IO90" s="162"/>
      <c r="IP90" s="162"/>
      <c r="IQ90" s="162"/>
      <c r="IR90" s="162"/>
      <c r="IS90" s="162"/>
      <c r="IT90" s="162"/>
      <c r="IU90" s="162"/>
      <c r="IV90" s="162"/>
    </row>
    <row r="91" spans="1:256" ht="25.5">
      <c r="A91" s="164"/>
      <c r="B91" s="164"/>
      <c r="C91" s="479" t="s">
        <v>569</v>
      </c>
      <c r="D91" s="475">
        <v>171905</v>
      </c>
      <c r="E91" s="426">
        <f>0+'[2]táj.1'!E91</f>
        <v>0</v>
      </c>
      <c r="F91" s="426">
        <f>0+'[2]táj.1'!F91</f>
        <v>0</v>
      </c>
      <c r="G91" s="426">
        <f>0+'[2]táj.1'!G91</f>
        <v>0</v>
      </c>
      <c r="H91" s="426">
        <f>71755+'[2]táj.1'!H91</f>
        <v>71755</v>
      </c>
      <c r="I91" s="426">
        <f>0+'[2]táj.1'!I91</f>
        <v>0</v>
      </c>
      <c r="J91" s="426">
        <f>0+'[2]táj.1'!J91</f>
        <v>0</v>
      </c>
      <c r="K91" s="426">
        <f>0+'[2]táj.1'!K91</f>
        <v>0</v>
      </c>
      <c r="L91" s="426">
        <f>0+'[2]táj.1'!L91</f>
        <v>0</v>
      </c>
      <c r="M91" s="426">
        <f>0+'[2]táj.1'!M91</f>
        <v>0</v>
      </c>
      <c r="N91" s="426">
        <f>0+'[2]táj.1'!N91</f>
        <v>0</v>
      </c>
      <c r="O91" s="426">
        <f aca="true" t="shared" si="5" ref="O91:O98">SUM(E91:N91)</f>
        <v>71755</v>
      </c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  <c r="IH91" s="162"/>
      <c r="II91" s="162"/>
      <c r="IJ91" s="162"/>
      <c r="IK91" s="162"/>
      <c r="IL91" s="162"/>
      <c r="IM91" s="162"/>
      <c r="IN91" s="162"/>
      <c r="IO91" s="162"/>
      <c r="IP91" s="162"/>
      <c r="IQ91" s="162"/>
      <c r="IR91" s="162"/>
      <c r="IS91" s="162"/>
      <c r="IT91" s="162"/>
      <c r="IU91" s="162"/>
      <c r="IV91" s="162"/>
    </row>
    <row r="92" spans="1:256" ht="12.75">
      <c r="A92" s="163"/>
      <c r="B92" s="163"/>
      <c r="C92" s="480" t="s">
        <v>570</v>
      </c>
      <c r="D92" s="475">
        <v>171909</v>
      </c>
      <c r="E92" s="426">
        <f>0+'[2]táj.1'!E92</f>
        <v>0</v>
      </c>
      <c r="F92" s="426">
        <f>0+'[2]táj.1'!F92</f>
        <v>0</v>
      </c>
      <c r="G92" s="426">
        <f>0+'[2]táj.1'!G92</f>
        <v>0</v>
      </c>
      <c r="H92" s="426">
        <f>3429+'[2]táj.1'!H92</f>
        <v>3429</v>
      </c>
      <c r="I92" s="426">
        <f>0+'[2]táj.1'!I92</f>
        <v>0</v>
      </c>
      <c r="J92" s="426">
        <f>0+'[2]táj.1'!J92</f>
        <v>0</v>
      </c>
      <c r="K92" s="426">
        <f>0+'[2]táj.1'!K92</f>
        <v>0</v>
      </c>
      <c r="L92" s="426">
        <f>0+'[2]táj.1'!L92</f>
        <v>0</v>
      </c>
      <c r="M92" s="426">
        <f>0+'[2]táj.1'!M92</f>
        <v>0</v>
      </c>
      <c r="N92" s="426">
        <f>0+'[2]táj.1'!N92</f>
        <v>0</v>
      </c>
      <c r="O92" s="426">
        <f t="shared" si="5"/>
        <v>3429</v>
      </c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  <c r="IO92" s="162"/>
      <c r="IP92" s="162"/>
      <c r="IQ92" s="162"/>
      <c r="IR92" s="162"/>
      <c r="IS92" s="162"/>
      <c r="IT92" s="162"/>
      <c r="IU92" s="162"/>
      <c r="IV92" s="162"/>
    </row>
    <row r="93" spans="1:256" ht="12.75">
      <c r="A93" s="163"/>
      <c r="B93" s="163"/>
      <c r="C93" s="480" t="s">
        <v>571</v>
      </c>
      <c r="D93" s="475">
        <v>171904</v>
      </c>
      <c r="E93" s="426">
        <f>0+'[2]táj.1'!E93</f>
        <v>0</v>
      </c>
      <c r="F93" s="426">
        <f>0+'[2]táj.1'!F93</f>
        <v>0</v>
      </c>
      <c r="G93" s="426">
        <f>0+'[2]táj.1'!G93</f>
        <v>0</v>
      </c>
      <c r="H93" s="426">
        <f>2000+'[2]táj.1'!H93</f>
        <v>2000</v>
      </c>
      <c r="I93" s="426">
        <f>0+'[2]táj.1'!I93</f>
        <v>0</v>
      </c>
      <c r="J93" s="426">
        <f>0+'[2]táj.1'!J93</f>
        <v>0</v>
      </c>
      <c r="K93" s="426">
        <f>0+'[2]táj.1'!K93</f>
        <v>0</v>
      </c>
      <c r="L93" s="426">
        <f>0+'[2]táj.1'!L93</f>
        <v>0</v>
      </c>
      <c r="M93" s="426">
        <f>0+'[2]táj.1'!M93</f>
        <v>0</v>
      </c>
      <c r="N93" s="426">
        <f>0+'[2]táj.1'!N93</f>
        <v>0</v>
      </c>
      <c r="O93" s="426">
        <f t="shared" si="5"/>
        <v>2000</v>
      </c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2"/>
      <c r="IG93" s="162"/>
      <c r="IH93" s="162"/>
      <c r="II93" s="162"/>
      <c r="IJ93" s="162"/>
      <c r="IK93" s="162"/>
      <c r="IL93" s="162"/>
      <c r="IM93" s="162"/>
      <c r="IN93" s="162"/>
      <c r="IO93" s="162"/>
      <c r="IP93" s="162"/>
      <c r="IQ93" s="162"/>
      <c r="IR93" s="162"/>
      <c r="IS93" s="162"/>
      <c r="IT93" s="162"/>
      <c r="IU93" s="162"/>
      <c r="IV93" s="162"/>
    </row>
    <row r="94" spans="1:256" ht="12.75">
      <c r="A94" s="163"/>
      <c r="B94" s="163"/>
      <c r="C94" s="480" t="s">
        <v>572</v>
      </c>
      <c r="D94" s="475">
        <v>172909</v>
      </c>
      <c r="E94" s="426">
        <f>0+'[2]táj.1'!E94</f>
        <v>0</v>
      </c>
      <c r="F94" s="426">
        <f>0+'[2]táj.1'!F94</f>
        <v>0</v>
      </c>
      <c r="G94" s="426">
        <f>0+'[2]táj.1'!G94</f>
        <v>0</v>
      </c>
      <c r="H94" s="426">
        <f>110647+'[2]táj.1'!H94</f>
        <v>110647</v>
      </c>
      <c r="I94" s="426">
        <f>0+'[2]táj.1'!I94</f>
        <v>0</v>
      </c>
      <c r="J94" s="426">
        <f>0+'[2]táj.1'!J94</f>
        <v>0</v>
      </c>
      <c r="K94" s="426">
        <f>0+'[2]táj.1'!K94</f>
        <v>0</v>
      </c>
      <c r="L94" s="426">
        <f>0+'[2]táj.1'!L94</f>
        <v>0</v>
      </c>
      <c r="M94" s="426">
        <f>0+'[2]táj.1'!M94</f>
        <v>0</v>
      </c>
      <c r="N94" s="426">
        <f>0+'[2]táj.1'!N94</f>
        <v>0</v>
      </c>
      <c r="O94" s="426">
        <f t="shared" si="5"/>
        <v>110647</v>
      </c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162"/>
      <c r="IC94" s="162"/>
      <c r="ID94" s="162"/>
      <c r="IE94" s="162"/>
      <c r="IF94" s="162"/>
      <c r="IG94" s="162"/>
      <c r="IH94" s="162"/>
      <c r="II94" s="162"/>
      <c r="IJ94" s="162"/>
      <c r="IK94" s="162"/>
      <c r="IL94" s="162"/>
      <c r="IM94" s="162"/>
      <c r="IN94" s="162"/>
      <c r="IO94" s="162"/>
      <c r="IP94" s="162"/>
      <c r="IQ94" s="162"/>
      <c r="IR94" s="162"/>
      <c r="IS94" s="162"/>
      <c r="IT94" s="162"/>
      <c r="IU94" s="162"/>
      <c r="IV94" s="162"/>
    </row>
    <row r="95" spans="1:256" ht="12.75">
      <c r="A95" s="163"/>
      <c r="B95" s="163"/>
      <c r="C95" s="480" t="s">
        <v>573</v>
      </c>
      <c r="D95" s="475">
        <v>162674</v>
      </c>
      <c r="E95" s="426">
        <f>0+'[2]táj.1'!E95</f>
        <v>0</v>
      </c>
      <c r="F95" s="426">
        <f>0+'[2]táj.1'!F95</f>
        <v>0</v>
      </c>
      <c r="G95" s="426">
        <f>0+'[2]táj.1'!G95</f>
        <v>0</v>
      </c>
      <c r="H95" s="426">
        <f>15240+'[2]táj.1'!H95</f>
        <v>15240</v>
      </c>
      <c r="I95" s="426">
        <f>0+'[2]táj.1'!I95</f>
        <v>0</v>
      </c>
      <c r="J95" s="426">
        <f>0+'[2]táj.1'!J95</f>
        <v>0</v>
      </c>
      <c r="K95" s="426">
        <f>0+'[2]táj.1'!K95</f>
        <v>0</v>
      </c>
      <c r="L95" s="426">
        <f>0+'[2]táj.1'!L95</f>
        <v>0</v>
      </c>
      <c r="M95" s="426">
        <f>0+'[2]táj.1'!M95</f>
        <v>0</v>
      </c>
      <c r="N95" s="426">
        <f>0+'[2]táj.1'!N95</f>
        <v>0</v>
      </c>
      <c r="O95" s="426">
        <f t="shared" si="5"/>
        <v>15240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  <c r="HU95" s="162"/>
      <c r="HV95" s="162"/>
      <c r="HW95" s="162"/>
      <c r="HX95" s="162"/>
      <c r="HY95" s="162"/>
      <c r="HZ95" s="162"/>
      <c r="IA95" s="162"/>
      <c r="IB95" s="162"/>
      <c r="IC95" s="162"/>
      <c r="ID95" s="162"/>
      <c r="IE95" s="162"/>
      <c r="IF95" s="162"/>
      <c r="IG95" s="162"/>
      <c r="IH95" s="162"/>
      <c r="II95" s="162"/>
      <c r="IJ95" s="162"/>
      <c r="IK95" s="162"/>
      <c r="IL95" s="162"/>
      <c r="IM95" s="162"/>
      <c r="IN95" s="162"/>
      <c r="IO95" s="162"/>
      <c r="IP95" s="162"/>
      <c r="IQ95" s="162"/>
      <c r="IR95" s="162"/>
      <c r="IS95" s="162"/>
      <c r="IT95" s="162"/>
      <c r="IU95" s="162"/>
      <c r="IV95" s="162"/>
    </row>
    <row r="96" spans="1:256" ht="12.75">
      <c r="A96" s="163"/>
      <c r="B96" s="163"/>
      <c r="C96" s="480" t="s">
        <v>574</v>
      </c>
      <c r="D96" s="475">
        <v>172920</v>
      </c>
      <c r="E96" s="426">
        <f>0+'[2]táj.1'!E96</f>
        <v>0</v>
      </c>
      <c r="F96" s="426">
        <f>0+'[2]táj.1'!F96</f>
        <v>0</v>
      </c>
      <c r="G96" s="426">
        <f>0+'[2]táj.1'!G96</f>
        <v>0</v>
      </c>
      <c r="H96" s="426">
        <f>11430+'[2]táj.1'!H96</f>
        <v>11430</v>
      </c>
      <c r="I96" s="426">
        <f>0+'[2]táj.1'!I96</f>
        <v>0</v>
      </c>
      <c r="J96" s="426">
        <f>0+'[2]táj.1'!J96</f>
        <v>0</v>
      </c>
      <c r="K96" s="426">
        <f>0+'[2]táj.1'!K96</f>
        <v>0</v>
      </c>
      <c r="L96" s="426">
        <f>0+'[2]táj.1'!L96</f>
        <v>0</v>
      </c>
      <c r="M96" s="426">
        <f>0+'[2]táj.1'!M96</f>
        <v>0</v>
      </c>
      <c r="N96" s="426">
        <f>0+'[2]táj.1'!N96</f>
        <v>0</v>
      </c>
      <c r="O96" s="426">
        <f t="shared" si="5"/>
        <v>11430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  <c r="IH96" s="162"/>
      <c r="II96" s="162"/>
      <c r="IJ96" s="162"/>
      <c r="IK96" s="162"/>
      <c r="IL96" s="162"/>
      <c r="IM96" s="162"/>
      <c r="IN96" s="162"/>
      <c r="IO96" s="162"/>
      <c r="IP96" s="162"/>
      <c r="IQ96" s="162"/>
      <c r="IR96" s="162"/>
      <c r="IS96" s="162"/>
      <c r="IT96" s="162"/>
      <c r="IU96" s="162"/>
      <c r="IV96" s="162"/>
    </row>
    <row r="97" spans="1:256" ht="12.75">
      <c r="A97" s="163"/>
      <c r="B97" s="163"/>
      <c r="C97" s="480" t="s">
        <v>575</v>
      </c>
      <c r="D97" s="475">
        <v>172922</v>
      </c>
      <c r="E97" s="426">
        <f>0+'[2]táj.1'!E97</f>
        <v>0</v>
      </c>
      <c r="F97" s="426">
        <f>0+'[2]táj.1'!F97</f>
        <v>0</v>
      </c>
      <c r="G97" s="426">
        <f>0+'[2]táj.1'!G97</f>
        <v>0</v>
      </c>
      <c r="H97" s="426">
        <f>40640+'[2]táj.1'!H97</f>
        <v>40640</v>
      </c>
      <c r="I97" s="426">
        <f>0+'[2]táj.1'!I97</f>
        <v>0</v>
      </c>
      <c r="J97" s="426">
        <f>0+'[2]táj.1'!J97</f>
        <v>0</v>
      </c>
      <c r="K97" s="426">
        <f>0+'[2]táj.1'!K97</f>
        <v>0</v>
      </c>
      <c r="L97" s="426">
        <f>0+'[2]táj.1'!L97</f>
        <v>0</v>
      </c>
      <c r="M97" s="426">
        <f>0+'[2]táj.1'!M97</f>
        <v>0</v>
      </c>
      <c r="N97" s="426">
        <f>0+'[2]táj.1'!N97</f>
        <v>0</v>
      </c>
      <c r="O97" s="426">
        <f t="shared" si="5"/>
        <v>40640</v>
      </c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162"/>
      <c r="IP97" s="162"/>
      <c r="IQ97" s="162"/>
      <c r="IR97" s="162"/>
      <c r="IS97" s="162"/>
      <c r="IT97" s="162"/>
      <c r="IU97" s="162"/>
      <c r="IV97" s="162"/>
    </row>
    <row r="98" spans="1:256" ht="12.75">
      <c r="A98" s="163"/>
      <c r="B98" s="163"/>
      <c r="C98" s="480" t="s">
        <v>61</v>
      </c>
      <c r="D98" s="808">
        <v>172925</v>
      </c>
      <c r="E98" s="426">
        <f>0+'[2]táj.1'!E98</f>
        <v>0</v>
      </c>
      <c r="F98" s="426">
        <f>0+'[2]táj.1'!F98</f>
        <v>0</v>
      </c>
      <c r="G98" s="426">
        <f>0+'[2]táj.1'!G98</f>
        <v>0</v>
      </c>
      <c r="H98" s="426">
        <f>5715+'[2]táj.1'!H98</f>
        <v>5715</v>
      </c>
      <c r="I98" s="426">
        <f>0+'[2]táj.1'!I98</f>
        <v>0</v>
      </c>
      <c r="J98" s="426">
        <f>0+'[2]táj.1'!J98</f>
        <v>0</v>
      </c>
      <c r="K98" s="426">
        <f>0+'[2]táj.1'!K98</f>
        <v>0</v>
      </c>
      <c r="L98" s="426">
        <f>0+'[2]táj.1'!L98</f>
        <v>0</v>
      </c>
      <c r="M98" s="426">
        <f>0+'[2]táj.1'!M98</f>
        <v>0</v>
      </c>
      <c r="N98" s="426">
        <f>0+'[2]táj.1'!N98</f>
        <v>0</v>
      </c>
      <c r="O98" s="426">
        <f t="shared" si="5"/>
        <v>5715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162"/>
      <c r="IP98" s="162"/>
      <c r="IQ98" s="162"/>
      <c r="IR98" s="162"/>
      <c r="IS98" s="162"/>
      <c r="IT98" s="162"/>
      <c r="IU98" s="162"/>
      <c r="IV98" s="162"/>
    </row>
    <row r="99" spans="1:256" ht="25.5">
      <c r="A99" s="163"/>
      <c r="B99" s="163"/>
      <c r="C99" s="481" t="s">
        <v>576</v>
      </c>
      <c r="D99" s="47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  <c r="IO99" s="162"/>
      <c r="IP99" s="162"/>
      <c r="IQ99" s="162"/>
      <c r="IR99" s="162"/>
      <c r="IS99" s="162"/>
      <c r="IT99" s="162"/>
      <c r="IU99" s="162"/>
      <c r="IV99" s="162"/>
    </row>
    <row r="100" spans="1:256" ht="12.75">
      <c r="A100" s="163"/>
      <c r="B100" s="163"/>
      <c r="C100" s="429" t="s">
        <v>577</v>
      </c>
      <c r="D100" s="475">
        <v>171901</v>
      </c>
      <c r="E100" s="426">
        <f>0+'[2]táj.1'!E100</f>
        <v>0</v>
      </c>
      <c r="F100" s="426">
        <f>0+'[2]táj.1'!F100</f>
        <v>0</v>
      </c>
      <c r="G100" s="426">
        <f>0+'[2]táj.1'!G100</f>
        <v>0</v>
      </c>
      <c r="H100" s="426">
        <f>31115+'[2]táj.1'!H100</f>
        <v>31115</v>
      </c>
      <c r="I100" s="426">
        <f>0+'[2]táj.1'!I100</f>
        <v>0</v>
      </c>
      <c r="J100" s="426">
        <f>0+'[2]táj.1'!J100</f>
        <v>0</v>
      </c>
      <c r="K100" s="426">
        <f>0+'[2]táj.1'!K100</f>
        <v>0</v>
      </c>
      <c r="L100" s="426">
        <f>0+'[2]táj.1'!L100</f>
        <v>0</v>
      </c>
      <c r="M100" s="426">
        <f>0+'[2]táj.1'!M100</f>
        <v>0</v>
      </c>
      <c r="N100" s="426">
        <f>0+'[2]táj.1'!N100</f>
        <v>0</v>
      </c>
      <c r="O100" s="426">
        <f>SUM(E100:N100)</f>
        <v>31115</v>
      </c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  <c r="IO100" s="162"/>
      <c r="IP100" s="162"/>
      <c r="IQ100" s="162"/>
      <c r="IR100" s="162"/>
      <c r="IS100" s="162"/>
      <c r="IT100" s="162"/>
      <c r="IU100" s="162"/>
      <c r="IV100" s="162"/>
    </row>
    <row r="101" spans="1:256" ht="25.5">
      <c r="A101" s="164"/>
      <c r="B101" s="164"/>
      <c r="C101" s="482" t="s">
        <v>578</v>
      </c>
      <c r="D101" s="483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  <c r="IO101" s="162"/>
      <c r="IP101" s="162"/>
      <c r="IQ101" s="162"/>
      <c r="IR101" s="162"/>
      <c r="IS101" s="162"/>
      <c r="IT101" s="162"/>
      <c r="IU101" s="162"/>
      <c r="IV101" s="162"/>
    </row>
    <row r="102" spans="1:256" ht="25.5">
      <c r="A102" s="164"/>
      <c r="B102" s="164"/>
      <c r="C102" s="481" t="s">
        <v>579</v>
      </c>
      <c r="D102" s="459">
        <v>171908</v>
      </c>
      <c r="E102" s="426">
        <f>0+'[2]táj.1'!E102</f>
        <v>0</v>
      </c>
      <c r="F102" s="426">
        <f>0+'[2]táj.1'!F102</f>
        <v>0</v>
      </c>
      <c r="G102" s="426">
        <f>0+'[2]táj.1'!G102</f>
        <v>0</v>
      </c>
      <c r="H102" s="426">
        <f>101600+'[2]táj.1'!H102</f>
        <v>101600</v>
      </c>
      <c r="I102" s="426">
        <f>0+'[2]táj.1'!I102</f>
        <v>0</v>
      </c>
      <c r="J102" s="426">
        <f>0+'[2]táj.1'!J102</f>
        <v>0</v>
      </c>
      <c r="K102" s="426">
        <f>0+'[2]táj.1'!K102</f>
        <v>0</v>
      </c>
      <c r="L102" s="426">
        <f>0+'[2]táj.1'!L102</f>
        <v>0</v>
      </c>
      <c r="M102" s="426">
        <f>0+'[2]táj.1'!M102</f>
        <v>0</v>
      </c>
      <c r="N102" s="426">
        <f>0+'[2]táj.1'!N102</f>
        <v>0</v>
      </c>
      <c r="O102" s="426">
        <f>SUM(E102:N102)</f>
        <v>101600</v>
      </c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  <c r="IO102" s="162"/>
      <c r="IP102" s="162"/>
      <c r="IQ102" s="162"/>
      <c r="IR102" s="162"/>
      <c r="IS102" s="162"/>
      <c r="IT102" s="162"/>
      <c r="IU102" s="162"/>
      <c r="IV102" s="162"/>
    </row>
    <row r="103" spans="1:256" ht="12.75">
      <c r="A103" s="164"/>
      <c r="B103" s="164"/>
      <c r="C103" s="484" t="s">
        <v>580</v>
      </c>
      <c r="D103" s="478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  <c r="IN103" s="162"/>
      <c r="IO103" s="162"/>
      <c r="IP103" s="162"/>
      <c r="IQ103" s="162"/>
      <c r="IR103" s="162"/>
      <c r="IS103" s="162"/>
      <c r="IT103" s="162"/>
      <c r="IU103" s="162"/>
      <c r="IV103" s="162"/>
    </row>
    <row r="104" spans="1:256" ht="12.75">
      <c r="A104" s="164"/>
      <c r="B104" s="164"/>
      <c r="C104" s="442" t="s">
        <v>581</v>
      </c>
      <c r="D104" s="457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  <c r="IH104" s="162"/>
      <c r="II104" s="162"/>
      <c r="IJ104" s="162"/>
      <c r="IK104" s="162"/>
      <c r="IL104" s="162"/>
      <c r="IM104" s="162"/>
      <c r="IN104" s="162"/>
      <c r="IO104" s="162"/>
      <c r="IP104" s="162"/>
      <c r="IQ104" s="162"/>
      <c r="IR104" s="162"/>
      <c r="IS104" s="162"/>
      <c r="IT104" s="162"/>
      <c r="IU104" s="162"/>
      <c r="IV104" s="162"/>
    </row>
    <row r="105" spans="1:256" ht="25.5">
      <c r="A105" s="164"/>
      <c r="B105" s="164"/>
      <c r="C105" s="427" t="s">
        <v>582</v>
      </c>
      <c r="D105" s="459">
        <v>121401</v>
      </c>
      <c r="E105" s="426">
        <f>0+'[2]táj.1'!E105</f>
        <v>0</v>
      </c>
      <c r="F105" s="426">
        <f>0+'[2]táj.1'!F105</f>
        <v>0</v>
      </c>
      <c r="G105" s="426">
        <f>0+'[2]táj.1'!G105</f>
        <v>0</v>
      </c>
      <c r="H105" s="426">
        <f>0+'[2]táj.1'!H105</f>
        <v>0</v>
      </c>
      <c r="I105" s="426">
        <f>0+'[2]táj.1'!I105</f>
        <v>0</v>
      </c>
      <c r="J105" s="426">
        <f>0+'[2]táj.1'!J105</f>
        <v>0</v>
      </c>
      <c r="K105" s="426">
        <f>3000+'[2]táj.1'!K105</f>
        <v>3000</v>
      </c>
      <c r="L105" s="426">
        <f>0+'[2]táj.1'!L105</f>
        <v>0</v>
      </c>
      <c r="M105" s="426">
        <f>0+'[2]táj.1'!M105</f>
        <v>0</v>
      </c>
      <c r="N105" s="426">
        <f>0+'[2]táj.1'!N105</f>
        <v>0</v>
      </c>
      <c r="O105" s="426">
        <f>SUM(E105:N105)</f>
        <v>3000</v>
      </c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  <c r="HJ105" s="162"/>
      <c r="HK105" s="162"/>
      <c r="HL105" s="162"/>
      <c r="HM105" s="162"/>
      <c r="HN105" s="162"/>
      <c r="HO105" s="162"/>
      <c r="HP105" s="162"/>
      <c r="HQ105" s="162"/>
      <c r="HR105" s="162"/>
      <c r="HS105" s="162"/>
      <c r="HT105" s="162"/>
      <c r="HU105" s="162"/>
      <c r="HV105" s="162"/>
      <c r="HW105" s="162"/>
      <c r="HX105" s="162"/>
      <c r="HY105" s="162"/>
      <c r="HZ105" s="162"/>
      <c r="IA105" s="162"/>
      <c r="IB105" s="162"/>
      <c r="IC105" s="162"/>
      <c r="ID105" s="162"/>
      <c r="IE105" s="162"/>
      <c r="IF105" s="162"/>
      <c r="IG105" s="162"/>
      <c r="IH105" s="162"/>
      <c r="II105" s="162"/>
      <c r="IJ105" s="162"/>
      <c r="IK105" s="162"/>
      <c r="IL105" s="162"/>
      <c r="IM105" s="162"/>
      <c r="IN105" s="162"/>
      <c r="IO105" s="162"/>
      <c r="IP105" s="162"/>
      <c r="IQ105" s="162"/>
      <c r="IR105" s="162"/>
      <c r="IS105" s="162"/>
      <c r="IT105" s="162"/>
      <c r="IU105" s="162"/>
      <c r="IV105" s="162"/>
    </row>
    <row r="106" spans="1:256" ht="24">
      <c r="A106" s="164"/>
      <c r="B106" s="164"/>
      <c r="C106" s="809" t="s">
        <v>583</v>
      </c>
      <c r="D106" s="428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  <c r="IN106" s="162"/>
      <c r="IO106" s="162"/>
      <c r="IP106" s="162"/>
      <c r="IQ106" s="162"/>
      <c r="IR106" s="162"/>
      <c r="IS106" s="162"/>
      <c r="IT106" s="162"/>
      <c r="IU106" s="162"/>
      <c r="IV106" s="162"/>
    </row>
    <row r="107" spans="1:256" ht="12.75">
      <c r="A107" s="164"/>
      <c r="B107" s="164"/>
      <c r="C107" s="481" t="s">
        <v>584</v>
      </c>
      <c r="D107" s="459">
        <v>176902</v>
      </c>
      <c r="E107" s="426">
        <f>0+'[2]táj.1'!E107</f>
        <v>0</v>
      </c>
      <c r="F107" s="426">
        <f>0+'[2]táj.1'!F107</f>
        <v>0</v>
      </c>
      <c r="G107" s="426">
        <f>0+'[2]táj.1'!G107</f>
        <v>0</v>
      </c>
      <c r="H107" s="426">
        <f>0+'[2]táj.1'!H107</f>
        <v>0</v>
      </c>
      <c r="I107" s="426">
        <f>0+'[2]táj.1'!I107</f>
        <v>0</v>
      </c>
      <c r="J107" s="426">
        <f>0+'[2]táj.1'!J107</f>
        <v>0</v>
      </c>
      <c r="K107" s="426">
        <f>0+'[2]táj.1'!K107</f>
        <v>0</v>
      </c>
      <c r="L107" s="426">
        <f>0+'[2]táj.1'!L107</f>
        <v>0</v>
      </c>
      <c r="M107" s="426">
        <f>120445+'[2]táj.1'!M107</f>
        <v>120445</v>
      </c>
      <c r="N107" s="426">
        <f>117575+'[2]táj.1'!N107</f>
        <v>117575</v>
      </c>
      <c r="O107" s="426">
        <f>SUM(E107:N107)</f>
        <v>238020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  <c r="HU107" s="162"/>
      <c r="HV107" s="162"/>
      <c r="HW107" s="162"/>
      <c r="HX107" s="162"/>
      <c r="HY107" s="162"/>
      <c r="HZ107" s="162"/>
      <c r="IA107" s="162"/>
      <c r="IB107" s="162"/>
      <c r="IC107" s="162"/>
      <c r="ID107" s="162"/>
      <c r="IE107" s="162"/>
      <c r="IF107" s="162"/>
      <c r="IG107" s="162"/>
      <c r="IH107" s="162"/>
      <c r="II107" s="162"/>
      <c r="IJ107" s="162"/>
      <c r="IK107" s="162"/>
      <c r="IL107" s="162"/>
      <c r="IM107" s="162"/>
      <c r="IN107" s="162"/>
      <c r="IO107" s="162"/>
      <c r="IP107" s="162"/>
      <c r="IQ107" s="162"/>
      <c r="IR107" s="162"/>
      <c r="IS107" s="162"/>
      <c r="IT107" s="162"/>
      <c r="IU107" s="162"/>
      <c r="IV107" s="162"/>
    </row>
    <row r="108" spans="1:256" ht="13.5">
      <c r="A108" s="168"/>
      <c r="B108" s="168"/>
      <c r="C108" s="455" t="s">
        <v>585</v>
      </c>
      <c r="D108" s="474"/>
      <c r="E108" s="432">
        <f aca="true" t="shared" si="6" ref="E108:O108">SUM(E85:E107)</f>
        <v>0</v>
      </c>
      <c r="F108" s="432">
        <f t="shared" si="6"/>
        <v>0</v>
      </c>
      <c r="G108" s="432">
        <f t="shared" si="6"/>
        <v>0</v>
      </c>
      <c r="H108" s="432">
        <f t="shared" si="6"/>
        <v>431671</v>
      </c>
      <c r="I108" s="432">
        <f t="shared" si="6"/>
        <v>76000</v>
      </c>
      <c r="J108" s="432">
        <f t="shared" si="6"/>
        <v>0</v>
      </c>
      <c r="K108" s="432">
        <f t="shared" si="6"/>
        <v>3000</v>
      </c>
      <c r="L108" s="432">
        <f t="shared" si="6"/>
        <v>0</v>
      </c>
      <c r="M108" s="432">
        <f t="shared" si="6"/>
        <v>120445</v>
      </c>
      <c r="N108" s="432">
        <f t="shared" si="6"/>
        <v>117575</v>
      </c>
      <c r="O108" s="432">
        <f t="shared" si="6"/>
        <v>748691</v>
      </c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  <c r="HU108" s="162"/>
      <c r="HV108" s="162"/>
      <c r="HW108" s="162"/>
      <c r="HX108" s="162"/>
      <c r="HY108" s="162"/>
      <c r="HZ108" s="162"/>
      <c r="IA108" s="162"/>
      <c r="IB108" s="162"/>
      <c r="IC108" s="162"/>
      <c r="ID108" s="162"/>
      <c r="IE108" s="162"/>
      <c r="IF108" s="162"/>
      <c r="IG108" s="162"/>
      <c r="IH108" s="162"/>
      <c r="II108" s="162"/>
      <c r="IJ108" s="162"/>
      <c r="IK108" s="162"/>
      <c r="IL108" s="162"/>
      <c r="IM108" s="162"/>
      <c r="IN108" s="162"/>
      <c r="IO108" s="162"/>
      <c r="IP108" s="162"/>
      <c r="IQ108" s="162"/>
      <c r="IR108" s="162"/>
      <c r="IS108" s="162"/>
      <c r="IT108" s="162"/>
      <c r="IU108" s="162"/>
      <c r="IV108" s="162"/>
    </row>
    <row r="109" spans="1:256" ht="13.5">
      <c r="A109" s="165">
        <v>1</v>
      </c>
      <c r="B109" s="165">
        <v>18</v>
      </c>
      <c r="C109" s="427" t="s">
        <v>586</v>
      </c>
      <c r="D109" s="476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  <c r="HJ109" s="162"/>
      <c r="HK109" s="162"/>
      <c r="HL109" s="162"/>
      <c r="HM109" s="162"/>
      <c r="HN109" s="162"/>
      <c r="HO109" s="162"/>
      <c r="HP109" s="162"/>
      <c r="HQ109" s="162"/>
      <c r="HR109" s="162"/>
      <c r="HS109" s="162"/>
      <c r="HT109" s="162"/>
      <c r="HU109" s="162"/>
      <c r="HV109" s="162"/>
      <c r="HW109" s="162"/>
      <c r="HX109" s="162"/>
      <c r="HY109" s="162"/>
      <c r="HZ109" s="162"/>
      <c r="IA109" s="162"/>
      <c r="IB109" s="162"/>
      <c r="IC109" s="162"/>
      <c r="ID109" s="162"/>
      <c r="IE109" s="162"/>
      <c r="IF109" s="162"/>
      <c r="IG109" s="162"/>
      <c r="IH109" s="162"/>
      <c r="II109" s="162"/>
      <c r="IJ109" s="162"/>
      <c r="IK109" s="162"/>
      <c r="IL109" s="162"/>
      <c r="IM109" s="162"/>
      <c r="IN109" s="162"/>
      <c r="IO109" s="162"/>
      <c r="IP109" s="162"/>
      <c r="IQ109" s="162"/>
      <c r="IR109" s="162"/>
      <c r="IS109" s="162"/>
      <c r="IT109" s="162"/>
      <c r="IU109" s="162"/>
      <c r="IV109" s="162"/>
    </row>
    <row r="110" spans="1:256" ht="25.5">
      <c r="A110" s="164"/>
      <c r="B110" s="164"/>
      <c r="C110" s="442" t="s">
        <v>523</v>
      </c>
      <c r="D110" s="457"/>
      <c r="E110" s="454"/>
      <c r="F110" s="454"/>
      <c r="G110" s="454"/>
      <c r="H110" s="426"/>
      <c r="I110" s="426"/>
      <c r="J110" s="426"/>
      <c r="K110" s="426"/>
      <c r="L110" s="426"/>
      <c r="M110" s="426"/>
      <c r="N110" s="426"/>
      <c r="O110" s="426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  <c r="HU110" s="162"/>
      <c r="HV110" s="162"/>
      <c r="HW110" s="162"/>
      <c r="HX110" s="162"/>
      <c r="HY110" s="162"/>
      <c r="HZ110" s="162"/>
      <c r="IA110" s="162"/>
      <c r="IB110" s="162"/>
      <c r="IC110" s="162"/>
      <c r="ID110" s="162"/>
      <c r="IE110" s="162"/>
      <c r="IF110" s="162"/>
      <c r="IG110" s="162"/>
      <c r="IH110" s="162"/>
      <c r="II110" s="162"/>
      <c r="IJ110" s="162"/>
      <c r="IK110" s="162"/>
      <c r="IL110" s="162"/>
      <c r="IM110" s="162"/>
      <c r="IN110" s="162"/>
      <c r="IO110" s="162"/>
      <c r="IP110" s="162"/>
      <c r="IQ110" s="162"/>
      <c r="IR110" s="162"/>
      <c r="IS110" s="162"/>
      <c r="IT110" s="162"/>
      <c r="IU110" s="162"/>
      <c r="IV110" s="162"/>
    </row>
    <row r="111" spans="1:256" ht="38.25">
      <c r="A111" s="164"/>
      <c r="B111" s="164"/>
      <c r="C111" s="442" t="s">
        <v>587</v>
      </c>
      <c r="D111" s="457" t="s">
        <v>588</v>
      </c>
      <c r="E111" s="454">
        <f>0+'[2]táj.1'!E111</f>
        <v>0</v>
      </c>
      <c r="F111" s="454">
        <f>0+'[2]táj.1'!F111</f>
        <v>0</v>
      </c>
      <c r="G111" s="454">
        <f>0+'[2]táj.1'!G111</f>
        <v>0</v>
      </c>
      <c r="H111" s="454">
        <f>25400+'[2]táj.1'!H111</f>
        <v>25400</v>
      </c>
      <c r="I111" s="454">
        <f>0+'[2]táj.1'!I111</f>
        <v>0</v>
      </c>
      <c r="J111" s="454">
        <f>0+'[2]táj.1'!J111</f>
        <v>0</v>
      </c>
      <c r="K111" s="454">
        <f>0+'[2]táj.1'!K111</f>
        <v>0</v>
      </c>
      <c r="L111" s="454">
        <f>0+'[2]táj.1'!L111</f>
        <v>0</v>
      </c>
      <c r="M111" s="454">
        <f>0+'[2]táj.1'!M111</f>
        <v>0</v>
      </c>
      <c r="N111" s="454">
        <f>0+'[2]táj.1'!N111</f>
        <v>0</v>
      </c>
      <c r="O111" s="426">
        <f>SUM(E111:N111)</f>
        <v>25400</v>
      </c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  <c r="HJ111" s="162"/>
      <c r="HK111" s="162"/>
      <c r="HL111" s="162"/>
      <c r="HM111" s="162"/>
      <c r="HN111" s="162"/>
      <c r="HO111" s="162"/>
      <c r="HP111" s="162"/>
      <c r="HQ111" s="162"/>
      <c r="HR111" s="162"/>
      <c r="HS111" s="162"/>
      <c r="HT111" s="162"/>
      <c r="HU111" s="162"/>
      <c r="HV111" s="162"/>
      <c r="HW111" s="162"/>
      <c r="HX111" s="162"/>
      <c r="HY111" s="162"/>
      <c r="HZ111" s="162"/>
      <c r="IA111" s="162"/>
      <c r="IB111" s="162"/>
      <c r="IC111" s="162"/>
      <c r="ID111" s="162"/>
      <c r="IE111" s="162"/>
      <c r="IF111" s="162"/>
      <c r="IG111" s="162"/>
      <c r="IH111" s="162"/>
      <c r="II111" s="162"/>
      <c r="IJ111" s="162"/>
      <c r="IK111" s="162"/>
      <c r="IL111" s="162"/>
      <c r="IM111" s="162"/>
      <c r="IN111" s="162"/>
      <c r="IO111" s="162"/>
      <c r="IP111" s="162"/>
      <c r="IQ111" s="162"/>
      <c r="IR111" s="162"/>
      <c r="IS111" s="162"/>
      <c r="IT111" s="162"/>
      <c r="IU111" s="162"/>
      <c r="IV111" s="162"/>
    </row>
    <row r="112" spans="1:256" ht="12.75">
      <c r="A112" s="164"/>
      <c r="B112" s="164"/>
      <c r="C112" s="427" t="s">
        <v>589</v>
      </c>
      <c r="D112" s="459">
        <v>181905</v>
      </c>
      <c r="E112" s="454">
        <f>0+'[2]táj.1'!E112</f>
        <v>0</v>
      </c>
      <c r="F112" s="454">
        <f>0+'[2]táj.1'!F112</f>
        <v>0</v>
      </c>
      <c r="G112" s="454">
        <f>0+'[2]táj.1'!G112</f>
        <v>0</v>
      </c>
      <c r="H112" s="454">
        <f>17000+'[2]táj.1'!H112</f>
        <v>17000</v>
      </c>
      <c r="I112" s="454">
        <f>0+'[2]táj.1'!I112</f>
        <v>0</v>
      </c>
      <c r="J112" s="454">
        <f>0+'[2]táj.1'!J112</f>
        <v>0</v>
      </c>
      <c r="K112" s="454">
        <f>0+'[2]táj.1'!K112</f>
        <v>0</v>
      </c>
      <c r="L112" s="454">
        <f>0+'[2]táj.1'!L112</f>
        <v>0</v>
      </c>
      <c r="M112" s="454">
        <f>0+'[2]táj.1'!M112</f>
        <v>0</v>
      </c>
      <c r="N112" s="454">
        <f>0+'[2]táj.1'!N112</f>
        <v>0</v>
      </c>
      <c r="O112" s="426">
        <f>SUM(E112:N112)</f>
        <v>17000</v>
      </c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  <c r="HJ112" s="162"/>
      <c r="HK112" s="162"/>
      <c r="HL112" s="162"/>
      <c r="HM112" s="162"/>
      <c r="HN112" s="162"/>
      <c r="HO112" s="162"/>
      <c r="HP112" s="162"/>
      <c r="HQ112" s="162"/>
      <c r="HR112" s="162"/>
      <c r="HS112" s="162"/>
      <c r="HT112" s="162"/>
      <c r="HU112" s="162"/>
      <c r="HV112" s="162"/>
      <c r="HW112" s="162"/>
      <c r="HX112" s="162"/>
      <c r="HY112" s="162"/>
      <c r="HZ112" s="162"/>
      <c r="IA112" s="162"/>
      <c r="IB112" s="162"/>
      <c r="IC112" s="162"/>
      <c r="ID112" s="162"/>
      <c r="IE112" s="162"/>
      <c r="IF112" s="162"/>
      <c r="IG112" s="162"/>
      <c r="IH112" s="162"/>
      <c r="II112" s="162"/>
      <c r="IJ112" s="162"/>
      <c r="IK112" s="162"/>
      <c r="IL112" s="162"/>
      <c r="IM112" s="162"/>
      <c r="IN112" s="162"/>
      <c r="IO112" s="162"/>
      <c r="IP112" s="162"/>
      <c r="IQ112" s="162"/>
      <c r="IR112" s="162"/>
      <c r="IS112" s="162"/>
      <c r="IT112" s="162"/>
      <c r="IU112" s="162"/>
      <c r="IV112" s="162"/>
    </row>
    <row r="113" spans="1:256" ht="12.75">
      <c r="A113" s="164"/>
      <c r="B113" s="164"/>
      <c r="C113" s="442" t="s">
        <v>590</v>
      </c>
      <c r="D113" s="457">
        <v>181903</v>
      </c>
      <c r="E113" s="454">
        <f>0+'[2]táj.1'!E113</f>
        <v>0</v>
      </c>
      <c r="F113" s="454">
        <f>0+'[2]táj.1'!F113</f>
        <v>0</v>
      </c>
      <c r="G113" s="454">
        <f>3000+'[2]táj.1'!G113</f>
        <v>3000</v>
      </c>
      <c r="H113" s="454">
        <f>0+'[2]táj.1'!H113</f>
        <v>0</v>
      </c>
      <c r="I113" s="454">
        <f>0+'[2]táj.1'!I113</f>
        <v>0</v>
      </c>
      <c r="J113" s="454">
        <f>0+'[2]táj.1'!J113</f>
        <v>0</v>
      </c>
      <c r="K113" s="454">
        <f>0+'[2]táj.1'!K113</f>
        <v>0</v>
      </c>
      <c r="L113" s="454">
        <f>0+'[2]táj.1'!L113</f>
        <v>0</v>
      </c>
      <c r="M113" s="454">
        <f>0+'[2]táj.1'!M113</f>
        <v>0</v>
      </c>
      <c r="N113" s="454">
        <f>0+'[2]táj.1'!N113</f>
        <v>0</v>
      </c>
      <c r="O113" s="426">
        <f>SUM(E113:N113)</f>
        <v>3000</v>
      </c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  <c r="HJ113" s="162"/>
      <c r="HK113" s="162"/>
      <c r="HL113" s="162"/>
      <c r="HM113" s="162"/>
      <c r="HN113" s="162"/>
      <c r="HO113" s="162"/>
      <c r="HP113" s="162"/>
      <c r="HQ113" s="162"/>
      <c r="HR113" s="162"/>
      <c r="HS113" s="162"/>
      <c r="HT113" s="162"/>
      <c r="HU113" s="162"/>
      <c r="HV113" s="162"/>
      <c r="HW113" s="162"/>
      <c r="HX113" s="162"/>
      <c r="HY113" s="162"/>
      <c r="HZ113" s="162"/>
      <c r="IA113" s="162"/>
      <c r="IB113" s="162"/>
      <c r="IC113" s="162"/>
      <c r="ID113" s="162"/>
      <c r="IE113" s="162"/>
      <c r="IF113" s="162"/>
      <c r="IG113" s="162"/>
      <c r="IH113" s="162"/>
      <c r="II113" s="162"/>
      <c r="IJ113" s="162"/>
      <c r="IK113" s="162"/>
      <c r="IL113" s="162"/>
      <c r="IM113" s="162"/>
      <c r="IN113" s="162"/>
      <c r="IO113" s="162"/>
      <c r="IP113" s="162"/>
      <c r="IQ113" s="162"/>
      <c r="IR113" s="162"/>
      <c r="IS113" s="162"/>
      <c r="IT113" s="162"/>
      <c r="IU113" s="162"/>
      <c r="IV113" s="162"/>
    </row>
    <row r="114" spans="1:256" ht="25.5">
      <c r="A114" s="164"/>
      <c r="B114" s="164"/>
      <c r="C114" s="442" t="s">
        <v>591</v>
      </c>
      <c r="D114" s="457">
        <v>181904</v>
      </c>
      <c r="E114" s="454">
        <f>0+'[2]táj.1'!E114</f>
        <v>0</v>
      </c>
      <c r="F114" s="454">
        <f>0+'[2]táj.1'!F114</f>
        <v>0</v>
      </c>
      <c r="G114" s="454">
        <f>0+'[2]táj.1'!G114</f>
        <v>0</v>
      </c>
      <c r="H114" s="454">
        <f>200+'[2]táj.1'!H114</f>
        <v>200</v>
      </c>
      <c r="I114" s="454">
        <f>0+'[2]táj.1'!I114</f>
        <v>0</v>
      </c>
      <c r="J114" s="454">
        <f>0+'[2]táj.1'!J114</f>
        <v>0</v>
      </c>
      <c r="K114" s="454">
        <f>0+'[2]táj.1'!K114</f>
        <v>0</v>
      </c>
      <c r="L114" s="454">
        <f>0+'[2]táj.1'!L114</f>
        <v>0</v>
      </c>
      <c r="M114" s="454">
        <f>0+'[2]táj.1'!M114</f>
        <v>0</v>
      </c>
      <c r="N114" s="454">
        <f>0+'[2]táj.1'!N114</f>
        <v>0</v>
      </c>
      <c r="O114" s="426">
        <f>SUM(E114:N114)</f>
        <v>200</v>
      </c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  <c r="IH114" s="162"/>
      <c r="II114" s="162"/>
      <c r="IJ114" s="162"/>
      <c r="IK114" s="162"/>
      <c r="IL114" s="162"/>
      <c r="IM114" s="162"/>
      <c r="IN114" s="162"/>
      <c r="IO114" s="162"/>
      <c r="IP114" s="162"/>
      <c r="IQ114" s="162"/>
      <c r="IR114" s="162"/>
      <c r="IS114" s="162"/>
      <c r="IT114" s="162"/>
      <c r="IU114" s="162"/>
      <c r="IV114" s="162"/>
    </row>
    <row r="115" spans="1:256" ht="12.75">
      <c r="A115" s="164" t="s">
        <v>265</v>
      </c>
      <c r="B115" s="164"/>
      <c r="C115" s="427" t="s">
        <v>592</v>
      </c>
      <c r="D115" s="459">
        <v>181902</v>
      </c>
      <c r="E115" s="454">
        <f>0+'[2]táj.1'!E115</f>
        <v>0</v>
      </c>
      <c r="F115" s="454">
        <f>0+'[2]táj.1'!F115</f>
        <v>0</v>
      </c>
      <c r="G115" s="454">
        <f>0+'[2]táj.1'!G115</f>
        <v>0</v>
      </c>
      <c r="H115" s="454">
        <f>33020+'[2]táj.1'!H115</f>
        <v>33020</v>
      </c>
      <c r="I115" s="454">
        <f>0+'[2]táj.1'!I115</f>
        <v>0</v>
      </c>
      <c r="J115" s="454">
        <f>0+'[2]táj.1'!J115</f>
        <v>0</v>
      </c>
      <c r="K115" s="454">
        <f>0+'[2]táj.1'!K115</f>
        <v>0</v>
      </c>
      <c r="L115" s="454">
        <f>0+'[2]táj.1'!L115</f>
        <v>0</v>
      </c>
      <c r="M115" s="454">
        <f>0+'[2]táj.1'!M115</f>
        <v>0</v>
      </c>
      <c r="N115" s="454">
        <f>0+'[2]táj.1'!N115</f>
        <v>0</v>
      </c>
      <c r="O115" s="426">
        <f>SUM(E115:N115)</f>
        <v>33020</v>
      </c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2"/>
      <c r="IG115" s="162"/>
      <c r="IH115" s="162"/>
      <c r="II115" s="162"/>
      <c r="IJ115" s="162"/>
      <c r="IK115" s="162"/>
      <c r="IL115" s="162"/>
      <c r="IM115" s="162"/>
      <c r="IN115" s="162"/>
      <c r="IO115" s="162"/>
      <c r="IP115" s="162"/>
      <c r="IQ115" s="162"/>
      <c r="IR115" s="162"/>
      <c r="IS115" s="162"/>
      <c r="IT115" s="162"/>
      <c r="IU115" s="162"/>
      <c r="IV115" s="162"/>
    </row>
    <row r="116" spans="1:256" ht="13.5">
      <c r="A116" s="168"/>
      <c r="B116" s="168"/>
      <c r="C116" s="455" t="s">
        <v>593</v>
      </c>
      <c r="D116" s="474"/>
      <c r="E116" s="486">
        <f aca="true" t="shared" si="7" ref="E116:O116">SUM(E111:E115)</f>
        <v>0</v>
      </c>
      <c r="F116" s="486">
        <f t="shared" si="7"/>
        <v>0</v>
      </c>
      <c r="G116" s="486">
        <f t="shared" si="7"/>
        <v>3000</v>
      </c>
      <c r="H116" s="486">
        <f t="shared" si="7"/>
        <v>75620</v>
      </c>
      <c r="I116" s="486">
        <f t="shared" si="7"/>
        <v>0</v>
      </c>
      <c r="J116" s="486">
        <f t="shared" si="7"/>
        <v>0</v>
      </c>
      <c r="K116" s="486">
        <f t="shared" si="7"/>
        <v>0</v>
      </c>
      <c r="L116" s="486">
        <f t="shared" si="7"/>
        <v>0</v>
      </c>
      <c r="M116" s="486">
        <f t="shared" si="7"/>
        <v>0</v>
      </c>
      <c r="N116" s="486">
        <f t="shared" si="7"/>
        <v>0</v>
      </c>
      <c r="O116" s="486">
        <f t="shared" si="7"/>
        <v>78620</v>
      </c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  <c r="HJ116" s="162"/>
      <c r="HK116" s="162"/>
      <c r="HL116" s="162"/>
      <c r="HM116" s="162"/>
      <c r="HN116" s="162"/>
      <c r="HO116" s="162"/>
      <c r="HP116" s="162"/>
      <c r="HQ116" s="162"/>
      <c r="HR116" s="162"/>
      <c r="HS116" s="162"/>
      <c r="HT116" s="162"/>
      <c r="HU116" s="162"/>
      <c r="HV116" s="162"/>
      <c r="HW116" s="162"/>
      <c r="HX116" s="162"/>
      <c r="HY116" s="162"/>
      <c r="HZ116" s="162"/>
      <c r="IA116" s="162"/>
      <c r="IB116" s="162"/>
      <c r="IC116" s="162"/>
      <c r="ID116" s="162"/>
      <c r="IE116" s="162"/>
      <c r="IF116" s="162"/>
      <c r="IG116" s="162"/>
      <c r="IH116" s="162"/>
      <c r="II116" s="162"/>
      <c r="IJ116" s="162"/>
      <c r="IK116" s="162"/>
      <c r="IL116" s="162"/>
      <c r="IM116" s="162"/>
      <c r="IN116" s="162"/>
      <c r="IO116" s="162"/>
      <c r="IP116" s="162"/>
      <c r="IQ116" s="162"/>
      <c r="IR116" s="162"/>
      <c r="IS116" s="162"/>
      <c r="IT116" s="162"/>
      <c r="IU116" s="162"/>
      <c r="IV116" s="162"/>
    </row>
    <row r="117" spans="1:256" ht="13.5">
      <c r="A117" s="164">
        <v>1</v>
      </c>
      <c r="B117" s="164">
        <v>19</v>
      </c>
      <c r="C117" s="420" t="s">
        <v>264</v>
      </c>
      <c r="D117" s="421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  <c r="HU117" s="162"/>
      <c r="HV117" s="162"/>
      <c r="HW117" s="162"/>
      <c r="HX117" s="162"/>
      <c r="HY117" s="162"/>
      <c r="HZ117" s="162"/>
      <c r="IA117" s="162"/>
      <c r="IB117" s="162"/>
      <c r="IC117" s="162"/>
      <c r="ID117" s="162"/>
      <c r="IE117" s="162"/>
      <c r="IF117" s="162"/>
      <c r="IG117" s="162"/>
      <c r="IH117" s="162"/>
      <c r="II117" s="162"/>
      <c r="IJ117" s="162"/>
      <c r="IK117" s="162"/>
      <c r="IL117" s="162"/>
      <c r="IM117" s="162"/>
      <c r="IN117" s="162"/>
      <c r="IO117" s="162"/>
      <c r="IP117" s="162"/>
      <c r="IQ117" s="162"/>
      <c r="IR117" s="162"/>
      <c r="IS117" s="162"/>
      <c r="IT117" s="162"/>
      <c r="IU117" s="162"/>
      <c r="IV117" s="162"/>
    </row>
    <row r="118" spans="1:256" ht="25.5">
      <c r="A118" s="164"/>
      <c r="B118" s="164"/>
      <c r="C118" s="487" t="s">
        <v>594</v>
      </c>
      <c r="D118" s="483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  <c r="HJ118" s="162"/>
      <c r="HK118" s="162"/>
      <c r="HL118" s="162"/>
      <c r="HM118" s="162"/>
      <c r="HN118" s="162"/>
      <c r="HO118" s="162"/>
      <c r="HP118" s="162"/>
      <c r="HQ118" s="162"/>
      <c r="HR118" s="162"/>
      <c r="HS118" s="162"/>
      <c r="HT118" s="162"/>
      <c r="HU118" s="162"/>
      <c r="HV118" s="162"/>
      <c r="HW118" s="162"/>
      <c r="HX118" s="162"/>
      <c r="HY118" s="162"/>
      <c r="HZ118" s="162"/>
      <c r="IA118" s="162"/>
      <c r="IB118" s="162"/>
      <c r="IC118" s="162"/>
      <c r="ID118" s="162"/>
      <c r="IE118" s="162"/>
      <c r="IF118" s="162"/>
      <c r="IG118" s="162"/>
      <c r="IH118" s="162"/>
      <c r="II118" s="162"/>
      <c r="IJ118" s="162"/>
      <c r="IK118" s="162"/>
      <c r="IL118" s="162"/>
      <c r="IM118" s="162"/>
      <c r="IN118" s="162"/>
      <c r="IO118" s="162"/>
      <c r="IP118" s="162"/>
      <c r="IQ118" s="162"/>
      <c r="IR118" s="162"/>
      <c r="IS118" s="162"/>
      <c r="IT118" s="162"/>
      <c r="IU118" s="162"/>
      <c r="IV118" s="162"/>
    </row>
    <row r="119" spans="1:256" ht="25.5">
      <c r="A119" s="164"/>
      <c r="B119" s="164"/>
      <c r="C119" s="427" t="s">
        <v>595</v>
      </c>
      <c r="D119" s="459">
        <v>196911</v>
      </c>
      <c r="E119" s="454">
        <f>0+'[2]táj.1'!E119</f>
        <v>0</v>
      </c>
      <c r="F119" s="454">
        <f>0+'[2]táj.1'!F119</f>
        <v>0</v>
      </c>
      <c r="G119" s="454">
        <f>0+'[2]táj.1'!G119</f>
        <v>0</v>
      </c>
      <c r="H119" s="454">
        <f>0+'[2]táj.1'!H119</f>
        <v>0</v>
      </c>
      <c r="I119" s="454">
        <f>0+'[2]táj.1'!I119</f>
        <v>0</v>
      </c>
      <c r="J119" s="454">
        <f>0+'[2]táj.1'!J119</f>
        <v>0</v>
      </c>
      <c r="K119" s="454">
        <f>0+'[2]táj.1'!K119</f>
        <v>0</v>
      </c>
      <c r="L119" s="454">
        <f>17924+'[2]táj.1'!L119</f>
        <v>17924</v>
      </c>
      <c r="M119" s="454">
        <f>0+'[2]táj.1'!M119</f>
        <v>0</v>
      </c>
      <c r="N119" s="454">
        <f>0+'[2]táj.1'!N119</f>
        <v>0</v>
      </c>
      <c r="O119" s="426">
        <f>SUM(E119:N119)</f>
        <v>17924</v>
      </c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  <c r="HU119" s="162"/>
      <c r="HV119" s="162"/>
      <c r="HW119" s="162"/>
      <c r="HX119" s="162"/>
      <c r="HY119" s="162"/>
      <c r="HZ119" s="162"/>
      <c r="IA119" s="162"/>
      <c r="IB119" s="162"/>
      <c r="IC119" s="162"/>
      <c r="ID119" s="162"/>
      <c r="IE119" s="162"/>
      <c r="IF119" s="162"/>
      <c r="IG119" s="162"/>
      <c r="IH119" s="162"/>
      <c r="II119" s="162"/>
      <c r="IJ119" s="162"/>
      <c r="IK119" s="162"/>
      <c r="IL119" s="162"/>
      <c r="IM119" s="162"/>
      <c r="IN119" s="162"/>
      <c r="IO119" s="162"/>
      <c r="IP119" s="162"/>
      <c r="IQ119" s="162"/>
      <c r="IR119" s="162"/>
      <c r="IS119" s="162"/>
      <c r="IT119" s="162"/>
      <c r="IU119" s="162"/>
      <c r="IV119" s="162"/>
    </row>
    <row r="120" spans="1:256" ht="25.5">
      <c r="A120" s="164"/>
      <c r="B120" s="164"/>
      <c r="C120" s="427" t="s">
        <v>487</v>
      </c>
      <c r="D120" s="428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26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  <c r="GL120" s="162"/>
      <c r="GM120" s="162"/>
      <c r="GN120" s="162"/>
      <c r="GO120" s="162"/>
      <c r="GP120" s="162"/>
      <c r="GQ120" s="162"/>
      <c r="GR120" s="162"/>
      <c r="GS120" s="162"/>
      <c r="GT120" s="162"/>
      <c r="GU120" s="162"/>
      <c r="GV120" s="162"/>
      <c r="GW120" s="162"/>
      <c r="GX120" s="162"/>
      <c r="GY120" s="162"/>
      <c r="GZ120" s="162"/>
      <c r="HA120" s="162"/>
      <c r="HB120" s="162"/>
      <c r="HC120" s="162"/>
      <c r="HD120" s="162"/>
      <c r="HE120" s="162"/>
      <c r="HF120" s="162"/>
      <c r="HG120" s="162"/>
      <c r="HH120" s="162"/>
      <c r="HI120" s="162"/>
      <c r="HJ120" s="162"/>
      <c r="HK120" s="162"/>
      <c r="HL120" s="162"/>
      <c r="HM120" s="162"/>
      <c r="HN120" s="162"/>
      <c r="HO120" s="162"/>
      <c r="HP120" s="162"/>
      <c r="HQ120" s="162"/>
      <c r="HR120" s="162"/>
      <c r="HS120" s="162"/>
      <c r="HT120" s="162"/>
      <c r="HU120" s="162"/>
      <c r="HV120" s="162"/>
      <c r="HW120" s="162"/>
      <c r="HX120" s="162"/>
      <c r="HY120" s="162"/>
      <c r="HZ120" s="162"/>
      <c r="IA120" s="162"/>
      <c r="IB120" s="162"/>
      <c r="IC120" s="162"/>
      <c r="ID120" s="162"/>
      <c r="IE120" s="162"/>
      <c r="IF120" s="162"/>
      <c r="IG120" s="162"/>
      <c r="IH120" s="162"/>
      <c r="II120" s="162"/>
      <c r="IJ120" s="162"/>
      <c r="IK120" s="162"/>
      <c r="IL120" s="162"/>
      <c r="IM120" s="162"/>
      <c r="IN120" s="162"/>
      <c r="IO120" s="162"/>
      <c r="IP120" s="162"/>
      <c r="IQ120" s="162"/>
      <c r="IR120" s="162"/>
      <c r="IS120" s="162"/>
      <c r="IT120" s="162"/>
      <c r="IU120" s="162"/>
      <c r="IV120" s="162"/>
    </row>
    <row r="121" spans="1:256" ht="25.5">
      <c r="A121" s="164" t="s">
        <v>265</v>
      </c>
      <c r="B121" s="164"/>
      <c r="C121" s="427" t="s">
        <v>596</v>
      </c>
      <c r="D121" s="475">
        <v>191102</v>
      </c>
      <c r="E121" s="454">
        <f>0+'[2]táj.1'!E121</f>
        <v>0</v>
      </c>
      <c r="F121" s="454">
        <f>0+'[2]táj.1'!F121</f>
        <v>0</v>
      </c>
      <c r="G121" s="454">
        <f>0+'[2]táj.1'!G121</f>
        <v>0</v>
      </c>
      <c r="H121" s="454">
        <f>3000+'[2]táj.1'!H121</f>
        <v>3000</v>
      </c>
      <c r="I121" s="454">
        <f>0+'[2]táj.1'!I121</f>
        <v>0</v>
      </c>
      <c r="J121" s="454">
        <f>0+'[2]táj.1'!J121</f>
        <v>0</v>
      </c>
      <c r="K121" s="454">
        <f>0+'[2]táj.1'!K121</f>
        <v>0</v>
      </c>
      <c r="L121" s="454">
        <f>0+'[2]táj.1'!L121</f>
        <v>0</v>
      </c>
      <c r="M121" s="454">
        <f>0+'[2]táj.1'!M121</f>
        <v>0</v>
      </c>
      <c r="N121" s="454">
        <f>0+'[2]táj.1'!N121</f>
        <v>0</v>
      </c>
      <c r="O121" s="426">
        <f>SUM(E121:N121)</f>
        <v>3000</v>
      </c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  <c r="GL121" s="162"/>
      <c r="GM121" s="162"/>
      <c r="GN121" s="162"/>
      <c r="GO121" s="162"/>
      <c r="GP121" s="162"/>
      <c r="GQ121" s="162"/>
      <c r="GR121" s="162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2"/>
      <c r="HI121" s="162"/>
      <c r="HJ121" s="162"/>
      <c r="HK121" s="162"/>
      <c r="HL121" s="162"/>
      <c r="HM121" s="162"/>
      <c r="HN121" s="162"/>
      <c r="HO121" s="162"/>
      <c r="HP121" s="162"/>
      <c r="HQ121" s="162"/>
      <c r="HR121" s="162"/>
      <c r="HS121" s="162"/>
      <c r="HT121" s="162"/>
      <c r="HU121" s="162"/>
      <c r="HV121" s="162"/>
      <c r="HW121" s="162"/>
      <c r="HX121" s="162"/>
      <c r="HY121" s="162"/>
      <c r="HZ121" s="162"/>
      <c r="IA121" s="162"/>
      <c r="IB121" s="162"/>
      <c r="IC121" s="162"/>
      <c r="ID121" s="162"/>
      <c r="IE121" s="162"/>
      <c r="IF121" s="162"/>
      <c r="IG121" s="162"/>
      <c r="IH121" s="162"/>
      <c r="II121" s="162"/>
      <c r="IJ121" s="162"/>
      <c r="IK121" s="162"/>
      <c r="IL121" s="162"/>
      <c r="IM121" s="162"/>
      <c r="IN121" s="162"/>
      <c r="IO121" s="162"/>
      <c r="IP121" s="162"/>
      <c r="IQ121" s="162"/>
      <c r="IR121" s="162"/>
      <c r="IS121" s="162"/>
      <c r="IT121" s="162"/>
      <c r="IU121" s="162"/>
      <c r="IV121" s="162"/>
    </row>
    <row r="122" spans="1:256" ht="12.75">
      <c r="A122" s="164"/>
      <c r="B122" s="164"/>
      <c r="C122" s="429" t="s">
        <v>597</v>
      </c>
      <c r="D122" s="475">
        <v>191103</v>
      </c>
      <c r="E122" s="454">
        <f>0+'[2]táj.1'!E122</f>
        <v>0</v>
      </c>
      <c r="F122" s="454">
        <f>0+'[2]táj.1'!F122</f>
        <v>0</v>
      </c>
      <c r="G122" s="454">
        <f>0+'[2]táj.1'!G122</f>
        <v>0</v>
      </c>
      <c r="H122" s="454">
        <f>109044+'[2]táj.1'!H122</f>
        <v>109044</v>
      </c>
      <c r="I122" s="454">
        <f>0+'[2]táj.1'!I122</f>
        <v>0</v>
      </c>
      <c r="J122" s="454">
        <f>0+'[2]táj.1'!J122</f>
        <v>0</v>
      </c>
      <c r="K122" s="454">
        <f>0+'[2]táj.1'!K122</f>
        <v>0</v>
      </c>
      <c r="L122" s="454">
        <f>0+'[2]táj.1'!L122</f>
        <v>0</v>
      </c>
      <c r="M122" s="454">
        <f>0+'[2]táj.1'!M122</f>
        <v>0</v>
      </c>
      <c r="N122" s="454">
        <f>0+'[2]táj.1'!N122</f>
        <v>0</v>
      </c>
      <c r="O122" s="426">
        <f>SUM(E122:N122)</f>
        <v>109044</v>
      </c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  <c r="GL122" s="162"/>
      <c r="GM122" s="162"/>
      <c r="GN122" s="162"/>
      <c r="GO122" s="162"/>
      <c r="GP122" s="162"/>
      <c r="GQ122" s="162"/>
      <c r="GR122" s="162"/>
      <c r="GS122" s="162"/>
      <c r="GT122" s="162"/>
      <c r="GU122" s="162"/>
      <c r="GV122" s="162"/>
      <c r="GW122" s="162"/>
      <c r="GX122" s="162"/>
      <c r="GY122" s="162"/>
      <c r="GZ122" s="162"/>
      <c r="HA122" s="162"/>
      <c r="HB122" s="162"/>
      <c r="HC122" s="162"/>
      <c r="HD122" s="162"/>
      <c r="HE122" s="162"/>
      <c r="HF122" s="162"/>
      <c r="HG122" s="162"/>
      <c r="HH122" s="162"/>
      <c r="HI122" s="162"/>
      <c r="HJ122" s="162"/>
      <c r="HK122" s="162"/>
      <c r="HL122" s="162"/>
      <c r="HM122" s="162"/>
      <c r="HN122" s="162"/>
      <c r="HO122" s="162"/>
      <c r="HP122" s="162"/>
      <c r="HQ122" s="162"/>
      <c r="HR122" s="162"/>
      <c r="HS122" s="162"/>
      <c r="HT122" s="162"/>
      <c r="HU122" s="162"/>
      <c r="HV122" s="162"/>
      <c r="HW122" s="162"/>
      <c r="HX122" s="162"/>
      <c r="HY122" s="162"/>
      <c r="HZ122" s="162"/>
      <c r="IA122" s="162"/>
      <c r="IB122" s="162"/>
      <c r="IC122" s="162"/>
      <c r="ID122" s="162"/>
      <c r="IE122" s="162"/>
      <c r="IF122" s="162"/>
      <c r="IG122" s="162"/>
      <c r="IH122" s="162"/>
      <c r="II122" s="162"/>
      <c r="IJ122" s="162"/>
      <c r="IK122" s="162"/>
      <c r="IL122" s="162"/>
      <c r="IM122" s="162"/>
      <c r="IN122" s="162"/>
      <c r="IO122" s="162"/>
      <c r="IP122" s="162"/>
      <c r="IQ122" s="162"/>
      <c r="IR122" s="162"/>
      <c r="IS122" s="162"/>
      <c r="IT122" s="162"/>
      <c r="IU122" s="162"/>
      <c r="IV122" s="162"/>
    </row>
    <row r="123" spans="1:256" ht="12.75">
      <c r="A123" s="164"/>
      <c r="B123" s="164"/>
      <c r="C123" s="429" t="s">
        <v>598</v>
      </c>
      <c r="D123" s="475">
        <v>196919</v>
      </c>
      <c r="E123" s="454">
        <f>0+'[2]táj.1'!E123</f>
        <v>0</v>
      </c>
      <c r="F123" s="454">
        <f>0+'[2]táj.1'!F123</f>
        <v>0</v>
      </c>
      <c r="G123" s="454">
        <f>0+'[2]táj.1'!G123</f>
        <v>0</v>
      </c>
      <c r="H123" s="454">
        <f>0+'[2]táj.1'!H123</f>
        <v>0</v>
      </c>
      <c r="I123" s="454">
        <f>0+'[2]táj.1'!I123</f>
        <v>0</v>
      </c>
      <c r="J123" s="454">
        <f>0+'[2]táj.1'!J123</f>
        <v>0</v>
      </c>
      <c r="K123" s="454">
        <f>0+'[2]táj.1'!K123</f>
        <v>0</v>
      </c>
      <c r="L123" s="454">
        <f>0+'[2]táj.1'!L123</f>
        <v>0</v>
      </c>
      <c r="M123" s="454">
        <f>0+'[2]táj.1'!M123</f>
        <v>0</v>
      </c>
      <c r="N123" s="454">
        <f>12000000+'[2]táj.1'!N123</f>
        <v>12200000</v>
      </c>
      <c r="O123" s="426">
        <f>SUM(E123:N123)</f>
        <v>12200000</v>
      </c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  <c r="HJ123" s="162"/>
      <c r="HK123" s="162"/>
      <c r="HL123" s="162"/>
      <c r="HM123" s="162"/>
      <c r="HN123" s="162"/>
      <c r="HO123" s="162"/>
      <c r="HP123" s="162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2"/>
      <c r="IG123" s="162"/>
      <c r="IH123" s="162"/>
      <c r="II123" s="162"/>
      <c r="IJ123" s="162"/>
      <c r="IK123" s="162"/>
      <c r="IL123" s="162"/>
      <c r="IM123" s="162"/>
      <c r="IN123" s="162"/>
      <c r="IO123" s="162"/>
      <c r="IP123" s="162"/>
      <c r="IQ123" s="162"/>
      <c r="IR123" s="162"/>
      <c r="IS123" s="162"/>
      <c r="IT123" s="162"/>
      <c r="IU123" s="162"/>
      <c r="IV123" s="162"/>
    </row>
    <row r="124" spans="1:256" ht="25.5">
      <c r="A124" s="164"/>
      <c r="B124" s="164"/>
      <c r="C124" s="427" t="s">
        <v>1491</v>
      </c>
      <c r="D124" s="459">
        <v>191196</v>
      </c>
      <c r="E124" s="454">
        <f>0+'[2]táj.1'!E124</f>
        <v>0</v>
      </c>
      <c r="F124" s="454">
        <f>0+'[2]táj.1'!F124</f>
        <v>0</v>
      </c>
      <c r="G124" s="454">
        <f>0+'[2]táj.1'!G124</f>
        <v>0</v>
      </c>
      <c r="H124" s="454">
        <f>0+'[2]táj.1'!H124</f>
        <v>0</v>
      </c>
      <c r="I124" s="454">
        <f>0+'[2]táj.1'!I124</f>
        <v>0</v>
      </c>
      <c r="J124" s="454">
        <f>0+'[2]táj.1'!J124</f>
        <v>0</v>
      </c>
      <c r="K124" s="454">
        <f>0+'[2]táj.1'!K124</f>
        <v>0</v>
      </c>
      <c r="L124" s="454">
        <f>0+'[2]táj.1'!L124</f>
        <v>0</v>
      </c>
      <c r="M124" s="454">
        <f>1239885+'[2]táj.1'!M124</f>
        <v>1239885</v>
      </c>
      <c r="N124" s="454">
        <f>250000+'[2]táj.1'!N124</f>
        <v>250000</v>
      </c>
      <c r="O124" s="426">
        <f>SUM(E124:N124)</f>
        <v>1489885</v>
      </c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  <c r="GL124" s="162"/>
      <c r="GM124" s="162"/>
      <c r="GN124" s="162"/>
      <c r="GO124" s="162"/>
      <c r="GP124" s="162"/>
      <c r="GQ124" s="162"/>
      <c r="GR124" s="162"/>
      <c r="GS124" s="162"/>
      <c r="GT124" s="162"/>
      <c r="GU124" s="162"/>
      <c r="GV124" s="162"/>
      <c r="GW124" s="162"/>
      <c r="GX124" s="162"/>
      <c r="GY124" s="162"/>
      <c r="GZ124" s="162"/>
      <c r="HA124" s="162"/>
      <c r="HB124" s="162"/>
      <c r="HC124" s="162"/>
      <c r="HD124" s="162"/>
      <c r="HE124" s="162"/>
      <c r="HF124" s="162"/>
      <c r="HG124" s="162"/>
      <c r="HH124" s="162"/>
      <c r="HI124" s="162"/>
      <c r="HJ124" s="162"/>
      <c r="HK124" s="162"/>
      <c r="HL124" s="162"/>
      <c r="HM124" s="162"/>
      <c r="HN124" s="162"/>
      <c r="HO124" s="162"/>
      <c r="HP124" s="162"/>
      <c r="HQ124" s="162"/>
      <c r="HR124" s="162"/>
      <c r="HS124" s="162"/>
      <c r="HT124" s="162"/>
      <c r="HU124" s="162"/>
      <c r="HV124" s="162"/>
      <c r="HW124" s="162"/>
      <c r="HX124" s="162"/>
      <c r="HY124" s="162"/>
      <c r="HZ124" s="162"/>
      <c r="IA124" s="162"/>
      <c r="IB124" s="162"/>
      <c r="IC124" s="162"/>
      <c r="ID124" s="162"/>
      <c r="IE124" s="162"/>
      <c r="IF124" s="162"/>
      <c r="IG124" s="162"/>
      <c r="IH124" s="162"/>
      <c r="II124" s="162"/>
      <c r="IJ124" s="162"/>
      <c r="IK124" s="162"/>
      <c r="IL124" s="162"/>
      <c r="IM124" s="162"/>
      <c r="IN124" s="162"/>
      <c r="IO124" s="162"/>
      <c r="IP124" s="162"/>
      <c r="IQ124" s="162"/>
      <c r="IR124" s="162"/>
      <c r="IS124" s="162"/>
      <c r="IT124" s="162"/>
      <c r="IU124" s="162"/>
      <c r="IV124" s="162"/>
    </row>
    <row r="125" spans="1:256" ht="25.5">
      <c r="A125" s="164"/>
      <c r="B125" s="164"/>
      <c r="C125" s="427" t="s">
        <v>599</v>
      </c>
      <c r="D125" s="476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26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  <c r="HJ125" s="162"/>
      <c r="HK125" s="162"/>
      <c r="HL125" s="162"/>
      <c r="HM125" s="162"/>
      <c r="HN125" s="162"/>
      <c r="HO125" s="162"/>
      <c r="HP125" s="162"/>
      <c r="HQ125" s="162"/>
      <c r="HR125" s="162"/>
      <c r="HS125" s="162"/>
      <c r="HT125" s="162"/>
      <c r="HU125" s="162"/>
      <c r="HV125" s="162"/>
      <c r="HW125" s="162"/>
      <c r="HX125" s="162"/>
      <c r="HY125" s="162"/>
      <c r="HZ125" s="162"/>
      <c r="IA125" s="162"/>
      <c r="IB125" s="162"/>
      <c r="IC125" s="162"/>
      <c r="ID125" s="162"/>
      <c r="IE125" s="162"/>
      <c r="IF125" s="162"/>
      <c r="IG125" s="162"/>
      <c r="IH125" s="162"/>
      <c r="II125" s="162"/>
      <c r="IJ125" s="162"/>
      <c r="IK125" s="162"/>
      <c r="IL125" s="162"/>
      <c r="IM125" s="162"/>
      <c r="IN125" s="162"/>
      <c r="IO125" s="162"/>
      <c r="IP125" s="162"/>
      <c r="IQ125" s="162"/>
      <c r="IR125" s="162"/>
      <c r="IS125" s="162"/>
      <c r="IT125" s="162"/>
      <c r="IU125" s="162"/>
      <c r="IV125" s="162"/>
    </row>
    <row r="126" spans="1:256" ht="25.5">
      <c r="A126" s="164"/>
      <c r="B126" s="164"/>
      <c r="C126" s="442" t="s">
        <v>600</v>
      </c>
      <c r="D126" s="457">
        <v>191901</v>
      </c>
      <c r="E126" s="454">
        <f>109243+'[2]táj.1'!E126</f>
        <v>109243</v>
      </c>
      <c r="F126" s="454">
        <f>0+'[2]táj.1'!F126</f>
        <v>0</v>
      </c>
      <c r="G126" s="454">
        <f>0+'[2]táj.1'!G126</f>
        <v>0</v>
      </c>
      <c r="H126" s="454">
        <f>0+'[2]táj.1'!H126</f>
        <v>0</v>
      </c>
      <c r="I126" s="454">
        <f>0+'[2]táj.1'!I126</f>
        <v>0</v>
      </c>
      <c r="J126" s="454">
        <f>0+'[2]táj.1'!J126</f>
        <v>0</v>
      </c>
      <c r="K126" s="454">
        <f>0+'[2]táj.1'!K126</f>
        <v>0</v>
      </c>
      <c r="L126" s="454">
        <f>0+'[2]táj.1'!L126</f>
        <v>0</v>
      </c>
      <c r="M126" s="454">
        <f>0+'[2]táj.1'!M126</f>
        <v>0</v>
      </c>
      <c r="N126" s="454">
        <f>0+'[2]táj.1'!N126</f>
        <v>0</v>
      </c>
      <c r="O126" s="426">
        <f aca="true" t="shared" si="8" ref="O126:O134">SUM(E126:N126)</f>
        <v>109243</v>
      </c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  <c r="HU126" s="162"/>
      <c r="HV126" s="162"/>
      <c r="HW126" s="162"/>
      <c r="HX126" s="162"/>
      <c r="HY126" s="162"/>
      <c r="HZ126" s="162"/>
      <c r="IA126" s="162"/>
      <c r="IB126" s="162"/>
      <c r="IC126" s="162"/>
      <c r="ID126" s="162"/>
      <c r="IE126" s="162"/>
      <c r="IF126" s="162"/>
      <c r="IG126" s="162"/>
      <c r="IH126" s="162"/>
      <c r="II126" s="162"/>
      <c r="IJ126" s="162"/>
      <c r="IK126" s="162"/>
      <c r="IL126" s="162"/>
      <c r="IM126" s="162"/>
      <c r="IN126" s="162"/>
      <c r="IO126" s="162"/>
      <c r="IP126" s="162"/>
      <c r="IQ126" s="162"/>
      <c r="IR126" s="162"/>
      <c r="IS126" s="162"/>
      <c r="IT126" s="162"/>
      <c r="IU126" s="162"/>
      <c r="IV126" s="162"/>
    </row>
    <row r="127" spans="1:256" ht="25.5">
      <c r="A127" s="164"/>
      <c r="B127" s="164"/>
      <c r="C127" s="442" t="s">
        <v>601</v>
      </c>
      <c r="D127" s="457">
        <v>191901</v>
      </c>
      <c r="E127" s="454">
        <f>1028163+'[2]táj.1'!E127</f>
        <v>1028163</v>
      </c>
      <c r="F127" s="454">
        <f>0+'[2]táj.1'!F127</f>
        <v>0</v>
      </c>
      <c r="G127" s="454">
        <f>0+'[2]táj.1'!G127</f>
        <v>0</v>
      </c>
      <c r="H127" s="454">
        <f>0+'[2]táj.1'!H127</f>
        <v>0</v>
      </c>
      <c r="I127" s="454">
        <f>0+'[2]táj.1'!I127</f>
        <v>0</v>
      </c>
      <c r="J127" s="454">
        <f>0+'[2]táj.1'!J127</f>
        <v>0</v>
      </c>
      <c r="K127" s="454">
        <f>0+'[2]táj.1'!K127</f>
        <v>0</v>
      </c>
      <c r="L127" s="454">
        <f>0+'[2]táj.1'!L127</f>
        <v>0</v>
      </c>
      <c r="M127" s="454">
        <f>0+'[2]táj.1'!M127</f>
        <v>0</v>
      </c>
      <c r="N127" s="454">
        <f>0+'[2]táj.1'!N127</f>
        <v>0</v>
      </c>
      <c r="O127" s="426">
        <f t="shared" si="8"/>
        <v>1028163</v>
      </c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  <c r="GL127" s="162"/>
      <c r="GM127" s="162"/>
      <c r="GN127" s="162"/>
      <c r="GO127" s="162"/>
      <c r="GP127" s="162"/>
      <c r="GQ127" s="162"/>
      <c r="GR127" s="162"/>
      <c r="GS127" s="162"/>
      <c r="GT127" s="162"/>
      <c r="GU127" s="162"/>
      <c r="GV127" s="162"/>
      <c r="GW127" s="162"/>
      <c r="GX127" s="162"/>
      <c r="GY127" s="162"/>
      <c r="GZ127" s="162"/>
      <c r="HA127" s="162"/>
      <c r="HB127" s="162"/>
      <c r="HC127" s="162"/>
      <c r="HD127" s="162"/>
      <c r="HE127" s="162"/>
      <c r="HF127" s="162"/>
      <c r="HG127" s="162"/>
      <c r="HH127" s="162"/>
      <c r="HI127" s="162"/>
      <c r="HJ127" s="162"/>
      <c r="HK127" s="162"/>
      <c r="HL127" s="162"/>
      <c r="HM127" s="162"/>
      <c r="HN127" s="162"/>
      <c r="HO127" s="162"/>
      <c r="HP127" s="162"/>
      <c r="HQ127" s="162"/>
      <c r="HR127" s="162"/>
      <c r="HS127" s="162"/>
      <c r="HT127" s="162"/>
      <c r="HU127" s="162"/>
      <c r="HV127" s="162"/>
      <c r="HW127" s="162"/>
      <c r="HX127" s="162"/>
      <c r="HY127" s="162"/>
      <c r="HZ127" s="162"/>
      <c r="IA127" s="162"/>
      <c r="IB127" s="162"/>
      <c r="IC127" s="162"/>
      <c r="ID127" s="162"/>
      <c r="IE127" s="162"/>
      <c r="IF127" s="162"/>
      <c r="IG127" s="162"/>
      <c r="IH127" s="162"/>
      <c r="II127" s="162"/>
      <c r="IJ127" s="162"/>
      <c r="IK127" s="162"/>
      <c r="IL127" s="162"/>
      <c r="IM127" s="162"/>
      <c r="IN127" s="162"/>
      <c r="IO127" s="162"/>
      <c r="IP127" s="162"/>
      <c r="IQ127" s="162"/>
      <c r="IR127" s="162"/>
      <c r="IS127" s="162"/>
      <c r="IT127" s="162"/>
      <c r="IU127" s="162"/>
      <c r="IV127" s="162"/>
    </row>
    <row r="128" spans="1:256" ht="25.5">
      <c r="A128" s="164"/>
      <c r="B128" s="164"/>
      <c r="C128" s="442" t="s">
        <v>602</v>
      </c>
      <c r="D128" s="457">
        <v>191901</v>
      </c>
      <c r="E128" s="454">
        <f>1264081+'[2]táj.1'!E128</f>
        <v>1264081</v>
      </c>
      <c r="F128" s="454">
        <f>0+'[2]táj.1'!F128</f>
        <v>0</v>
      </c>
      <c r="G128" s="454">
        <f>0+'[2]táj.1'!G128</f>
        <v>0</v>
      </c>
      <c r="H128" s="454">
        <f>0+'[2]táj.1'!H128</f>
        <v>0</v>
      </c>
      <c r="I128" s="454">
        <f>0+'[2]táj.1'!I128</f>
        <v>0</v>
      </c>
      <c r="J128" s="454">
        <f>0+'[2]táj.1'!J128</f>
        <v>0</v>
      </c>
      <c r="K128" s="454">
        <f>0+'[2]táj.1'!K128</f>
        <v>0</v>
      </c>
      <c r="L128" s="454">
        <f>0+'[2]táj.1'!L128</f>
        <v>0</v>
      </c>
      <c r="M128" s="454">
        <f>0+'[2]táj.1'!M128</f>
        <v>0</v>
      </c>
      <c r="N128" s="454">
        <f>0+'[2]táj.1'!N128</f>
        <v>0</v>
      </c>
      <c r="O128" s="426">
        <f t="shared" si="8"/>
        <v>1264081</v>
      </c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  <c r="IH128" s="162"/>
      <c r="II128" s="162"/>
      <c r="IJ128" s="162"/>
      <c r="IK128" s="162"/>
      <c r="IL128" s="162"/>
      <c r="IM128" s="162"/>
      <c r="IN128" s="162"/>
      <c r="IO128" s="162"/>
      <c r="IP128" s="162"/>
      <c r="IQ128" s="162"/>
      <c r="IR128" s="162"/>
      <c r="IS128" s="162"/>
      <c r="IT128" s="162"/>
      <c r="IU128" s="162"/>
      <c r="IV128" s="162"/>
    </row>
    <row r="129" spans="1:256" ht="25.5">
      <c r="A129" s="164"/>
      <c r="B129" s="164"/>
      <c r="C129" s="442" t="s">
        <v>603</v>
      </c>
      <c r="D129" s="457">
        <v>191901</v>
      </c>
      <c r="E129" s="454">
        <f>447133+'[2]táj.1'!E129</f>
        <v>447133</v>
      </c>
      <c r="F129" s="454">
        <f>0+'[2]táj.1'!F129</f>
        <v>0</v>
      </c>
      <c r="G129" s="454">
        <f>0+'[2]táj.1'!G129</f>
        <v>0</v>
      </c>
      <c r="H129" s="454">
        <f>0+'[2]táj.1'!H129</f>
        <v>0</v>
      </c>
      <c r="I129" s="454">
        <f>0+'[2]táj.1'!I129</f>
        <v>0</v>
      </c>
      <c r="J129" s="454">
        <f>0+'[2]táj.1'!J129</f>
        <v>0</v>
      </c>
      <c r="K129" s="454">
        <f>0+'[2]táj.1'!K129</f>
        <v>0</v>
      </c>
      <c r="L129" s="454">
        <f>0+'[2]táj.1'!L129</f>
        <v>0</v>
      </c>
      <c r="M129" s="454">
        <f>0+'[2]táj.1'!M129</f>
        <v>0</v>
      </c>
      <c r="N129" s="454">
        <f>0+'[2]táj.1'!N129</f>
        <v>0</v>
      </c>
      <c r="O129" s="426">
        <f t="shared" si="8"/>
        <v>447133</v>
      </c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  <c r="HU129" s="162"/>
      <c r="HV129" s="162"/>
      <c r="HW129" s="162"/>
      <c r="HX129" s="162"/>
      <c r="HY129" s="162"/>
      <c r="HZ129" s="162"/>
      <c r="IA129" s="162"/>
      <c r="IB129" s="162"/>
      <c r="IC129" s="162"/>
      <c r="ID129" s="162"/>
      <c r="IE129" s="162"/>
      <c r="IF129" s="162"/>
      <c r="IG129" s="162"/>
      <c r="IH129" s="162"/>
      <c r="II129" s="162"/>
      <c r="IJ129" s="162"/>
      <c r="IK129" s="162"/>
      <c r="IL129" s="162"/>
      <c r="IM129" s="162"/>
      <c r="IN129" s="162"/>
      <c r="IO129" s="162"/>
      <c r="IP129" s="162"/>
      <c r="IQ129" s="162"/>
      <c r="IR129" s="162"/>
      <c r="IS129" s="162"/>
      <c r="IT129" s="162"/>
      <c r="IU129" s="162"/>
      <c r="IV129" s="162"/>
    </row>
    <row r="130" spans="1:256" ht="12.75">
      <c r="A130" s="164"/>
      <c r="B130" s="164"/>
      <c r="C130" s="442" t="s">
        <v>1496</v>
      </c>
      <c r="D130" s="457">
        <v>191901</v>
      </c>
      <c r="E130" s="454">
        <f>270400+'[2]táj.1'!E130</f>
        <v>270400</v>
      </c>
      <c r="F130" s="454">
        <f>0+'[2]táj.1'!F130</f>
        <v>0</v>
      </c>
      <c r="G130" s="454">
        <f>0+'[2]táj.1'!G130</f>
        <v>0</v>
      </c>
      <c r="H130" s="454">
        <f>0+'[2]táj.1'!H130</f>
        <v>0</v>
      </c>
      <c r="I130" s="454">
        <f>0+'[2]táj.1'!I130</f>
        <v>0</v>
      </c>
      <c r="J130" s="454">
        <f>0+'[2]táj.1'!J130</f>
        <v>0</v>
      </c>
      <c r="K130" s="454">
        <f>0+'[2]táj.1'!K130</f>
        <v>0</v>
      </c>
      <c r="L130" s="454">
        <f>0+'[2]táj.1'!L130</f>
        <v>0</v>
      </c>
      <c r="M130" s="454">
        <f>0+'[2]táj.1'!M130</f>
        <v>0</v>
      </c>
      <c r="N130" s="454">
        <f>0+'[2]táj.1'!N130</f>
        <v>0</v>
      </c>
      <c r="O130" s="426">
        <f t="shared" si="8"/>
        <v>270400</v>
      </c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2"/>
      <c r="IG130" s="162"/>
      <c r="IH130" s="162"/>
      <c r="II130" s="162"/>
      <c r="IJ130" s="162"/>
      <c r="IK130" s="162"/>
      <c r="IL130" s="162"/>
      <c r="IM130" s="162"/>
      <c r="IN130" s="162"/>
      <c r="IO130" s="162"/>
      <c r="IP130" s="162"/>
      <c r="IQ130" s="162"/>
      <c r="IR130" s="162"/>
      <c r="IS130" s="162"/>
      <c r="IT130" s="162"/>
      <c r="IU130" s="162"/>
      <c r="IV130" s="162"/>
    </row>
    <row r="131" spans="1:256" ht="12.75">
      <c r="A131" s="164"/>
      <c r="B131" s="164"/>
      <c r="C131" s="442" t="s">
        <v>604</v>
      </c>
      <c r="D131" s="457">
        <v>191901</v>
      </c>
      <c r="E131" s="454">
        <f>0+'[2]táj.1'!E131</f>
        <v>0</v>
      </c>
      <c r="F131" s="454">
        <f>0+'[2]táj.1'!F131</f>
        <v>0</v>
      </c>
      <c r="G131" s="454">
        <f>0+'[2]táj.1'!G131</f>
        <v>0</v>
      </c>
      <c r="H131" s="454">
        <f>0+'[2]táj.1'!H131</f>
        <v>0</v>
      </c>
      <c r="I131" s="454">
        <f>0+'[2]táj.1'!I131</f>
        <v>0</v>
      </c>
      <c r="J131" s="454">
        <f>0+'[2]táj.1'!J131</f>
        <v>0</v>
      </c>
      <c r="K131" s="454">
        <f>0+'[2]táj.1'!K131</f>
        <v>0</v>
      </c>
      <c r="L131" s="454">
        <f>0+'[2]táj.1'!L131</f>
        <v>0</v>
      </c>
      <c r="M131" s="454">
        <f>0+'[2]táj.1'!M131</f>
        <v>0</v>
      </c>
      <c r="N131" s="454">
        <f>0+'[2]táj.1'!N131</f>
        <v>0</v>
      </c>
      <c r="O131" s="426">
        <f t="shared" si="8"/>
        <v>0</v>
      </c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  <c r="GL131" s="162"/>
      <c r="GM131" s="162"/>
      <c r="GN131" s="162"/>
      <c r="GO131" s="162"/>
      <c r="GP131" s="162"/>
      <c r="GQ131" s="162"/>
      <c r="GR131" s="162"/>
      <c r="GS131" s="162"/>
      <c r="GT131" s="162"/>
      <c r="GU131" s="162"/>
      <c r="GV131" s="162"/>
      <c r="GW131" s="162"/>
      <c r="GX131" s="162"/>
      <c r="GY131" s="162"/>
      <c r="GZ131" s="162"/>
      <c r="HA131" s="162"/>
      <c r="HB131" s="162"/>
      <c r="HC131" s="162"/>
      <c r="HD131" s="162"/>
      <c r="HE131" s="162"/>
      <c r="HF131" s="162"/>
      <c r="HG131" s="162"/>
      <c r="HH131" s="162"/>
      <c r="HI131" s="162"/>
      <c r="HJ131" s="162"/>
      <c r="HK131" s="162"/>
      <c r="HL131" s="162"/>
      <c r="HM131" s="162"/>
      <c r="HN131" s="162"/>
      <c r="HO131" s="162"/>
      <c r="HP131" s="162"/>
      <c r="HQ131" s="162"/>
      <c r="HR131" s="162"/>
      <c r="HS131" s="162"/>
      <c r="HT131" s="162"/>
      <c r="HU131" s="162"/>
      <c r="HV131" s="162"/>
      <c r="HW131" s="162"/>
      <c r="HX131" s="162"/>
      <c r="HY131" s="162"/>
      <c r="HZ131" s="162"/>
      <c r="IA131" s="162"/>
      <c r="IB131" s="162"/>
      <c r="IC131" s="162"/>
      <c r="ID131" s="162"/>
      <c r="IE131" s="162"/>
      <c r="IF131" s="162"/>
      <c r="IG131" s="162"/>
      <c r="IH131" s="162"/>
      <c r="II131" s="162"/>
      <c r="IJ131" s="162"/>
      <c r="IK131" s="162"/>
      <c r="IL131" s="162"/>
      <c r="IM131" s="162"/>
      <c r="IN131" s="162"/>
      <c r="IO131" s="162"/>
      <c r="IP131" s="162"/>
      <c r="IQ131" s="162"/>
      <c r="IR131" s="162"/>
      <c r="IS131" s="162"/>
      <c r="IT131" s="162"/>
      <c r="IU131" s="162"/>
      <c r="IV131" s="162"/>
    </row>
    <row r="132" spans="1:256" ht="25.5">
      <c r="A132" s="164"/>
      <c r="B132" s="164"/>
      <c r="C132" s="176" t="s">
        <v>62</v>
      </c>
      <c r="D132" s="687">
        <v>191901</v>
      </c>
      <c r="E132" s="454">
        <f>52762+'[2]táj.1'!E132</f>
        <v>52762</v>
      </c>
      <c r="F132" s="454">
        <f>0+'[2]táj.1'!F132</f>
        <v>0</v>
      </c>
      <c r="G132" s="454">
        <f>0+'[2]táj.1'!G132</f>
        <v>0</v>
      </c>
      <c r="H132" s="454">
        <f>0+'[2]táj.1'!H132</f>
        <v>0</v>
      </c>
      <c r="I132" s="454">
        <f>0+'[2]táj.1'!I132</f>
        <v>0</v>
      </c>
      <c r="J132" s="454">
        <f>0+'[2]táj.1'!J132</f>
        <v>0</v>
      </c>
      <c r="K132" s="454">
        <f>0+'[2]táj.1'!K132</f>
        <v>0</v>
      </c>
      <c r="L132" s="454">
        <f>0+'[2]táj.1'!L132</f>
        <v>0</v>
      </c>
      <c r="M132" s="454">
        <f>0+'[2]táj.1'!M132</f>
        <v>0</v>
      </c>
      <c r="N132" s="454">
        <f>0+'[2]táj.1'!N132</f>
        <v>0</v>
      </c>
      <c r="O132" s="426">
        <f t="shared" si="8"/>
        <v>52762</v>
      </c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  <c r="HJ132" s="162"/>
      <c r="HK132" s="162"/>
      <c r="HL132" s="162"/>
      <c r="HM132" s="162"/>
      <c r="HN132" s="162"/>
      <c r="HO132" s="162"/>
      <c r="HP132" s="162"/>
      <c r="HQ132" s="162"/>
      <c r="HR132" s="162"/>
      <c r="HS132" s="162"/>
      <c r="HT132" s="162"/>
      <c r="HU132" s="162"/>
      <c r="HV132" s="162"/>
      <c r="HW132" s="162"/>
      <c r="HX132" s="162"/>
      <c r="HY132" s="162"/>
      <c r="HZ132" s="162"/>
      <c r="IA132" s="162"/>
      <c r="IB132" s="162"/>
      <c r="IC132" s="162"/>
      <c r="ID132" s="162"/>
      <c r="IE132" s="162"/>
      <c r="IF132" s="162"/>
      <c r="IG132" s="162"/>
      <c r="IH132" s="162"/>
      <c r="II132" s="162"/>
      <c r="IJ132" s="162"/>
      <c r="IK132" s="162"/>
      <c r="IL132" s="162"/>
      <c r="IM132" s="162"/>
      <c r="IN132" s="162"/>
      <c r="IO132" s="162"/>
      <c r="IP132" s="162"/>
      <c r="IQ132" s="162"/>
      <c r="IR132" s="162"/>
      <c r="IS132" s="162"/>
      <c r="IT132" s="162"/>
      <c r="IU132" s="162"/>
      <c r="IV132" s="162"/>
    </row>
    <row r="133" spans="1:256" ht="25.5">
      <c r="A133" s="164"/>
      <c r="B133" s="164"/>
      <c r="C133" s="176" t="s">
        <v>63</v>
      </c>
      <c r="D133" s="687">
        <v>191901</v>
      </c>
      <c r="E133" s="454">
        <f>0+'[2]táj.1'!E133</f>
        <v>0</v>
      </c>
      <c r="F133" s="454">
        <f>2140+'[2]táj.1'!F133</f>
        <v>2140</v>
      </c>
      <c r="G133" s="454">
        <f>0+'[2]táj.1'!G133</f>
        <v>0</v>
      </c>
      <c r="H133" s="454">
        <f>0+'[2]táj.1'!H133</f>
        <v>0</v>
      </c>
      <c r="I133" s="454">
        <f>0+'[2]táj.1'!I133</f>
        <v>0</v>
      </c>
      <c r="J133" s="454">
        <f>0+'[2]táj.1'!J133</f>
        <v>0</v>
      </c>
      <c r="K133" s="454">
        <f>0+'[2]táj.1'!K133</f>
        <v>0</v>
      </c>
      <c r="L133" s="454">
        <f>0+'[2]táj.1'!L133</f>
        <v>0</v>
      </c>
      <c r="M133" s="454">
        <f>0+'[2]táj.1'!M133</f>
        <v>0</v>
      </c>
      <c r="N133" s="454">
        <f>0+'[2]táj.1'!N133</f>
        <v>0</v>
      </c>
      <c r="O133" s="426">
        <f t="shared" si="8"/>
        <v>2140</v>
      </c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  <c r="HJ133" s="162"/>
      <c r="HK133" s="162"/>
      <c r="HL133" s="162"/>
      <c r="HM133" s="162"/>
      <c r="HN133" s="162"/>
      <c r="HO133" s="162"/>
      <c r="HP133" s="162"/>
      <c r="HQ133" s="162"/>
      <c r="HR133" s="162"/>
      <c r="HS133" s="162"/>
      <c r="HT133" s="162"/>
      <c r="HU133" s="162"/>
      <c r="HV133" s="162"/>
      <c r="HW133" s="162"/>
      <c r="HX133" s="162"/>
      <c r="HY133" s="162"/>
      <c r="HZ133" s="162"/>
      <c r="IA133" s="162"/>
      <c r="IB133" s="162"/>
      <c r="IC133" s="162"/>
      <c r="ID133" s="162"/>
      <c r="IE133" s="162"/>
      <c r="IF133" s="162"/>
      <c r="IG133" s="162"/>
      <c r="IH133" s="162"/>
      <c r="II133" s="162"/>
      <c r="IJ133" s="162"/>
      <c r="IK133" s="162"/>
      <c r="IL133" s="162"/>
      <c r="IM133" s="162"/>
      <c r="IN133" s="162"/>
      <c r="IO133" s="162"/>
      <c r="IP133" s="162"/>
      <c r="IQ133" s="162"/>
      <c r="IR133" s="162"/>
      <c r="IS133" s="162"/>
      <c r="IT133" s="162"/>
      <c r="IU133" s="162"/>
      <c r="IV133" s="162"/>
    </row>
    <row r="134" spans="1:256" ht="12.75">
      <c r="A134" s="164"/>
      <c r="B134" s="164"/>
      <c r="C134" s="176" t="s">
        <v>64</v>
      </c>
      <c r="D134" s="687">
        <v>191901</v>
      </c>
      <c r="E134" s="454">
        <f>0+'[2]táj.1'!E134</f>
        <v>0</v>
      </c>
      <c r="F134" s="454">
        <f>0+'[2]táj.1'!F134</f>
        <v>0</v>
      </c>
      <c r="G134" s="454">
        <f>0+'[2]táj.1'!G134</f>
        <v>0</v>
      </c>
      <c r="H134" s="454">
        <f>0+'[2]táj.1'!H134</f>
        <v>0</v>
      </c>
      <c r="I134" s="454">
        <f>0+'[2]táj.1'!I134</f>
        <v>0</v>
      </c>
      <c r="J134" s="454">
        <f>0+'[2]táj.1'!J134</f>
        <v>0</v>
      </c>
      <c r="K134" s="454">
        <f>0+'[2]táj.1'!K134</f>
        <v>0</v>
      </c>
      <c r="L134" s="454">
        <f>0+'[2]táj.1'!L134</f>
        <v>0</v>
      </c>
      <c r="M134" s="454">
        <f>0+'[2]táj.1'!M134</f>
        <v>0</v>
      </c>
      <c r="N134" s="454">
        <f>1020+'[2]táj.1'!N134</f>
        <v>1020</v>
      </c>
      <c r="O134" s="426">
        <f t="shared" si="8"/>
        <v>1020</v>
      </c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  <c r="HJ134" s="162"/>
      <c r="HK134" s="162"/>
      <c r="HL134" s="162"/>
      <c r="HM134" s="162"/>
      <c r="HN134" s="162"/>
      <c r="HO134" s="162"/>
      <c r="HP134" s="162"/>
      <c r="HQ134" s="162"/>
      <c r="HR134" s="162"/>
      <c r="HS134" s="162"/>
      <c r="HT134" s="162"/>
      <c r="HU134" s="162"/>
      <c r="HV134" s="162"/>
      <c r="HW134" s="162"/>
      <c r="HX134" s="162"/>
      <c r="HY134" s="162"/>
      <c r="HZ134" s="162"/>
      <c r="IA134" s="162"/>
      <c r="IB134" s="162"/>
      <c r="IC134" s="162"/>
      <c r="ID134" s="162"/>
      <c r="IE134" s="162"/>
      <c r="IF134" s="162"/>
      <c r="IG134" s="162"/>
      <c r="IH134" s="162"/>
      <c r="II134" s="162"/>
      <c r="IJ134" s="162"/>
      <c r="IK134" s="162"/>
      <c r="IL134" s="162"/>
      <c r="IM134" s="162"/>
      <c r="IN134" s="162"/>
      <c r="IO134" s="162"/>
      <c r="IP134" s="162"/>
      <c r="IQ134" s="162"/>
      <c r="IR134" s="162"/>
      <c r="IS134" s="162"/>
      <c r="IT134" s="162"/>
      <c r="IU134" s="162"/>
      <c r="IV134" s="162"/>
    </row>
    <row r="135" spans="1:256" ht="25.5">
      <c r="A135" s="164"/>
      <c r="B135" s="164"/>
      <c r="C135" s="427" t="s">
        <v>605</v>
      </c>
      <c r="D135" s="476"/>
      <c r="E135" s="454"/>
      <c r="F135" s="454"/>
      <c r="G135" s="454"/>
      <c r="H135" s="454"/>
      <c r="I135" s="454"/>
      <c r="J135" s="454"/>
      <c r="K135" s="454"/>
      <c r="L135" s="454"/>
      <c r="M135" s="454"/>
      <c r="N135" s="454"/>
      <c r="O135" s="426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2"/>
      <c r="IG135" s="162"/>
      <c r="IH135" s="162"/>
      <c r="II135" s="162"/>
      <c r="IJ135" s="162"/>
      <c r="IK135" s="162"/>
      <c r="IL135" s="162"/>
      <c r="IM135" s="162"/>
      <c r="IN135" s="162"/>
      <c r="IO135" s="162"/>
      <c r="IP135" s="162"/>
      <c r="IQ135" s="162"/>
      <c r="IR135" s="162"/>
      <c r="IS135" s="162"/>
      <c r="IT135" s="162"/>
      <c r="IU135" s="162"/>
      <c r="IV135" s="162"/>
    </row>
    <row r="136" spans="1:256" ht="12.75">
      <c r="A136" s="164"/>
      <c r="B136" s="164"/>
      <c r="C136" s="429" t="s">
        <v>606</v>
      </c>
      <c r="D136" s="475">
        <v>191907</v>
      </c>
      <c r="E136" s="454">
        <f>0+'[2]táj.1'!E136</f>
        <v>0</v>
      </c>
      <c r="F136" s="454">
        <f>0+'[2]táj.1'!F136</f>
        <v>0</v>
      </c>
      <c r="G136" s="454">
        <f>4700000+'[2]táj.1'!G136</f>
        <v>4700000</v>
      </c>
      <c r="H136" s="454">
        <f>0+'[2]táj.1'!H136</f>
        <v>0</v>
      </c>
      <c r="I136" s="454">
        <f>0+'[2]táj.1'!I136</f>
        <v>0</v>
      </c>
      <c r="J136" s="454">
        <f>0+'[2]táj.1'!J136</f>
        <v>0</v>
      </c>
      <c r="K136" s="454">
        <f>0+'[2]táj.1'!K136</f>
        <v>0</v>
      </c>
      <c r="L136" s="454">
        <f>0+'[2]táj.1'!L136</f>
        <v>0</v>
      </c>
      <c r="M136" s="454">
        <f>0+'[2]táj.1'!M136</f>
        <v>0</v>
      </c>
      <c r="N136" s="454">
        <f>0+'[2]táj.1'!N136</f>
        <v>0</v>
      </c>
      <c r="O136" s="426">
        <f aca="true" t="shared" si="9" ref="O136:O141">SUM(E136:N136)</f>
        <v>4700000</v>
      </c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  <c r="HJ136" s="162"/>
      <c r="HK136" s="162"/>
      <c r="HL136" s="162"/>
      <c r="HM136" s="162"/>
      <c r="HN136" s="162"/>
      <c r="HO136" s="162"/>
      <c r="HP136" s="162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2"/>
      <c r="IG136" s="162"/>
      <c r="IH136" s="162"/>
      <c r="II136" s="162"/>
      <c r="IJ136" s="162"/>
      <c r="IK136" s="162"/>
      <c r="IL136" s="162"/>
      <c r="IM136" s="162"/>
      <c r="IN136" s="162"/>
      <c r="IO136" s="162"/>
      <c r="IP136" s="162"/>
      <c r="IQ136" s="162"/>
      <c r="IR136" s="162"/>
      <c r="IS136" s="162"/>
      <c r="IT136" s="162"/>
      <c r="IU136" s="162"/>
      <c r="IV136" s="162"/>
    </row>
    <row r="137" spans="1:256" ht="12.75">
      <c r="A137" s="164"/>
      <c r="B137" s="164"/>
      <c r="C137" s="429" t="s">
        <v>607</v>
      </c>
      <c r="D137" s="475">
        <v>191907</v>
      </c>
      <c r="E137" s="454">
        <f>0+'[2]táj.1'!E137</f>
        <v>0</v>
      </c>
      <c r="F137" s="454">
        <f>0+'[2]táj.1'!F137</f>
        <v>0</v>
      </c>
      <c r="G137" s="454">
        <f>280000+'[2]táj.1'!G137</f>
        <v>280000</v>
      </c>
      <c r="H137" s="454">
        <f>0+'[2]táj.1'!H137</f>
        <v>0</v>
      </c>
      <c r="I137" s="454">
        <f>0+'[2]táj.1'!I137</f>
        <v>0</v>
      </c>
      <c r="J137" s="454">
        <f>0+'[2]táj.1'!J137</f>
        <v>0</v>
      </c>
      <c r="K137" s="454">
        <f>0+'[2]táj.1'!K137</f>
        <v>0</v>
      </c>
      <c r="L137" s="454">
        <f>0+'[2]táj.1'!L137</f>
        <v>0</v>
      </c>
      <c r="M137" s="454">
        <f>0+'[2]táj.1'!M137</f>
        <v>0</v>
      </c>
      <c r="N137" s="454">
        <f>0+'[2]táj.1'!N137</f>
        <v>0</v>
      </c>
      <c r="O137" s="426">
        <f t="shared" si="9"/>
        <v>280000</v>
      </c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  <c r="HJ137" s="162"/>
      <c r="HK137" s="162"/>
      <c r="HL137" s="162"/>
      <c r="HM137" s="162"/>
      <c r="HN137" s="162"/>
      <c r="HO137" s="162"/>
      <c r="HP137" s="162"/>
      <c r="HQ137" s="162"/>
      <c r="HR137" s="162"/>
      <c r="HS137" s="162"/>
      <c r="HT137" s="162"/>
      <c r="HU137" s="162"/>
      <c r="HV137" s="162"/>
      <c r="HW137" s="162"/>
      <c r="HX137" s="162"/>
      <c r="HY137" s="162"/>
      <c r="HZ137" s="162"/>
      <c r="IA137" s="162"/>
      <c r="IB137" s="162"/>
      <c r="IC137" s="162"/>
      <c r="ID137" s="162"/>
      <c r="IE137" s="162"/>
      <c r="IF137" s="162"/>
      <c r="IG137" s="162"/>
      <c r="IH137" s="162"/>
      <c r="II137" s="162"/>
      <c r="IJ137" s="162"/>
      <c r="IK137" s="162"/>
      <c r="IL137" s="162"/>
      <c r="IM137" s="162"/>
      <c r="IN137" s="162"/>
      <c r="IO137" s="162"/>
      <c r="IP137" s="162"/>
      <c r="IQ137" s="162"/>
      <c r="IR137" s="162"/>
      <c r="IS137" s="162"/>
      <c r="IT137" s="162"/>
      <c r="IU137" s="162"/>
      <c r="IV137" s="162"/>
    </row>
    <row r="138" spans="1:256" ht="12.75">
      <c r="A138" s="164"/>
      <c r="B138" s="164"/>
      <c r="C138" s="429" t="s">
        <v>608</v>
      </c>
      <c r="D138" s="475">
        <v>191907</v>
      </c>
      <c r="E138" s="454">
        <f>0+'[2]táj.1'!E138</f>
        <v>0</v>
      </c>
      <c r="F138" s="454">
        <f>0+'[2]táj.1'!F138</f>
        <v>0</v>
      </c>
      <c r="G138" s="454">
        <f>21000+'[2]táj.1'!G138</f>
        <v>21000</v>
      </c>
      <c r="H138" s="454">
        <f>0+'[2]táj.1'!H138</f>
        <v>0</v>
      </c>
      <c r="I138" s="454">
        <f>0+'[2]táj.1'!I138</f>
        <v>0</v>
      </c>
      <c r="J138" s="454">
        <f>0+'[2]táj.1'!J138</f>
        <v>0</v>
      </c>
      <c r="K138" s="454">
        <f>0+'[2]táj.1'!K138</f>
        <v>0</v>
      </c>
      <c r="L138" s="454">
        <f>0+'[2]táj.1'!L138</f>
        <v>0</v>
      </c>
      <c r="M138" s="454">
        <f>0+'[2]táj.1'!M138</f>
        <v>0</v>
      </c>
      <c r="N138" s="454">
        <f>0+'[2]táj.1'!N138</f>
        <v>0</v>
      </c>
      <c r="O138" s="426">
        <f t="shared" si="9"/>
        <v>21000</v>
      </c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  <c r="GL138" s="162"/>
      <c r="GM138" s="162"/>
      <c r="GN138" s="162"/>
      <c r="GO138" s="162"/>
      <c r="GP138" s="162"/>
      <c r="GQ138" s="162"/>
      <c r="GR138" s="162"/>
      <c r="GS138" s="162"/>
      <c r="GT138" s="162"/>
      <c r="GU138" s="162"/>
      <c r="GV138" s="162"/>
      <c r="GW138" s="162"/>
      <c r="GX138" s="162"/>
      <c r="GY138" s="162"/>
      <c r="GZ138" s="162"/>
      <c r="HA138" s="162"/>
      <c r="HB138" s="162"/>
      <c r="HC138" s="162"/>
      <c r="HD138" s="162"/>
      <c r="HE138" s="162"/>
      <c r="HF138" s="162"/>
      <c r="HG138" s="162"/>
      <c r="HH138" s="162"/>
      <c r="HI138" s="162"/>
      <c r="HJ138" s="162"/>
      <c r="HK138" s="162"/>
      <c r="HL138" s="162"/>
      <c r="HM138" s="162"/>
      <c r="HN138" s="162"/>
      <c r="HO138" s="162"/>
      <c r="HP138" s="162"/>
      <c r="HQ138" s="162"/>
      <c r="HR138" s="162"/>
      <c r="HS138" s="162"/>
      <c r="HT138" s="162"/>
      <c r="HU138" s="162"/>
      <c r="HV138" s="162"/>
      <c r="HW138" s="162"/>
      <c r="HX138" s="162"/>
      <c r="HY138" s="162"/>
      <c r="HZ138" s="162"/>
      <c r="IA138" s="162"/>
      <c r="IB138" s="162"/>
      <c r="IC138" s="162"/>
      <c r="ID138" s="162"/>
      <c r="IE138" s="162"/>
      <c r="IF138" s="162"/>
      <c r="IG138" s="162"/>
      <c r="IH138" s="162"/>
      <c r="II138" s="162"/>
      <c r="IJ138" s="162"/>
      <c r="IK138" s="162"/>
      <c r="IL138" s="162"/>
      <c r="IM138" s="162"/>
      <c r="IN138" s="162"/>
      <c r="IO138" s="162"/>
      <c r="IP138" s="162"/>
      <c r="IQ138" s="162"/>
      <c r="IR138" s="162"/>
      <c r="IS138" s="162"/>
      <c r="IT138" s="162"/>
      <c r="IU138" s="162"/>
      <c r="IV138" s="162"/>
    </row>
    <row r="139" spans="1:256" ht="12.75">
      <c r="A139" s="164"/>
      <c r="B139" s="164"/>
      <c r="C139" s="429" t="s">
        <v>609</v>
      </c>
      <c r="D139" s="475">
        <v>191907</v>
      </c>
      <c r="E139" s="454">
        <f>0+'[2]táj.1'!E139</f>
        <v>0</v>
      </c>
      <c r="F139" s="454">
        <f>0+'[2]táj.1'!F139</f>
        <v>0</v>
      </c>
      <c r="G139" s="454">
        <f>5000+'[2]táj.1'!G139</f>
        <v>5000</v>
      </c>
      <c r="H139" s="454">
        <f>0+'[2]táj.1'!H139</f>
        <v>0</v>
      </c>
      <c r="I139" s="454">
        <f>0+'[2]táj.1'!I139</f>
        <v>0</v>
      </c>
      <c r="J139" s="454">
        <f>0+'[2]táj.1'!J139</f>
        <v>0</v>
      </c>
      <c r="K139" s="454">
        <f>0+'[2]táj.1'!K139</f>
        <v>0</v>
      </c>
      <c r="L139" s="454">
        <f>0+'[2]táj.1'!L139</f>
        <v>0</v>
      </c>
      <c r="M139" s="454">
        <f>0+'[2]táj.1'!M139</f>
        <v>0</v>
      </c>
      <c r="N139" s="454">
        <f>0+'[2]táj.1'!N139</f>
        <v>0</v>
      </c>
      <c r="O139" s="426">
        <f t="shared" si="9"/>
        <v>5000</v>
      </c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  <c r="FF139" s="162"/>
      <c r="FG139" s="162"/>
      <c r="FH139" s="162"/>
      <c r="FI139" s="162"/>
      <c r="FJ139" s="162"/>
      <c r="FK139" s="162"/>
      <c r="FL139" s="162"/>
      <c r="FM139" s="162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162"/>
      <c r="GO139" s="162"/>
      <c r="GP139" s="162"/>
      <c r="GQ139" s="162"/>
      <c r="GR139" s="162"/>
      <c r="GS139" s="162"/>
      <c r="GT139" s="162"/>
      <c r="GU139" s="162"/>
      <c r="GV139" s="162"/>
      <c r="GW139" s="162"/>
      <c r="GX139" s="162"/>
      <c r="GY139" s="162"/>
      <c r="GZ139" s="162"/>
      <c r="HA139" s="162"/>
      <c r="HB139" s="162"/>
      <c r="HC139" s="162"/>
      <c r="HD139" s="162"/>
      <c r="HE139" s="162"/>
      <c r="HF139" s="162"/>
      <c r="HG139" s="162"/>
      <c r="HH139" s="162"/>
      <c r="HI139" s="162"/>
      <c r="HJ139" s="162"/>
      <c r="HK139" s="162"/>
      <c r="HL139" s="162"/>
      <c r="HM139" s="162"/>
      <c r="HN139" s="162"/>
      <c r="HO139" s="162"/>
      <c r="HP139" s="162"/>
      <c r="HQ139" s="162"/>
      <c r="HR139" s="162"/>
      <c r="HS139" s="162"/>
      <c r="HT139" s="162"/>
      <c r="HU139" s="162"/>
      <c r="HV139" s="162"/>
      <c r="HW139" s="162"/>
      <c r="HX139" s="162"/>
      <c r="HY139" s="162"/>
      <c r="HZ139" s="162"/>
      <c r="IA139" s="162"/>
      <c r="IB139" s="162"/>
      <c r="IC139" s="162"/>
      <c r="ID139" s="162"/>
      <c r="IE139" s="162"/>
      <c r="IF139" s="162"/>
      <c r="IG139" s="162"/>
      <c r="IH139" s="162"/>
      <c r="II139" s="162"/>
      <c r="IJ139" s="162"/>
      <c r="IK139" s="162"/>
      <c r="IL139" s="162"/>
      <c r="IM139" s="162"/>
      <c r="IN139" s="162"/>
      <c r="IO139" s="162"/>
      <c r="IP139" s="162"/>
      <c r="IQ139" s="162"/>
      <c r="IR139" s="162"/>
      <c r="IS139" s="162"/>
      <c r="IT139" s="162"/>
      <c r="IU139" s="162"/>
      <c r="IV139" s="162"/>
    </row>
    <row r="140" spans="1:256" ht="12.75">
      <c r="A140" s="164"/>
      <c r="B140" s="164"/>
      <c r="C140" s="429" t="s">
        <v>610</v>
      </c>
      <c r="D140" s="475">
        <v>191907</v>
      </c>
      <c r="E140" s="454">
        <f>0+'[2]táj.1'!E140</f>
        <v>0</v>
      </c>
      <c r="F140" s="454">
        <f>0+'[2]táj.1'!F140</f>
        <v>0</v>
      </c>
      <c r="G140" s="454">
        <f>1065000+'[2]táj.1'!G140</f>
        <v>1065000</v>
      </c>
      <c r="H140" s="454">
        <f>0+'[2]táj.1'!H140</f>
        <v>0</v>
      </c>
      <c r="I140" s="454">
        <f>0+'[2]táj.1'!I140</f>
        <v>0</v>
      </c>
      <c r="J140" s="454">
        <f>0+'[2]táj.1'!J140</f>
        <v>0</v>
      </c>
      <c r="K140" s="454">
        <f>0+'[2]táj.1'!K140</f>
        <v>0</v>
      </c>
      <c r="L140" s="454">
        <f>0+'[2]táj.1'!L140</f>
        <v>0</v>
      </c>
      <c r="M140" s="454">
        <f>0+'[2]táj.1'!M140</f>
        <v>0</v>
      </c>
      <c r="N140" s="454">
        <f>0+'[2]táj.1'!N140</f>
        <v>0</v>
      </c>
      <c r="O140" s="426">
        <f t="shared" si="9"/>
        <v>1065000</v>
      </c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162"/>
      <c r="GO140" s="162"/>
      <c r="GP140" s="162"/>
      <c r="GQ140" s="162"/>
      <c r="GR140" s="162"/>
      <c r="GS140" s="162"/>
      <c r="GT140" s="162"/>
      <c r="GU140" s="162"/>
      <c r="GV140" s="162"/>
      <c r="GW140" s="162"/>
      <c r="GX140" s="162"/>
      <c r="GY140" s="162"/>
      <c r="GZ140" s="162"/>
      <c r="HA140" s="162"/>
      <c r="HB140" s="162"/>
      <c r="HC140" s="162"/>
      <c r="HD140" s="162"/>
      <c r="HE140" s="162"/>
      <c r="HF140" s="162"/>
      <c r="HG140" s="162"/>
      <c r="HH140" s="162"/>
      <c r="HI140" s="162"/>
      <c r="HJ140" s="162"/>
      <c r="HK140" s="162"/>
      <c r="HL140" s="162"/>
      <c r="HM140" s="162"/>
      <c r="HN140" s="162"/>
      <c r="HO140" s="162"/>
      <c r="HP140" s="162"/>
      <c r="HQ140" s="162"/>
      <c r="HR140" s="162"/>
      <c r="HS140" s="162"/>
      <c r="HT140" s="162"/>
      <c r="HU140" s="162"/>
      <c r="HV140" s="162"/>
      <c r="HW140" s="162"/>
      <c r="HX140" s="162"/>
      <c r="HY140" s="162"/>
      <c r="HZ140" s="162"/>
      <c r="IA140" s="162"/>
      <c r="IB140" s="162"/>
      <c r="IC140" s="162"/>
      <c r="ID140" s="162"/>
      <c r="IE140" s="162"/>
      <c r="IF140" s="162"/>
      <c r="IG140" s="162"/>
      <c r="IH140" s="162"/>
      <c r="II140" s="162"/>
      <c r="IJ140" s="162"/>
      <c r="IK140" s="162"/>
      <c r="IL140" s="162"/>
      <c r="IM140" s="162"/>
      <c r="IN140" s="162"/>
      <c r="IO140" s="162"/>
      <c r="IP140" s="162"/>
      <c r="IQ140" s="162"/>
      <c r="IR140" s="162"/>
      <c r="IS140" s="162"/>
      <c r="IT140" s="162"/>
      <c r="IU140" s="162"/>
      <c r="IV140" s="162"/>
    </row>
    <row r="141" spans="1:256" ht="12.75">
      <c r="A141" s="164"/>
      <c r="B141" s="164"/>
      <c r="C141" s="429" t="s">
        <v>611</v>
      </c>
      <c r="D141" s="475">
        <v>191907</v>
      </c>
      <c r="E141" s="454">
        <f>0+'[2]táj.1'!E141</f>
        <v>0</v>
      </c>
      <c r="F141" s="454">
        <f>0+'[2]táj.1'!F141</f>
        <v>0</v>
      </c>
      <c r="G141" s="454">
        <f>21000+'[2]táj.1'!G141</f>
        <v>21000</v>
      </c>
      <c r="H141" s="454">
        <f>0+'[2]táj.1'!H141</f>
        <v>0</v>
      </c>
      <c r="I141" s="454">
        <f>0+'[2]táj.1'!I141</f>
        <v>0</v>
      </c>
      <c r="J141" s="454">
        <f>0+'[2]táj.1'!J141</f>
        <v>0</v>
      </c>
      <c r="K141" s="454">
        <f>0+'[2]táj.1'!K141</f>
        <v>0</v>
      </c>
      <c r="L141" s="454">
        <f>0+'[2]táj.1'!L141</f>
        <v>0</v>
      </c>
      <c r="M141" s="454">
        <f>0+'[2]táj.1'!M141</f>
        <v>0</v>
      </c>
      <c r="N141" s="454">
        <f>0+'[2]táj.1'!N141</f>
        <v>0</v>
      </c>
      <c r="O141" s="426">
        <f t="shared" si="9"/>
        <v>21000</v>
      </c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  <c r="HJ141" s="162"/>
      <c r="HK141" s="162"/>
      <c r="HL141" s="162"/>
      <c r="HM141" s="162"/>
      <c r="HN141" s="162"/>
      <c r="HO141" s="162"/>
      <c r="HP141" s="162"/>
      <c r="HQ141" s="162"/>
      <c r="HR141" s="162"/>
      <c r="HS141" s="162"/>
      <c r="HT141" s="162"/>
      <c r="HU141" s="162"/>
      <c r="HV141" s="162"/>
      <c r="HW141" s="162"/>
      <c r="HX141" s="162"/>
      <c r="HY141" s="162"/>
      <c r="HZ141" s="162"/>
      <c r="IA141" s="162"/>
      <c r="IB141" s="162"/>
      <c r="IC141" s="162"/>
      <c r="ID141" s="162"/>
      <c r="IE141" s="162"/>
      <c r="IF141" s="162"/>
      <c r="IG141" s="162"/>
      <c r="IH141" s="162"/>
      <c r="II141" s="162"/>
      <c r="IJ141" s="162"/>
      <c r="IK141" s="162"/>
      <c r="IL141" s="162"/>
      <c r="IM141" s="162"/>
      <c r="IN141" s="162"/>
      <c r="IO141" s="162"/>
      <c r="IP141" s="162"/>
      <c r="IQ141" s="162"/>
      <c r="IR141" s="162"/>
      <c r="IS141" s="162"/>
      <c r="IT141" s="162"/>
      <c r="IU141" s="162"/>
      <c r="IV141" s="162"/>
    </row>
    <row r="142" spans="1:256" ht="25.5">
      <c r="A142" s="164"/>
      <c r="B142" s="164"/>
      <c r="C142" s="442" t="s">
        <v>612</v>
      </c>
      <c r="D142" s="446"/>
      <c r="E142" s="454"/>
      <c r="F142" s="454"/>
      <c r="G142" s="454"/>
      <c r="H142" s="454"/>
      <c r="I142" s="454"/>
      <c r="J142" s="454"/>
      <c r="K142" s="454"/>
      <c r="L142" s="454"/>
      <c r="M142" s="454"/>
      <c r="N142" s="454"/>
      <c r="O142" s="426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  <c r="GL142" s="162"/>
      <c r="GM142" s="162"/>
      <c r="GN142" s="162"/>
      <c r="GO142" s="162"/>
      <c r="GP142" s="162"/>
      <c r="GQ142" s="162"/>
      <c r="GR142" s="162"/>
      <c r="GS142" s="162"/>
      <c r="GT142" s="162"/>
      <c r="GU142" s="162"/>
      <c r="GV142" s="162"/>
      <c r="GW142" s="162"/>
      <c r="GX142" s="162"/>
      <c r="GY142" s="162"/>
      <c r="GZ142" s="162"/>
      <c r="HA142" s="162"/>
      <c r="HB142" s="162"/>
      <c r="HC142" s="162"/>
      <c r="HD142" s="162"/>
      <c r="HE142" s="162"/>
      <c r="HF142" s="162"/>
      <c r="HG142" s="162"/>
      <c r="HH142" s="162"/>
      <c r="HI142" s="162"/>
      <c r="HJ142" s="162"/>
      <c r="HK142" s="162"/>
      <c r="HL142" s="162"/>
      <c r="HM142" s="162"/>
      <c r="HN142" s="162"/>
      <c r="HO142" s="162"/>
      <c r="HP142" s="162"/>
      <c r="HQ142" s="162"/>
      <c r="HR142" s="162"/>
      <c r="HS142" s="162"/>
      <c r="HT142" s="162"/>
      <c r="HU142" s="162"/>
      <c r="HV142" s="162"/>
      <c r="HW142" s="162"/>
      <c r="HX142" s="162"/>
      <c r="HY142" s="162"/>
      <c r="HZ142" s="162"/>
      <c r="IA142" s="162"/>
      <c r="IB142" s="162"/>
      <c r="IC142" s="162"/>
      <c r="ID142" s="162"/>
      <c r="IE142" s="162"/>
      <c r="IF142" s="162"/>
      <c r="IG142" s="162"/>
      <c r="IH142" s="162"/>
      <c r="II142" s="162"/>
      <c r="IJ142" s="162"/>
      <c r="IK142" s="162"/>
      <c r="IL142" s="162"/>
      <c r="IM142" s="162"/>
      <c r="IN142" s="162"/>
      <c r="IO142" s="162"/>
      <c r="IP142" s="162"/>
      <c r="IQ142" s="162"/>
      <c r="IR142" s="162"/>
      <c r="IS142" s="162"/>
      <c r="IT142" s="162"/>
      <c r="IU142" s="162"/>
      <c r="IV142" s="162"/>
    </row>
    <row r="143" spans="1:256" ht="38.25">
      <c r="A143" s="164"/>
      <c r="B143" s="164"/>
      <c r="C143" s="445" t="s">
        <v>613</v>
      </c>
      <c r="D143" s="446">
        <v>191607</v>
      </c>
      <c r="E143" s="454">
        <f>18000+'[2]táj.1'!E143</f>
        <v>18000</v>
      </c>
      <c r="F143" s="454">
        <f>0+'[2]táj.1'!F143</f>
        <v>0</v>
      </c>
      <c r="G143" s="454">
        <f>0+'[2]táj.1'!G143</f>
        <v>0</v>
      </c>
      <c r="H143" s="454">
        <f>0+'[2]táj.1'!H143</f>
        <v>0</v>
      </c>
      <c r="I143" s="454">
        <f>0+'[2]táj.1'!I143</f>
        <v>0</v>
      </c>
      <c r="J143" s="454">
        <f>0+'[2]táj.1'!J143</f>
        <v>0</v>
      </c>
      <c r="K143" s="454">
        <f>0+'[2]táj.1'!K143</f>
        <v>0</v>
      </c>
      <c r="L143" s="454">
        <f>0+'[2]táj.1'!L143</f>
        <v>0</v>
      </c>
      <c r="M143" s="454">
        <f>0+'[2]táj.1'!M143</f>
        <v>0</v>
      </c>
      <c r="N143" s="454">
        <f>0+'[2]táj.1'!N143</f>
        <v>0</v>
      </c>
      <c r="O143" s="426">
        <f>SUM(E143:N143)</f>
        <v>18000</v>
      </c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  <c r="HJ143" s="162"/>
      <c r="HK143" s="162"/>
      <c r="HL143" s="162"/>
      <c r="HM143" s="162"/>
      <c r="HN143" s="162"/>
      <c r="HO143" s="162"/>
      <c r="HP143" s="162"/>
      <c r="HQ143" s="162"/>
      <c r="HR143" s="162"/>
      <c r="HS143" s="162"/>
      <c r="HT143" s="162"/>
      <c r="HU143" s="162"/>
      <c r="HV143" s="162"/>
      <c r="HW143" s="162"/>
      <c r="HX143" s="162"/>
      <c r="HY143" s="162"/>
      <c r="HZ143" s="162"/>
      <c r="IA143" s="162"/>
      <c r="IB143" s="162"/>
      <c r="IC143" s="162"/>
      <c r="ID143" s="162"/>
      <c r="IE143" s="162"/>
      <c r="IF143" s="162"/>
      <c r="IG143" s="162"/>
      <c r="IH143" s="162"/>
      <c r="II143" s="162"/>
      <c r="IJ143" s="162"/>
      <c r="IK143" s="162"/>
      <c r="IL143" s="162"/>
      <c r="IM143" s="162"/>
      <c r="IN143" s="162"/>
      <c r="IO143" s="162"/>
      <c r="IP143" s="162"/>
      <c r="IQ143" s="162"/>
      <c r="IR143" s="162"/>
      <c r="IS143" s="162"/>
      <c r="IT143" s="162"/>
      <c r="IU143" s="162"/>
      <c r="IV143" s="162"/>
    </row>
    <row r="144" spans="1:256" ht="12.75">
      <c r="A144" s="164"/>
      <c r="B144" s="164"/>
      <c r="C144" s="445" t="s">
        <v>614</v>
      </c>
      <c r="D144" s="446"/>
      <c r="E144" s="454"/>
      <c r="F144" s="454"/>
      <c r="G144" s="454"/>
      <c r="H144" s="454"/>
      <c r="I144" s="454"/>
      <c r="J144" s="454"/>
      <c r="K144" s="454"/>
      <c r="L144" s="454"/>
      <c r="M144" s="454"/>
      <c r="N144" s="454"/>
      <c r="O144" s="426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  <c r="GL144" s="162"/>
      <c r="GM144" s="162"/>
      <c r="GN144" s="162"/>
      <c r="GO144" s="162"/>
      <c r="GP144" s="162"/>
      <c r="GQ144" s="162"/>
      <c r="GR144" s="162"/>
      <c r="GS144" s="162"/>
      <c r="GT144" s="162"/>
      <c r="GU144" s="162"/>
      <c r="GV144" s="162"/>
      <c r="GW144" s="162"/>
      <c r="GX144" s="162"/>
      <c r="GY144" s="162"/>
      <c r="GZ144" s="162"/>
      <c r="HA144" s="162"/>
      <c r="HB144" s="162"/>
      <c r="HC144" s="162"/>
      <c r="HD144" s="162"/>
      <c r="HE144" s="162"/>
      <c r="HF144" s="162"/>
      <c r="HG144" s="162"/>
      <c r="HH144" s="162"/>
      <c r="HI144" s="162"/>
      <c r="HJ144" s="162"/>
      <c r="HK144" s="162"/>
      <c r="HL144" s="162"/>
      <c r="HM144" s="162"/>
      <c r="HN144" s="162"/>
      <c r="HO144" s="162"/>
      <c r="HP144" s="162"/>
      <c r="HQ144" s="162"/>
      <c r="HR144" s="162"/>
      <c r="HS144" s="162"/>
      <c r="HT144" s="162"/>
      <c r="HU144" s="162"/>
      <c r="HV144" s="162"/>
      <c r="HW144" s="162"/>
      <c r="HX144" s="162"/>
      <c r="HY144" s="162"/>
      <c r="HZ144" s="162"/>
      <c r="IA144" s="162"/>
      <c r="IB144" s="162"/>
      <c r="IC144" s="162"/>
      <c r="ID144" s="162"/>
      <c r="IE144" s="162"/>
      <c r="IF144" s="162"/>
      <c r="IG144" s="162"/>
      <c r="IH144" s="162"/>
      <c r="II144" s="162"/>
      <c r="IJ144" s="162"/>
      <c r="IK144" s="162"/>
      <c r="IL144" s="162"/>
      <c r="IM144" s="162"/>
      <c r="IN144" s="162"/>
      <c r="IO144" s="162"/>
      <c r="IP144" s="162"/>
      <c r="IQ144" s="162"/>
      <c r="IR144" s="162"/>
      <c r="IS144" s="162"/>
      <c r="IT144" s="162"/>
      <c r="IU144" s="162"/>
      <c r="IV144" s="162"/>
    </row>
    <row r="145" spans="1:256" ht="25.5">
      <c r="A145" s="164"/>
      <c r="B145" s="164"/>
      <c r="C145" s="427" t="s">
        <v>615</v>
      </c>
      <c r="D145" s="459">
        <v>191906</v>
      </c>
      <c r="E145" s="454">
        <f>16350+'[2]táj.1'!E145</f>
        <v>16350</v>
      </c>
      <c r="F145" s="454">
        <f>0+'[2]táj.1'!F145</f>
        <v>0</v>
      </c>
      <c r="G145" s="454">
        <f>0+'[2]táj.1'!G145</f>
        <v>0</v>
      </c>
      <c r="H145" s="454">
        <f>0+'[2]táj.1'!H145</f>
        <v>0</v>
      </c>
      <c r="I145" s="454">
        <f>0+'[2]táj.1'!I145</f>
        <v>0</v>
      </c>
      <c r="J145" s="454">
        <f>0+'[2]táj.1'!J145</f>
        <v>0</v>
      </c>
      <c r="K145" s="454">
        <f>0+'[2]táj.1'!K145</f>
        <v>0</v>
      </c>
      <c r="L145" s="454">
        <f>0+'[2]táj.1'!L145</f>
        <v>0</v>
      </c>
      <c r="M145" s="454">
        <f>0+'[2]táj.1'!M145</f>
        <v>0</v>
      </c>
      <c r="N145" s="454">
        <f>0+'[2]táj.1'!N145</f>
        <v>0</v>
      </c>
      <c r="O145" s="426">
        <f>SUM(E145:N145)</f>
        <v>16350</v>
      </c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2"/>
      <c r="IG145" s="162"/>
      <c r="IH145" s="162"/>
      <c r="II145" s="162"/>
      <c r="IJ145" s="162"/>
      <c r="IK145" s="162"/>
      <c r="IL145" s="162"/>
      <c r="IM145" s="162"/>
      <c r="IN145" s="162"/>
      <c r="IO145" s="162"/>
      <c r="IP145" s="162"/>
      <c r="IQ145" s="162"/>
      <c r="IR145" s="162"/>
      <c r="IS145" s="162"/>
      <c r="IT145" s="162"/>
      <c r="IU145" s="162"/>
      <c r="IV145" s="162"/>
    </row>
    <row r="146" spans="1:256" ht="13.5">
      <c r="A146" s="182"/>
      <c r="B146" s="168"/>
      <c r="C146" s="455" t="s">
        <v>616</v>
      </c>
      <c r="D146" s="474"/>
      <c r="E146" s="432">
        <f aca="true" t="shared" si="10" ref="E146:N146">SUM(E118:E145)</f>
        <v>3206132</v>
      </c>
      <c r="F146" s="432">
        <f t="shared" si="10"/>
        <v>2140</v>
      </c>
      <c r="G146" s="432">
        <f t="shared" si="10"/>
        <v>6092000</v>
      </c>
      <c r="H146" s="432">
        <f t="shared" si="10"/>
        <v>112044</v>
      </c>
      <c r="I146" s="432">
        <f t="shared" si="10"/>
        <v>0</v>
      </c>
      <c r="J146" s="432">
        <f t="shared" si="10"/>
        <v>0</v>
      </c>
      <c r="K146" s="432">
        <f t="shared" si="10"/>
        <v>0</v>
      </c>
      <c r="L146" s="432">
        <f t="shared" si="10"/>
        <v>17924</v>
      </c>
      <c r="M146" s="432">
        <f t="shared" si="10"/>
        <v>1239885</v>
      </c>
      <c r="N146" s="432">
        <f t="shared" si="10"/>
        <v>12451020</v>
      </c>
      <c r="O146" s="432">
        <f>SUM(O117:O145)</f>
        <v>23121145</v>
      </c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2"/>
      <c r="IL146" s="162"/>
      <c r="IM146" s="162"/>
      <c r="IN146" s="162"/>
      <c r="IO146" s="162"/>
      <c r="IP146" s="162"/>
      <c r="IQ146" s="162"/>
      <c r="IR146" s="162"/>
      <c r="IS146" s="162"/>
      <c r="IT146" s="162"/>
      <c r="IU146" s="162"/>
      <c r="IV146" s="162"/>
    </row>
    <row r="147" spans="1:256" ht="25.5">
      <c r="A147" s="164">
        <v>1</v>
      </c>
      <c r="B147" s="165">
        <v>20</v>
      </c>
      <c r="C147" s="442" t="s">
        <v>523</v>
      </c>
      <c r="D147" s="457"/>
      <c r="E147" s="485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  <c r="HU147" s="162"/>
      <c r="HV147" s="162"/>
      <c r="HW147" s="162"/>
      <c r="HX147" s="162"/>
      <c r="HY147" s="162"/>
      <c r="HZ147" s="162"/>
      <c r="IA147" s="162"/>
      <c r="IB147" s="162"/>
      <c r="IC147" s="162"/>
      <c r="ID147" s="162"/>
      <c r="IE147" s="162"/>
      <c r="IF147" s="162"/>
      <c r="IG147" s="162"/>
      <c r="IH147" s="162"/>
      <c r="II147" s="162"/>
      <c r="IJ147" s="162"/>
      <c r="IK147" s="162"/>
      <c r="IL147" s="162"/>
      <c r="IM147" s="162"/>
      <c r="IN147" s="162"/>
      <c r="IO147" s="162"/>
      <c r="IP147" s="162"/>
      <c r="IQ147" s="162"/>
      <c r="IR147" s="162"/>
      <c r="IS147" s="162"/>
      <c r="IT147" s="162"/>
      <c r="IU147" s="162"/>
      <c r="IV147" s="162"/>
    </row>
    <row r="148" spans="1:256" ht="13.5">
      <c r="A148" s="182"/>
      <c r="B148" s="168"/>
      <c r="C148" s="431" t="s">
        <v>617</v>
      </c>
      <c r="D148" s="490">
        <v>201901</v>
      </c>
      <c r="E148" s="491"/>
      <c r="F148" s="432"/>
      <c r="G148" s="432"/>
      <c r="H148" s="432"/>
      <c r="I148" s="432"/>
      <c r="J148" s="432"/>
      <c r="K148" s="432"/>
      <c r="L148" s="432"/>
      <c r="M148" s="432"/>
      <c r="N148" s="432"/>
      <c r="O148" s="432">
        <f>SUM(E148:N148)</f>
        <v>0</v>
      </c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  <c r="HJ148" s="162"/>
      <c r="HK148" s="162"/>
      <c r="HL148" s="162"/>
      <c r="HM148" s="162"/>
      <c r="HN148" s="162"/>
      <c r="HO148" s="162"/>
      <c r="HP148" s="162"/>
      <c r="HQ148" s="162"/>
      <c r="HR148" s="162"/>
      <c r="HS148" s="162"/>
      <c r="HT148" s="162"/>
      <c r="HU148" s="162"/>
      <c r="HV148" s="162"/>
      <c r="HW148" s="162"/>
      <c r="HX148" s="162"/>
      <c r="HY148" s="162"/>
      <c r="HZ148" s="162"/>
      <c r="IA148" s="162"/>
      <c r="IB148" s="162"/>
      <c r="IC148" s="162"/>
      <c r="ID148" s="162"/>
      <c r="IE148" s="162"/>
      <c r="IF148" s="162"/>
      <c r="IG148" s="162"/>
      <c r="IH148" s="162"/>
      <c r="II148" s="162"/>
      <c r="IJ148" s="162"/>
      <c r="IK148" s="162"/>
      <c r="IL148" s="162"/>
      <c r="IM148" s="162"/>
      <c r="IN148" s="162"/>
      <c r="IO148" s="162"/>
      <c r="IP148" s="162"/>
      <c r="IQ148" s="162"/>
      <c r="IR148" s="162"/>
      <c r="IS148" s="162"/>
      <c r="IT148" s="162"/>
      <c r="IU148" s="162"/>
      <c r="IV148" s="162"/>
    </row>
    <row r="149" spans="1:256" ht="13.5">
      <c r="A149" s="164">
        <v>1</v>
      </c>
      <c r="B149" s="165">
        <v>22</v>
      </c>
      <c r="C149" s="420" t="s">
        <v>143</v>
      </c>
      <c r="D149" s="421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  <c r="HU149" s="162"/>
      <c r="HV149" s="162"/>
      <c r="HW149" s="162"/>
      <c r="HX149" s="162"/>
      <c r="HY149" s="162"/>
      <c r="HZ149" s="162"/>
      <c r="IA149" s="162"/>
      <c r="IB149" s="162"/>
      <c r="IC149" s="162"/>
      <c r="ID149" s="162"/>
      <c r="IE149" s="162"/>
      <c r="IF149" s="162"/>
      <c r="IG149" s="162"/>
      <c r="IH149" s="162"/>
      <c r="II149" s="162"/>
      <c r="IJ149" s="162"/>
      <c r="IK149" s="162"/>
      <c r="IL149" s="162"/>
      <c r="IM149" s="162"/>
      <c r="IN149" s="162"/>
      <c r="IO149" s="162"/>
      <c r="IP149" s="162"/>
      <c r="IQ149" s="162"/>
      <c r="IR149" s="162"/>
      <c r="IS149" s="162"/>
      <c r="IT149" s="162"/>
      <c r="IU149" s="162"/>
      <c r="IV149" s="162"/>
    </row>
    <row r="150" spans="1:256" ht="13.5">
      <c r="A150" s="164"/>
      <c r="B150" s="165"/>
      <c r="C150" s="178" t="s">
        <v>487</v>
      </c>
      <c r="D150" s="421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2"/>
      <c r="IG150" s="162"/>
      <c r="IH150" s="162"/>
      <c r="II150" s="162"/>
      <c r="IJ150" s="162"/>
      <c r="IK150" s="162"/>
      <c r="IL150" s="162"/>
      <c r="IM150" s="162"/>
      <c r="IN150" s="162"/>
      <c r="IO150" s="162"/>
      <c r="IP150" s="162"/>
      <c r="IQ150" s="162"/>
      <c r="IR150" s="162"/>
      <c r="IS150" s="162"/>
      <c r="IT150" s="162"/>
      <c r="IU150" s="162"/>
      <c r="IV150" s="162"/>
    </row>
    <row r="151" spans="1:256" ht="13.5">
      <c r="A151" s="164"/>
      <c r="B151" s="165"/>
      <c r="C151" s="283" t="s">
        <v>1431</v>
      </c>
      <c r="D151" s="500">
        <v>221901</v>
      </c>
      <c r="E151" s="500">
        <f>0+'[2]táj.1'!E151</f>
        <v>0</v>
      </c>
      <c r="F151" s="500">
        <f>0+'[2]táj.1'!F151</f>
        <v>0</v>
      </c>
      <c r="G151" s="500">
        <f>0+'[2]táj.1'!G151</f>
        <v>0</v>
      </c>
      <c r="H151" s="500">
        <f>15748+'[2]táj.1'!H151</f>
        <v>15748</v>
      </c>
      <c r="I151" s="500">
        <f>0+'[2]táj.1'!I151</f>
        <v>0</v>
      </c>
      <c r="J151" s="500">
        <f>0+'[2]táj.1'!J151</f>
        <v>0</v>
      </c>
      <c r="K151" s="500">
        <f>0+'[2]táj.1'!K151</f>
        <v>0</v>
      </c>
      <c r="L151" s="500">
        <f>0+'[2]táj.1'!L151</f>
        <v>0</v>
      </c>
      <c r="M151" s="500">
        <f>0+'[2]táj.1'!M151</f>
        <v>0</v>
      </c>
      <c r="N151" s="500">
        <f>0+'[2]táj.1'!N151</f>
        <v>0</v>
      </c>
      <c r="O151" s="500">
        <f>SUM(E151:N151)</f>
        <v>15748</v>
      </c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  <c r="HJ151" s="162"/>
      <c r="HK151" s="162"/>
      <c r="HL151" s="162"/>
      <c r="HM151" s="162"/>
      <c r="HN151" s="162"/>
      <c r="HO151" s="162"/>
      <c r="HP151" s="162"/>
      <c r="HQ151" s="162"/>
      <c r="HR151" s="162"/>
      <c r="HS151" s="162"/>
      <c r="HT151" s="162"/>
      <c r="HU151" s="162"/>
      <c r="HV151" s="162"/>
      <c r="HW151" s="162"/>
      <c r="HX151" s="162"/>
      <c r="HY151" s="162"/>
      <c r="HZ151" s="162"/>
      <c r="IA151" s="162"/>
      <c r="IB151" s="162"/>
      <c r="IC151" s="162"/>
      <c r="ID151" s="162"/>
      <c r="IE151" s="162"/>
      <c r="IF151" s="162"/>
      <c r="IG151" s="162"/>
      <c r="IH151" s="162"/>
      <c r="II151" s="162"/>
      <c r="IJ151" s="162"/>
      <c r="IK151" s="162"/>
      <c r="IL151" s="162"/>
      <c r="IM151" s="162"/>
      <c r="IN151" s="162"/>
      <c r="IO151" s="162"/>
      <c r="IP151" s="162"/>
      <c r="IQ151" s="162"/>
      <c r="IR151" s="162"/>
      <c r="IS151" s="162"/>
      <c r="IT151" s="162"/>
      <c r="IU151" s="162"/>
      <c r="IV151" s="162"/>
    </row>
    <row r="152" spans="1:256" ht="25.5">
      <c r="A152" s="164"/>
      <c r="B152" s="165"/>
      <c r="C152" s="445" t="s">
        <v>510</v>
      </c>
      <c r="D152" s="421"/>
      <c r="E152" s="500">
        <f>0+'[2]táj.1'!E152</f>
        <v>0</v>
      </c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  <c r="GF152" s="162"/>
      <c r="GG152" s="162"/>
      <c r="GH152" s="162"/>
      <c r="GI152" s="162"/>
      <c r="GJ152" s="162"/>
      <c r="GK152" s="162"/>
      <c r="GL152" s="162"/>
      <c r="GM152" s="162"/>
      <c r="GN152" s="162"/>
      <c r="GO152" s="162"/>
      <c r="GP152" s="162"/>
      <c r="GQ152" s="162"/>
      <c r="GR152" s="162"/>
      <c r="GS152" s="162"/>
      <c r="GT152" s="162"/>
      <c r="GU152" s="162"/>
      <c r="GV152" s="162"/>
      <c r="GW152" s="162"/>
      <c r="GX152" s="162"/>
      <c r="GY152" s="162"/>
      <c r="GZ152" s="162"/>
      <c r="HA152" s="162"/>
      <c r="HB152" s="162"/>
      <c r="HC152" s="162"/>
      <c r="HD152" s="162"/>
      <c r="HE152" s="162"/>
      <c r="HF152" s="162"/>
      <c r="HG152" s="162"/>
      <c r="HH152" s="162"/>
      <c r="HI152" s="162"/>
      <c r="HJ152" s="162"/>
      <c r="HK152" s="162"/>
      <c r="HL152" s="162"/>
      <c r="HM152" s="162"/>
      <c r="HN152" s="162"/>
      <c r="HO152" s="162"/>
      <c r="HP152" s="162"/>
      <c r="HQ152" s="162"/>
      <c r="HR152" s="162"/>
      <c r="HS152" s="162"/>
      <c r="HT152" s="162"/>
      <c r="HU152" s="162"/>
      <c r="HV152" s="162"/>
      <c r="HW152" s="162"/>
      <c r="HX152" s="162"/>
      <c r="HY152" s="162"/>
      <c r="HZ152" s="162"/>
      <c r="IA152" s="162"/>
      <c r="IB152" s="162"/>
      <c r="IC152" s="162"/>
      <c r="ID152" s="162"/>
      <c r="IE152" s="162"/>
      <c r="IF152" s="162"/>
      <c r="IG152" s="162"/>
      <c r="IH152" s="162"/>
      <c r="II152" s="162"/>
      <c r="IJ152" s="162"/>
      <c r="IK152" s="162"/>
      <c r="IL152" s="162"/>
      <c r="IM152" s="162"/>
      <c r="IN152" s="162"/>
      <c r="IO152" s="162"/>
      <c r="IP152" s="162"/>
      <c r="IQ152" s="162"/>
      <c r="IR152" s="162"/>
      <c r="IS152" s="162"/>
      <c r="IT152" s="162"/>
      <c r="IU152" s="162"/>
      <c r="IV152" s="162"/>
    </row>
    <row r="153" spans="1:256" ht="25.5">
      <c r="A153" s="164"/>
      <c r="B153" s="165"/>
      <c r="C153" s="176" t="s">
        <v>65</v>
      </c>
      <c r="D153" s="164">
        <v>221956</v>
      </c>
      <c r="E153" s="500">
        <f>7000+'[2]táj.1'!E153</f>
        <v>7000</v>
      </c>
      <c r="F153" s="500">
        <f>0+'[2]táj.1'!F153</f>
        <v>0</v>
      </c>
      <c r="G153" s="500">
        <f>0+'[2]táj.1'!G153</f>
        <v>0</v>
      </c>
      <c r="H153" s="500">
        <f>0+'[2]táj.1'!H153</f>
        <v>0</v>
      </c>
      <c r="I153" s="500">
        <f>0+'[2]táj.1'!I153</f>
        <v>0</v>
      </c>
      <c r="J153" s="500">
        <f>0+'[2]táj.1'!J153</f>
        <v>0</v>
      </c>
      <c r="K153" s="500">
        <f>0+'[2]táj.1'!K153</f>
        <v>0</v>
      </c>
      <c r="L153" s="500">
        <f>0+'[2]táj.1'!L153</f>
        <v>0</v>
      </c>
      <c r="M153" s="500">
        <f>0+'[2]táj.1'!M153</f>
        <v>0</v>
      </c>
      <c r="N153" s="500">
        <f>0+'[2]táj.1'!N153</f>
        <v>0</v>
      </c>
      <c r="O153" s="500">
        <f>SUM(E153:N153)</f>
        <v>7000</v>
      </c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  <c r="GF153" s="162"/>
      <c r="GG153" s="162"/>
      <c r="GH153" s="162"/>
      <c r="GI153" s="162"/>
      <c r="GJ153" s="162"/>
      <c r="GK153" s="162"/>
      <c r="GL153" s="162"/>
      <c r="GM153" s="162"/>
      <c r="GN153" s="162"/>
      <c r="GO153" s="162"/>
      <c r="GP153" s="162"/>
      <c r="GQ153" s="162"/>
      <c r="GR153" s="162"/>
      <c r="GS153" s="162"/>
      <c r="GT153" s="162"/>
      <c r="GU153" s="162"/>
      <c r="GV153" s="162"/>
      <c r="GW153" s="162"/>
      <c r="GX153" s="162"/>
      <c r="GY153" s="162"/>
      <c r="GZ153" s="162"/>
      <c r="HA153" s="162"/>
      <c r="HB153" s="162"/>
      <c r="HC153" s="162"/>
      <c r="HD153" s="162"/>
      <c r="HE153" s="162"/>
      <c r="HF153" s="162"/>
      <c r="HG153" s="162"/>
      <c r="HH153" s="162"/>
      <c r="HI153" s="162"/>
      <c r="HJ153" s="162"/>
      <c r="HK153" s="162"/>
      <c r="HL153" s="162"/>
      <c r="HM153" s="162"/>
      <c r="HN153" s="162"/>
      <c r="HO153" s="162"/>
      <c r="HP153" s="162"/>
      <c r="HQ153" s="162"/>
      <c r="HR153" s="162"/>
      <c r="HS153" s="162"/>
      <c r="HT153" s="162"/>
      <c r="HU153" s="162"/>
      <c r="HV153" s="162"/>
      <c r="HW153" s="162"/>
      <c r="HX153" s="162"/>
      <c r="HY153" s="162"/>
      <c r="HZ153" s="162"/>
      <c r="IA153" s="162"/>
      <c r="IB153" s="162"/>
      <c r="IC153" s="162"/>
      <c r="ID153" s="162"/>
      <c r="IE153" s="162"/>
      <c r="IF153" s="162"/>
      <c r="IG153" s="162"/>
      <c r="IH153" s="162"/>
      <c r="II153" s="162"/>
      <c r="IJ153" s="162"/>
      <c r="IK153" s="162"/>
      <c r="IL153" s="162"/>
      <c r="IM153" s="162"/>
      <c r="IN153" s="162"/>
      <c r="IO153" s="162"/>
      <c r="IP153" s="162"/>
      <c r="IQ153" s="162"/>
      <c r="IR153" s="162"/>
      <c r="IS153" s="162"/>
      <c r="IT153" s="162"/>
      <c r="IU153" s="162"/>
      <c r="IV153" s="162"/>
    </row>
    <row r="154" spans="1:256" ht="25.5">
      <c r="A154" s="164"/>
      <c r="B154" s="165"/>
      <c r="C154" s="176" t="s">
        <v>1495</v>
      </c>
      <c r="D154" s="164">
        <v>221942</v>
      </c>
      <c r="E154" s="500">
        <f>2000+'[2]táj.1'!E154</f>
        <v>2000</v>
      </c>
      <c r="F154" s="500">
        <f>0+'[2]táj.1'!F154</f>
        <v>0</v>
      </c>
      <c r="G154" s="500">
        <f>0+'[2]táj.1'!G154</f>
        <v>0</v>
      </c>
      <c r="H154" s="500">
        <f>0+'[2]táj.1'!H154</f>
        <v>0</v>
      </c>
      <c r="I154" s="500">
        <f>0+'[2]táj.1'!I154</f>
        <v>0</v>
      </c>
      <c r="J154" s="500">
        <f>0+'[2]táj.1'!J154</f>
        <v>0</v>
      </c>
      <c r="K154" s="500">
        <f>0+'[2]táj.1'!K154</f>
        <v>0</v>
      </c>
      <c r="L154" s="500">
        <f>0+'[2]táj.1'!L154</f>
        <v>0</v>
      </c>
      <c r="M154" s="500">
        <f>0+'[2]táj.1'!M154</f>
        <v>0</v>
      </c>
      <c r="N154" s="500">
        <f>0+'[2]táj.1'!N154</f>
        <v>0</v>
      </c>
      <c r="O154" s="500">
        <f>SUM(E154:N154)</f>
        <v>2000</v>
      </c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  <c r="GF154" s="162"/>
      <c r="GG154" s="162"/>
      <c r="GH154" s="162"/>
      <c r="GI154" s="162"/>
      <c r="GJ154" s="162"/>
      <c r="GK154" s="162"/>
      <c r="GL154" s="162"/>
      <c r="GM154" s="162"/>
      <c r="GN154" s="162"/>
      <c r="GO154" s="162"/>
      <c r="GP154" s="162"/>
      <c r="GQ154" s="162"/>
      <c r="GR154" s="162"/>
      <c r="GS154" s="162"/>
      <c r="GT154" s="162"/>
      <c r="GU154" s="162"/>
      <c r="GV154" s="162"/>
      <c r="GW154" s="162"/>
      <c r="GX154" s="162"/>
      <c r="GY154" s="162"/>
      <c r="GZ154" s="162"/>
      <c r="HA154" s="162"/>
      <c r="HB154" s="162"/>
      <c r="HC154" s="162"/>
      <c r="HD154" s="162"/>
      <c r="HE154" s="162"/>
      <c r="HF154" s="162"/>
      <c r="HG154" s="162"/>
      <c r="HH154" s="162"/>
      <c r="HI154" s="162"/>
      <c r="HJ154" s="162"/>
      <c r="HK154" s="162"/>
      <c r="HL154" s="162"/>
      <c r="HM154" s="162"/>
      <c r="HN154" s="162"/>
      <c r="HO154" s="162"/>
      <c r="HP154" s="162"/>
      <c r="HQ154" s="162"/>
      <c r="HR154" s="162"/>
      <c r="HS154" s="162"/>
      <c r="HT154" s="162"/>
      <c r="HU154" s="162"/>
      <c r="HV154" s="162"/>
      <c r="HW154" s="162"/>
      <c r="HX154" s="162"/>
      <c r="HY154" s="162"/>
      <c r="HZ154" s="162"/>
      <c r="IA154" s="162"/>
      <c r="IB154" s="162"/>
      <c r="IC154" s="162"/>
      <c r="ID154" s="162"/>
      <c r="IE154" s="162"/>
      <c r="IF154" s="162"/>
      <c r="IG154" s="162"/>
      <c r="IH154" s="162"/>
      <c r="II154" s="162"/>
      <c r="IJ154" s="162"/>
      <c r="IK154" s="162"/>
      <c r="IL154" s="162"/>
      <c r="IM154" s="162"/>
      <c r="IN154" s="162"/>
      <c r="IO154" s="162"/>
      <c r="IP154" s="162"/>
      <c r="IQ154" s="162"/>
      <c r="IR154" s="162"/>
      <c r="IS154" s="162"/>
      <c r="IT154" s="162"/>
      <c r="IU154" s="162"/>
      <c r="IV154" s="162"/>
    </row>
    <row r="155" spans="1:256" ht="13.5">
      <c r="A155" s="164"/>
      <c r="B155" s="165"/>
      <c r="C155" s="176" t="s">
        <v>66</v>
      </c>
      <c r="D155" s="164" t="s">
        <v>67</v>
      </c>
      <c r="E155" s="500">
        <f>250+'[2]táj.1'!E155</f>
        <v>250</v>
      </c>
      <c r="F155" s="500">
        <f>0+'[2]táj.1'!F155</f>
        <v>0</v>
      </c>
      <c r="G155" s="500">
        <f>0+'[2]táj.1'!G155</f>
        <v>0</v>
      </c>
      <c r="H155" s="500">
        <f>0+'[2]táj.1'!H155</f>
        <v>0</v>
      </c>
      <c r="I155" s="500">
        <f>0+'[2]táj.1'!I155</f>
        <v>0</v>
      </c>
      <c r="J155" s="500">
        <f>50+'[2]táj.1'!J155</f>
        <v>50</v>
      </c>
      <c r="K155" s="500">
        <f>0+'[2]táj.1'!K155</f>
        <v>0</v>
      </c>
      <c r="L155" s="500">
        <f>0+'[2]táj.1'!L155</f>
        <v>0</v>
      </c>
      <c r="M155" s="500">
        <f>0+'[2]táj.1'!M155</f>
        <v>0</v>
      </c>
      <c r="N155" s="500">
        <f>0+'[2]táj.1'!N155</f>
        <v>0</v>
      </c>
      <c r="O155" s="500">
        <f>SUM(E155:N155)</f>
        <v>300</v>
      </c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2"/>
      <c r="GL155" s="162"/>
      <c r="GM155" s="162"/>
      <c r="GN155" s="162"/>
      <c r="GO155" s="162"/>
      <c r="GP155" s="162"/>
      <c r="GQ155" s="162"/>
      <c r="GR155" s="162"/>
      <c r="GS155" s="162"/>
      <c r="GT155" s="162"/>
      <c r="GU155" s="162"/>
      <c r="GV155" s="162"/>
      <c r="GW155" s="162"/>
      <c r="GX155" s="162"/>
      <c r="GY155" s="162"/>
      <c r="GZ155" s="162"/>
      <c r="HA155" s="162"/>
      <c r="HB155" s="162"/>
      <c r="HC155" s="162"/>
      <c r="HD155" s="162"/>
      <c r="HE155" s="162"/>
      <c r="HF155" s="162"/>
      <c r="HG155" s="162"/>
      <c r="HH155" s="162"/>
      <c r="HI155" s="162"/>
      <c r="HJ155" s="162"/>
      <c r="HK155" s="162"/>
      <c r="HL155" s="162"/>
      <c r="HM155" s="162"/>
      <c r="HN155" s="162"/>
      <c r="HO155" s="162"/>
      <c r="HP155" s="162"/>
      <c r="HQ155" s="162"/>
      <c r="HR155" s="162"/>
      <c r="HS155" s="162"/>
      <c r="HT155" s="162"/>
      <c r="HU155" s="162"/>
      <c r="HV155" s="162"/>
      <c r="HW155" s="162"/>
      <c r="HX155" s="162"/>
      <c r="HY155" s="162"/>
      <c r="HZ155" s="162"/>
      <c r="IA155" s="162"/>
      <c r="IB155" s="162"/>
      <c r="IC155" s="162"/>
      <c r="ID155" s="162"/>
      <c r="IE155" s="162"/>
      <c r="IF155" s="162"/>
      <c r="IG155" s="162"/>
      <c r="IH155" s="162"/>
      <c r="II155" s="162"/>
      <c r="IJ155" s="162"/>
      <c r="IK155" s="162"/>
      <c r="IL155" s="162"/>
      <c r="IM155" s="162"/>
      <c r="IN155" s="162"/>
      <c r="IO155" s="162"/>
      <c r="IP155" s="162"/>
      <c r="IQ155" s="162"/>
      <c r="IR155" s="162"/>
      <c r="IS155" s="162"/>
      <c r="IT155" s="162"/>
      <c r="IU155" s="162"/>
      <c r="IV155" s="162"/>
    </row>
    <row r="156" spans="1:256" ht="13.5">
      <c r="A156" s="182"/>
      <c r="B156" s="168"/>
      <c r="C156" s="455" t="s">
        <v>618</v>
      </c>
      <c r="D156" s="474"/>
      <c r="E156" s="432">
        <f>SUM(E149:E155)</f>
        <v>9250</v>
      </c>
      <c r="F156" s="432">
        <f aca="true" t="shared" si="11" ref="F156:O156">SUM(F149:F155)</f>
        <v>0</v>
      </c>
      <c r="G156" s="432">
        <f t="shared" si="11"/>
        <v>0</v>
      </c>
      <c r="H156" s="432">
        <f t="shared" si="11"/>
        <v>15748</v>
      </c>
      <c r="I156" s="432">
        <f t="shared" si="11"/>
        <v>0</v>
      </c>
      <c r="J156" s="432">
        <f t="shared" si="11"/>
        <v>50</v>
      </c>
      <c r="K156" s="432">
        <f t="shared" si="11"/>
        <v>0</v>
      </c>
      <c r="L156" s="432">
        <f t="shared" si="11"/>
        <v>0</v>
      </c>
      <c r="M156" s="432">
        <f t="shared" si="11"/>
        <v>0</v>
      </c>
      <c r="N156" s="432">
        <f t="shared" si="11"/>
        <v>0</v>
      </c>
      <c r="O156" s="432">
        <f t="shared" si="11"/>
        <v>25048</v>
      </c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2"/>
      <c r="GL156" s="162"/>
      <c r="GM156" s="162"/>
      <c r="GN156" s="162"/>
      <c r="GO156" s="162"/>
      <c r="GP156" s="162"/>
      <c r="GQ156" s="162"/>
      <c r="GR156" s="162"/>
      <c r="GS156" s="162"/>
      <c r="GT156" s="162"/>
      <c r="GU156" s="162"/>
      <c r="GV156" s="162"/>
      <c r="GW156" s="162"/>
      <c r="GX156" s="162"/>
      <c r="GY156" s="162"/>
      <c r="GZ156" s="162"/>
      <c r="HA156" s="162"/>
      <c r="HB156" s="162"/>
      <c r="HC156" s="162"/>
      <c r="HD156" s="162"/>
      <c r="HE156" s="162"/>
      <c r="HF156" s="162"/>
      <c r="HG156" s="162"/>
      <c r="HH156" s="162"/>
      <c r="HI156" s="162"/>
      <c r="HJ156" s="162"/>
      <c r="HK156" s="162"/>
      <c r="HL156" s="162"/>
      <c r="HM156" s="162"/>
      <c r="HN156" s="162"/>
      <c r="HO156" s="162"/>
      <c r="HP156" s="162"/>
      <c r="HQ156" s="162"/>
      <c r="HR156" s="162"/>
      <c r="HS156" s="162"/>
      <c r="HT156" s="162"/>
      <c r="HU156" s="162"/>
      <c r="HV156" s="162"/>
      <c r="HW156" s="162"/>
      <c r="HX156" s="162"/>
      <c r="HY156" s="162"/>
      <c r="HZ156" s="162"/>
      <c r="IA156" s="162"/>
      <c r="IB156" s="162"/>
      <c r="IC156" s="162"/>
      <c r="ID156" s="162"/>
      <c r="IE156" s="162"/>
      <c r="IF156" s="162"/>
      <c r="IG156" s="162"/>
      <c r="IH156" s="162"/>
      <c r="II156" s="162"/>
      <c r="IJ156" s="162"/>
      <c r="IK156" s="162"/>
      <c r="IL156" s="162"/>
      <c r="IM156" s="162"/>
      <c r="IN156" s="162"/>
      <c r="IO156" s="162"/>
      <c r="IP156" s="162"/>
      <c r="IQ156" s="162"/>
      <c r="IR156" s="162"/>
      <c r="IS156" s="162"/>
      <c r="IT156" s="162"/>
      <c r="IU156" s="162"/>
      <c r="IV156" s="162"/>
    </row>
    <row r="157" spans="1:256" ht="27">
      <c r="A157" s="168"/>
      <c r="B157" s="168"/>
      <c r="C157" s="492" t="s">
        <v>146</v>
      </c>
      <c r="D157" s="493"/>
      <c r="E157" s="432">
        <f aca="true" t="shared" si="12" ref="E157:O157">SUM(E8+E14+E18+E32+E84+E108+E116+E146+E148+E156)</f>
        <v>3381718</v>
      </c>
      <c r="F157" s="432">
        <f t="shared" si="12"/>
        <v>9337696</v>
      </c>
      <c r="G157" s="432">
        <f t="shared" si="12"/>
        <v>6095000</v>
      </c>
      <c r="H157" s="432">
        <f t="shared" si="12"/>
        <v>5756488</v>
      </c>
      <c r="I157" s="432">
        <f t="shared" si="12"/>
        <v>76000</v>
      </c>
      <c r="J157" s="432">
        <f t="shared" si="12"/>
        <v>50</v>
      </c>
      <c r="K157" s="432">
        <f t="shared" si="12"/>
        <v>3000</v>
      </c>
      <c r="L157" s="432">
        <f t="shared" si="12"/>
        <v>150000</v>
      </c>
      <c r="M157" s="432">
        <f t="shared" si="12"/>
        <v>16623760</v>
      </c>
      <c r="N157" s="432">
        <f t="shared" si="12"/>
        <v>20888595</v>
      </c>
      <c r="O157" s="432">
        <f t="shared" si="12"/>
        <v>62312307</v>
      </c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  <c r="HJ157" s="162"/>
      <c r="HK157" s="162"/>
      <c r="HL157" s="162"/>
      <c r="HM157" s="162"/>
      <c r="HN157" s="162"/>
      <c r="HO157" s="162"/>
      <c r="HP157" s="162"/>
      <c r="HQ157" s="162"/>
      <c r="HR157" s="162"/>
      <c r="HS157" s="162"/>
      <c r="HT157" s="162"/>
      <c r="HU157" s="162"/>
      <c r="HV157" s="162"/>
      <c r="HW157" s="162"/>
      <c r="HX157" s="162"/>
      <c r="HY157" s="162"/>
      <c r="HZ157" s="162"/>
      <c r="IA157" s="162"/>
      <c r="IB157" s="162"/>
      <c r="IC157" s="162"/>
      <c r="ID157" s="162"/>
      <c r="IE157" s="162"/>
      <c r="IF157" s="162"/>
      <c r="IG157" s="162"/>
      <c r="IH157" s="162"/>
      <c r="II157" s="162"/>
      <c r="IJ157" s="162"/>
      <c r="IK157" s="162"/>
      <c r="IL157" s="162"/>
      <c r="IM157" s="162"/>
      <c r="IN157" s="162"/>
      <c r="IO157" s="162"/>
      <c r="IP157" s="162"/>
      <c r="IQ157" s="162"/>
      <c r="IR157" s="162"/>
      <c r="IS157" s="162"/>
      <c r="IT157" s="162"/>
      <c r="IU157" s="162"/>
      <c r="IV157" s="162"/>
    </row>
    <row r="158" spans="1:256" ht="12.75">
      <c r="A158" s="164">
        <v>2</v>
      </c>
      <c r="B158" s="164"/>
      <c r="C158" s="494" t="s">
        <v>382</v>
      </c>
      <c r="D158" s="424"/>
      <c r="E158" s="426">
        <v>618155</v>
      </c>
      <c r="F158" s="426"/>
      <c r="G158" s="426"/>
      <c r="H158" s="426">
        <v>1282611</v>
      </c>
      <c r="I158" s="426"/>
      <c r="J158" s="426"/>
      <c r="K158" s="426"/>
      <c r="L158" s="426"/>
      <c r="M158" s="426">
        <v>292678</v>
      </c>
      <c r="N158" s="426"/>
      <c r="O158" s="426">
        <f>SUM(E158:N158)</f>
        <v>2193444</v>
      </c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  <c r="HJ158" s="162"/>
      <c r="HK158" s="162"/>
      <c r="HL158" s="162"/>
      <c r="HM158" s="162"/>
      <c r="HN158" s="162"/>
      <c r="HO158" s="162"/>
      <c r="HP158" s="162"/>
      <c r="HQ158" s="162"/>
      <c r="HR158" s="162"/>
      <c r="HS158" s="162"/>
      <c r="HT158" s="162"/>
      <c r="HU158" s="162"/>
      <c r="HV158" s="162"/>
      <c r="HW158" s="162"/>
      <c r="HX158" s="162"/>
      <c r="HY158" s="162"/>
      <c r="HZ158" s="162"/>
      <c r="IA158" s="162"/>
      <c r="IB158" s="162"/>
      <c r="IC158" s="162"/>
      <c r="ID158" s="162"/>
      <c r="IE158" s="162"/>
      <c r="IF158" s="162"/>
      <c r="IG158" s="162"/>
      <c r="IH158" s="162"/>
      <c r="II158" s="162"/>
      <c r="IJ158" s="162"/>
      <c r="IK158" s="162"/>
      <c r="IL158" s="162"/>
      <c r="IM158" s="162"/>
      <c r="IN158" s="162"/>
      <c r="IO158" s="162"/>
      <c r="IP158" s="162"/>
      <c r="IQ158" s="162"/>
      <c r="IR158" s="162"/>
      <c r="IS158" s="162"/>
      <c r="IT158" s="162"/>
      <c r="IU158" s="162"/>
      <c r="IV158" s="162"/>
    </row>
    <row r="159" spans="1:256" ht="13.5">
      <c r="A159" s="168"/>
      <c r="B159" s="168"/>
      <c r="C159" s="495" t="s">
        <v>372</v>
      </c>
      <c r="D159" s="474"/>
      <c r="E159" s="432">
        <f>SUM(E157:E158)</f>
        <v>3999873</v>
      </c>
      <c r="F159" s="432">
        <f>SUM(F157:F158)</f>
        <v>9337696</v>
      </c>
      <c r="G159" s="432">
        <f aca="true" t="shared" si="13" ref="G159:O159">SUM(G157:G158)+G147</f>
        <v>6095000</v>
      </c>
      <c r="H159" s="432">
        <f t="shared" si="13"/>
        <v>7039099</v>
      </c>
      <c r="I159" s="432">
        <f t="shared" si="13"/>
        <v>76000</v>
      </c>
      <c r="J159" s="432">
        <f t="shared" si="13"/>
        <v>50</v>
      </c>
      <c r="K159" s="432">
        <f t="shared" si="13"/>
        <v>3000</v>
      </c>
      <c r="L159" s="432">
        <f t="shared" si="13"/>
        <v>150000</v>
      </c>
      <c r="M159" s="432">
        <f t="shared" si="13"/>
        <v>16916438</v>
      </c>
      <c r="N159" s="432">
        <f t="shared" si="13"/>
        <v>20888595</v>
      </c>
      <c r="O159" s="432">
        <f t="shared" si="13"/>
        <v>64505751</v>
      </c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2"/>
      <c r="GL159" s="162"/>
      <c r="GM159" s="162"/>
      <c r="GN159" s="162"/>
      <c r="GO159" s="162"/>
      <c r="GP159" s="162"/>
      <c r="GQ159" s="162"/>
      <c r="GR159" s="162"/>
      <c r="GS159" s="162"/>
      <c r="GT159" s="162"/>
      <c r="GU159" s="162"/>
      <c r="GV159" s="162"/>
      <c r="GW159" s="162"/>
      <c r="GX159" s="162"/>
      <c r="GY159" s="162"/>
      <c r="GZ159" s="162"/>
      <c r="HA159" s="162"/>
      <c r="HB159" s="162"/>
      <c r="HC159" s="162"/>
      <c r="HD159" s="162"/>
      <c r="HE159" s="162"/>
      <c r="HF159" s="162"/>
      <c r="HG159" s="162"/>
      <c r="HH159" s="162"/>
      <c r="HI159" s="162"/>
      <c r="HJ159" s="162"/>
      <c r="HK159" s="162"/>
      <c r="HL159" s="162"/>
      <c r="HM159" s="162"/>
      <c r="HN159" s="162"/>
      <c r="HO159" s="162"/>
      <c r="HP159" s="162"/>
      <c r="HQ159" s="162"/>
      <c r="HR159" s="162"/>
      <c r="HS159" s="162"/>
      <c r="HT159" s="162"/>
      <c r="HU159" s="162"/>
      <c r="HV159" s="162"/>
      <c r="HW159" s="162"/>
      <c r="HX159" s="162"/>
      <c r="HY159" s="162"/>
      <c r="HZ159" s="162"/>
      <c r="IA159" s="162"/>
      <c r="IB159" s="162"/>
      <c r="IC159" s="162"/>
      <c r="ID159" s="162"/>
      <c r="IE159" s="162"/>
      <c r="IF159" s="162"/>
      <c r="IG159" s="162"/>
      <c r="IH159" s="162"/>
      <c r="II159" s="162"/>
      <c r="IJ159" s="162"/>
      <c r="IK159" s="162"/>
      <c r="IL159" s="162"/>
      <c r="IM159" s="162"/>
      <c r="IN159" s="162"/>
      <c r="IO159" s="162"/>
      <c r="IP159" s="162"/>
      <c r="IQ159" s="162"/>
      <c r="IR159" s="162"/>
      <c r="IS159" s="162"/>
      <c r="IT159" s="162"/>
      <c r="IU159" s="162"/>
      <c r="IV159" s="162"/>
    </row>
    <row r="160" ht="12.75">
      <c r="O160" s="185"/>
    </row>
    <row r="161" ht="12.75">
      <c r="O161" s="185"/>
    </row>
    <row r="162" spans="13:15" ht="12.75">
      <c r="M162" s="754"/>
      <c r="N162" s="754"/>
      <c r="O162" s="185"/>
    </row>
    <row r="163" spans="13:15" ht="12.75">
      <c r="M163" s="754"/>
      <c r="N163" s="754"/>
      <c r="O163" s="185"/>
    </row>
    <row r="164" spans="13:14" ht="12.75">
      <c r="M164" s="754"/>
      <c r="N164" s="754"/>
    </row>
    <row r="165" ht="12.75">
      <c r="O165" s="185"/>
    </row>
  </sheetData>
  <sheetProtection/>
  <mergeCells count="10">
    <mergeCell ref="O1:O2"/>
    <mergeCell ref="M162:N162"/>
    <mergeCell ref="M163:N163"/>
    <mergeCell ref="M164:N164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1" topLeftCell="A2" activePane="bottomLeft" state="frozen"/>
      <selection pane="topLeft" activeCell="B1" sqref="B1"/>
      <selection pane="bottomLeft" activeCell="A1" sqref="A1:IV16384"/>
    </sheetView>
  </sheetViews>
  <sheetFormatPr defaultColWidth="9.00390625" defaultRowHeight="12.75"/>
  <cols>
    <col min="1" max="1" width="4.375" style="13" customWidth="1"/>
    <col min="2" max="2" width="7.00390625" style="13" customWidth="1"/>
    <col min="3" max="3" width="23.625" style="13" customWidth="1"/>
    <col min="4" max="4" width="10.625" style="13" customWidth="1"/>
    <col min="5" max="5" width="11.875" style="13" customWidth="1"/>
    <col min="6" max="6" width="10.50390625" style="13" customWidth="1"/>
    <col min="7" max="7" width="9.875" style="13" customWidth="1"/>
    <col min="8" max="8" width="10.50390625" style="13" customWidth="1"/>
    <col min="9" max="9" width="10.875" style="13" customWidth="1"/>
    <col min="10" max="10" width="10.625" style="13" customWidth="1"/>
    <col min="11" max="11" width="9.50390625" style="13" customWidth="1"/>
    <col min="12" max="12" width="11.375" style="13" customWidth="1"/>
    <col min="13" max="13" width="11.875" style="13" customWidth="1"/>
    <col min="14" max="14" width="12.00390625" style="13" customWidth="1"/>
    <col min="15" max="16384" width="9.375" style="13" customWidth="1"/>
  </cols>
  <sheetData>
    <row r="1" spans="1:14" ht="12.75" customHeight="1">
      <c r="A1" s="761" t="s">
        <v>266</v>
      </c>
      <c r="B1" s="761" t="s">
        <v>267</v>
      </c>
      <c r="C1" s="761" t="s">
        <v>321</v>
      </c>
      <c r="D1" s="760" t="s">
        <v>327</v>
      </c>
      <c r="E1" s="760"/>
      <c r="F1" s="760"/>
      <c r="G1" s="760"/>
      <c r="H1" s="760"/>
      <c r="I1" s="760"/>
      <c r="J1" s="760"/>
      <c r="K1" s="760"/>
      <c r="L1" s="760" t="s">
        <v>326</v>
      </c>
      <c r="M1" s="760"/>
      <c r="N1" s="761" t="s">
        <v>380</v>
      </c>
    </row>
    <row r="2" spans="1:14" s="33" customFormat="1" ht="60" customHeight="1">
      <c r="A2" s="761"/>
      <c r="B2" s="761"/>
      <c r="C2" s="761"/>
      <c r="D2" s="64" t="s">
        <v>300</v>
      </c>
      <c r="E2" s="64" t="s">
        <v>400</v>
      </c>
      <c r="F2" s="64" t="s">
        <v>394</v>
      </c>
      <c r="G2" s="64" t="s">
        <v>151</v>
      </c>
      <c r="H2" s="64" t="s">
        <v>167</v>
      </c>
      <c r="I2" s="64" t="s">
        <v>157</v>
      </c>
      <c r="J2" s="64" t="s">
        <v>156</v>
      </c>
      <c r="K2" s="64" t="s">
        <v>152</v>
      </c>
      <c r="L2" s="64" t="s">
        <v>331</v>
      </c>
      <c r="M2" s="64" t="s">
        <v>333</v>
      </c>
      <c r="N2" s="761"/>
    </row>
    <row r="3" spans="1:14" s="33" customFormat="1" ht="15" customHeight="1">
      <c r="A3" s="191">
        <v>1</v>
      </c>
      <c r="B3" s="191"/>
      <c r="C3" s="38" t="s">
        <v>381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33" customFormat="1" ht="15" customHeight="1">
      <c r="A4" s="191">
        <v>1</v>
      </c>
      <c r="B4" s="191">
        <v>1</v>
      </c>
      <c r="C4" s="4" t="s">
        <v>137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s="22" customFormat="1" ht="24.75" customHeight="1">
      <c r="A5" s="2"/>
      <c r="B5" s="2">
        <v>12</v>
      </c>
      <c r="C5" s="68" t="s">
        <v>287</v>
      </c>
      <c r="D5" s="40">
        <f>'[2]6.a'!G45</f>
        <v>0</v>
      </c>
      <c r="E5" s="40">
        <f>'[2]6.a'!H45</f>
        <v>4900</v>
      </c>
      <c r="F5" s="40">
        <f>'[2]6.a'!I45</f>
        <v>30540</v>
      </c>
      <c r="G5" s="40">
        <f>'[2]6.a'!J45</f>
        <v>90350</v>
      </c>
      <c r="H5" s="40">
        <f>'[2]6.a'!K45</f>
        <v>3200</v>
      </c>
      <c r="I5" s="40">
        <f>'[2]6.a'!L45</f>
        <v>0</v>
      </c>
      <c r="J5" s="40">
        <f>'[2]6.a'!M45</f>
        <v>0</v>
      </c>
      <c r="K5" s="40">
        <f>'[2]6.a'!N45</f>
        <v>25319</v>
      </c>
      <c r="L5" s="40">
        <f>'[2]6.a'!O45</f>
        <v>0</v>
      </c>
      <c r="M5" s="40">
        <f>'[2]6.a'!P45</f>
        <v>0</v>
      </c>
      <c r="N5" s="3">
        <f>SUM(D5:M5)</f>
        <v>154309</v>
      </c>
    </row>
    <row r="6" spans="1:14" s="22" customFormat="1" ht="13.5" customHeight="1">
      <c r="A6" s="2"/>
      <c r="B6" s="2">
        <v>13</v>
      </c>
      <c r="C6" s="38" t="s">
        <v>288</v>
      </c>
      <c r="D6" s="40">
        <f>'[2]6.a'!G218</f>
        <v>4179</v>
      </c>
      <c r="E6" s="40">
        <f>'[2]6.a'!H218</f>
        <v>1712</v>
      </c>
      <c r="F6" s="40">
        <f>'[2]6.a'!I218</f>
        <v>91184</v>
      </c>
      <c r="G6" s="40">
        <f>'[2]6.a'!J218</f>
        <v>5100</v>
      </c>
      <c r="H6" s="40">
        <f>'[2]6.a'!K218</f>
        <v>665376</v>
      </c>
      <c r="I6" s="40">
        <f>'[2]6.a'!L218</f>
        <v>15860</v>
      </c>
      <c r="J6" s="40">
        <f>'[2]6.a'!M218</f>
        <v>33135</v>
      </c>
      <c r="K6" s="40">
        <f>'[2]6.a'!N218</f>
        <v>27450</v>
      </c>
      <c r="L6" s="40">
        <f>'[2]6.a'!O218</f>
        <v>0</v>
      </c>
      <c r="M6" s="40">
        <f>'[2]6.a'!P218</f>
        <v>0</v>
      </c>
      <c r="N6" s="3">
        <f aca="true" t="shared" si="0" ref="N6:N15">SUM(D6:M6)</f>
        <v>843996</v>
      </c>
    </row>
    <row r="7" spans="1:14" s="22" customFormat="1" ht="13.5" customHeight="1">
      <c r="A7" s="2"/>
      <c r="B7" s="2">
        <v>14</v>
      </c>
      <c r="C7" s="38" t="s">
        <v>383</v>
      </c>
      <c r="D7" s="40">
        <f>'[2]6.a'!G230</f>
        <v>0</v>
      </c>
      <c r="E7" s="40">
        <f>'[2]6.a'!H230</f>
        <v>0</v>
      </c>
      <c r="F7" s="40">
        <f>'[2]6.a'!I230</f>
        <v>9026</v>
      </c>
      <c r="G7" s="40">
        <f>'[2]6.a'!J230</f>
        <v>0</v>
      </c>
      <c r="H7" s="40">
        <f>'[2]6.a'!K230</f>
        <v>0</v>
      </c>
      <c r="I7" s="40">
        <f>'[2]6.a'!L230</f>
        <v>17517</v>
      </c>
      <c r="J7" s="40">
        <f>'[2]6.a'!M230</f>
        <v>0</v>
      </c>
      <c r="K7" s="40">
        <f>'[2]6.a'!N230</f>
        <v>6846</v>
      </c>
      <c r="L7" s="40">
        <f>'[2]6.a'!O230</f>
        <v>0</v>
      </c>
      <c r="M7" s="40">
        <f>'[2]6.a'!P230</f>
        <v>0</v>
      </c>
      <c r="N7" s="3">
        <f t="shared" si="0"/>
        <v>33389</v>
      </c>
    </row>
    <row r="8" spans="1:14" s="22" customFormat="1" ht="13.5" customHeight="1">
      <c r="A8" s="2"/>
      <c r="B8" s="2">
        <v>15</v>
      </c>
      <c r="C8" s="45" t="s">
        <v>324</v>
      </c>
      <c r="D8" s="40">
        <f>'[2]6.a'!G471</f>
        <v>7800</v>
      </c>
      <c r="E8" s="40">
        <f>'[2]6.a'!H471</f>
        <v>1350</v>
      </c>
      <c r="F8" s="40">
        <f>'[2]6.a'!I471</f>
        <v>1840801</v>
      </c>
      <c r="G8" s="40">
        <f>'[2]6.a'!J471</f>
        <v>0</v>
      </c>
      <c r="H8" s="40">
        <f>'[2]6.a'!K471</f>
        <v>446848</v>
      </c>
      <c r="I8" s="40">
        <f>'[2]6.a'!L471</f>
        <v>238165</v>
      </c>
      <c r="J8" s="40">
        <f>'[2]6.a'!M471</f>
        <v>148809</v>
      </c>
      <c r="K8" s="40">
        <f>'[2]6.a'!N471</f>
        <v>1300</v>
      </c>
      <c r="L8" s="40">
        <f>'[2]6.a'!O471</f>
        <v>0</v>
      </c>
      <c r="M8" s="40">
        <f>'[2]6.a'!P471</f>
        <v>0</v>
      </c>
      <c r="N8" s="3">
        <f t="shared" si="0"/>
        <v>2685073</v>
      </c>
    </row>
    <row r="9" spans="1:14" s="22" customFormat="1" ht="13.5" customHeight="1">
      <c r="A9" s="2"/>
      <c r="B9" s="2">
        <v>16</v>
      </c>
      <c r="C9" s="45" t="s">
        <v>309</v>
      </c>
      <c r="D9" s="40">
        <f>'[2]6.a'!G662</f>
        <v>54181</v>
      </c>
      <c r="E9" s="40">
        <f>'[2]6.a'!H662</f>
        <v>12770</v>
      </c>
      <c r="F9" s="40">
        <f>'[2]6.a'!I662</f>
        <v>6304048</v>
      </c>
      <c r="G9" s="40">
        <f>'[2]6.a'!J662</f>
        <v>0</v>
      </c>
      <c r="H9" s="40">
        <f>'[2]6.a'!K662</f>
        <v>67813</v>
      </c>
      <c r="I9" s="40">
        <f>'[2]6.a'!L662</f>
        <v>26885359</v>
      </c>
      <c r="J9" s="40">
        <f>'[2]6.a'!M662</f>
        <v>5124232</v>
      </c>
      <c r="K9" s="40">
        <f>'[2]6.a'!N662</f>
        <v>9500</v>
      </c>
      <c r="L9" s="40">
        <f>'[2]6.a'!O662</f>
        <v>0</v>
      </c>
      <c r="M9" s="40">
        <f>'[2]6.a'!P662</f>
        <v>0</v>
      </c>
      <c r="N9" s="3">
        <f t="shared" si="0"/>
        <v>38457903</v>
      </c>
    </row>
    <row r="10" spans="1:14" s="22" customFormat="1" ht="13.5" customHeight="1">
      <c r="A10" s="2"/>
      <c r="B10" s="2">
        <v>17</v>
      </c>
      <c r="C10" s="45" t="s">
        <v>325</v>
      </c>
      <c r="D10" s="40">
        <f>'[2]6.a'!G686</f>
        <v>0</v>
      </c>
      <c r="E10" s="40">
        <f>'[2]6.a'!H686</f>
        <v>0</v>
      </c>
      <c r="F10" s="40">
        <f>'[2]6.a'!I686</f>
        <v>43927</v>
      </c>
      <c r="G10" s="40">
        <f>'[2]6.a'!J686</f>
        <v>0</v>
      </c>
      <c r="H10" s="40">
        <f>'[2]6.a'!K686</f>
        <v>0</v>
      </c>
      <c r="I10" s="40">
        <f>'[2]6.a'!L686</f>
        <v>125192</v>
      </c>
      <c r="J10" s="40">
        <f>'[2]6.a'!M686</f>
        <v>0</v>
      </c>
      <c r="K10" s="40">
        <f>'[2]6.a'!N686</f>
        <v>30075</v>
      </c>
      <c r="L10" s="40">
        <f>'[2]6.a'!O686</f>
        <v>0</v>
      </c>
      <c r="M10" s="40">
        <f>'[2]6.a'!P686</f>
        <v>25000</v>
      </c>
      <c r="N10" s="3">
        <f t="shared" si="0"/>
        <v>224194</v>
      </c>
    </row>
    <row r="11" spans="1:14" s="22" customFormat="1" ht="13.5" customHeight="1">
      <c r="A11" s="2"/>
      <c r="B11" s="2">
        <v>18</v>
      </c>
      <c r="C11" s="45" t="s">
        <v>155</v>
      </c>
      <c r="D11" s="40">
        <f>'[2]6.a'!G710</f>
        <v>149479</v>
      </c>
      <c r="E11" s="40">
        <f>'[2]6.a'!H710</f>
        <v>27014</v>
      </c>
      <c r="F11" s="40">
        <f>'[2]6.a'!I710</f>
        <v>81840</v>
      </c>
      <c r="G11" s="40">
        <f>'[2]6.a'!J710</f>
        <v>0</v>
      </c>
      <c r="H11" s="40">
        <f>'[2]6.a'!K710</f>
        <v>7000</v>
      </c>
      <c r="I11" s="40">
        <f>'[2]6.a'!L710</f>
        <v>10065</v>
      </c>
      <c r="J11" s="40">
        <f>'[2]6.a'!M710</f>
        <v>0</v>
      </c>
      <c r="K11" s="40">
        <f>'[2]6.a'!N710</f>
        <v>0</v>
      </c>
      <c r="L11" s="40">
        <f>'[2]6.a'!O710</f>
        <v>0</v>
      </c>
      <c r="M11" s="40">
        <f>'[2]6.a'!P710</f>
        <v>0</v>
      </c>
      <c r="N11" s="3">
        <f t="shared" si="0"/>
        <v>275398</v>
      </c>
    </row>
    <row r="12" spans="1:14" s="22" customFormat="1" ht="13.5" customHeight="1">
      <c r="A12" s="2"/>
      <c r="B12" s="2">
        <v>19</v>
      </c>
      <c r="C12" s="44" t="s">
        <v>264</v>
      </c>
      <c r="D12" s="40">
        <f>'[2]6.a'!G743</f>
        <v>0</v>
      </c>
      <c r="E12" s="40">
        <f>'[2]6.a'!H743</f>
        <v>0</v>
      </c>
      <c r="F12" s="40">
        <f>'[2]6.a'!I743</f>
        <v>308582</v>
      </c>
      <c r="G12" s="40">
        <f>'[2]6.a'!J743</f>
        <v>0</v>
      </c>
      <c r="H12" s="40">
        <f>'[2]6.a'!K743</f>
        <v>469679</v>
      </c>
      <c r="I12" s="40">
        <f>'[2]6.a'!L743</f>
        <v>0</v>
      </c>
      <c r="J12" s="40">
        <f>'[2]6.a'!M743</f>
        <v>0</v>
      </c>
      <c r="K12" s="40">
        <f>'[2]6.a'!N743</f>
        <v>5539</v>
      </c>
      <c r="L12" s="40">
        <f>'[2]6.a'!O743</f>
        <v>104052</v>
      </c>
      <c r="M12" s="40">
        <f>'[2]6.a'!P743</f>
        <v>12100806</v>
      </c>
      <c r="N12" s="3">
        <f t="shared" si="0"/>
        <v>12988658</v>
      </c>
    </row>
    <row r="13" spans="1:14" s="22" customFormat="1" ht="12.75" customHeight="1">
      <c r="A13" s="2"/>
      <c r="B13" s="2">
        <v>20</v>
      </c>
      <c r="C13" s="44" t="s">
        <v>138</v>
      </c>
      <c r="D13" s="40">
        <f>'[2]6.a'!G746</f>
        <v>0</v>
      </c>
      <c r="E13" s="40">
        <f>'[2]6.a'!H746</f>
        <v>0</v>
      </c>
      <c r="F13" s="40">
        <f>'[2]6.a'!I746</f>
        <v>0</v>
      </c>
      <c r="G13" s="40">
        <f>'[2]6.a'!J746</f>
        <v>0</v>
      </c>
      <c r="H13" s="40">
        <f>'[2]6.a'!K746</f>
        <v>0</v>
      </c>
      <c r="I13" s="40">
        <f>'[2]6.a'!L746</f>
        <v>0</v>
      </c>
      <c r="J13" s="40">
        <f>'[2]6.a'!M746</f>
        <v>0</v>
      </c>
      <c r="K13" s="40">
        <f>'[2]6.a'!N746</f>
        <v>0</v>
      </c>
      <c r="L13" s="40">
        <f>'[2]6.a'!O746</f>
        <v>0</v>
      </c>
      <c r="M13" s="40">
        <f>'[2]6.a'!P746</f>
        <v>0</v>
      </c>
      <c r="N13" s="3">
        <f t="shared" si="0"/>
        <v>0</v>
      </c>
    </row>
    <row r="14" spans="1:14" s="22" customFormat="1" ht="27" customHeight="1">
      <c r="A14" s="2"/>
      <c r="B14" s="2">
        <v>22</v>
      </c>
      <c r="C14" s="810" t="s">
        <v>144</v>
      </c>
      <c r="D14" s="40">
        <f>'[2]6.a'!G800</f>
        <v>17600</v>
      </c>
      <c r="E14" s="40">
        <f>'[2]6.a'!H800</f>
        <v>10550</v>
      </c>
      <c r="F14" s="40">
        <f>'[2]6.a'!I800</f>
        <v>183679</v>
      </c>
      <c r="G14" s="40">
        <f>'[2]6.a'!J800</f>
        <v>0</v>
      </c>
      <c r="H14" s="40">
        <f>'[2]6.a'!K800</f>
        <v>325492</v>
      </c>
      <c r="I14" s="40">
        <f>'[2]6.a'!L800</f>
        <v>15743</v>
      </c>
      <c r="J14" s="40">
        <f>'[2]6.a'!M800</f>
        <v>0</v>
      </c>
      <c r="K14" s="40">
        <f>'[2]6.a'!N800</f>
        <v>6250</v>
      </c>
      <c r="L14" s="40">
        <f>'[2]6.a'!O800</f>
        <v>0</v>
      </c>
      <c r="M14" s="40">
        <f>'[2]6.a'!P800</f>
        <v>0</v>
      </c>
      <c r="N14" s="3">
        <f t="shared" si="0"/>
        <v>559314</v>
      </c>
    </row>
    <row r="15" spans="1:14" s="22" customFormat="1" ht="12.75" customHeight="1">
      <c r="A15" s="2"/>
      <c r="B15" s="2">
        <v>30</v>
      </c>
      <c r="C15" s="4" t="s">
        <v>140</v>
      </c>
      <c r="D15" s="40">
        <f>'[2]6.a'!G814</f>
        <v>0</v>
      </c>
      <c r="E15" s="40">
        <f>'[2]6.a'!H814</f>
        <v>0</v>
      </c>
      <c r="F15" s="40">
        <f>'[2]6.a'!I814</f>
        <v>0</v>
      </c>
      <c r="G15" s="40">
        <f>'[2]6.a'!J814</f>
        <v>0</v>
      </c>
      <c r="H15" s="40">
        <f>'[2]6.a'!K814</f>
        <v>372945</v>
      </c>
      <c r="I15" s="40">
        <f>'[2]6.a'!L814</f>
        <v>10420</v>
      </c>
      <c r="J15" s="40">
        <f>'[2]6.a'!M814</f>
        <v>6701</v>
      </c>
      <c r="K15" s="40">
        <f>'[2]6.a'!N814</f>
        <v>0</v>
      </c>
      <c r="L15" s="40">
        <f>'[2]6.a'!O814</f>
        <v>0</v>
      </c>
      <c r="M15" s="40">
        <f>'[2]6.a'!P814</f>
        <v>0</v>
      </c>
      <c r="N15" s="3">
        <f t="shared" si="0"/>
        <v>390066</v>
      </c>
    </row>
    <row r="16" spans="1:14" s="22" customFormat="1" ht="34.5" customHeight="1">
      <c r="A16" s="46"/>
      <c r="B16" s="46"/>
      <c r="C16" s="62" t="s">
        <v>146</v>
      </c>
      <c r="D16" s="5">
        <f>SUM(D3:D15)</f>
        <v>233239</v>
      </c>
      <c r="E16" s="5">
        <f>SUM(E3:E15)</f>
        <v>58296</v>
      </c>
      <c r="F16" s="5">
        <f aca="true" t="shared" si="1" ref="F16:N16">SUM(F5:F15)</f>
        <v>8893627</v>
      </c>
      <c r="G16" s="5">
        <f t="shared" si="1"/>
        <v>95450</v>
      </c>
      <c r="H16" s="5">
        <f t="shared" si="1"/>
        <v>2358353</v>
      </c>
      <c r="I16" s="5">
        <f t="shared" si="1"/>
        <v>27318321</v>
      </c>
      <c r="J16" s="5">
        <f t="shared" si="1"/>
        <v>5312877</v>
      </c>
      <c r="K16" s="5">
        <f t="shared" si="1"/>
        <v>112279</v>
      </c>
      <c r="L16" s="5">
        <f t="shared" si="1"/>
        <v>104052</v>
      </c>
      <c r="M16" s="5">
        <f t="shared" si="1"/>
        <v>12125806</v>
      </c>
      <c r="N16" s="5">
        <f t="shared" si="1"/>
        <v>56612300</v>
      </c>
    </row>
    <row r="17" spans="1:14" s="22" customFormat="1" ht="12.75" customHeight="1">
      <c r="A17" s="201">
        <v>2</v>
      </c>
      <c r="B17" s="201"/>
      <c r="C17" s="38" t="s">
        <v>382</v>
      </c>
      <c r="D17" s="40">
        <v>4258230</v>
      </c>
      <c r="E17" s="40">
        <v>804668</v>
      </c>
      <c r="F17" s="40">
        <v>2558270</v>
      </c>
      <c r="G17" s="40">
        <v>3400</v>
      </c>
      <c r="H17" s="40">
        <v>61212</v>
      </c>
      <c r="I17" s="40">
        <v>163545</v>
      </c>
      <c r="J17" s="40">
        <v>44126</v>
      </c>
      <c r="K17" s="40"/>
      <c r="L17" s="40"/>
      <c r="M17" s="40"/>
      <c r="N17" s="40">
        <f>SUM(D17:M17)</f>
        <v>7893451</v>
      </c>
    </row>
    <row r="18" spans="1:14" s="22" customFormat="1" ht="12.75" customHeight="1">
      <c r="A18" s="46"/>
      <c r="B18" s="46"/>
      <c r="C18" s="6" t="s">
        <v>372</v>
      </c>
      <c r="D18" s="5">
        <f aca="true" t="shared" si="2" ref="D18:N18">SUM(D16:D17)</f>
        <v>4491469</v>
      </c>
      <c r="E18" s="5">
        <f t="shared" si="2"/>
        <v>862964</v>
      </c>
      <c r="F18" s="5">
        <f t="shared" si="2"/>
        <v>11451897</v>
      </c>
      <c r="G18" s="5">
        <f t="shared" si="2"/>
        <v>98850</v>
      </c>
      <c r="H18" s="5">
        <f t="shared" si="2"/>
        <v>2419565</v>
      </c>
      <c r="I18" s="5">
        <f t="shared" si="2"/>
        <v>27481866</v>
      </c>
      <c r="J18" s="5">
        <f t="shared" si="2"/>
        <v>5357003</v>
      </c>
      <c r="K18" s="5">
        <f t="shared" si="2"/>
        <v>112279</v>
      </c>
      <c r="L18" s="5">
        <f t="shared" si="2"/>
        <v>104052</v>
      </c>
      <c r="M18" s="5">
        <f t="shared" si="2"/>
        <v>12125806</v>
      </c>
      <c r="N18" s="5">
        <f t="shared" si="2"/>
        <v>64505751</v>
      </c>
    </row>
    <row r="20" ht="12">
      <c r="N20" s="811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20"/>
  <sheetViews>
    <sheetView tabSelected="1" zoomScale="101" zoomScaleNormal="101" zoomScaleSheetLayoutView="120" zoomScalePageLayoutView="0" workbookViewId="0" topLeftCell="A1">
      <pane ySplit="1" topLeftCell="A790" activePane="bottomLeft" state="frozen"/>
      <selection pane="topLeft" activeCell="A1" sqref="A1"/>
      <selection pane="bottomLeft" activeCell="P805" sqref="P805"/>
    </sheetView>
  </sheetViews>
  <sheetFormatPr defaultColWidth="9.00390625" defaultRowHeight="12.75"/>
  <cols>
    <col min="1" max="2" width="4.50390625" style="1" customWidth="1"/>
    <col min="3" max="3" width="8.625" style="1" customWidth="1"/>
    <col min="4" max="4" width="49.125" style="1" customWidth="1"/>
    <col min="5" max="5" width="3.125" style="1" customWidth="1"/>
    <col min="6" max="6" width="8.625" style="1" customWidth="1"/>
    <col min="7" max="7" width="10.50390625" style="1" customWidth="1"/>
    <col min="8" max="8" width="10.125" style="1" customWidth="1"/>
    <col min="9" max="9" width="11.00390625" style="1" customWidth="1"/>
    <col min="10" max="10" width="10.375" style="1" customWidth="1"/>
    <col min="11" max="11" width="9.875" style="1" customWidth="1"/>
    <col min="12" max="12" width="11.125" style="1" customWidth="1"/>
    <col min="13" max="13" width="10.50390625" style="695" customWidth="1"/>
    <col min="14" max="14" width="8.875" style="695" customWidth="1"/>
    <col min="15" max="15" width="10.375" style="1" customWidth="1"/>
    <col min="16" max="16" width="12.375" style="1" customWidth="1"/>
    <col min="17" max="17" width="12.50390625" style="1" customWidth="1"/>
    <col min="18" max="245" width="9.375" style="1" customWidth="1"/>
    <col min="246" max="247" width="4.50390625" style="1" customWidth="1"/>
    <col min="248" max="248" width="8.625" style="1" customWidth="1"/>
    <col min="249" max="249" width="49.125" style="1" customWidth="1"/>
    <col min="250" max="250" width="3.125" style="1" customWidth="1"/>
    <col min="251" max="251" width="8.625" style="1" customWidth="1"/>
    <col min="252" max="252" width="10.50390625" style="1" customWidth="1"/>
    <col min="253" max="253" width="10.125" style="1" customWidth="1"/>
    <col min="254" max="254" width="11.00390625" style="1" customWidth="1"/>
    <col min="255" max="255" width="10.375" style="1" customWidth="1"/>
    <col min="256" max="16384" width="9.875" style="1" customWidth="1"/>
  </cols>
  <sheetData>
    <row r="1" spans="1:17" ht="12">
      <c r="A1" s="769" t="s">
        <v>266</v>
      </c>
      <c r="B1" s="769" t="s">
        <v>267</v>
      </c>
      <c r="C1" s="769" t="s">
        <v>154</v>
      </c>
      <c r="D1" s="771" t="s">
        <v>321</v>
      </c>
      <c r="E1" s="765" t="s">
        <v>619</v>
      </c>
      <c r="F1" s="767" t="s">
        <v>486</v>
      </c>
      <c r="G1" s="773" t="s">
        <v>327</v>
      </c>
      <c r="H1" s="773"/>
      <c r="I1" s="773"/>
      <c r="J1" s="773"/>
      <c r="K1" s="773"/>
      <c r="L1" s="773"/>
      <c r="M1" s="773"/>
      <c r="N1" s="774"/>
      <c r="O1" s="775" t="s">
        <v>326</v>
      </c>
      <c r="P1" s="774"/>
      <c r="Q1" s="762" t="s">
        <v>620</v>
      </c>
    </row>
    <row r="2" spans="1:17" ht="84.75" thickBot="1">
      <c r="A2" s="770"/>
      <c r="B2" s="770"/>
      <c r="C2" s="770"/>
      <c r="D2" s="772"/>
      <c r="E2" s="766"/>
      <c r="F2" s="768"/>
      <c r="G2" s="688" t="s">
        <v>300</v>
      </c>
      <c r="H2" s="187" t="s">
        <v>400</v>
      </c>
      <c r="I2" s="187" t="s">
        <v>394</v>
      </c>
      <c r="J2" s="187" t="s">
        <v>151</v>
      </c>
      <c r="K2" s="187" t="s">
        <v>167</v>
      </c>
      <c r="L2" s="187" t="s">
        <v>157</v>
      </c>
      <c r="M2" s="187" t="s">
        <v>156</v>
      </c>
      <c r="N2" s="187" t="s">
        <v>152</v>
      </c>
      <c r="O2" s="188" t="s">
        <v>331</v>
      </c>
      <c r="P2" s="189" t="s">
        <v>333</v>
      </c>
      <c r="Q2" s="763"/>
    </row>
    <row r="3" spans="1:17" ht="12">
      <c r="A3" s="190">
        <v>1</v>
      </c>
      <c r="B3" s="191"/>
      <c r="C3" s="192"/>
      <c r="D3" s="193" t="s">
        <v>621</v>
      </c>
      <c r="E3" s="194"/>
      <c r="F3" s="195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1:17" ht="12">
      <c r="A4" s="191">
        <v>1</v>
      </c>
      <c r="B4" s="191">
        <v>1</v>
      </c>
      <c r="C4" s="191"/>
      <c r="D4" s="193" t="s">
        <v>137</v>
      </c>
      <c r="E4" s="7"/>
      <c r="F4" s="198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2">
      <c r="A5" s="2">
        <v>1</v>
      </c>
      <c r="B5" s="2">
        <v>12</v>
      </c>
      <c r="C5" s="2"/>
      <c r="D5" s="199" t="s">
        <v>287</v>
      </c>
      <c r="E5" s="200"/>
      <c r="F5" s="20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">
      <c r="A6" s="2"/>
      <c r="B6" s="2"/>
      <c r="C6" s="202"/>
      <c r="D6" s="203" t="s">
        <v>622</v>
      </c>
      <c r="E6" s="204"/>
      <c r="F6" s="20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">
      <c r="A7" s="2"/>
      <c r="B7" s="2"/>
      <c r="C7" s="202"/>
      <c r="D7" s="206" t="s">
        <v>623</v>
      </c>
      <c r="E7" s="207">
        <v>2</v>
      </c>
      <c r="F7" s="4">
        <v>121103</v>
      </c>
      <c r="G7" s="3">
        <f>0+'[2]táj.2'!G7</f>
        <v>0</v>
      </c>
      <c r="H7" s="3">
        <f>0+'[2]táj.2'!H7</f>
        <v>0</v>
      </c>
      <c r="I7" s="3">
        <f>0+'[2]táj.2'!I7</f>
        <v>0</v>
      </c>
      <c r="J7" s="3">
        <f>5700+'[2]táj.2'!J7</f>
        <v>5700</v>
      </c>
      <c r="K7" s="3">
        <f>0+'[2]táj.2'!K7</f>
        <v>0</v>
      </c>
      <c r="L7" s="3">
        <f>0+'[2]táj.2'!L7</f>
        <v>0</v>
      </c>
      <c r="M7" s="3">
        <f>0+'[2]táj.2'!M7</f>
        <v>0</v>
      </c>
      <c r="N7" s="3">
        <f>0+'[2]táj.2'!N7</f>
        <v>0</v>
      </c>
      <c r="O7" s="3">
        <f>0+'[2]táj.2'!O7</f>
        <v>0</v>
      </c>
      <c r="P7" s="3">
        <f>0+'[2]táj.2'!P7</f>
        <v>0</v>
      </c>
      <c r="Q7" s="3">
        <f>SUM(G7:P7)</f>
        <v>5700</v>
      </c>
    </row>
    <row r="8" spans="1:17" ht="12">
      <c r="A8" s="2"/>
      <c r="B8" s="2"/>
      <c r="C8" s="202"/>
      <c r="D8" s="206" t="s">
        <v>624</v>
      </c>
      <c r="E8" s="207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>
      <c r="A9" s="2"/>
      <c r="B9" s="2"/>
      <c r="C9" s="202"/>
      <c r="D9" s="206" t="s">
        <v>625</v>
      </c>
      <c r="E9" s="207">
        <v>2</v>
      </c>
      <c r="F9" s="4">
        <v>121104</v>
      </c>
      <c r="G9" s="3">
        <f>0+'[2]táj.2'!G9</f>
        <v>0</v>
      </c>
      <c r="H9" s="3">
        <f>0+'[2]táj.2'!H9</f>
        <v>0</v>
      </c>
      <c r="I9" s="3">
        <f>0+'[2]táj.2'!I9</f>
        <v>0</v>
      </c>
      <c r="J9" s="3">
        <f>22000+'[2]táj.2'!J9</f>
        <v>22000</v>
      </c>
      <c r="K9" s="3">
        <f>0+'[2]táj.2'!K9</f>
        <v>0</v>
      </c>
      <c r="L9" s="3">
        <f>0+'[2]táj.2'!L9</f>
        <v>0</v>
      </c>
      <c r="M9" s="3">
        <f>0+'[2]táj.2'!M9</f>
        <v>0</v>
      </c>
      <c r="N9" s="3">
        <f>0+'[2]táj.2'!N9</f>
        <v>0</v>
      </c>
      <c r="O9" s="3">
        <f>0+'[2]táj.2'!O9</f>
        <v>0</v>
      </c>
      <c r="P9" s="3">
        <f>0+'[2]táj.2'!P9</f>
        <v>0</v>
      </c>
      <c r="Q9" s="3">
        <f>SUM(G9:P9)</f>
        <v>22000</v>
      </c>
    </row>
    <row r="10" spans="1:17" ht="24">
      <c r="A10" s="2"/>
      <c r="B10" s="2"/>
      <c r="C10" s="202"/>
      <c r="D10" s="812" t="s">
        <v>626</v>
      </c>
      <c r="E10" s="207">
        <v>2</v>
      </c>
      <c r="F10" s="4">
        <v>121117</v>
      </c>
      <c r="G10" s="3">
        <f>0+'[2]táj.2'!G10</f>
        <v>0</v>
      </c>
      <c r="H10" s="3">
        <f>0+'[2]táj.2'!H10</f>
        <v>0</v>
      </c>
      <c r="I10" s="3">
        <f>0+'[2]táj.2'!I10</f>
        <v>0</v>
      </c>
      <c r="J10" s="3">
        <f>8000+'[2]táj.2'!J10</f>
        <v>8000</v>
      </c>
      <c r="K10" s="3">
        <f>0+'[2]táj.2'!K10</f>
        <v>0</v>
      </c>
      <c r="L10" s="3">
        <f>0+'[2]táj.2'!L10</f>
        <v>0</v>
      </c>
      <c r="M10" s="3">
        <f>0+'[2]táj.2'!M10</f>
        <v>0</v>
      </c>
      <c r="N10" s="3">
        <f>0+'[2]táj.2'!N10</f>
        <v>0</v>
      </c>
      <c r="O10" s="3">
        <f>0+'[2]táj.2'!O10</f>
        <v>0</v>
      </c>
      <c r="P10" s="3">
        <f>0+'[2]táj.2'!P10</f>
        <v>0</v>
      </c>
      <c r="Q10" s="3">
        <f>SUM(G10:P10)</f>
        <v>8000</v>
      </c>
    </row>
    <row r="11" spans="1:17" ht="12">
      <c r="A11" s="2"/>
      <c r="B11" s="2"/>
      <c r="C11" s="202"/>
      <c r="D11" s="206" t="s">
        <v>627</v>
      </c>
      <c r="E11" s="207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">
      <c r="A12" s="2"/>
      <c r="B12" s="2"/>
      <c r="C12" s="202"/>
      <c r="D12" s="206" t="s">
        <v>628</v>
      </c>
      <c r="E12" s="207">
        <v>2</v>
      </c>
      <c r="F12" s="4">
        <v>121111</v>
      </c>
      <c r="G12" s="3">
        <f>0+'[2]táj.2'!G12</f>
        <v>0</v>
      </c>
      <c r="H12" s="3">
        <f>0+'[2]táj.2'!H12</f>
        <v>0</v>
      </c>
      <c r="I12" s="3">
        <f>0+'[2]táj.2'!I12</f>
        <v>0</v>
      </c>
      <c r="J12" s="3">
        <f>2000+'[2]táj.2'!J12</f>
        <v>2000</v>
      </c>
      <c r="K12" s="3">
        <f>0+'[2]táj.2'!K12</f>
        <v>0</v>
      </c>
      <c r="L12" s="3">
        <f>0+'[2]táj.2'!L12</f>
        <v>0</v>
      </c>
      <c r="M12" s="3">
        <f>0+'[2]táj.2'!M12</f>
        <v>0</v>
      </c>
      <c r="N12" s="3">
        <f>0+'[2]táj.2'!N12</f>
        <v>0</v>
      </c>
      <c r="O12" s="3">
        <f>0+'[2]táj.2'!O12</f>
        <v>0</v>
      </c>
      <c r="P12" s="3">
        <f>0+'[2]táj.2'!P12</f>
        <v>0</v>
      </c>
      <c r="Q12" s="3">
        <f aca="true" t="shared" si="0" ref="Q12:Q17">SUM(G12:P12)</f>
        <v>2000</v>
      </c>
    </row>
    <row r="13" spans="1:17" ht="12">
      <c r="A13" s="2"/>
      <c r="B13" s="2"/>
      <c r="C13" s="202"/>
      <c r="D13" s="206" t="s">
        <v>629</v>
      </c>
      <c r="E13" s="207">
        <v>2</v>
      </c>
      <c r="F13" s="207">
        <v>121127</v>
      </c>
      <c r="G13" s="3">
        <f>0+'[2]táj.2'!G13</f>
        <v>0</v>
      </c>
      <c r="H13" s="3">
        <f>0+'[2]táj.2'!H13</f>
        <v>0</v>
      </c>
      <c r="I13" s="3">
        <f>0+'[2]táj.2'!I13</f>
        <v>0</v>
      </c>
      <c r="J13" s="3">
        <f>3000+'[2]táj.2'!J13</f>
        <v>3000</v>
      </c>
      <c r="K13" s="3">
        <f>0+'[2]táj.2'!K13</f>
        <v>0</v>
      </c>
      <c r="L13" s="3">
        <f>0+'[2]táj.2'!L13</f>
        <v>0</v>
      </c>
      <c r="M13" s="3">
        <f>0+'[2]táj.2'!M13</f>
        <v>0</v>
      </c>
      <c r="N13" s="3">
        <f>0+'[2]táj.2'!N13</f>
        <v>0</v>
      </c>
      <c r="O13" s="3">
        <f>0+'[2]táj.2'!O13</f>
        <v>0</v>
      </c>
      <c r="P13" s="3">
        <f>0+'[2]táj.2'!P13</f>
        <v>0</v>
      </c>
      <c r="Q13" s="3">
        <f t="shared" si="0"/>
        <v>3000</v>
      </c>
    </row>
    <row r="14" spans="1:17" ht="12">
      <c r="A14" s="2"/>
      <c r="B14" s="2"/>
      <c r="C14" s="202"/>
      <c r="D14" s="206" t="s">
        <v>630</v>
      </c>
      <c r="E14" s="207">
        <v>2</v>
      </c>
      <c r="F14" s="207">
        <v>121115</v>
      </c>
      <c r="G14" s="3">
        <f>0+'[2]táj.2'!G14</f>
        <v>0</v>
      </c>
      <c r="H14" s="3">
        <f>0+'[2]táj.2'!H14</f>
        <v>0</v>
      </c>
      <c r="I14" s="3">
        <f>0+'[2]táj.2'!I14</f>
        <v>0</v>
      </c>
      <c r="J14" s="3">
        <f>1000+'[2]táj.2'!J14</f>
        <v>1000</v>
      </c>
      <c r="K14" s="3">
        <f>0+'[2]táj.2'!K14</f>
        <v>0</v>
      </c>
      <c r="L14" s="3">
        <f>0+'[2]táj.2'!L14</f>
        <v>0</v>
      </c>
      <c r="M14" s="3">
        <f>0+'[2]táj.2'!M14</f>
        <v>0</v>
      </c>
      <c r="N14" s="3">
        <f>0+'[2]táj.2'!N14</f>
        <v>0</v>
      </c>
      <c r="O14" s="3">
        <f>0+'[2]táj.2'!O14</f>
        <v>0</v>
      </c>
      <c r="P14" s="3">
        <f>0+'[2]táj.2'!P14</f>
        <v>0</v>
      </c>
      <c r="Q14" s="3">
        <f t="shared" si="0"/>
        <v>1000</v>
      </c>
    </row>
    <row r="15" spans="1:17" ht="12">
      <c r="A15" s="2"/>
      <c r="B15" s="2"/>
      <c r="C15" s="202"/>
      <c r="D15" s="206" t="s">
        <v>631</v>
      </c>
      <c r="E15" s="207">
        <v>2</v>
      </c>
      <c r="F15" s="207">
        <v>121128</v>
      </c>
      <c r="G15" s="3">
        <f>0+'[2]táj.2'!G15</f>
        <v>0</v>
      </c>
      <c r="H15" s="3">
        <f>0+'[2]táj.2'!H15</f>
        <v>0</v>
      </c>
      <c r="I15" s="3">
        <f>0+'[2]táj.2'!I15</f>
        <v>0</v>
      </c>
      <c r="J15" s="3">
        <f>500+'[2]táj.2'!J15</f>
        <v>500</v>
      </c>
      <c r="K15" s="3">
        <f>0+'[2]táj.2'!K15</f>
        <v>0</v>
      </c>
      <c r="L15" s="3">
        <f>0+'[2]táj.2'!L15</f>
        <v>0</v>
      </c>
      <c r="M15" s="3">
        <f>0+'[2]táj.2'!M15</f>
        <v>0</v>
      </c>
      <c r="N15" s="3">
        <f>0+'[2]táj.2'!N15</f>
        <v>0</v>
      </c>
      <c r="O15" s="3">
        <f>0+'[2]táj.2'!O15</f>
        <v>0</v>
      </c>
      <c r="P15" s="3">
        <f>0+'[2]táj.2'!P15</f>
        <v>0</v>
      </c>
      <c r="Q15" s="3">
        <f t="shared" si="0"/>
        <v>500</v>
      </c>
    </row>
    <row r="16" spans="1:17" ht="12">
      <c r="A16" s="2"/>
      <c r="B16" s="2"/>
      <c r="C16" s="202"/>
      <c r="D16" s="206" t="s">
        <v>632</v>
      </c>
      <c r="E16" s="207">
        <v>2</v>
      </c>
      <c r="F16" s="207">
        <v>121129</v>
      </c>
      <c r="G16" s="3">
        <f>0+'[2]táj.2'!G16</f>
        <v>0</v>
      </c>
      <c r="H16" s="3">
        <f>0+'[2]táj.2'!H16</f>
        <v>0</v>
      </c>
      <c r="I16" s="3">
        <f>0+'[2]táj.2'!I16</f>
        <v>0</v>
      </c>
      <c r="J16" s="3">
        <f>3000+'[2]táj.2'!J16</f>
        <v>3000</v>
      </c>
      <c r="K16" s="3">
        <f>0+'[2]táj.2'!K16</f>
        <v>0</v>
      </c>
      <c r="L16" s="3">
        <f>0+'[2]táj.2'!L16</f>
        <v>0</v>
      </c>
      <c r="M16" s="3">
        <f>0+'[2]táj.2'!M16</f>
        <v>0</v>
      </c>
      <c r="N16" s="3">
        <f>0+'[2]táj.2'!N16</f>
        <v>0</v>
      </c>
      <c r="O16" s="3">
        <f>0+'[2]táj.2'!O16</f>
        <v>0</v>
      </c>
      <c r="P16" s="3">
        <f>0+'[2]táj.2'!P16</f>
        <v>0</v>
      </c>
      <c r="Q16" s="3">
        <f t="shared" si="0"/>
        <v>3000</v>
      </c>
    </row>
    <row r="17" spans="1:17" ht="12">
      <c r="A17" s="2"/>
      <c r="B17" s="2"/>
      <c r="C17" s="202"/>
      <c r="D17" s="813" t="s">
        <v>633</v>
      </c>
      <c r="E17" s="207">
        <v>2</v>
      </c>
      <c r="F17" s="207">
        <v>121106</v>
      </c>
      <c r="G17" s="3">
        <f>0+'[2]táj.2'!G17</f>
        <v>0</v>
      </c>
      <c r="H17" s="3">
        <f>0+'[2]táj.2'!H17</f>
        <v>0</v>
      </c>
      <c r="I17" s="3">
        <f>0+'[2]táj.2'!I17</f>
        <v>0</v>
      </c>
      <c r="J17" s="3">
        <f>2000+'[2]táj.2'!J17</f>
        <v>2000</v>
      </c>
      <c r="K17" s="3">
        <f>0+'[2]táj.2'!K17</f>
        <v>0</v>
      </c>
      <c r="L17" s="3">
        <f>0+'[2]táj.2'!L17</f>
        <v>0</v>
      </c>
      <c r="M17" s="3">
        <f>0+'[2]táj.2'!M17</f>
        <v>0</v>
      </c>
      <c r="N17" s="3">
        <f>0+'[2]táj.2'!N17</f>
        <v>0</v>
      </c>
      <c r="O17" s="3">
        <f>0+'[2]táj.2'!O17</f>
        <v>0</v>
      </c>
      <c r="P17" s="3">
        <f>0+'[2]táj.2'!P17</f>
        <v>0</v>
      </c>
      <c r="Q17" s="3">
        <f t="shared" si="0"/>
        <v>2000</v>
      </c>
    </row>
    <row r="18" spans="1:17" ht="24">
      <c r="A18" s="2"/>
      <c r="B18" s="2"/>
      <c r="C18" s="202"/>
      <c r="D18" s="814" t="s">
        <v>634</v>
      </c>
      <c r="E18" s="207"/>
      <c r="F18" s="20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>
      <c r="A19" s="2"/>
      <c r="B19" s="2"/>
      <c r="C19" s="202"/>
      <c r="D19" s="206" t="s">
        <v>635</v>
      </c>
      <c r="E19" s="207">
        <v>2</v>
      </c>
      <c r="F19" s="207">
        <v>121131</v>
      </c>
      <c r="G19" s="3">
        <f>0+'[2]táj.2'!G19</f>
        <v>0</v>
      </c>
      <c r="H19" s="3">
        <f>0+'[2]táj.2'!H19</f>
        <v>0</v>
      </c>
      <c r="I19" s="3">
        <f>0+'[2]táj.2'!I19</f>
        <v>0</v>
      </c>
      <c r="J19" s="3">
        <f>2000+'[2]táj.2'!J19</f>
        <v>2000</v>
      </c>
      <c r="K19" s="3">
        <f>0+'[2]táj.2'!K19</f>
        <v>0</v>
      </c>
      <c r="L19" s="3">
        <f>0+'[2]táj.2'!L19</f>
        <v>0</v>
      </c>
      <c r="M19" s="3">
        <f>0+'[2]táj.2'!M19</f>
        <v>0</v>
      </c>
      <c r="N19" s="3">
        <f>0+'[2]táj.2'!N19</f>
        <v>0</v>
      </c>
      <c r="O19" s="3">
        <f>0+'[2]táj.2'!O19</f>
        <v>0</v>
      </c>
      <c r="P19" s="3">
        <f>0+'[2]táj.2'!P19</f>
        <v>0</v>
      </c>
      <c r="Q19" s="3">
        <f>SUM(G19:P19)</f>
        <v>2000</v>
      </c>
    </row>
    <row r="20" spans="1:17" ht="12">
      <c r="A20" s="2"/>
      <c r="B20" s="2"/>
      <c r="C20" s="202"/>
      <c r="D20" s="206" t="s">
        <v>624</v>
      </c>
      <c r="E20" s="207"/>
      <c r="F20" s="20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">
      <c r="A21" s="2"/>
      <c r="B21" s="2"/>
      <c r="C21" s="202"/>
      <c r="D21" s="206" t="s">
        <v>636</v>
      </c>
      <c r="E21" s="207">
        <v>2</v>
      </c>
      <c r="F21" s="207">
        <v>121130</v>
      </c>
      <c r="G21" s="3">
        <f>0+'[2]táj.2'!G21</f>
        <v>0</v>
      </c>
      <c r="H21" s="3">
        <f>0+'[2]táj.2'!H21</f>
        <v>0</v>
      </c>
      <c r="I21" s="3">
        <f>0+'[2]táj.2'!I21</f>
        <v>0</v>
      </c>
      <c r="J21" s="3">
        <f>2000+'[2]táj.2'!J21</f>
        <v>2000</v>
      </c>
      <c r="K21" s="3">
        <f>0+'[2]táj.2'!K21</f>
        <v>0</v>
      </c>
      <c r="L21" s="3">
        <f>0+'[2]táj.2'!L21</f>
        <v>0</v>
      </c>
      <c r="M21" s="3">
        <f>0+'[2]táj.2'!M21</f>
        <v>0</v>
      </c>
      <c r="N21" s="3">
        <f>0+'[2]táj.2'!N21</f>
        <v>0</v>
      </c>
      <c r="O21" s="3">
        <f>0+'[2]táj.2'!O21</f>
        <v>0</v>
      </c>
      <c r="P21" s="3">
        <f>0+'[2]táj.2'!P21</f>
        <v>0</v>
      </c>
      <c r="Q21" s="3">
        <f>SUM(G21:P21)</f>
        <v>2000</v>
      </c>
    </row>
    <row r="22" spans="1:17" ht="12">
      <c r="A22" s="2"/>
      <c r="B22" s="2"/>
      <c r="C22" s="202"/>
      <c r="D22" s="206" t="s">
        <v>627</v>
      </c>
      <c r="E22" s="207"/>
      <c r="F22" s="20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">
      <c r="A23" s="2"/>
      <c r="B23" s="2"/>
      <c r="C23" s="202"/>
      <c r="D23" s="206" t="s">
        <v>637</v>
      </c>
      <c r="E23" s="207">
        <v>1</v>
      </c>
      <c r="F23" s="4">
        <v>121204</v>
      </c>
      <c r="G23" s="3">
        <f>0+'[2]táj.2'!G23</f>
        <v>0</v>
      </c>
      <c r="H23" s="3">
        <f>0+'[2]táj.2'!H23</f>
        <v>0</v>
      </c>
      <c r="I23" s="3">
        <f>0+'[2]táj.2'!I23</f>
        <v>0</v>
      </c>
      <c r="J23" s="3">
        <f>15000+'[2]táj.2'!J23</f>
        <v>15000</v>
      </c>
      <c r="K23" s="3">
        <f>0+'[2]táj.2'!K23</f>
        <v>0</v>
      </c>
      <c r="L23" s="3">
        <f>0+'[2]táj.2'!L23</f>
        <v>0</v>
      </c>
      <c r="M23" s="3">
        <f>0+'[2]táj.2'!M23</f>
        <v>0</v>
      </c>
      <c r="N23" s="3">
        <f>0+'[2]táj.2'!N23</f>
        <v>0</v>
      </c>
      <c r="O23" s="3">
        <f>0+'[2]táj.2'!O23</f>
        <v>0</v>
      </c>
      <c r="P23" s="3">
        <f>0+'[2]táj.2'!P23</f>
        <v>0</v>
      </c>
      <c r="Q23" s="3">
        <f>SUM(G23:P23)</f>
        <v>15000</v>
      </c>
    </row>
    <row r="24" spans="1:17" ht="12">
      <c r="A24" s="2"/>
      <c r="B24" s="2"/>
      <c r="C24" s="202"/>
      <c r="D24" s="208" t="s">
        <v>638</v>
      </c>
      <c r="E24" s="209">
        <v>1</v>
      </c>
      <c r="F24" s="4">
        <v>121132</v>
      </c>
      <c r="G24" s="3">
        <f>0+'[2]táj.2'!G24</f>
        <v>0</v>
      </c>
      <c r="H24" s="3">
        <f>0+'[2]táj.2'!H24</f>
        <v>0</v>
      </c>
      <c r="I24" s="3">
        <f>0+'[2]táj.2'!I24</f>
        <v>0</v>
      </c>
      <c r="J24" s="3">
        <f>250+'[2]táj.2'!J24</f>
        <v>250</v>
      </c>
      <c r="K24" s="3">
        <f>0+'[2]táj.2'!K24</f>
        <v>0</v>
      </c>
      <c r="L24" s="3">
        <f>0+'[2]táj.2'!L24</f>
        <v>0</v>
      </c>
      <c r="M24" s="3">
        <f>0+'[2]táj.2'!M24</f>
        <v>0</v>
      </c>
      <c r="N24" s="3">
        <f>0+'[2]táj.2'!N24</f>
        <v>0</v>
      </c>
      <c r="O24" s="3">
        <f>0+'[2]táj.2'!O24</f>
        <v>0</v>
      </c>
      <c r="P24" s="3">
        <f>0+'[2]táj.2'!P24</f>
        <v>0</v>
      </c>
      <c r="Q24" s="3">
        <f>SUM(G24:P24)</f>
        <v>250</v>
      </c>
    </row>
    <row r="25" spans="1:17" ht="12">
      <c r="A25" s="2"/>
      <c r="B25" s="2"/>
      <c r="C25" s="202"/>
      <c r="D25" s="210" t="s">
        <v>639</v>
      </c>
      <c r="E25" s="207">
        <v>1</v>
      </c>
      <c r="F25" s="4">
        <v>121203</v>
      </c>
      <c r="G25" s="3">
        <f>0+'[2]táj.2'!G25</f>
        <v>0</v>
      </c>
      <c r="H25" s="3">
        <f>0+'[2]táj.2'!H25</f>
        <v>0</v>
      </c>
      <c r="I25" s="3">
        <f>600+'[2]táj.2'!I25</f>
        <v>600</v>
      </c>
      <c r="J25" s="3">
        <f>4400+'[2]táj.2'!J25</f>
        <v>4400</v>
      </c>
      <c r="K25" s="3">
        <f>0+'[2]táj.2'!K25</f>
        <v>0</v>
      </c>
      <c r="L25" s="3">
        <f>0+'[2]táj.2'!L25</f>
        <v>0</v>
      </c>
      <c r="M25" s="3">
        <f>0+'[2]táj.2'!M25</f>
        <v>0</v>
      </c>
      <c r="N25" s="3">
        <f>0+'[2]táj.2'!N25</f>
        <v>0</v>
      </c>
      <c r="O25" s="3">
        <f>0+'[2]táj.2'!O25</f>
        <v>0</v>
      </c>
      <c r="P25" s="3">
        <f>0+'[2]táj.2'!P25</f>
        <v>0</v>
      </c>
      <c r="Q25" s="3">
        <f>SUM(G25:P25)</f>
        <v>5000</v>
      </c>
    </row>
    <row r="26" spans="1:17" ht="12">
      <c r="A26" s="2"/>
      <c r="B26" s="2"/>
      <c r="C26" s="202"/>
      <c r="D26" s="211" t="s">
        <v>640</v>
      </c>
      <c r="E26" s="20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">
      <c r="A27" s="2"/>
      <c r="B27" s="2"/>
      <c r="C27" s="202"/>
      <c r="D27" s="206" t="s">
        <v>641</v>
      </c>
      <c r="E27" s="207">
        <v>2</v>
      </c>
      <c r="F27" s="4">
        <v>121504</v>
      </c>
      <c r="G27" s="3">
        <f>0+'[2]táj.2'!G27</f>
        <v>0</v>
      </c>
      <c r="H27" s="3">
        <f>0+'[2]táj.2'!H27</f>
        <v>0</v>
      </c>
      <c r="I27" s="3">
        <f>0+'[2]táj.2'!I27</f>
        <v>0</v>
      </c>
      <c r="J27" s="3">
        <f>4600+'[2]táj.2'!J27</f>
        <v>4600</v>
      </c>
      <c r="K27" s="3">
        <f>0+'[2]táj.2'!K27</f>
        <v>0</v>
      </c>
      <c r="L27" s="3">
        <f>0+'[2]táj.2'!L27</f>
        <v>0</v>
      </c>
      <c r="M27" s="3">
        <f>0+'[2]táj.2'!M27</f>
        <v>0</v>
      </c>
      <c r="N27" s="3">
        <f>0+'[2]táj.2'!N27</f>
        <v>0</v>
      </c>
      <c r="O27" s="3">
        <f>0+'[2]táj.2'!O27</f>
        <v>0</v>
      </c>
      <c r="P27" s="3">
        <f>0+'[2]táj.2'!P27</f>
        <v>0</v>
      </c>
      <c r="Q27" s="3">
        <f>SUM(G27:P27)</f>
        <v>4600</v>
      </c>
    </row>
    <row r="28" spans="1:17" ht="12">
      <c r="A28" s="2"/>
      <c r="B28" s="2"/>
      <c r="C28" s="202"/>
      <c r="D28" s="206" t="s">
        <v>581</v>
      </c>
      <c r="E28" s="207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">
      <c r="A29" s="198"/>
      <c r="B29" s="212"/>
      <c r="C29" s="213"/>
      <c r="D29" s="7" t="s">
        <v>642</v>
      </c>
      <c r="E29" s="207">
        <v>1</v>
      </c>
      <c r="F29" s="7">
        <v>121403</v>
      </c>
      <c r="G29" s="3">
        <f>0+'[2]táj.2'!G29</f>
        <v>0</v>
      </c>
      <c r="H29" s="3">
        <f>0+'[2]táj.2'!H29</f>
        <v>0</v>
      </c>
      <c r="I29" s="3">
        <f>50+'[2]táj.2'!I29</f>
        <v>50</v>
      </c>
      <c r="J29" s="3">
        <f>0+'[2]táj.2'!J29</f>
        <v>0</v>
      </c>
      <c r="K29" s="3">
        <f>0+'[2]táj.2'!K29</f>
        <v>0</v>
      </c>
      <c r="L29" s="3">
        <f>0+'[2]táj.2'!L29</f>
        <v>0</v>
      </c>
      <c r="M29" s="3">
        <f>0+'[2]táj.2'!M29</f>
        <v>0</v>
      </c>
      <c r="N29" s="3">
        <f>0+'[2]táj.2'!N29</f>
        <v>0</v>
      </c>
      <c r="O29" s="3">
        <f>0+'[2]táj.2'!O29</f>
        <v>0</v>
      </c>
      <c r="P29" s="3">
        <f>0+'[2]táj.2'!P29</f>
        <v>0</v>
      </c>
      <c r="Q29" s="3">
        <f>SUM(G29:P29)</f>
        <v>50</v>
      </c>
    </row>
    <row r="30" spans="1:17" ht="12">
      <c r="A30" s="198"/>
      <c r="B30" s="212"/>
      <c r="C30" s="213"/>
      <c r="D30" s="7" t="s">
        <v>643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">
      <c r="A31" s="198"/>
      <c r="B31" s="198"/>
      <c r="C31" s="214"/>
      <c r="D31" s="211" t="s">
        <v>644</v>
      </c>
      <c r="E31" s="7">
        <v>1</v>
      </c>
      <c r="F31" s="7">
        <v>121301</v>
      </c>
      <c r="G31" s="3">
        <f>0+'[2]táj.2'!G31</f>
        <v>0</v>
      </c>
      <c r="H31" s="3">
        <f>0+'[2]táj.2'!H31</f>
        <v>0</v>
      </c>
      <c r="I31" s="3">
        <f>0+'[2]táj.2'!I31</f>
        <v>0</v>
      </c>
      <c r="J31" s="3">
        <f>0+'[2]táj.2'!J31</f>
        <v>0</v>
      </c>
      <c r="K31" s="3">
        <f>0+'[2]táj.2'!K31</f>
        <v>0</v>
      </c>
      <c r="L31" s="3">
        <f>0+'[2]táj.2'!L31</f>
        <v>0</v>
      </c>
      <c r="M31" s="3">
        <f>0+'[2]táj.2'!M31</f>
        <v>0</v>
      </c>
      <c r="N31" s="3">
        <f>0+'[2]táj.2'!N31</f>
        <v>0</v>
      </c>
      <c r="O31" s="3">
        <f>0+'[2]táj.2'!O31</f>
        <v>0</v>
      </c>
      <c r="P31" s="3">
        <f>0+'[2]táj.2'!P31</f>
        <v>0</v>
      </c>
      <c r="Q31" s="3">
        <f>SUM(G31:P31)</f>
        <v>0</v>
      </c>
    </row>
    <row r="32" spans="1:17" ht="12">
      <c r="A32" s="198"/>
      <c r="B32" s="198"/>
      <c r="C32" s="214"/>
      <c r="D32" s="215" t="s">
        <v>487</v>
      </c>
      <c r="E32" s="20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">
      <c r="A33" s="198"/>
      <c r="B33" s="198"/>
      <c r="C33" s="214"/>
      <c r="D33" s="216" t="s">
        <v>645</v>
      </c>
      <c r="E33" s="207">
        <v>2</v>
      </c>
      <c r="F33" s="7">
        <v>221902</v>
      </c>
      <c r="G33" s="3">
        <f>0+'[2]táj.2'!G33</f>
        <v>0</v>
      </c>
      <c r="H33" s="3">
        <f>0+'[2]táj.2'!H33</f>
        <v>0</v>
      </c>
      <c r="I33" s="3">
        <f>29390+'[2]táj.2'!I33</f>
        <v>29390</v>
      </c>
      <c r="J33" s="3">
        <f>0+'[2]táj.2'!J33</f>
        <v>0</v>
      </c>
      <c r="K33" s="3">
        <f>0+'[2]táj.2'!K33</f>
        <v>0</v>
      </c>
      <c r="L33" s="3">
        <f>0+'[2]táj.2'!L33</f>
        <v>0</v>
      </c>
      <c r="M33" s="3">
        <f>0+'[2]táj.2'!M33</f>
        <v>0</v>
      </c>
      <c r="N33" s="3">
        <f>0+'[2]táj.2'!N33</f>
        <v>0</v>
      </c>
      <c r="O33" s="3">
        <f>0+'[2]táj.2'!O33</f>
        <v>0</v>
      </c>
      <c r="P33" s="3">
        <f>0+'[2]táj.2'!P33</f>
        <v>0</v>
      </c>
      <c r="Q33" s="3">
        <f>SUM(G33:P33)</f>
        <v>29390</v>
      </c>
    </row>
    <row r="34" spans="1:17" ht="12">
      <c r="A34" s="198"/>
      <c r="B34" s="198"/>
      <c r="C34" s="214"/>
      <c r="D34" s="217" t="s">
        <v>646</v>
      </c>
      <c r="E34" s="207">
        <v>2</v>
      </c>
      <c r="F34" s="7" t="s">
        <v>647</v>
      </c>
      <c r="G34" s="3">
        <f>0+'[2]táj.2'!G34</f>
        <v>0</v>
      </c>
      <c r="H34" s="3">
        <f>4900+'[2]táj.2'!H34</f>
        <v>4900</v>
      </c>
      <c r="I34" s="3">
        <f>200+'[2]táj.2'!I34</f>
        <v>200</v>
      </c>
      <c r="J34" s="3">
        <f>14900+'[2]táj.2'!J34</f>
        <v>14900</v>
      </c>
      <c r="K34" s="3">
        <f>0+'[2]táj.2'!K34</f>
        <v>0</v>
      </c>
      <c r="L34" s="3">
        <f>0+'[2]táj.2'!L34</f>
        <v>0</v>
      </c>
      <c r="M34" s="3">
        <f>0+'[2]táj.2'!M34</f>
        <v>0</v>
      </c>
      <c r="N34" s="3">
        <f>0+'[2]táj.2'!N34</f>
        <v>0</v>
      </c>
      <c r="O34" s="3">
        <f>0+'[2]táj.2'!O34</f>
        <v>0</v>
      </c>
      <c r="P34" s="3">
        <f>0+'[2]táj.2'!P34</f>
        <v>0</v>
      </c>
      <c r="Q34" s="3">
        <f>SUM(G34:P34)</f>
        <v>20000</v>
      </c>
    </row>
    <row r="35" spans="1:17" ht="12">
      <c r="A35" s="198"/>
      <c r="B35" s="198"/>
      <c r="C35" s="214"/>
      <c r="D35" s="203" t="s">
        <v>648</v>
      </c>
      <c r="E35" s="20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">
      <c r="A36" s="198"/>
      <c r="B36" s="198"/>
      <c r="C36" s="214"/>
      <c r="D36" s="211" t="s">
        <v>649</v>
      </c>
      <c r="E36" s="207">
        <v>1</v>
      </c>
      <c r="F36" s="7">
        <v>121601</v>
      </c>
      <c r="G36" s="3">
        <f>0+'[2]táj.2'!G36</f>
        <v>0</v>
      </c>
      <c r="H36" s="3">
        <f>0+'[2]táj.2'!H36</f>
        <v>0</v>
      </c>
      <c r="I36" s="3">
        <f>300+'[2]táj.2'!I36</f>
        <v>300</v>
      </c>
      <c r="J36" s="3">
        <f>0+'[2]táj.2'!J36</f>
        <v>0</v>
      </c>
      <c r="K36" s="3">
        <f>200+'[2]táj.2'!K36</f>
        <v>200</v>
      </c>
      <c r="L36" s="3">
        <f>0+'[2]táj.2'!L36</f>
        <v>0</v>
      </c>
      <c r="M36" s="3">
        <f>0+'[2]táj.2'!M36</f>
        <v>0</v>
      </c>
      <c r="N36" s="3">
        <f>0+'[2]táj.2'!N36</f>
        <v>0</v>
      </c>
      <c r="O36" s="3">
        <f>0+'[2]táj.2'!O36</f>
        <v>0</v>
      </c>
      <c r="P36" s="3">
        <f>0+'[2]táj.2'!P36</f>
        <v>0</v>
      </c>
      <c r="Q36" s="3">
        <f>SUM(G36:P36)</f>
        <v>500</v>
      </c>
    </row>
    <row r="37" spans="1:17" ht="12">
      <c r="A37" s="198"/>
      <c r="B37" s="198"/>
      <c r="C37" s="214"/>
      <c r="D37" s="171" t="s">
        <v>650</v>
      </c>
      <c r="E37" s="207"/>
      <c r="F37" s="20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198"/>
      <c r="B38" s="198"/>
      <c r="C38" s="214"/>
      <c r="D38" s="211" t="s">
        <v>651</v>
      </c>
      <c r="E38" s="169">
        <v>2</v>
      </c>
      <c r="F38" s="7">
        <v>121517</v>
      </c>
      <c r="G38" s="3">
        <f>0+'[2]táj.2'!G38</f>
        <v>0</v>
      </c>
      <c r="H38" s="3">
        <f>0+'[2]táj.2'!H38</f>
        <v>0</v>
      </c>
      <c r="I38" s="3">
        <f>0+'[2]táj.2'!I38</f>
        <v>0</v>
      </c>
      <c r="J38" s="3">
        <f>0+'[2]táj.2'!J38</f>
        <v>0</v>
      </c>
      <c r="K38" s="3">
        <f>3000+'[2]táj.2'!K38</f>
        <v>3000</v>
      </c>
      <c r="L38" s="3">
        <f>0+'[2]táj.2'!L38</f>
        <v>0</v>
      </c>
      <c r="M38" s="3">
        <f>0+'[2]táj.2'!M38</f>
        <v>0</v>
      </c>
      <c r="N38" s="3">
        <f>0+'[2]táj.2'!N38</f>
        <v>0</v>
      </c>
      <c r="O38" s="3">
        <f>0+'[2]táj.2'!O38</f>
        <v>0</v>
      </c>
      <c r="P38" s="3">
        <f>0+'[2]táj.2'!P38</f>
        <v>0</v>
      </c>
      <c r="Q38" s="3">
        <f>SUM(G38:P38)</f>
        <v>3000</v>
      </c>
    </row>
    <row r="39" spans="1:17" ht="13.5">
      <c r="A39" s="218"/>
      <c r="B39" s="218"/>
      <c r="C39" s="219"/>
      <c r="D39" s="220" t="s">
        <v>652</v>
      </c>
      <c r="E39" s="221"/>
      <c r="F39" s="61"/>
      <c r="G39" s="222">
        <f aca="true" t="shared" si="1" ref="G39:Q39">SUM(G7:G38)</f>
        <v>0</v>
      </c>
      <c r="H39" s="222">
        <f t="shared" si="1"/>
        <v>4900</v>
      </c>
      <c r="I39" s="222">
        <f t="shared" si="1"/>
        <v>30540</v>
      </c>
      <c r="J39" s="222">
        <f t="shared" si="1"/>
        <v>90350</v>
      </c>
      <c r="K39" s="222">
        <f t="shared" si="1"/>
        <v>3200</v>
      </c>
      <c r="L39" s="222">
        <f t="shared" si="1"/>
        <v>0</v>
      </c>
      <c r="M39" s="222">
        <f t="shared" si="1"/>
        <v>0</v>
      </c>
      <c r="N39" s="222">
        <f t="shared" si="1"/>
        <v>0</v>
      </c>
      <c r="O39" s="222">
        <f t="shared" si="1"/>
        <v>0</v>
      </c>
      <c r="P39" s="222">
        <f t="shared" si="1"/>
        <v>0</v>
      </c>
      <c r="Q39" s="222">
        <f t="shared" si="1"/>
        <v>128990</v>
      </c>
    </row>
    <row r="40" spans="1:17" ht="13.5">
      <c r="A40" s="170"/>
      <c r="B40" s="170"/>
      <c r="C40" s="214"/>
      <c r="D40" s="211" t="s">
        <v>653</v>
      </c>
      <c r="E40" s="223"/>
      <c r="F40" s="7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ht="24">
      <c r="A41" s="170"/>
      <c r="B41" s="170"/>
      <c r="C41" s="214" t="s">
        <v>654</v>
      </c>
      <c r="D41" s="815" t="s">
        <v>655</v>
      </c>
      <c r="E41" s="223"/>
      <c r="F41" s="7">
        <v>121401</v>
      </c>
      <c r="G41" s="181">
        <f>0+'[2]táj.2'!G41</f>
        <v>0</v>
      </c>
      <c r="H41" s="181">
        <f>0+'[2]táj.2'!H41</f>
        <v>0</v>
      </c>
      <c r="I41" s="181">
        <f>0+'[2]táj.2'!I41</f>
        <v>0</v>
      </c>
      <c r="J41" s="181">
        <f>0+'[2]táj.2'!J41</f>
        <v>0</v>
      </c>
      <c r="K41" s="181">
        <f>0+'[2]táj.2'!K41</f>
        <v>0</v>
      </c>
      <c r="L41" s="181">
        <f>0+'[2]táj.2'!L41</f>
        <v>0</v>
      </c>
      <c r="M41" s="181">
        <f>0+'[2]táj.2'!M41</f>
        <v>0</v>
      </c>
      <c r="N41" s="181">
        <f>10000+'[2]táj.2'!N41</f>
        <v>10000</v>
      </c>
      <c r="O41" s="181">
        <f>0+'[2]táj.2'!O41</f>
        <v>0</v>
      </c>
      <c r="P41" s="181">
        <f>0+'[2]táj.2'!P41</f>
        <v>0</v>
      </c>
      <c r="Q41" s="7">
        <f>SUM(G41:P41)</f>
        <v>10000</v>
      </c>
    </row>
    <row r="42" spans="1:17" ht="12.75">
      <c r="A42" s="170"/>
      <c r="B42" s="170"/>
      <c r="C42" s="214"/>
      <c r="D42" s="211" t="s">
        <v>656</v>
      </c>
      <c r="E42" s="223"/>
      <c r="F42" s="7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7"/>
    </row>
    <row r="43" spans="1:17" ht="12.75">
      <c r="A43" s="170"/>
      <c r="B43" s="170"/>
      <c r="C43" s="214" t="s">
        <v>657</v>
      </c>
      <c r="D43" s="816" t="s">
        <v>658</v>
      </c>
      <c r="E43" s="223"/>
      <c r="F43" s="7">
        <v>121405</v>
      </c>
      <c r="G43" s="181">
        <f>0+'[2]táj.2'!G43</f>
        <v>0</v>
      </c>
      <c r="H43" s="181">
        <f>0+'[2]táj.2'!H43</f>
        <v>0</v>
      </c>
      <c r="I43" s="181">
        <f>0+'[2]táj.2'!I43</f>
        <v>0</v>
      </c>
      <c r="J43" s="181">
        <f>0+'[2]táj.2'!J43</f>
        <v>0</v>
      </c>
      <c r="K43" s="181">
        <f>0+'[2]táj.2'!K43</f>
        <v>0</v>
      </c>
      <c r="L43" s="181">
        <f>0+'[2]táj.2'!L43</f>
        <v>0</v>
      </c>
      <c r="M43" s="181">
        <f>0+'[2]táj.2'!M43</f>
        <v>0</v>
      </c>
      <c r="N43" s="181">
        <f>1500+'[2]táj.2'!N43</f>
        <v>1500</v>
      </c>
      <c r="O43" s="181">
        <f>0+'[2]táj.2'!O43</f>
        <v>0</v>
      </c>
      <c r="P43" s="181">
        <f>0+'[2]táj.2'!P43</f>
        <v>0</v>
      </c>
      <c r="Q43" s="7">
        <f>SUM(G43:P43)</f>
        <v>1500</v>
      </c>
    </row>
    <row r="44" spans="1:17" ht="24">
      <c r="A44" s="170"/>
      <c r="B44" s="170"/>
      <c r="C44" s="214" t="s">
        <v>659</v>
      </c>
      <c r="D44" s="817" t="s">
        <v>660</v>
      </c>
      <c r="E44" s="223"/>
      <c r="F44" s="7">
        <v>121402</v>
      </c>
      <c r="G44" s="181">
        <f>0+'[2]táj.2'!G44</f>
        <v>0</v>
      </c>
      <c r="H44" s="181">
        <f>0+'[2]táj.2'!H44</f>
        <v>0</v>
      </c>
      <c r="I44" s="181">
        <f>0+'[2]táj.2'!I44</f>
        <v>0</v>
      </c>
      <c r="J44" s="181">
        <f>0+'[2]táj.2'!J44</f>
        <v>0</v>
      </c>
      <c r="K44" s="181">
        <f>0+'[2]táj.2'!K44</f>
        <v>0</v>
      </c>
      <c r="L44" s="181">
        <f>0+'[2]táj.2'!L44</f>
        <v>0</v>
      </c>
      <c r="M44" s="181">
        <f>0+'[2]táj.2'!M44</f>
        <v>0</v>
      </c>
      <c r="N44" s="181">
        <f>13819+'[2]táj.2'!N44</f>
        <v>13819</v>
      </c>
      <c r="O44" s="181">
        <f>0+'[2]táj.2'!O44</f>
        <v>0</v>
      </c>
      <c r="P44" s="181">
        <f>0+'[2]táj.2'!P44</f>
        <v>0</v>
      </c>
      <c r="Q44" s="7">
        <f>SUM(G44:P44)</f>
        <v>13819</v>
      </c>
    </row>
    <row r="45" spans="1:17" ht="13.5">
      <c r="A45" s="218"/>
      <c r="B45" s="218"/>
      <c r="C45" s="219"/>
      <c r="D45" s="220" t="s">
        <v>661</v>
      </c>
      <c r="E45" s="221"/>
      <c r="F45" s="61"/>
      <c r="G45" s="222">
        <f aca="true" t="shared" si="2" ref="G45:Q45">SUM(G39:G44)</f>
        <v>0</v>
      </c>
      <c r="H45" s="222">
        <f t="shared" si="2"/>
        <v>4900</v>
      </c>
      <c r="I45" s="222">
        <f t="shared" si="2"/>
        <v>30540</v>
      </c>
      <c r="J45" s="222">
        <f t="shared" si="2"/>
        <v>90350</v>
      </c>
      <c r="K45" s="222">
        <f t="shared" si="2"/>
        <v>3200</v>
      </c>
      <c r="L45" s="222">
        <f t="shared" si="2"/>
        <v>0</v>
      </c>
      <c r="M45" s="222">
        <f t="shared" si="2"/>
        <v>0</v>
      </c>
      <c r="N45" s="222">
        <f t="shared" si="2"/>
        <v>25319</v>
      </c>
      <c r="O45" s="222">
        <f t="shared" si="2"/>
        <v>0</v>
      </c>
      <c r="P45" s="222">
        <f t="shared" si="2"/>
        <v>0</v>
      </c>
      <c r="Q45" s="222">
        <f t="shared" si="2"/>
        <v>154309</v>
      </c>
    </row>
    <row r="46" spans="1:17" ht="12">
      <c r="A46" s="198">
        <v>1</v>
      </c>
      <c r="B46" s="198">
        <v>13</v>
      </c>
      <c r="C46" s="198"/>
      <c r="D46" s="199" t="s">
        <v>288</v>
      </c>
      <c r="E46" s="9" t="s">
        <v>662</v>
      </c>
      <c r="F46" s="8"/>
      <c r="G46" s="8"/>
      <c r="H46" s="3"/>
      <c r="I46" s="3"/>
      <c r="J46" s="3"/>
      <c r="K46" s="3"/>
      <c r="L46" s="3"/>
      <c r="M46" s="8"/>
      <c r="N46" s="8"/>
      <c r="O46" s="8"/>
      <c r="P46" s="8"/>
      <c r="Q46" s="8"/>
    </row>
    <row r="47" spans="1:17" ht="12">
      <c r="A47" s="198"/>
      <c r="B47" s="198"/>
      <c r="C47" s="214"/>
      <c r="D47" s="225" t="s">
        <v>663</v>
      </c>
      <c r="E47" s="9"/>
      <c r="F47" s="8"/>
      <c r="G47" s="8"/>
      <c r="H47" s="3"/>
      <c r="I47" s="3"/>
      <c r="J47" s="3"/>
      <c r="K47" s="3"/>
      <c r="L47" s="3"/>
      <c r="M47" s="8"/>
      <c r="N47" s="8"/>
      <c r="O47" s="8"/>
      <c r="P47" s="8"/>
      <c r="Q47" s="8"/>
    </row>
    <row r="48" spans="1:17" ht="12">
      <c r="A48" s="198"/>
      <c r="B48" s="198"/>
      <c r="C48" s="214"/>
      <c r="D48" s="210" t="s">
        <v>664</v>
      </c>
      <c r="E48" s="226"/>
      <c r="F48" s="207"/>
      <c r="G48" s="7"/>
      <c r="H48" s="3"/>
      <c r="I48" s="3"/>
      <c r="J48" s="3"/>
      <c r="K48" s="3"/>
      <c r="L48" s="3"/>
      <c r="M48" s="7"/>
      <c r="N48" s="7"/>
      <c r="O48" s="7"/>
      <c r="P48" s="7"/>
      <c r="Q48" s="7"/>
    </row>
    <row r="49" spans="1:17" ht="24">
      <c r="A49" s="198"/>
      <c r="B49" s="198"/>
      <c r="C49" s="214"/>
      <c r="D49" s="171" t="s">
        <v>665</v>
      </c>
      <c r="E49" s="7">
        <v>2</v>
      </c>
      <c r="F49" s="7">
        <v>131112</v>
      </c>
      <c r="G49" s="7">
        <f>0+'[2]táj.2'!G49</f>
        <v>0</v>
      </c>
      <c r="H49" s="7">
        <f>0+'[2]táj.2'!H49</f>
        <v>0</v>
      </c>
      <c r="I49" s="7">
        <f>0+'[2]táj.2'!I49</f>
        <v>0</v>
      </c>
      <c r="J49" s="7">
        <f>0+'[2]táj.2'!J49</f>
        <v>0</v>
      </c>
      <c r="K49" s="7">
        <f>12000+'[2]táj.2'!K49</f>
        <v>12000</v>
      </c>
      <c r="L49" s="7">
        <f>0+'[2]táj.2'!L49</f>
        <v>0</v>
      </c>
      <c r="M49" s="7">
        <f>0+'[2]táj.2'!M49</f>
        <v>0</v>
      </c>
      <c r="N49" s="7">
        <f>0+'[2]táj.2'!N49</f>
        <v>0</v>
      </c>
      <c r="O49" s="7">
        <f>0+'[2]táj.2'!O49</f>
        <v>0</v>
      </c>
      <c r="P49" s="7">
        <f>0+'[2]táj.2'!P49</f>
        <v>0</v>
      </c>
      <c r="Q49" s="7">
        <f aca="true" t="shared" si="3" ref="Q49:Q54">SUM(G49:P49)</f>
        <v>12000</v>
      </c>
    </row>
    <row r="50" spans="1:17" ht="24">
      <c r="A50" s="198"/>
      <c r="B50" s="198"/>
      <c r="C50" s="214"/>
      <c r="D50" s="227" t="s">
        <v>666</v>
      </c>
      <c r="E50" s="7">
        <v>2</v>
      </c>
      <c r="F50" s="7">
        <v>131123</v>
      </c>
      <c r="G50" s="7">
        <f>0+'[2]táj.2'!G50</f>
        <v>0</v>
      </c>
      <c r="H50" s="7">
        <f>0+'[2]táj.2'!H50</f>
        <v>0</v>
      </c>
      <c r="I50" s="7">
        <f>0+'[2]táj.2'!I50</f>
        <v>0</v>
      </c>
      <c r="J50" s="7">
        <f>0+'[2]táj.2'!J50</f>
        <v>0</v>
      </c>
      <c r="K50" s="7">
        <f>3000+'[2]táj.2'!K50</f>
        <v>3000</v>
      </c>
      <c r="L50" s="7">
        <f>0+'[2]táj.2'!L50</f>
        <v>0</v>
      </c>
      <c r="M50" s="7">
        <f>0+'[2]táj.2'!M50</f>
        <v>0</v>
      </c>
      <c r="N50" s="7">
        <f>0+'[2]táj.2'!N50</f>
        <v>0</v>
      </c>
      <c r="O50" s="7">
        <f>0+'[2]táj.2'!O50</f>
        <v>0</v>
      </c>
      <c r="P50" s="7">
        <f>0+'[2]táj.2'!P50</f>
        <v>0</v>
      </c>
      <c r="Q50" s="7">
        <f t="shared" si="3"/>
        <v>3000</v>
      </c>
    </row>
    <row r="51" spans="1:17" ht="12">
      <c r="A51" s="198"/>
      <c r="B51" s="198"/>
      <c r="C51" s="214"/>
      <c r="D51" s="227" t="s">
        <v>667</v>
      </c>
      <c r="E51" s="7">
        <v>2</v>
      </c>
      <c r="F51" s="7">
        <v>131122</v>
      </c>
      <c r="G51" s="7">
        <f>1173+'[2]táj.2'!G51</f>
        <v>1173</v>
      </c>
      <c r="H51" s="7">
        <f>477+'[2]táj.2'!H51</f>
        <v>477</v>
      </c>
      <c r="I51" s="7">
        <f>0+'[2]táj.2'!I51</f>
        <v>0</v>
      </c>
      <c r="J51" s="7">
        <f>0+'[2]táj.2'!J51</f>
        <v>0</v>
      </c>
      <c r="K51" s="7">
        <f>350+'[2]táj.2'!K51</f>
        <v>350</v>
      </c>
      <c r="L51" s="7">
        <f>0+'[2]táj.2'!L51</f>
        <v>0</v>
      </c>
      <c r="M51" s="7">
        <f>0+'[2]táj.2'!M51</f>
        <v>0</v>
      </c>
      <c r="N51" s="7">
        <f>0+'[2]táj.2'!N51</f>
        <v>0</v>
      </c>
      <c r="O51" s="7">
        <f>0+'[2]táj.2'!O51</f>
        <v>0</v>
      </c>
      <c r="P51" s="7">
        <f>0+'[2]táj.2'!P51</f>
        <v>0</v>
      </c>
      <c r="Q51" s="7">
        <f t="shared" si="3"/>
        <v>2000</v>
      </c>
    </row>
    <row r="52" spans="1:17" ht="12">
      <c r="A52" s="198"/>
      <c r="B52" s="198"/>
      <c r="C52" s="214"/>
      <c r="D52" s="211" t="s">
        <v>668</v>
      </c>
      <c r="E52" s="7">
        <v>2</v>
      </c>
      <c r="F52" s="7">
        <v>131107</v>
      </c>
      <c r="G52" s="7">
        <f>0+'[2]táj.2'!G52</f>
        <v>0</v>
      </c>
      <c r="H52" s="7">
        <f>0+'[2]táj.2'!H52</f>
        <v>0</v>
      </c>
      <c r="I52" s="7">
        <f>0+'[2]táj.2'!I52</f>
        <v>0</v>
      </c>
      <c r="J52" s="7">
        <f>0+'[2]táj.2'!J52</f>
        <v>0</v>
      </c>
      <c r="K52" s="7">
        <f>55000+'[2]táj.2'!K52</f>
        <v>55000</v>
      </c>
      <c r="L52" s="7">
        <f>0+'[2]táj.2'!L52</f>
        <v>0</v>
      </c>
      <c r="M52" s="7">
        <f>0+'[2]táj.2'!M52</f>
        <v>0</v>
      </c>
      <c r="N52" s="7">
        <f>0+'[2]táj.2'!N52</f>
        <v>0</v>
      </c>
      <c r="O52" s="7">
        <f>0+'[2]táj.2'!O52</f>
        <v>0</v>
      </c>
      <c r="P52" s="7">
        <f>0+'[2]táj.2'!P52</f>
        <v>0</v>
      </c>
      <c r="Q52" s="7">
        <f t="shared" si="3"/>
        <v>55000</v>
      </c>
    </row>
    <row r="53" spans="1:17" ht="24">
      <c r="A53" s="198"/>
      <c r="B53" s="198"/>
      <c r="C53" s="214"/>
      <c r="D53" s="228" t="s">
        <v>669</v>
      </c>
      <c r="E53" s="7">
        <v>2</v>
      </c>
      <c r="F53" s="7">
        <v>131103</v>
      </c>
      <c r="G53" s="7">
        <f>0+'[2]táj.2'!G53</f>
        <v>0</v>
      </c>
      <c r="H53" s="7">
        <f>0+'[2]táj.2'!H53</f>
        <v>0</v>
      </c>
      <c r="I53" s="7">
        <f>0+'[2]táj.2'!I53</f>
        <v>0</v>
      </c>
      <c r="J53" s="7">
        <f>0+'[2]táj.2'!J53</f>
        <v>0</v>
      </c>
      <c r="K53" s="7">
        <f>5000+'[2]táj.2'!K53</f>
        <v>5000</v>
      </c>
      <c r="L53" s="7">
        <f>0+'[2]táj.2'!L53</f>
        <v>0</v>
      </c>
      <c r="M53" s="7">
        <f>0+'[2]táj.2'!M53</f>
        <v>0</v>
      </c>
      <c r="N53" s="7">
        <f>0+'[2]táj.2'!N53</f>
        <v>0</v>
      </c>
      <c r="O53" s="7">
        <f>0+'[2]táj.2'!O53</f>
        <v>0</v>
      </c>
      <c r="P53" s="7">
        <f>0+'[2]táj.2'!P53</f>
        <v>0</v>
      </c>
      <c r="Q53" s="7">
        <f t="shared" si="3"/>
        <v>5000</v>
      </c>
    </row>
    <row r="54" spans="1:17" ht="12">
      <c r="A54" s="198"/>
      <c r="B54" s="198"/>
      <c r="C54" s="214"/>
      <c r="D54" s="211" t="s">
        <v>670</v>
      </c>
      <c r="E54" s="7">
        <v>2</v>
      </c>
      <c r="F54" s="7">
        <v>131128</v>
      </c>
      <c r="G54" s="7">
        <f>0+'[2]táj.2'!G54</f>
        <v>0</v>
      </c>
      <c r="H54" s="7">
        <f>0+'[2]táj.2'!H54</f>
        <v>0</v>
      </c>
      <c r="I54" s="7">
        <f>0+'[2]táj.2'!I54</f>
        <v>0</v>
      </c>
      <c r="J54" s="7">
        <f>0+'[2]táj.2'!J54</f>
        <v>0</v>
      </c>
      <c r="K54" s="7">
        <f>8500+'[2]táj.2'!K54</f>
        <v>8500</v>
      </c>
      <c r="L54" s="7">
        <f>0+'[2]táj.2'!L54</f>
        <v>0</v>
      </c>
      <c r="M54" s="7">
        <f>0+'[2]táj.2'!M54</f>
        <v>0</v>
      </c>
      <c r="N54" s="7">
        <f>0+'[2]táj.2'!N54</f>
        <v>0</v>
      </c>
      <c r="O54" s="7">
        <f>0+'[2]táj.2'!O54</f>
        <v>0</v>
      </c>
      <c r="P54" s="7">
        <f>0+'[2]táj.2'!P54</f>
        <v>0</v>
      </c>
      <c r="Q54" s="7">
        <f t="shared" si="3"/>
        <v>8500</v>
      </c>
    </row>
    <row r="55" spans="1:17" ht="12.75">
      <c r="A55" s="198"/>
      <c r="B55" s="198"/>
      <c r="C55" s="214"/>
      <c r="D55" s="229" t="s">
        <v>671</v>
      </c>
      <c r="E55" s="230"/>
      <c r="F55" s="23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4">
      <c r="A56" s="198"/>
      <c r="B56" s="198"/>
      <c r="C56" s="214"/>
      <c r="D56" s="227" t="s">
        <v>672</v>
      </c>
      <c r="E56" s="232"/>
      <c r="F56" s="23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">
      <c r="A57" s="198"/>
      <c r="B57" s="198"/>
      <c r="C57" s="214"/>
      <c r="D57" s="211" t="s">
        <v>673</v>
      </c>
      <c r="E57" s="7">
        <v>2</v>
      </c>
      <c r="F57" s="7">
        <v>131201</v>
      </c>
      <c r="G57" s="7">
        <f>200+'[2]táj.2'!G57</f>
        <v>200</v>
      </c>
      <c r="H57" s="7">
        <f>80+'[2]táj.2'!H57</f>
        <v>80</v>
      </c>
      <c r="I57" s="7">
        <f>1220+'[2]táj.2'!I57</f>
        <v>1220</v>
      </c>
      <c r="J57" s="7">
        <f>0+'[2]táj.2'!J57</f>
        <v>0</v>
      </c>
      <c r="K57" s="7">
        <f>0+'[2]táj.2'!K57</f>
        <v>0</v>
      </c>
      <c r="L57" s="7">
        <f>0+'[2]táj.2'!L57</f>
        <v>0</v>
      </c>
      <c r="M57" s="7">
        <f>0+'[2]táj.2'!M57</f>
        <v>0</v>
      </c>
      <c r="N57" s="7">
        <f>0+'[2]táj.2'!N57</f>
        <v>0</v>
      </c>
      <c r="O57" s="7">
        <f>0+'[2]táj.2'!O57</f>
        <v>0</v>
      </c>
      <c r="P57" s="7">
        <f>0+'[2]táj.2'!P57</f>
        <v>0</v>
      </c>
      <c r="Q57" s="7">
        <f aca="true" t="shared" si="4" ref="Q57:Q62">SUM(G57:P57)</f>
        <v>1500</v>
      </c>
    </row>
    <row r="58" spans="1:17" ht="12">
      <c r="A58" s="198"/>
      <c r="B58" s="198"/>
      <c r="C58" s="214"/>
      <c r="D58" s="211" t="s">
        <v>674</v>
      </c>
      <c r="E58" s="7">
        <v>2</v>
      </c>
      <c r="F58" s="7">
        <v>131202</v>
      </c>
      <c r="G58" s="7">
        <f>200+'[2]táj.2'!G58</f>
        <v>200</v>
      </c>
      <c r="H58" s="7">
        <f>80+'[2]táj.2'!H58</f>
        <v>80</v>
      </c>
      <c r="I58" s="7">
        <f>437+'[2]táj.2'!I58</f>
        <v>437</v>
      </c>
      <c r="J58" s="7">
        <f>0+'[2]táj.2'!J58</f>
        <v>0</v>
      </c>
      <c r="K58" s="7">
        <f>0+'[2]táj.2'!K58</f>
        <v>0</v>
      </c>
      <c r="L58" s="7">
        <f>0+'[2]táj.2'!L58</f>
        <v>0</v>
      </c>
      <c r="M58" s="7">
        <f>0+'[2]táj.2'!M58</f>
        <v>0</v>
      </c>
      <c r="N58" s="7">
        <f>0+'[2]táj.2'!N58</f>
        <v>0</v>
      </c>
      <c r="O58" s="7">
        <f>0+'[2]táj.2'!O58</f>
        <v>0</v>
      </c>
      <c r="P58" s="7">
        <f>0+'[2]táj.2'!P58</f>
        <v>0</v>
      </c>
      <c r="Q58" s="7">
        <f t="shared" si="4"/>
        <v>717</v>
      </c>
    </row>
    <row r="59" spans="1:17" ht="12">
      <c r="A59" s="198"/>
      <c r="B59" s="198"/>
      <c r="C59" s="214"/>
      <c r="D59" s="211" t="s">
        <v>675</v>
      </c>
      <c r="E59" s="7">
        <v>2</v>
      </c>
      <c r="F59" s="7">
        <v>131205</v>
      </c>
      <c r="G59" s="7">
        <f>0+'[2]táj.2'!G59</f>
        <v>0</v>
      </c>
      <c r="H59" s="7">
        <f>0+'[2]táj.2'!H59</f>
        <v>0</v>
      </c>
      <c r="I59" s="7">
        <f>0+'[2]táj.2'!I59</f>
        <v>0</v>
      </c>
      <c r="J59" s="7">
        <f>0+'[2]táj.2'!J59</f>
        <v>0</v>
      </c>
      <c r="K59" s="7">
        <f>1650+'[2]táj.2'!K59</f>
        <v>1650</v>
      </c>
      <c r="L59" s="7">
        <f>0+'[2]táj.2'!L59</f>
        <v>0</v>
      </c>
      <c r="M59" s="7">
        <f>0+'[2]táj.2'!M59</f>
        <v>0</v>
      </c>
      <c r="N59" s="7">
        <f>0+'[2]táj.2'!N59</f>
        <v>0</v>
      </c>
      <c r="O59" s="7">
        <f>0+'[2]táj.2'!O59</f>
        <v>0</v>
      </c>
      <c r="P59" s="7">
        <f>0+'[2]táj.2'!P59</f>
        <v>0</v>
      </c>
      <c r="Q59" s="7">
        <f t="shared" si="4"/>
        <v>1650</v>
      </c>
    </row>
    <row r="60" spans="1:17" ht="12">
      <c r="A60" s="198"/>
      <c r="B60" s="198"/>
      <c r="C60" s="214"/>
      <c r="D60" s="211" t="s">
        <v>676</v>
      </c>
      <c r="E60" s="7">
        <v>2</v>
      </c>
      <c r="F60" s="7">
        <v>131206</v>
      </c>
      <c r="G60" s="7">
        <f>0+'[2]táj.2'!G60</f>
        <v>0</v>
      </c>
      <c r="H60" s="7">
        <f>0+'[2]táj.2'!H60</f>
        <v>0</v>
      </c>
      <c r="I60" s="7">
        <f>0+'[2]táj.2'!I60</f>
        <v>0</v>
      </c>
      <c r="J60" s="7">
        <f>0+'[2]táj.2'!J60</f>
        <v>0</v>
      </c>
      <c r="K60" s="7">
        <f>400+'[2]táj.2'!K60</f>
        <v>400</v>
      </c>
      <c r="L60" s="7">
        <f>0+'[2]táj.2'!L60</f>
        <v>0</v>
      </c>
      <c r="M60" s="7">
        <f>0+'[2]táj.2'!M60</f>
        <v>0</v>
      </c>
      <c r="N60" s="7">
        <f>0+'[2]táj.2'!N60</f>
        <v>0</v>
      </c>
      <c r="O60" s="7">
        <f>0+'[2]táj.2'!O60</f>
        <v>0</v>
      </c>
      <c r="P60" s="7">
        <f>0+'[2]táj.2'!P60</f>
        <v>0</v>
      </c>
      <c r="Q60" s="7">
        <f t="shared" si="4"/>
        <v>400</v>
      </c>
    </row>
    <row r="61" spans="1:17" ht="12">
      <c r="A61" s="198"/>
      <c r="B61" s="198"/>
      <c r="C61" s="214"/>
      <c r="D61" s="210" t="s">
        <v>677</v>
      </c>
      <c r="E61" s="7">
        <v>2</v>
      </c>
      <c r="F61" s="7">
        <v>131209</v>
      </c>
      <c r="G61" s="7">
        <f>150+'[2]táj.2'!G61</f>
        <v>150</v>
      </c>
      <c r="H61" s="7">
        <f>61+'[2]táj.2'!H61</f>
        <v>61</v>
      </c>
      <c r="I61" s="7">
        <f>289+'[2]táj.2'!I61</f>
        <v>289</v>
      </c>
      <c r="J61" s="7">
        <f>0+'[2]táj.2'!J61</f>
        <v>0</v>
      </c>
      <c r="K61" s="7">
        <f>0+'[2]táj.2'!K61</f>
        <v>0</v>
      </c>
      <c r="L61" s="7">
        <f>0+'[2]táj.2'!L61</f>
        <v>0</v>
      </c>
      <c r="M61" s="7">
        <f>0+'[2]táj.2'!M61</f>
        <v>0</v>
      </c>
      <c r="N61" s="7">
        <f>0+'[2]táj.2'!N61</f>
        <v>0</v>
      </c>
      <c r="O61" s="7">
        <f>0+'[2]táj.2'!O61</f>
        <v>0</v>
      </c>
      <c r="P61" s="7">
        <f>0+'[2]táj.2'!P61</f>
        <v>0</v>
      </c>
      <c r="Q61" s="7">
        <f t="shared" si="4"/>
        <v>500</v>
      </c>
    </row>
    <row r="62" spans="1:17" ht="12">
      <c r="A62" s="198"/>
      <c r="B62" s="198"/>
      <c r="C62" s="214"/>
      <c r="D62" s="211" t="s">
        <v>678</v>
      </c>
      <c r="E62" s="7">
        <v>2</v>
      </c>
      <c r="F62" s="7">
        <v>131211</v>
      </c>
      <c r="G62" s="7">
        <f>0+'[2]táj.2'!G62</f>
        <v>0</v>
      </c>
      <c r="H62" s="7">
        <f>0+'[2]táj.2'!H62</f>
        <v>0</v>
      </c>
      <c r="I62" s="7">
        <f>965+'[2]táj.2'!I62</f>
        <v>965</v>
      </c>
      <c r="J62" s="7">
        <f>0+'[2]táj.2'!J62</f>
        <v>0</v>
      </c>
      <c r="K62" s="7">
        <f>0+'[2]táj.2'!K62</f>
        <v>0</v>
      </c>
      <c r="L62" s="7">
        <f>0+'[2]táj.2'!L62</f>
        <v>0</v>
      </c>
      <c r="M62" s="7">
        <f>0+'[2]táj.2'!M62</f>
        <v>0</v>
      </c>
      <c r="N62" s="7">
        <f>0+'[2]táj.2'!N62</f>
        <v>0</v>
      </c>
      <c r="O62" s="7">
        <f>0+'[2]táj.2'!O62</f>
        <v>0</v>
      </c>
      <c r="P62" s="7">
        <f>0+'[2]táj.2'!P62</f>
        <v>0</v>
      </c>
      <c r="Q62" s="7">
        <f t="shared" si="4"/>
        <v>965</v>
      </c>
    </row>
    <row r="63" spans="1:17" ht="12">
      <c r="A63" s="198"/>
      <c r="B63" s="198"/>
      <c r="C63" s="214"/>
      <c r="D63" s="211" t="s">
        <v>640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">
      <c r="A64" s="198"/>
      <c r="B64" s="198"/>
      <c r="C64" s="214"/>
      <c r="D64" s="210" t="s">
        <v>679</v>
      </c>
      <c r="E64" s="7">
        <v>2</v>
      </c>
      <c r="F64" s="7">
        <v>131101</v>
      </c>
      <c r="G64" s="7">
        <f>0+'[2]táj.2'!G64</f>
        <v>0</v>
      </c>
      <c r="H64" s="7">
        <f>0+'[2]táj.2'!H64</f>
        <v>0</v>
      </c>
      <c r="I64" s="7">
        <f>0+'[2]táj.2'!I64</f>
        <v>0</v>
      </c>
      <c r="J64" s="7">
        <f>4500+'[2]táj.2'!J64</f>
        <v>4500</v>
      </c>
      <c r="K64" s="7">
        <f>6500+'[2]táj.2'!K64</f>
        <v>6500</v>
      </c>
      <c r="L64" s="7">
        <f>0+'[2]táj.2'!L64</f>
        <v>0</v>
      </c>
      <c r="M64" s="7">
        <f>0+'[2]táj.2'!M64</f>
        <v>0</v>
      </c>
      <c r="N64" s="7">
        <f>0+'[2]táj.2'!N64</f>
        <v>0</v>
      </c>
      <c r="O64" s="7">
        <f>0+'[2]táj.2'!O64</f>
        <v>0</v>
      </c>
      <c r="P64" s="7">
        <f>0+'[2]táj.2'!P64</f>
        <v>0</v>
      </c>
      <c r="Q64" s="7">
        <f>SUM(G64:P64)</f>
        <v>11000</v>
      </c>
    </row>
    <row r="65" spans="1:17" ht="12">
      <c r="A65" s="198"/>
      <c r="B65" s="198"/>
      <c r="C65" s="214"/>
      <c r="D65" s="210" t="s">
        <v>680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">
      <c r="A66" s="198"/>
      <c r="B66" s="198"/>
      <c r="C66" s="214"/>
      <c r="D66" s="211" t="s">
        <v>681</v>
      </c>
      <c r="E66" s="7">
        <v>2</v>
      </c>
      <c r="F66" s="7">
        <v>131120</v>
      </c>
      <c r="G66" s="7">
        <f>0+'[2]táj.2'!G66</f>
        <v>0</v>
      </c>
      <c r="H66" s="7">
        <f>0+'[2]táj.2'!H66</f>
        <v>0</v>
      </c>
      <c r="I66" s="7">
        <f>178+'[2]táj.2'!I66</f>
        <v>178</v>
      </c>
      <c r="J66" s="7">
        <f>0+'[2]táj.2'!J66</f>
        <v>0</v>
      </c>
      <c r="K66" s="7">
        <f>0+'[2]táj.2'!K66</f>
        <v>0</v>
      </c>
      <c r="L66" s="7">
        <f>0+'[2]táj.2'!L66</f>
        <v>0</v>
      </c>
      <c r="M66" s="7">
        <f>0+'[2]táj.2'!M66</f>
        <v>0</v>
      </c>
      <c r="N66" s="7">
        <f>0+'[2]táj.2'!N66</f>
        <v>0</v>
      </c>
      <c r="O66" s="7">
        <f>0+'[2]táj.2'!O66</f>
        <v>0</v>
      </c>
      <c r="P66" s="7">
        <f>0+'[2]táj.2'!P66</f>
        <v>0</v>
      </c>
      <c r="Q66" s="7">
        <f>SUM(G66:P66)</f>
        <v>178</v>
      </c>
    </row>
    <row r="67" spans="1:17" ht="12">
      <c r="A67" s="198"/>
      <c r="B67" s="198"/>
      <c r="C67" s="214"/>
      <c r="D67" s="211" t="s">
        <v>682</v>
      </c>
      <c r="E67" s="207"/>
      <c r="F67" s="20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">
      <c r="A68" s="198"/>
      <c r="B68" s="198"/>
      <c r="C68" s="214"/>
      <c r="D68" s="211" t="s">
        <v>683</v>
      </c>
      <c r="E68" s="7">
        <v>2</v>
      </c>
      <c r="F68" s="7">
        <v>131346</v>
      </c>
      <c r="G68" s="7">
        <f>356+'[2]táj.2'!G68</f>
        <v>356</v>
      </c>
      <c r="H68" s="7">
        <f>109+'[2]táj.2'!H68</f>
        <v>109</v>
      </c>
      <c r="I68" s="7">
        <f>285+'[2]táj.2'!I68</f>
        <v>285</v>
      </c>
      <c r="J68" s="7">
        <f>0+'[2]táj.2'!J68</f>
        <v>0</v>
      </c>
      <c r="K68" s="7">
        <f>750+'[2]táj.2'!K68</f>
        <v>750</v>
      </c>
      <c r="L68" s="7">
        <f>0+'[2]táj.2'!L68</f>
        <v>0</v>
      </c>
      <c r="M68" s="7">
        <f>0+'[2]táj.2'!M68</f>
        <v>0</v>
      </c>
      <c r="N68" s="7">
        <f>0+'[2]táj.2'!N68</f>
        <v>0</v>
      </c>
      <c r="O68" s="7">
        <f>0+'[2]táj.2'!O68</f>
        <v>0</v>
      </c>
      <c r="P68" s="7">
        <f>0+'[2]táj.2'!P68</f>
        <v>0</v>
      </c>
      <c r="Q68" s="7">
        <f aca="true" t="shared" si="5" ref="Q68:Q85">SUM(G68:P68)</f>
        <v>1500</v>
      </c>
    </row>
    <row r="69" spans="1:17" ht="12">
      <c r="A69" s="198"/>
      <c r="B69" s="198"/>
      <c r="C69" s="214"/>
      <c r="D69" s="211" t="s">
        <v>684</v>
      </c>
      <c r="E69" s="7">
        <v>2</v>
      </c>
      <c r="F69" s="7">
        <v>131305</v>
      </c>
      <c r="G69" s="7">
        <f>0+'[2]táj.2'!G69</f>
        <v>0</v>
      </c>
      <c r="H69" s="7">
        <f>0+'[2]táj.2'!H69</f>
        <v>0</v>
      </c>
      <c r="I69" s="7">
        <f>0+'[2]táj.2'!I69</f>
        <v>0</v>
      </c>
      <c r="J69" s="7">
        <f>0+'[2]táj.2'!J69</f>
        <v>0</v>
      </c>
      <c r="K69" s="7">
        <f>0+'[2]táj.2'!K69</f>
        <v>0</v>
      </c>
      <c r="L69" s="7">
        <f>0+'[2]táj.2'!L69</f>
        <v>0</v>
      </c>
      <c r="M69" s="7">
        <f>0+'[2]táj.2'!M69</f>
        <v>0</v>
      </c>
      <c r="N69" s="7">
        <f>0+'[2]táj.2'!N69</f>
        <v>0</v>
      </c>
      <c r="O69" s="7">
        <f>0+'[2]táj.2'!O69</f>
        <v>0</v>
      </c>
      <c r="P69" s="7">
        <f>0+'[2]táj.2'!P69</f>
        <v>0</v>
      </c>
      <c r="Q69" s="7">
        <f t="shared" si="5"/>
        <v>0</v>
      </c>
    </row>
    <row r="70" spans="1:17" ht="12">
      <c r="A70" s="198"/>
      <c r="B70" s="198"/>
      <c r="C70" s="214"/>
      <c r="D70" s="211" t="s">
        <v>685</v>
      </c>
      <c r="E70" s="7">
        <v>2</v>
      </c>
      <c r="F70" s="7">
        <v>131306</v>
      </c>
      <c r="G70" s="7">
        <f>0+'[2]táj.2'!G70</f>
        <v>0</v>
      </c>
      <c r="H70" s="7">
        <f>0+'[2]táj.2'!H70</f>
        <v>0</v>
      </c>
      <c r="I70" s="7">
        <f>0+'[2]táj.2'!I70</f>
        <v>0</v>
      </c>
      <c r="J70" s="7">
        <f>0+'[2]táj.2'!J70</f>
        <v>0</v>
      </c>
      <c r="K70" s="7">
        <f>700+'[2]táj.2'!K70</f>
        <v>700</v>
      </c>
      <c r="L70" s="7">
        <f>0+'[2]táj.2'!L70</f>
        <v>0</v>
      </c>
      <c r="M70" s="7">
        <f>0+'[2]táj.2'!M70</f>
        <v>0</v>
      </c>
      <c r="N70" s="7">
        <f>0+'[2]táj.2'!N70</f>
        <v>0</v>
      </c>
      <c r="O70" s="7">
        <f>0+'[2]táj.2'!O70</f>
        <v>0</v>
      </c>
      <c r="P70" s="7">
        <f>0+'[2]táj.2'!P70</f>
        <v>0</v>
      </c>
      <c r="Q70" s="7">
        <f t="shared" si="5"/>
        <v>700</v>
      </c>
    </row>
    <row r="71" spans="1:17" ht="12">
      <c r="A71" s="198"/>
      <c r="B71" s="198"/>
      <c r="C71" s="214"/>
      <c r="D71" s="171" t="s">
        <v>686</v>
      </c>
      <c r="E71" s="7">
        <v>2</v>
      </c>
      <c r="F71" s="7">
        <v>131325</v>
      </c>
      <c r="G71" s="7">
        <f>0+'[2]táj.2'!G71</f>
        <v>0</v>
      </c>
      <c r="H71" s="7">
        <f>0+'[2]táj.2'!H71</f>
        <v>0</v>
      </c>
      <c r="I71" s="7">
        <f>1227+'[2]táj.2'!I71</f>
        <v>1227</v>
      </c>
      <c r="J71" s="7">
        <f>0+'[2]táj.2'!J71</f>
        <v>0</v>
      </c>
      <c r="K71" s="7">
        <f>0+'[2]táj.2'!K71</f>
        <v>0</v>
      </c>
      <c r="L71" s="7">
        <f>0+'[2]táj.2'!L71</f>
        <v>0</v>
      </c>
      <c r="M71" s="7">
        <f>0+'[2]táj.2'!M71</f>
        <v>0</v>
      </c>
      <c r="N71" s="7">
        <f>0+'[2]táj.2'!N71</f>
        <v>0</v>
      </c>
      <c r="O71" s="7">
        <f>0+'[2]táj.2'!O71</f>
        <v>0</v>
      </c>
      <c r="P71" s="7">
        <f>0+'[2]táj.2'!P71</f>
        <v>0</v>
      </c>
      <c r="Q71" s="7">
        <f t="shared" si="5"/>
        <v>1227</v>
      </c>
    </row>
    <row r="72" spans="1:17" ht="12">
      <c r="A72" s="198"/>
      <c r="B72" s="198"/>
      <c r="C72" s="214"/>
      <c r="D72" s="171" t="s">
        <v>1505</v>
      </c>
      <c r="E72" s="7">
        <v>2</v>
      </c>
      <c r="F72" s="7">
        <v>131321</v>
      </c>
      <c r="G72" s="7">
        <f>0+'[2]táj.2'!G72</f>
        <v>0</v>
      </c>
      <c r="H72" s="7">
        <f>0+'[2]táj.2'!H72</f>
        <v>0</v>
      </c>
      <c r="I72" s="7">
        <f>0+'[2]táj.2'!I72</f>
        <v>0</v>
      </c>
      <c r="J72" s="7">
        <f>0+'[2]táj.2'!J72</f>
        <v>0</v>
      </c>
      <c r="K72" s="7">
        <f>39948+'[2]táj.2'!K72</f>
        <v>39948</v>
      </c>
      <c r="L72" s="7">
        <f>0+'[2]táj.2'!L72</f>
        <v>0</v>
      </c>
      <c r="M72" s="7">
        <f>0+'[2]táj.2'!M72</f>
        <v>0</v>
      </c>
      <c r="N72" s="7">
        <f>0+'[2]táj.2'!N72</f>
        <v>0</v>
      </c>
      <c r="O72" s="7">
        <f>0+'[2]táj.2'!O72</f>
        <v>0</v>
      </c>
      <c r="P72" s="7">
        <f>0+'[2]táj.2'!P72</f>
        <v>0</v>
      </c>
      <c r="Q72" s="7">
        <f t="shared" si="5"/>
        <v>39948</v>
      </c>
    </row>
    <row r="73" spans="1:17" ht="24">
      <c r="A73" s="198"/>
      <c r="B73" s="198"/>
      <c r="C73" s="214"/>
      <c r="D73" s="171" t="s">
        <v>687</v>
      </c>
      <c r="E73" s="7">
        <v>2</v>
      </c>
      <c r="F73" s="7">
        <v>131313</v>
      </c>
      <c r="G73" s="7">
        <f>0+'[2]táj.2'!G73</f>
        <v>0</v>
      </c>
      <c r="H73" s="7">
        <f>0+'[2]táj.2'!H73</f>
        <v>0</v>
      </c>
      <c r="I73" s="7">
        <f>0+'[2]táj.2'!I73</f>
        <v>0</v>
      </c>
      <c r="J73" s="7">
        <f>0+'[2]táj.2'!J73</f>
        <v>0</v>
      </c>
      <c r="K73" s="7">
        <f>32500+'[2]táj.2'!K73</f>
        <v>32500</v>
      </c>
      <c r="L73" s="7">
        <f>0+'[2]táj.2'!L73</f>
        <v>0</v>
      </c>
      <c r="M73" s="7">
        <f>0+'[2]táj.2'!M73</f>
        <v>0</v>
      </c>
      <c r="N73" s="7">
        <f>0+'[2]táj.2'!N73</f>
        <v>0</v>
      </c>
      <c r="O73" s="7">
        <f>0+'[2]táj.2'!O73</f>
        <v>0</v>
      </c>
      <c r="P73" s="7">
        <f>0+'[2]táj.2'!P73</f>
        <v>0</v>
      </c>
      <c r="Q73" s="7">
        <f t="shared" si="5"/>
        <v>32500</v>
      </c>
    </row>
    <row r="74" spans="1:17" ht="12">
      <c r="A74" s="198"/>
      <c r="B74" s="198"/>
      <c r="C74" s="214"/>
      <c r="D74" s="227" t="s">
        <v>688</v>
      </c>
      <c r="E74" s="7">
        <v>2</v>
      </c>
      <c r="F74" s="7">
        <v>131501</v>
      </c>
      <c r="G74" s="7">
        <f>0+'[2]táj.2'!G74</f>
        <v>0</v>
      </c>
      <c r="H74" s="7">
        <f>0+'[2]táj.2'!H74</f>
        <v>0</v>
      </c>
      <c r="I74" s="7">
        <f>350+'[2]táj.2'!I74</f>
        <v>350</v>
      </c>
      <c r="J74" s="7">
        <f>0+'[2]táj.2'!J74</f>
        <v>0</v>
      </c>
      <c r="K74" s="7">
        <f>0+'[2]táj.2'!K74</f>
        <v>0</v>
      </c>
      <c r="L74" s="7">
        <f>0+'[2]táj.2'!L74</f>
        <v>0</v>
      </c>
      <c r="M74" s="7">
        <f>0+'[2]táj.2'!M74</f>
        <v>0</v>
      </c>
      <c r="N74" s="7">
        <f>0+'[2]táj.2'!N74</f>
        <v>0</v>
      </c>
      <c r="O74" s="7">
        <f>0+'[2]táj.2'!O74</f>
        <v>0</v>
      </c>
      <c r="P74" s="7">
        <f>0+'[2]táj.2'!P74</f>
        <v>0</v>
      </c>
      <c r="Q74" s="7">
        <f t="shared" si="5"/>
        <v>350</v>
      </c>
    </row>
    <row r="75" spans="1:17" ht="12">
      <c r="A75" s="198"/>
      <c r="B75" s="198"/>
      <c r="C75" s="214"/>
      <c r="D75" s="227" t="s">
        <v>689</v>
      </c>
      <c r="E75" s="7">
        <v>2</v>
      </c>
      <c r="F75" s="7">
        <v>131307</v>
      </c>
      <c r="G75" s="7">
        <f>0+'[2]táj.2'!G75</f>
        <v>0</v>
      </c>
      <c r="H75" s="7">
        <f>0+'[2]táj.2'!H75</f>
        <v>0</v>
      </c>
      <c r="I75" s="7">
        <f>0+'[2]táj.2'!I75</f>
        <v>0</v>
      </c>
      <c r="J75" s="7">
        <f>0+'[2]táj.2'!J75</f>
        <v>0</v>
      </c>
      <c r="K75" s="7">
        <f>600+'[2]táj.2'!K75</f>
        <v>600</v>
      </c>
      <c r="L75" s="7">
        <f>0+'[2]táj.2'!L75</f>
        <v>0</v>
      </c>
      <c r="M75" s="7">
        <f>0+'[2]táj.2'!M75</f>
        <v>0</v>
      </c>
      <c r="N75" s="7">
        <f>0+'[2]táj.2'!N75</f>
        <v>0</v>
      </c>
      <c r="O75" s="7">
        <f>0+'[2]táj.2'!O75</f>
        <v>0</v>
      </c>
      <c r="P75" s="7">
        <f>0+'[2]táj.2'!P75</f>
        <v>0</v>
      </c>
      <c r="Q75" s="7">
        <f t="shared" si="5"/>
        <v>600</v>
      </c>
    </row>
    <row r="76" spans="1:17" ht="12">
      <c r="A76" s="198"/>
      <c r="B76" s="198"/>
      <c r="C76" s="214"/>
      <c r="D76" s="233" t="s">
        <v>690</v>
      </c>
      <c r="E76" s="7">
        <v>2</v>
      </c>
      <c r="F76" s="7">
        <v>131340</v>
      </c>
      <c r="G76" s="7">
        <f>0+'[2]táj.2'!G76</f>
        <v>0</v>
      </c>
      <c r="H76" s="7">
        <f>0+'[2]táj.2'!H76</f>
        <v>0</v>
      </c>
      <c r="I76" s="7">
        <f>0+'[2]táj.2'!I76</f>
        <v>0</v>
      </c>
      <c r="J76" s="7">
        <f>0+'[2]táj.2'!J76</f>
        <v>0</v>
      </c>
      <c r="K76" s="7">
        <f>400+'[2]táj.2'!K76</f>
        <v>400</v>
      </c>
      <c r="L76" s="7">
        <f>0+'[2]táj.2'!L76</f>
        <v>0</v>
      </c>
      <c r="M76" s="7">
        <f>0+'[2]táj.2'!M76</f>
        <v>0</v>
      </c>
      <c r="N76" s="7">
        <f>0+'[2]táj.2'!N76</f>
        <v>0</v>
      </c>
      <c r="O76" s="7">
        <f>0+'[2]táj.2'!O76</f>
        <v>0</v>
      </c>
      <c r="P76" s="7">
        <f>0+'[2]táj.2'!P76</f>
        <v>0</v>
      </c>
      <c r="Q76" s="7">
        <f t="shared" si="5"/>
        <v>400</v>
      </c>
    </row>
    <row r="77" spans="1:17" ht="12">
      <c r="A77" s="198"/>
      <c r="B77" s="198"/>
      <c r="C77" s="214"/>
      <c r="D77" s="233" t="s">
        <v>691</v>
      </c>
      <c r="E77" s="7">
        <v>2</v>
      </c>
      <c r="F77" s="7">
        <v>131343</v>
      </c>
      <c r="G77" s="7">
        <f>0+'[2]táj.2'!G77</f>
        <v>0</v>
      </c>
      <c r="H77" s="7">
        <f>0+'[2]táj.2'!H77</f>
        <v>0</v>
      </c>
      <c r="I77" s="7">
        <f>0+'[2]táj.2'!I77</f>
        <v>0</v>
      </c>
      <c r="J77" s="7">
        <f>0+'[2]táj.2'!J77</f>
        <v>0</v>
      </c>
      <c r="K77" s="7">
        <f>400+'[2]táj.2'!K77</f>
        <v>400</v>
      </c>
      <c r="L77" s="7">
        <f>0+'[2]táj.2'!L77</f>
        <v>0</v>
      </c>
      <c r="M77" s="7">
        <f>0+'[2]táj.2'!M77</f>
        <v>0</v>
      </c>
      <c r="N77" s="7">
        <f>0+'[2]táj.2'!N77</f>
        <v>0</v>
      </c>
      <c r="O77" s="7">
        <f>0+'[2]táj.2'!O77</f>
        <v>0</v>
      </c>
      <c r="P77" s="7">
        <f>0+'[2]táj.2'!P77</f>
        <v>0</v>
      </c>
      <c r="Q77" s="7">
        <f t="shared" si="5"/>
        <v>400</v>
      </c>
    </row>
    <row r="78" spans="1:17" ht="12">
      <c r="A78" s="198"/>
      <c r="B78" s="198"/>
      <c r="C78" s="214"/>
      <c r="D78" s="233" t="s">
        <v>692</v>
      </c>
      <c r="E78" s="7">
        <v>2</v>
      </c>
      <c r="F78" s="7">
        <v>131344</v>
      </c>
      <c r="G78" s="7">
        <f>0+'[2]táj.2'!G78</f>
        <v>0</v>
      </c>
      <c r="H78" s="7">
        <f>0+'[2]táj.2'!H78</f>
        <v>0</v>
      </c>
      <c r="I78" s="7">
        <f>0+'[2]táj.2'!I78</f>
        <v>0</v>
      </c>
      <c r="J78" s="7">
        <f>0+'[2]táj.2'!J78</f>
        <v>0</v>
      </c>
      <c r="K78" s="7">
        <f>0+'[2]táj.2'!K78</f>
        <v>0</v>
      </c>
      <c r="L78" s="7">
        <f>0+'[2]táj.2'!L78</f>
        <v>0</v>
      </c>
      <c r="M78" s="7">
        <f>0+'[2]táj.2'!M78</f>
        <v>0</v>
      </c>
      <c r="N78" s="7">
        <f>0+'[2]táj.2'!N78</f>
        <v>0</v>
      </c>
      <c r="O78" s="7">
        <f>0+'[2]táj.2'!O78</f>
        <v>0</v>
      </c>
      <c r="P78" s="7">
        <f>0+'[2]táj.2'!P78</f>
        <v>0</v>
      </c>
      <c r="Q78" s="7">
        <f t="shared" si="5"/>
        <v>0</v>
      </c>
    </row>
    <row r="79" spans="1:17" ht="12">
      <c r="A79" s="198"/>
      <c r="B79" s="198"/>
      <c r="C79" s="214"/>
      <c r="D79" s="234" t="s">
        <v>693</v>
      </c>
      <c r="E79" s="7">
        <v>2</v>
      </c>
      <c r="F79" s="7">
        <v>131323</v>
      </c>
      <c r="G79" s="7">
        <f>0+'[2]táj.2'!G79</f>
        <v>0</v>
      </c>
      <c r="H79" s="7">
        <f>0+'[2]táj.2'!H79</f>
        <v>0</v>
      </c>
      <c r="I79" s="7">
        <f>0+'[2]táj.2'!I79</f>
        <v>0</v>
      </c>
      <c r="J79" s="7">
        <f>0+'[2]táj.2'!J79</f>
        <v>0</v>
      </c>
      <c r="K79" s="7">
        <f>500+'[2]táj.2'!K79</f>
        <v>500</v>
      </c>
      <c r="L79" s="7">
        <f>0+'[2]táj.2'!L79</f>
        <v>0</v>
      </c>
      <c r="M79" s="7">
        <f>0+'[2]táj.2'!M79</f>
        <v>0</v>
      </c>
      <c r="N79" s="7">
        <f>0+'[2]táj.2'!N79</f>
        <v>0</v>
      </c>
      <c r="O79" s="7">
        <f>0+'[2]táj.2'!O79</f>
        <v>0</v>
      </c>
      <c r="P79" s="7">
        <f>0+'[2]táj.2'!P79</f>
        <v>0</v>
      </c>
      <c r="Q79" s="7">
        <f t="shared" si="5"/>
        <v>500</v>
      </c>
    </row>
    <row r="80" spans="1:17" ht="12">
      <c r="A80" s="198"/>
      <c r="B80" s="198"/>
      <c r="C80" s="214"/>
      <c r="D80" s="234" t="s">
        <v>694</v>
      </c>
      <c r="E80" s="7">
        <v>2</v>
      </c>
      <c r="F80" s="7">
        <v>131310</v>
      </c>
      <c r="G80" s="7">
        <f>0+'[2]táj.2'!G80</f>
        <v>0</v>
      </c>
      <c r="H80" s="7">
        <f>0+'[2]táj.2'!H80</f>
        <v>0</v>
      </c>
      <c r="I80" s="7">
        <f>0+'[2]táj.2'!I80</f>
        <v>0</v>
      </c>
      <c r="J80" s="7">
        <f>0+'[2]táj.2'!J80</f>
        <v>0</v>
      </c>
      <c r="K80" s="7">
        <f>500+'[2]táj.2'!K80</f>
        <v>500</v>
      </c>
      <c r="L80" s="7">
        <f>0+'[2]táj.2'!L80</f>
        <v>0</v>
      </c>
      <c r="M80" s="7">
        <f>0+'[2]táj.2'!M80</f>
        <v>0</v>
      </c>
      <c r="N80" s="7">
        <f>0+'[2]táj.2'!N80</f>
        <v>0</v>
      </c>
      <c r="O80" s="7">
        <f>0+'[2]táj.2'!O80</f>
        <v>0</v>
      </c>
      <c r="P80" s="7">
        <f>0+'[2]táj.2'!P80</f>
        <v>0</v>
      </c>
      <c r="Q80" s="7">
        <f t="shared" si="5"/>
        <v>500</v>
      </c>
    </row>
    <row r="81" spans="1:17" ht="12">
      <c r="A81" s="198"/>
      <c r="B81" s="198"/>
      <c r="C81" s="214"/>
      <c r="D81" s="234" t="s">
        <v>99</v>
      </c>
      <c r="E81" s="7">
        <v>2</v>
      </c>
      <c r="F81" s="7">
        <v>131315</v>
      </c>
      <c r="G81" s="7">
        <f>0+'[2]táj.2'!G81</f>
        <v>0</v>
      </c>
      <c r="H81" s="7">
        <f>0+'[2]táj.2'!H81</f>
        <v>0</v>
      </c>
      <c r="I81" s="7">
        <f>0+'[2]táj.2'!I81</f>
        <v>0</v>
      </c>
      <c r="J81" s="7">
        <f>0+'[2]táj.2'!J81</f>
        <v>0</v>
      </c>
      <c r="K81" s="7">
        <f>0+'[2]táj.2'!K81</f>
        <v>0</v>
      </c>
      <c r="L81" s="7">
        <f>0+'[2]táj.2'!L81</f>
        <v>0</v>
      </c>
      <c r="M81" s="7">
        <f>0+'[2]táj.2'!M81</f>
        <v>0</v>
      </c>
      <c r="N81" s="7">
        <f>0+'[2]táj.2'!N81</f>
        <v>0</v>
      </c>
      <c r="O81" s="7">
        <f>0+'[2]táj.2'!O81</f>
        <v>0</v>
      </c>
      <c r="P81" s="7">
        <f>0+'[2]táj.2'!P81</f>
        <v>0</v>
      </c>
      <c r="Q81" s="7">
        <f t="shared" si="5"/>
        <v>0</v>
      </c>
    </row>
    <row r="82" spans="1:17" ht="12">
      <c r="A82" s="198"/>
      <c r="B82" s="198"/>
      <c r="C82" s="214"/>
      <c r="D82" s="234" t="s">
        <v>695</v>
      </c>
      <c r="E82" s="7">
        <v>2</v>
      </c>
      <c r="F82" s="7">
        <v>131316</v>
      </c>
      <c r="G82" s="7">
        <f>0+'[2]táj.2'!G82</f>
        <v>0</v>
      </c>
      <c r="H82" s="7">
        <f>0+'[2]táj.2'!H82</f>
        <v>0</v>
      </c>
      <c r="I82" s="7">
        <f>0+'[2]táj.2'!I82</f>
        <v>0</v>
      </c>
      <c r="J82" s="7">
        <f>0+'[2]táj.2'!J82</f>
        <v>0</v>
      </c>
      <c r="K82" s="7">
        <f>1000+'[2]táj.2'!K82</f>
        <v>1000</v>
      </c>
      <c r="L82" s="7">
        <f>0+'[2]táj.2'!L82</f>
        <v>0</v>
      </c>
      <c r="M82" s="7">
        <f>0+'[2]táj.2'!M82</f>
        <v>0</v>
      </c>
      <c r="N82" s="7">
        <f>0+'[2]táj.2'!N82</f>
        <v>0</v>
      </c>
      <c r="O82" s="7">
        <f>0+'[2]táj.2'!O82</f>
        <v>0</v>
      </c>
      <c r="P82" s="7">
        <f>0+'[2]táj.2'!P82</f>
        <v>0</v>
      </c>
      <c r="Q82" s="7">
        <f t="shared" si="5"/>
        <v>1000</v>
      </c>
    </row>
    <row r="83" spans="1:17" ht="12">
      <c r="A83" s="198"/>
      <c r="B83" s="198"/>
      <c r="C83" s="214"/>
      <c r="D83" s="233" t="s">
        <v>696</v>
      </c>
      <c r="E83" s="7">
        <v>2</v>
      </c>
      <c r="F83" s="7">
        <v>131348</v>
      </c>
      <c r="G83" s="7">
        <f>0+'[2]táj.2'!G83</f>
        <v>0</v>
      </c>
      <c r="H83" s="7">
        <f>0+'[2]táj.2'!H83</f>
        <v>0</v>
      </c>
      <c r="I83" s="7">
        <f>0+'[2]táj.2'!I83</f>
        <v>0</v>
      </c>
      <c r="J83" s="7">
        <f>0+'[2]táj.2'!J83</f>
        <v>0</v>
      </c>
      <c r="K83" s="7">
        <f>5000+'[2]táj.2'!K83</f>
        <v>5000</v>
      </c>
      <c r="L83" s="7">
        <f>0+'[2]táj.2'!L83</f>
        <v>0</v>
      </c>
      <c r="M83" s="7">
        <f>0+'[2]táj.2'!M83</f>
        <v>0</v>
      </c>
      <c r="N83" s="7">
        <f>0+'[2]táj.2'!N83</f>
        <v>0</v>
      </c>
      <c r="O83" s="7">
        <f>0+'[2]táj.2'!O83</f>
        <v>0</v>
      </c>
      <c r="P83" s="7">
        <f>0+'[2]táj.2'!P83</f>
        <v>0</v>
      </c>
      <c r="Q83" s="7">
        <f t="shared" si="5"/>
        <v>5000</v>
      </c>
    </row>
    <row r="84" spans="1:17" ht="24">
      <c r="A84" s="198"/>
      <c r="B84" s="198"/>
      <c r="C84" s="214"/>
      <c r="D84" s="235" t="s">
        <v>697</v>
      </c>
      <c r="E84" s="7">
        <v>2</v>
      </c>
      <c r="F84" s="7">
        <v>131345</v>
      </c>
      <c r="G84" s="7">
        <f>0+'[2]táj.2'!G84</f>
        <v>0</v>
      </c>
      <c r="H84" s="7">
        <f>0+'[2]táj.2'!H84</f>
        <v>0</v>
      </c>
      <c r="I84" s="7">
        <f>0+'[2]táj.2'!I84</f>
        <v>0</v>
      </c>
      <c r="J84" s="7">
        <f>0+'[2]táj.2'!J84</f>
        <v>0</v>
      </c>
      <c r="K84" s="7">
        <f>400+'[2]táj.2'!K84</f>
        <v>400</v>
      </c>
      <c r="L84" s="7">
        <f>0+'[2]táj.2'!L84</f>
        <v>0</v>
      </c>
      <c r="M84" s="7">
        <f>0+'[2]táj.2'!M84</f>
        <v>0</v>
      </c>
      <c r="N84" s="7">
        <f>0+'[2]táj.2'!N84</f>
        <v>0</v>
      </c>
      <c r="O84" s="7">
        <f>0+'[2]táj.2'!O84</f>
        <v>0</v>
      </c>
      <c r="P84" s="7">
        <f>0+'[2]táj.2'!P84</f>
        <v>0</v>
      </c>
      <c r="Q84" s="7">
        <f t="shared" si="5"/>
        <v>400</v>
      </c>
    </row>
    <row r="85" spans="1:17" ht="12">
      <c r="A85" s="198"/>
      <c r="B85" s="198"/>
      <c r="C85" s="214"/>
      <c r="D85" s="644" t="s">
        <v>698</v>
      </c>
      <c r="E85" s="223">
        <v>2</v>
      </c>
      <c r="F85" s="7">
        <v>131327</v>
      </c>
      <c r="G85" s="7">
        <f>0+'[2]táj.2'!G85</f>
        <v>0</v>
      </c>
      <c r="H85" s="7">
        <f>0+'[2]táj.2'!H85</f>
        <v>0</v>
      </c>
      <c r="I85" s="7">
        <f>0+'[2]táj.2'!I85</f>
        <v>0</v>
      </c>
      <c r="J85" s="7">
        <f>0+'[2]táj.2'!J85</f>
        <v>0</v>
      </c>
      <c r="K85" s="7">
        <f>500+'[2]táj.2'!K85</f>
        <v>500</v>
      </c>
      <c r="L85" s="7">
        <f>0+'[2]táj.2'!L85</f>
        <v>0</v>
      </c>
      <c r="M85" s="7">
        <f>0+'[2]táj.2'!M85</f>
        <v>0</v>
      </c>
      <c r="N85" s="7">
        <f>0+'[2]táj.2'!N85</f>
        <v>0</v>
      </c>
      <c r="O85" s="7">
        <f>0+'[2]táj.2'!O85</f>
        <v>0</v>
      </c>
      <c r="P85" s="7">
        <f>0+'[2]táj.2'!P85</f>
        <v>0</v>
      </c>
      <c r="Q85" s="7">
        <f t="shared" si="5"/>
        <v>500</v>
      </c>
    </row>
    <row r="86" spans="1:17" ht="12">
      <c r="A86" s="198"/>
      <c r="B86" s="198"/>
      <c r="C86" s="214"/>
      <c r="D86" s="7" t="s">
        <v>699</v>
      </c>
      <c r="E86" s="226"/>
      <c r="F86" s="20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4">
      <c r="A87" s="198"/>
      <c r="B87" s="198"/>
      <c r="C87" s="214"/>
      <c r="D87" s="171" t="s">
        <v>700</v>
      </c>
      <c r="E87" s="207">
        <v>2</v>
      </c>
      <c r="F87" s="7">
        <v>131401</v>
      </c>
      <c r="G87" s="7">
        <f>0+'[2]táj.2'!G87</f>
        <v>0</v>
      </c>
      <c r="H87" s="7">
        <f>0+'[2]táj.2'!H87</f>
        <v>0</v>
      </c>
      <c r="I87" s="7">
        <f>0+'[2]táj.2'!I87</f>
        <v>0</v>
      </c>
      <c r="J87" s="7">
        <f>0+'[2]táj.2'!J87</f>
        <v>0</v>
      </c>
      <c r="K87" s="7">
        <f>1800+'[2]táj.2'!K87</f>
        <v>1800</v>
      </c>
      <c r="L87" s="7">
        <f>0+'[2]táj.2'!L87</f>
        <v>0</v>
      </c>
      <c r="M87" s="7">
        <f>0+'[2]táj.2'!M87</f>
        <v>0</v>
      </c>
      <c r="N87" s="7">
        <f>0+'[2]táj.2'!N87</f>
        <v>0</v>
      </c>
      <c r="O87" s="7">
        <f>0+'[2]táj.2'!O87</f>
        <v>0</v>
      </c>
      <c r="P87" s="7">
        <f>0+'[2]táj.2'!P87</f>
        <v>0</v>
      </c>
      <c r="Q87" s="7">
        <f aca="true" t="shared" si="6" ref="Q87:Q95">SUM(G87:P87)</f>
        <v>1800</v>
      </c>
    </row>
    <row r="88" spans="1:17" ht="12">
      <c r="A88" s="198"/>
      <c r="B88" s="198"/>
      <c r="C88" s="237"/>
      <c r="D88" s="238" t="s">
        <v>701</v>
      </c>
      <c r="E88" s="207">
        <v>2</v>
      </c>
      <c r="F88" s="7">
        <v>131402</v>
      </c>
      <c r="G88" s="7">
        <f>0+'[2]táj.2'!G88</f>
        <v>0</v>
      </c>
      <c r="H88" s="7">
        <f>0+'[2]táj.2'!H88</f>
        <v>0</v>
      </c>
      <c r="I88" s="7">
        <f>0+'[2]táj.2'!I88</f>
        <v>0</v>
      </c>
      <c r="J88" s="7">
        <f>0+'[2]táj.2'!J88</f>
        <v>0</v>
      </c>
      <c r="K88" s="7">
        <f>5000+'[2]táj.2'!K88</f>
        <v>5000</v>
      </c>
      <c r="L88" s="7">
        <f>0+'[2]táj.2'!L88</f>
        <v>0</v>
      </c>
      <c r="M88" s="7">
        <f>0+'[2]táj.2'!M88</f>
        <v>0</v>
      </c>
      <c r="N88" s="7">
        <f>0+'[2]táj.2'!N88</f>
        <v>0</v>
      </c>
      <c r="O88" s="7">
        <f>0+'[2]táj.2'!O88</f>
        <v>0</v>
      </c>
      <c r="P88" s="7">
        <f>0+'[2]táj.2'!P88</f>
        <v>0</v>
      </c>
      <c r="Q88" s="7">
        <f t="shared" si="6"/>
        <v>5000</v>
      </c>
    </row>
    <row r="89" spans="1:17" ht="12">
      <c r="A89" s="198"/>
      <c r="B89" s="198"/>
      <c r="C89" s="214"/>
      <c r="D89" s="211" t="s">
        <v>702</v>
      </c>
      <c r="E89" s="207">
        <v>2</v>
      </c>
      <c r="F89" s="7">
        <v>131403</v>
      </c>
      <c r="G89" s="7">
        <f>0+'[2]táj.2'!G89</f>
        <v>0</v>
      </c>
      <c r="H89" s="7">
        <f>0+'[2]táj.2'!H89</f>
        <v>0</v>
      </c>
      <c r="I89" s="7">
        <f>0+'[2]táj.2'!I89</f>
        <v>0</v>
      </c>
      <c r="J89" s="7">
        <f>0+'[2]táj.2'!J89</f>
        <v>0</v>
      </c>
      <c r="K89" s="7">
        <f>10500+'[2]táj.2'!K89</f>
        <v>10500</v>
      </c>
      <c r="L89" s="7">
        <f>0+'[2]táj.2'!L89</f>
        <v>0</v>
      </c>
      <c r="M89" s="7">
        <f>0+'[2]táj.2'!M89</f>
        <v>0</v>
      </c>
      <c r="N89" s="7">
        <f>0+'[2]táj.2'!N89</f>
        <v>0</v>
      </c>
      <c r="O89" s="7">
        <f>0+'[2]táj.2'!O89</f>
        <v>0</v>
      </c>
      <c r="P89" s="7">
        <f>0+'[2]táj.2'!P89</f>
        <v>0</v>
      </c>
      <c r="Q89" s="7">
        <f t="shared" si="6"/>
        <v>10500</v>
      </c>
    </row>
    <row r="90" spans="1:17" ht="12">
      <c r="A90" s="198"/>
      <c r="B90" s="198"/>
      <c r="C90" s="214"/>
      <c r="D90" s="211" t="s">
        <v>703</v>
      </c>
      <c r="E90" s="207">
        <v>2</v>
      </c>
      <c r="F90" s="7">
        <v>131404</v>
      </c>
      <c r="G90" s="7">
        <f>0+'[2]táj.2'!G90</f>
        <v>0</v>
      </c>
      <c r="H90" s="7">
        <f>0+'[2]táj.2'!H90</f>
        <v>0</v>
      </c>
      <c r="I90" s="7">
        <f>0+'[2]táj.2'!I90</f>
        <v>0</v>
      </c>
      <c r="J90" s="7">
        <f>0+'[2]táj.2'!J90</f>
        <v>0</v>
      </c>
      <c r="K90" s="7">
        <f>7000+'[2]táj.2'!K90</f>
        <v>7000</v>
      </c>
      <c r="L90" s="7">
        <f>0+'[2]táj.2'!L90</f>
        <v>0</v>
      </c>
      <c r="M90" s="7">
        <f>0+'[2]táj.2'!M90</f>
        <v>0</v>
      </c>
      <c r="N90" s="7">
        <f>0+'[2]táj.2'!N90</f>
        <v>0</v>
      </c>
      <c r="O90" s="7">
        <f>0+'[2]táj.2'!O90</f>
        <v>0</v>
      </c>
      <c r="P90" s="7">
        <f>0+'[2]táj.2'!P90</f>
        <v>0</v>
      </c>
      <c r="Q90" s="7">
        <f t="shared" si="6"/>
        <v>7000</v>
      </c>
    </row>
    <row r="91" spans="1:17" ht="12">
      <c r="A91" s="198"/>
      <c r="B91" s="198"/>
      <c r="C91" s="214"/>
      <c r="D91" s="211" t="s">
        <v>704</v>
      </c>
      <c r="E91" s="207">
        <v>2</v>
      </c>
      <c r="F91" s="7">
        <v>131330</v>
      </c>
      <c r="G91" s="7">
        <f>0+'[2]táj.2'!G91</f>
        <v>0</v>
      </c>
      <c r="H91" s="7">
        <f>0+'[2]táj.2'!H91</f>
        <v>0</v>
      </c>
      <c r="I91" s="7">
        <f>0+'[2]táj.2'!I91</f>
        <v>0</v>
      </c>
      <c r="J91" s="7">
        <f>0+'[2]táj.2'!J91</f>
        <v>0</v>
      </c>
      <c r="K91" s="7">
        <f>3000+'[2]táj.2'!K91</f>
        <v>3000</v>
      </c>
      <c r="L91" s="7">
        <f>0+'[2]táj.2'!L91</f>
        <v>0</v>
      </c>
      <c r="M91" s="7">
        <f>0+'[2]táj.2'!M91</f>
        <v>0</v>
      </c>
      <c r="N91" s="7">
        <f>0+'[2]táj.2'!N91</f>
        <v>0</v>
      </c>
      <c r="O91" s="7">
        <f>0+'[2]táj.2'!O91</f>
        <v>0</v>
      </c>
      <c r="P91" s="7">
        <f>0+'[2]táj.2'!P91</f>
        <v>0</v>
      </c>
      <c r="Q91" s="7">
        <f t="shared" si="6"/>
        <v>3000</v>
      </c>
    </row>
    <row r="92" spans="1:17" ht="12">
      <c r="A92" s="198"/>
      <c r="B92" s="198"/>
      <c r="C92" s="214"/>
      <c r="D92" s="211" t="s">
        <v>705</v>
      </c>
      <c r="E92" s="207">
        <v>2</v>
      </c>
      <c r="F92" s="7">
        <v>131507</v>
      </c>
      <c r="G92" s="7">
        <f>0+'[2]táj.2'!G92</f>
        <v>0</v>
      </c>
      <c r="H92" s="7">
        <f>0+'[2]táj.2'!H92</f>
        <v>0</v>
      </c>
      <c r="I92" s="7">
        <f>0+'[2]táj.2'!I92</f>
        <v>0</v>
      </c>
      <c r="J92" s="7">
        <f>0+'[2]táj.2'!J92</f>
        <v>0</v>
      </c>
      <c r="K92" s="7">
        <f>2000+'[2]táj.2'!K92</f>
        <v>2000</v>
      </c>
      <c r="L92" s="7">
        <f>0+'[2]táj.2'!L92</f>
        <v>0</v>
      </c>
      <c r="M92" s="7">
        <f>0+'[2]táj.2'!M92</f>
        <v>0</v>
      </c>
      <c r="N92" s="7">
        <f>0+'[2]táj.2'!N92</f>
        <v>0</v>
      </c>
      <c r="O92" s="7">
        <f>0+'[2]táj.2'!O92</f>
        <v>0</v>
      </c>
      <c r="P92" s="7">
        <f>0+'[2]táj.2'!P92</f>
        <v>0</v>
      </c>
      <c r="Q92" s="7">
        <f t="shared" si="6"/>
        <v>2000</v>
      </c>
    </row>
    <row r="93" spans="1:17" ht="12">
      <c r="A93" s="198"/>
      <c r="B93" s="198"/>
      <c r="C93" s="237"/>
      <c r="D93" s="239" t="s">
        <v>706</v>
      </c>
      <c r="E93" s="207">
        <v>2</v>
      </c>
      <c r="F93" s="7">
        <v>171943</v>
      </c>
      <c r="G93" s="7">
        <f>0+'[2]táj.2'!G93</f>
        <v>0</v>
      </c>
      <c r="H93" s="7">
        <f>0+'[2]táj.2'!H93</f>
        <v>0</v>
      </c>
      <c r="I93" s="7">
        <f>0+'[2]táj.2'!I93</f>
        <v>0</v>
      </c>
      <c r="J93" s="7">
        <f>0+'[2]táj.2'!J93</f>
        <v>0</v>
      </c>
      <c r="K93" s="7">
        <f>400+'[2]táj.2'!K93</f>
        <v>400</v>
      </c>
      <c r="L93" s="7">
        <f>0+'[2]táj.2'!L93</f>
        <v>0</v>
      </c>
      <c r="M93" s="7">
        <f>0+'[2]táj.2'!M93</f>
        <v>0</v>
      </c>
      <c r="N93" s="7">
        <f>0+'[2]táj.2'!N93</f>
        <v>0</v>
      </c>
      <c r="O93" s="7">
        <f>0+'[2]táj.2'!O93</f>
        <v>0</v>
      </c>
      <c r="P93" s="7">
        <f>0+'[2]táj.2'!P93</f>
        <v>0</v>
      </c>
      <c r="Q93" s="7">
        <f t="shared" si="6"/>
        <v>400</v>
      </c>
    </row>
    <row r="94" spans="1:17" ht="12">
      <c r="A94" s="198"/>
      <c r="B94" s="198"/>
      <c r="C94" s="198"/>
      <c r="D94" s="211" t="s">
        <v>707</v>
      </c>
      <c r="E94" s="207">
        <v>2</v>
      </c>
      <c r="F94" s="7">
        <v>131409</v>
      </c>
      <c r="G94" s="7">
        <f>0+'[2]táj.2'!G94</f>
        <v>0</v>
      </c>
      <c r="H94" s="7">
        <f>0+'[2]táj.2'!H94</f>
        <v>0</v>
      </c>
      <c r="I94" s="7">
        <f>0+'[2]táj.2'!I94</f>
        <v>0</v>
      </c>
      <c r="J94" s="7">
        <f>0+'[2]táj.2'!J94</f>
        <v>0</v>
      </c>
      <c r="K94" s="7">
        <f>0+'[2]táj.2'!K94</f>
        <v>0</v>
      </c>
      <c r="L94" s="7">
        <f>0+'[2]táj.2'!L94</f>
        <v>0</v>
      </c>
      <c r="M94" s="7">
        <f>0+'[2]táj.2'!M94</f>
        <v>0</v>
      </c>
      <c r="N94" s="7">
        <f>0+'[2]táj.2'!N94</f>
        <v>0</v>
      </c>
      <c r="O94" s="7">
        <f>0+'[2]táj.2'!O94</f>
        <v>0</v>
      </c>
      <c r="P94" s="7">
        <f>0+'[2]táj.2'!P94</f>
        <v>0</v>
      </c>
      <c r="Q94" s="7">
        <f t="shared" si="6"/>
        <v>0</v>
      </c>
    </row>
    <row r="95" spans="1:17" ht="12">
      <c r="A95" s="198"/>
      <c r="B95" s="198"/>
      <c r="C95" s="198"/>
      <c r="D95" s="211" t="s">
        <v>708</v>
      </c>
      <c r="E95" s="207">
        <v>2</v>
      </c>
      <c r="F95" s="7">
        <v>131410</v>
      </c>
      <c r="G95" s="7">
        <f>0+'[2]táj.2'!G95</f>
        <v>0</v>
      </c>
      <c r="H95" s="7">
        <f>0+'[2]táj.2'!H95</f>
        <v>0</v>
      </c>
      <c r="I95" s="7">
        <f>0+'[2]táj.2'!I95</f>
        <v>0</v>
      </c>
      <c r="J95" s="7">
        <f>0+'[2]táj.2'!J95</f>
        <v>0</v>
      </c>
      <c r="K95" s="7">
        <f>300+'[2]táj.2'!K95</f>
        <v>300</v>
      </c>
      <c r="L95" s="7">
        <f>0+'[2]táj.2'!L95</f>
        <v>0</v>
      </c>
      <c r="M95" s="7">
        <f>0+'[2]táj.2'!M95</f>
        <v>0</v>
      </c>
      <c r="N95" s="7">
        <f>0+'[2]táj.2'!N95</f>
        <v>0</v>
      </c>
      <c r="O95" s="7">
        <f>0+'[2]táj.2'!O95</f>
        <v>0</v>
      </c>
      <c r="P95" s="7">
        <f>0+'[2]táj.2'!P95</f>
        <v>0</v>
      </c>
      <c r="Q95" s="7">
        <f t="shared" si="6"/>
        <v>300</v>
      </c>
    </row>
    <row r="96" spans="1:17" ht="12">
      <c r="A96" s="198"/>
      <c r="B96" s="198"/>
      <c r="C96" s="214"/>
      <c r="D96" s="227" t="s">
        <v>709</v>
      </c>
      <c r="E96" s="232"/>
      <c r="F96" s="23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">
      <c r="A97" s="198"/>
      <c r="B97" s="198"/>
      <c r="C97" s="214"/>
      <c r="D97" s="227" t="s">
        <v>710</v>
      </c>
      <c r="E97" s="240">
        <v>2</v>
      </c>
      <c r="F97" s="29">
        <v>131502</v>
      </c>
      <c r="G97" s="7">
        <f>0+'[2]táj.2'!G97</f>
        <v>0</v>
      </c>
      <c r="H97" s="7">
        <f>0+'[2]táj.2'!H97</f>
        <v>0</v>
      </c>
      <c r="I97" s="7">
        <f>0+'[2]táj.2'!I97</f>
        <v>0</v>
      </c>
      <c r="J97" s="7">
        <f>600+'[2]táj.2'!J97</f>
        <v>600</v>
      </c>
      <c r="K97" s="7">
        <f>0+'[2]táj.2'!K97</f>
        <v>0</v>
      </c>
      <c r="L97" s="7">
        <f>0+'[2]táj.2'!L97</f>
        <v>0</v>
      </c>
      <c r="M97" s="7">
        <f>0+'[2]táj.2'!M97</f>
        <v>0</v>
      </c>
      <c r="N97" s="7">
        <f>0+'[2]táj.2'!N97</f>
        <v>0</v>
      </c>
      <c r="O97" s="7">
        <f>0+'[2]táj.2'!O97</f>
        <v>0</v>
      </c>
      <c r="P97" s="7">
        <f>0+'[2]táj.2'!P97</f>
        <v>0</v>
      </c>
      <c r="Q97" s="7">
        <f>SUM(G97:P97)</f>
        <v>600</v>
      </c>
    </row>
    <row r="98" spans="1:17" ht="12.75">
      <c r="A98" s="198"/>
      <c r="B98" s="198"/>
      <c r="C98" s="214"/>
      <c r="D98" s="645" t="s">
        <v>711</v>
      </c>
      <c r="E98" s="241"/>
      <c r="F98" s="24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">
      <c r="A99" s="198"/>
      <c r="B99" s="198"/>
      <c r="C99" s="214"/>
      <c r="D99" s="4" t="s">
        <v>712</v>
      </c>
      <c r="E99" s="226"/>
      <c r="F99" s="20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">
      <c r="A100" s="198"/>
      <c r="B100" s="198"/>
      <c r="C100" s="214"/>
      <c r="D100" s="206" t="s">
        <v>713</v>
      </c>
      <c r="E100" s="207">
        <v>1</v>
      </c>
      <c r="F100" s="7">
        <v>131703</v>
      </c>
      <c r="G100" s="7">
        <f>0+'[2]táj.2'!G100</f>
        <v>0</v>
      </c>
      <c r="H100" s="7">
        <f>0+'[2]táj.2'!H100</f>
        <v>0</v>
      </c>
      <c r="I100" s="7">
        <f>10500+'[2]táj.2'!I100</f>
        <v>10500</v>
      </c>
      <c r="J100" s="7">
        <f>0+'[2]táj.2'!J100</f>
        <v>0</v>
      </c>
      <c r="K100" s="7">
        <f>0+'[2]táj.2'!K100</f>
        <v>0</v>
      </c>
      <c r="L100" s="7">
        <f>0+'[2]táj.2'!L100</f>
        <v>0</v>
      </c>
      <c r="M100" s="7">
        <f>0+'[2]táj.2'!M100</f>
        <v>0</v>
      </c>
      <c r="N100" s="7">
        <f>0+'[2]táj.2'!N100</f>
        <v>0</v>
      </c>
      <c r="O100" s="7">
        <f>0+'[2]táj.2'!O100</f>
        <v>0</v>
      </c>
      <c r="P100" s="7">
        <f>0+'[2]táj.2'!P100</f>
        <v>0</v>
      </c>
      <c r="Q100" s="7">
        <f>SUM(G100:P100)</f>
        <v>10500</v>
      </c>
    </row>
    <row r="101" spans="1:17" ht="12">
      <c r="A101" s="198"/>
      <c r="B101" s="198"/>
      <c r="C101" s="214"/>
      <c r="D101" s="210" t="s">
        <v>714</v>
      </c>
      <c r="E101" s="207">
        <v>1</v>
      </c>
      <c r="F101" s="7">
        <v>121319</v>
      </c>
      <c r="G101" s="7">
        <f>0+'[2]táj.2'!G101</f>
        <v>0</v>
      </c>
      <c r="H101" s="7">
        <f>0+'[2]táj.2'!H101</f>
        <v>0</v>
      </c>
      <c r="I101" s="7">
        <f>3303+'[2]táj.2'!I101</f>
        <v>3303</v>
      </c>
      <c r="J101" s="7">
        <f>0+'[2]táj.2'!J101</f>
        <v>0</v>
      </c>
      <c r="K101" s="7">
        <f>0+'[2]táj.2'!K101</f>
        <v>0</v>
      </c>
      <c r="L101" s="7">
        <f>0+'[2]táj.2'!L101</f>
        <v>0</v>
      </c>
      <c r="M101" s="7">
        <f>0+'[2]táj.2'!M101</f>
        <v>0</v>
      </c>
      <c r="N101" s="7">
        <f>0+'[2]táj.2'!N101</f>
        <v>0</v>
      </c>
      <c r="O101" s="7">
        <f>0+'[2]táj.2'!O101</f>
        <v>0</v>
      </c>
      <c r="P101" s="7">
        <f>0+'[2]táj.2'!P101</f>
        <v>0</v>
      </c>
      <c r="Q101" s="7">
        <f>SUM(G101:P101)</f>
        <v>3303</v>
      </c>
    </row>
    <row r="102" spans="1:17" ht="24">
      <c r="A102" s="198"/>
      <c r="B102" s="198"/>
      <c r="C102" s="214"/>
      <c r="D102" s="243" t="s">
        <v>715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">
      <c r="A103" s="198"/>
      <c r="B103" s="198"/>
      <c r="C103" s="214"/>
      <c r="D103" s="243" t="s">
        <v>716</v>
      </c>
      <c r="E103" s="7">
        <v>2</v>
      </c>
      <c r="F103" s="7">
        <v>131506</v>
      </c>
      <c r="G103" s="7">
        <f>600+'[2]táj.2'!G103</f>
        <v>600</v>
      </c>
      <c r="H103" s="7">
        <f>285+'[2]táj.2'!H103</f>
        <v>285</v>
      </c>
      <c r="I103" s="7">
        <f>1365+'[2]táj.2'!I103</f>
        <v>1365</v>
      </c>
      <c r="J103" s="7">
        <f>0+'[2]táj.2'!J103</f>
        <v>0</v>
      </c>
      <c r="K103" s="7">
        <f>0+'[2]táj.2'!K103</f>
        <v>0</v>
      </c>
      <c r="L103" s="7">
        <f>0+'[2]táj.2'!L103</f>
        <v>0</v>
      </c>
      <c r="M103" s="7">
        <f>0+'[2]táj.2'!M103</f>
        <v>0</v>
      </c>
      <c r="N103" s="7">
        <f>0+'[2]táj.2'!N103</f>
        <v>0</v>
      </c>
      <c r="O103" s="7">
        <f>0+'[2]táj.2'!O103</f>
        <v>0</v>
      </c>
      <c r="P103" s="7">
        <f>0+'[2]táj.2'!P103</f>
        <v>0</v>
      </c>
      <c r="Q103" s="7">
        <f>SUM(G103:P103)</f>
        <v>2250</v>
      </c>
    </row>
    <row r="104" spans="1:17" ht="12">
      <c r="A104" s="198"/>
      <c r="B104" s="198"/>
      <c r="C104" s="214"/>
      <c r="D104" s="211" t="s">
        <v>717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">
      <c r="A105" s="198"/>
      <c r="B105" s="198"/>
      <c r="C105" s="214"/>
      <c r="D105" s="211" t="s">
        <v>68</v>
      </c>
      <c r="E105" s="7">
        <v>2</v>
      </c>
      <c r="F105" s="7">
        <v>131707</v>
      </c>
      <c r="G105" s="7">
        <f>0+'[2]táj.2'!G105</f>
        <v>0</v>
      </c>
      <c r="H105" s="7">
        <f>0+'[2]táj.2'!H105</f>
        <v>0</v>
      </c>
      <c r="I105" s="7">
        <f>0+'[2]táj.2'!I105</f>
        <v>0</v>
      </c>
      <c r="J105" s="7">
        <f>0+'[2]táj.2'!J105</f>
        <v>0</v>
      </c>
      <c r="K105" s="7">
        <f>11500+'[2]táj.2'!K105</f>
        <v>11500</v>
      </c>
      <c r="L105" s="7">
        <f>0+'[2]táj.2'!L105</f>
        <v>0</v>
      </c>
      <c r="M105" s="7">
        <f>0+'[2]táj.2'!M105</f>
        <v>0</v>
      </c>
      <c r="N105" s="7">
        <f>0+'[2]táj.2'!N105</f>
        <v>0</v>
      </c>
      <c r="O105" s="7">
        <f>0+'[2]táj.2'!O105</f>
        <v>0</v>
      </c>
      <c r="P105" s="7">
        <f>0+'[2]táj.2'!P105</f>
        <v>0</v>
      </c>
      <c r="Q105" s="7">
        <f>SUM(G105:P105)</f>
        <v>11500</v>
      </c>
    </row>
    <row r="106" spans="1:17" ht="12">
      <c r="A106" s="198"/>
      <c r="B106" s="198"/>
      <c r="C106" s="214"/>
      <c r="D106" s="211" t="s">
        <v>718</v>
      </c>
      <c r="E106" s="7">
        <v>2</v>
      </c>
      <c r="F106" s="7">
        <v>131713</v>
      </c>
      <c r="G106" s="7">
        <f>0+'[2]táj.2'!G106</f>
        <v>0</v>
      </c>
      <c r="H106" s="7">
        <f>0+'[2]táj.2'!H106</f>
        <v>0</v>
      </c>
      <c r="I106" s="7">
        <f>0+'[2]táj.2'!I106</f>
        <v>0</v>
      </c>
      <c r="J106" s="7">
        <f>0+'[2]táj.2'!J106</f>
        <v>0</v>
      </c>
      <c r="K106" s="7">
        <f>3000+'[2]táj.2'!K106</f>
        <v>3000</v>
      </c>
      <c r="L106" s="7">
        <f>0+'[2]táj.2'!L106</f>
        <v>0</v>
      </c>
      <c r="M106" s="7">
        <f>0+'[2]táj.2'!M106</f>
        <v>0</v>
      </c>
      <c r="N106" s="7">
        <f>0+'[2]táj.2'!N106</f>
        <v>0</v>
      </c>
      <c r="O106" s="7">
        <f>0+'[2]táj.2'!O106</f>
        <v>0</v>
      </c>
      <c r="P106" s="7">
        <f>0+'[2]táj.2'!P106</f>
        <v>0</v>
      </c>
      <c r="Q106" s="7">
        <f>SUM(G106:P106)</f>
        <v>3000</v>
      </c>
    </row>
    <row r="107" spans="1:17" ht="12.75">
      <c r="A107" s="198"/>
      <c r="B107" s="198"/>
      <c r="C107" s="214"/>
      <c r="D107" s="171" t="s">
        <v>650</v>
      </c>
      <c r="E107" s="180"/>
      <c r="F107" s="23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198"/>
      <c r="B108" s="198"/>
      <c r="C108" s="214"/>
      <c r="D108" s="211" t="s">
        <v>719</v>
      </c>
      <c r="E108" s="169">
        <v>2</v>
      </c>
      <c r="F108" s="7">
        <v>131706</v>
      </c>
      <c r="G108" s="7">
        <f>450+'[2]táj.2'!G108</f>
        <v>450</v>
      </c>
      <c r="H108" s="7">
        <f>200+'[2]táj.2'!H108</f>
        <v>200</v>
      </c>
      <c r="I108" s="7">
        <f>600+'[2]táj.2'!I108</f>
        <v>600</v>
      </c>
      <c r="J108" s="7">
        <f>0+'[2]táj.2'!J108</f>
        <v>0</v>
      </c>
      <c r="K108" s="7">
        <f>1350+'[2]táj.2'!K108</f>
        <v>1350</v>
      </c>
      <c r="L108" s="7">
        <f>0+'[2]táj.2'!L108</f>
        <v>0</v>
      </c>
      <c r="M108" s="7">
        <f>0+'[2]táj.2'!M108</f>
        <v>0</v>
      </c>
      <c r="N108" s="7">
        <f>0+'[2]táj.2'!N108</f>
        <v>0</v>
      </c>
      <c r="O108" s="7">
        <f>0+'[2]táj.2'!O108</f>
        <v>0</v>
      </c>
      <c r="P108" s="7">
        <f>0+'[2]táj.2'!P108</f>
        <v>0</v>
      </c>
      <c r="Q108" s="7">
        <f>SUM(G108:P108)</f>
        <v>2600</v>
      </c>
    </row>
    <row r="109" spans="1:17" ht="12.75">
      <c r="A109" s="198"/>
      <c r="B109" s="198"/>
      <c r="C109" s="214"/>
      <c r="D109" s="211" t="s">
        <v>720</v>
      </c>
      <c r="E109" s="169">
        <v>2</v>
      </c>
      <c r="F109" s="7">
        <v>131712</v>
      </c>
      <c r="G109" s="7">
        <f>0+'[2]táj.2'!G109</f>
        <v>0</v>
      </c>
      <c r="H109" s="7">
        <f>0+'[2]táj.2'!H109</f>
        <v>0</v>
      </c>
      <c r="I109" s="7">
        <f>1900+'[2]táj.2'!I109</f>
        <v>1900</v>
      </c>
      <c r="J109" s="7">
        <f>0+'[2]táj.2'!J109</f>
        <v>0</v>
      </c>
      <c r="K109" s="7">
        <f>0+'[2]táj.2'!K109</f>
        <v>0</v>
      </c>
      <c r="L109" s="7">
        <f>0+'[2]táj.2'!L109</f>
        <v>0</v>
      </c>
      <c r="M109" s="7">
        <f>0+'[2]táj.2'!M109</f>
        <v>0</v>
      </c>
      <c r="N109" s="7">
        <f>0+'[2]táj.2'!N109</f>
        <v>0</v>
      </c>
      <c r="O109" s="7">
        <f>0+'[2]táj.2'!O109</f>
        <v>0</v>
      </c>
      <c r="P109" s="7">
        <f>0+'[2]táj.2'!P109</f>
        <v>0</v>
      </c>
      <c r="Q109" s="7">
        <f>SUM(G109:P109)</f>
        <v>1900</v>
      </c>
    </row>
    <row r="110" spans="1:17" ht="12.75">
      <c r="A110" s="198"/>
      <c r="B110" s="198"/>
      <c r="C110" s="214"/>
      <c r="D110" s="171" t="s">
        <v>721</v>
      </c>
      <c r="E110" s="169">
        <v>2</v>
      </c>
      <c r="F110" s="7">
        <v>131714</v>
      </c>
      <c r="G110" s="7">
        <f>0+'[2]táj.2'!G110</f>
        <v>0</v>
      </c>
      <c r="H110" s="7">
        <f>0+'[2]táj.2'!H110</f>
        <v>0</v>
      </c>
      <c r="I110" s="7">
        <f>0+'[2]táj.2'!I110</f>
        <v>0</v>
      </c>
      <c r="J110" s="7">
        <f>0+'[2]táj.2'!J110</f>
        <v>0</v>
      </c>
      <c r="K110" s="7">
        <f>3000+'[2]táj.2'!K110</f>
        <v>3000</v>
      </c>
      <c r="L110" s="7">
        <f>0+'[2]táj.2'!L110</f>
        <v>0</v>
      </c>
      <c r="M110" s="7">
        <f>0+'[2]táj.2'!M110</f>
        <v>0</v>
      </c>
      <c r="N110" s="7">
        <f>0+'[2]táj.2'!N110</f>
        <v>0</v>
      </c>
      <c r="O110" s="7">
        <f>0+'[2]táj.2'!O110</f>
        <v>0</v>
      </c>
      <c r="P110" s="7">
        <f>0+'[2]táj.2'!P110</f>
        <v>0</v>
      </c>
      <c r="Q110" s="7">
        <f>SUM(G110:P110)</f>
        <v>3000</v>
      </c>
    </row>
    <row r="111" spans="1:17" ht="24">
      <c r="A111" s="198"/>
      <c r="B111" s="198"/>
      <c r="C111" s="214"/>
      <c r="D111" s="171" t="s">
        <v>69</v>
      </c>
      <c r="E111" s="16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198"/>
      <c r="B112" s="198"/>
      <c r="C112" s="214"/>
      <c r="D112" s="171" t="s">
        <v>70</v>
      </c>
      <c r="E112" s="169">
        <v>1</v>
      </c>
      <c r="F112" s="7">
        <v>131716</v>
      </c>
      <c r="G112" s="7">
        <f>0+'[2]táj.2'!G112</f>
        <v>0</v>
      </c>
      <c r="H112" s="7">
        <f>0+'[2]táj.2'!H112</f>
        <v>0</v>
      </c>
      <c r="I112" s="7">
        <f>38659+'[2]táj.2'!I112</f>
        <v>38659</v>
      </c>
      <c r="J112" s="7">
        <f>0+'[2]táj.2'!J112</f>
        <v>0</v>
      </c>
      <c r="K112" s="7">
        <f>11341+'[2]táj.2'!K112</f>
        <v>11341</v>
      </c>
      <c r="L112" s="7">
        <f>0+'[2]táj.2'!L112</f>
        <v>0</v>
      </c>
      <c r="M112" s="7">
        <f>0+'[2]táj.2'!M112</f>
        <v>0</v>
      </c>
      <c r="N112" s="7">
        <f>0+'[2]táj.2'!N112</f>
        <v>0</v>
      </c>
      <c r="O112" s="7">
        <f>0+'[2]táj.2'!O112</f>
        <v>0</v>
      </c>
      <c r="P112" s="7">
        <f>0+'[2]táj.2'!P112</f>
        <v>0</v>
      </c>
      <c r="Q112" s="7">
        <f>SUM(G112:P112)</f>
        <v>50000</v>
      </c>
    </row>
    <row r="113" spans="1:17" ht="12.75">
      <c r="A113" s="198"/>
      <c r="B113" s="198"/>
      <c r="C113" s="214"/>
      <c r="D113" s="7" t="s">
        <v>699</v>
      </c>
      <c r="E113" s="24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198"/>
      <c r="B114" s="198"/>
      <c r="C114" s="214"/>
      <c r="D114" s="211" t="s">
        <v>722</v>
      </c>
      <c r="E114" s="169">
        <v>2</v>
      </c>
      <c r="F114" s="7">
        <v>128901</v>
      </c>
      <c r="G114" s="7">
        <f>0+'[2]táj.2'!G114</f>
        <v>0</v>
      </c>
      <c r="H114" s="7">
        <f>0+'[2]táj.2'!H114</f>
        <v>0</v>
      </c>
      <c r="I114" s="7">
        <f>0+'[2]táj.2'!I114</f>
        <v>0</v>
      </c>
      <c r="J114" s="7">
        <f>0+'[2]táj.2'!J114</f>
        <v>0</v>
      </c>
      <c r="K114" s="7">
        <f>2500+'[2]táj.2'!K114</f>
        <v>2500</v>
      </c>
      <c r="L114" s="7">
        <f>0+'[2]táj.2'!L114</f>
        <v>0</v>
      </c>
      <c r="M114" s="7">
        <f>0+'[2]táj.2'!M114</f>
        <v>0</v>
      </c>
      <c r="N114" s="7">
        <f>0+'[2]táj.2'!N114</f>
        <v>0</v>
      </c>
      <c r="O114" s="7">
        <f>0+'[2]táj.2'!O114</f>
        <v>0</v>
      </c>
      <c r="P114" s="7">
        <f>0+'[2]táj.2'!P114</f>
        <v>0</v>
      </c>
      <c r="Q114" s="7">
        <f>SUM(G114:P114)</f>
        <v>2500</v>
      </c>
    </row>
    <row r="115" spans="1:17" ht="12">
      <c r="A115" s="198"/>
      <c r="B115" s="198"/>
      <c r="C115" s="214"/>
      <c r="D115" s="245" t="s">
        <v>723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">
      <c r="A116" s="198"/>
      <c r="B116" s="198"/>
      <c r="C116" s="214"/>
      <c r="D116" s="210" t="s">
        <v>724</v>
      </c>
      <c r="E116" s="207"/>
      <c r="F116" s="20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">
      <c r="A117" s="198"/>
      <c r="B117" s="198"/>
      <c r="C117" s="214"/>
      <c r="D117" s="211" t="s">
        <v>725</v>
      </c>
      <c r="E117" s="7">
        <v>2</v>
      </c>
      <c r="F117" s="7">
        <v>131803</v>
      </c>
      <c r="G117" s="7">
        <f>0+'[2]táj.2'!G117</f>
        <v>0</v>
      </c>
      <c r="H117" s="7">
        <f>0+'[2]táj.2'!H117</f>
        <v>0</v>
      </c>
      <c r="I117" s="7">
        <f>0+'[2]táj.2'!I117</f>
        <v>0</v>
      </c>
      <c r="J117" s="7">
        <f>0+'[2]táj.2'!J117</f>
        <v>0</v>
      </c>
      <c r="K117" s="7">
        <f>150000+'[2]táj.2'!K117</f>
        <v>150000</v>
      </c>
      <c r="L117" s="7">
        <f>0+'[2]táj.2'!L117</f>
        <v>0</v>
      </c>
      <c r="M117" s="7">
        <f>0+'[2]táj.2'!M117</f>
        <v>0</v>
      </c>
      <c r="N117" s="7">
        <f>0+'[2]táj.2'!N117</f>
        <v>0</v>
      </c>
      <c r="O117" s="7">
        <f>0+'[2]táj.2'!O117</f>
        <v>0</v>
      </c>
      <c r="P117" s="7">
        <f>0+'[2]táj.2'!P117</f>
        <v>0</v>
      </c>
      <c r="Q117" s="7">
        <f>SUM(G117:P117)</f>
        <v>150000</v>
      </c>
    </row>
    <row r="118" spans="1:17" ht="12">
      <c r="A118" s="198"/>
      <c r="B118" s="198"/>
      <c r="C118" s="214"/>
      <c r="D118" s="211" t="s">
        <v>726</v>
      </c>
      <c r="E118" s="7">
        <v>2</v>
      </c>
      <c r="F118" s="7">
        <v>131804</v>
      </c>
      <c r="G118" s="7">
        <f>0+'[2]táj.2'!G118</f>
        <v>0</v>
      </c>
      <c r="H118" s="7">
        <f>0+'[2]táj.2'!H118</f>
        <v>0</v>
      </c>
      <c r="I118" s="7">
        <f>0+'[2]táj.2'!I118</f>
        <v>0</v>
      </c>
      <c r="J118" s="7">
        <f>0+'[2]táj.2'!J118</f>
        <v>0</v>
      </c>
      <c r="K118" s="7">
        <f>65000+'[2]táj.2'!K118</f>
        <v>65000</v>
      </c>
      <c r="L118" s="7">
        <f>0+'[2]táj.2'!L118</f>
        <v>0</v>
      </c>
      <c r="M118" s="7">
        <f>0+'[2]táj.2'!M118</f>
        <v>0</v>
      </c>
      <c r="N118" s="7">
        <f>0+'[2]táj.2'!N118</f>
        <v>0</v>
      </c>
      <c r="O118" s="7">
        <f>0+'[2]táj.2'!O118</f>
        <v>0</v>
      </c>
      <c r="P118" s="7">
        <f>0+'[2]táj.2'!P118</f>
        <v>0</v>
      </c>
      <c r="Q118" s="7">
        <f>SUM(G118:P118)</f>
        <v>65000</v>
      </c>
    </row>
    <row r="119" spans="1:17" ht="12">
      <c r="A119" s="198"/>
      <c r="B119" s="198"/>
      <c r="C119" s="214"/>
      <c r="D119" s="211" t="s">
        <v>727</v>
      </c>
      <c r="E119" s="7">
        <v>2</v>
      </c>
      <c r="F119" s="7">
        <v>131805</v>
      </c>
      <c r="G119" s="7">
        <f>0+'[2]táj.2'!G119</f>
        <v>0</v>
      </c>
      <c r="H119" s="7">
        <f>0+'[2]táj.2'!H119</f>
        <v>0</v>
      </c>
      <c r="I119" s="7">
        <f>0+'[2]táj.2'!I119</f>
        <v>0</v>
      </c>
      <c r="J119" s="7">
        <f>0+'[2]táj.2'!J119</f>
        <v>0</v>
      </c>
      <c r="K119" s="7">
        <f>10000+'[2]táj.2'!K119</f>
        <v>10000</v>
      </c>
      <c r="L119" s="7">
        <f>0+'[2]táj.2'!L119</f>
        <v>0</v>
      </c>
      <c r="M119" s="7">
        <f>0+'[2]táj.2'!M119</f>
        <v>0</v>
      </c>
      <c r="N119" s="7">
        <f>0+'[2]táj.2'!N119</f>
        <v>0</v>
      </c>
      <c r="O119" s="7">
        <f>0+'[2]táj.2'!O119</f>
        <v>0</v>
      </c>
      <c r="P119" s="7">
        <f>0+'[2]táj.2'!P119</f>
        <v>0</v>
      </c>
      <c r="Q119" s="7">
        <f>SUM(G119:P119)</f>
        <v>10000</v>
      </c>
    </row>
    <row r="120" spans="1:17" ht="12">
      <c r="A120" s="198"/>
      <c r="B120" s="198"/>
      <c r="C120" s="214"/>
      <c r="D120" s="210" t="s">
        <v>728</v>
      </c>
      <c r="E120" s="207"/>
      <c r="F120" s="20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">
      <c r="A121" s="198"/>
      <c r="B121" s="198"/>
      <c r="C121" s="214"/>
      <c r="D121" s="211" t="s">
        <v>729</v>
      </c>
      <c r="E121" s="207">
        <v>1</v>
      </c>
      <c r="F121" s="7">
        <v>131808</v>
      </c>
      <c r="G121" s="7">
        <f>400+'[2]táj.2'!G121</f>
        <v>400</v>
      </c>
      <c r="H121" s="7">
        <f>70+'[2]táj.2'!H121</f>
        <v>70</v>
      </c>
      <c r="I121" s="7">
        <f>1280+'[2]táj.2'!I121</f>
        <v>1280</v>
      </c>
      <c r="J121" s="7">
        <f>0+'[2]táj.2'!J121</f>
        <v>0</v>
      </c>
      <c r="K121" s="7">
        <f>0+'[2]táj.2'!K121</f>
        <v>0</v>
      </c>
      <c r="L121" s="7">
        <f>0+'[2]táj.2'!L121</f>
        <v>0</v>
      </c>
      <c r="M121" s="7">
        <f>0+'[2]táj.2'!M121</f>
        <v>0</v>
      </c>
      <c r="N121" s="7">
        <f>0+'[2]táj.2'!N121</f>
        <v>0</v>
      </c>
      <c r="O121" s="7">
        <f>0+'[2]táj.2'!O121</f>
        <v>0</v>
      </c>
      <c r="P121" s="7">
        <f>0+'[2]táj.2'!P121</f>
        <v>0</v>
      </c>
      <c r="Q121" s="7">
        <f>SUM(G121:P121)</f>
        <v>1750</v>
      </c>
    </row>
    <row r="122" spans="1:17" ht="12">
      <c r="A122" s="198"/>
      <c r="B122" s="198"/>
      <c r="C122" s="214"/>
      <c r="D122" s="211" t="s">
        <v>730</v>
      </c>
      <c r="E122" s="7">
        <v>1</v>
      </c>
      <c r="F122" s="7">
        <v>131807</v>
      </c>
      <c r="G122" s="7">
        <f>150+'[2]táj.2'!G122</f>
        <v>150</v>
      </c>
      <c r="H122" s="7">
        <f>60+'[2]táj.2'!H122</f>
        <v>60</v>
      </c>
      <c r="I122" s="7">
        <f>240+'[2]táj.2'!I122</f>
        <v>240</v>
      </c>
      <c r="J122" s="7">
        <f>0+'[2]táj.2'!J122</f>
        <v>0</v>
      </c>
      <c r="K122" s="7">
        <f>1000+'[2]táj.2'!K122</f>
        <v>1000</v>
      </c>
      <c r="L122" s="7">
        <f>0+'[2]táj.2'!L122</f>
        <v>0</v>
      </c>
      <c r="M122" s="7">
        <f>0+'[2]táj.2'!M122</f>
        <v>0</v>
      </c>
      <c r="N122" s="7">
        <f>0+'[2]táj.2'!N122</f>
        <v>0</v>
      </c>
      <c r="O122" s="7">
        <f>0+'[2]táj.2'!O122</f>
        <v>0</v>
      </c>
      <c r="P122" s="7">
        <f>0+'[2]táj.2'!P122</f>
        <v>0</v>
      </c>
      <c r="Q122" s="7">
        <f>SUM(G122:P122)</f>
        <v>1450</v>
      </c>
    </row>
    <row r="123" spans="1:17" ht="12">
      <c r="A123" s="198"/>
      <c r="B123" s="198"/>
      <c r="C123" s="214"/>
      <c r="D123" s="211" t="s">
        <v>731</v>
      </c>
      <c r="E123" s="207">
        <v>1</v>
      </c>
      <c r="F123" s="7">
        <v>131809</v>
      </c>
      <c r="G123" s="7">
        <f>0+'[2]táj.2'!G123</f>
        <v>0</v>
      </c>
      <c r="H123" s="7">
        <f>0+'[2]táj.2'!H123</f>
        <v>0</v>
      </c>
      <c r="I123" s="7">
        <f>0+'[2]táj.2'!I123</f>
        <v>0</v>
      </c>
      <c r="J123" s="7">
        <f>0+'[2]táj.2'!J123</f>
        <v>0</v>
      </c>
      <c r="K123" s="7">
        <f>400+'[2]táj.2'!K123</f>
        <v>400</v>
      </c>
      <c r="L123" s="7">
        <f>0+'[2]táj.2'!L123</f>
        <v>0</v>
      </c>
      <c r="M123" s="7">
        <f>0+'[2]táj.2'!M123</f>
        <v>0</v>
      </c>
      <c r="N123" s="7">
        <f>0+'[2]táj.2'!N123</f>
        <v>0</v>
      </c>
      <c r="O123" s="7">
        <f>0+'[2]táj.2'!O123</f>
        <v>0</v>
      </c>
      <c r="P123" s="7">
        <f>0+'[2]táj.2'!P123</f>
        <v>0</v>
      </c>
      <c r="Q123" s="7">
        <f>SUM(G123:P123)</f>
        <v>400</v>
      </c>
    </row>
    <row r="124" spans="1:17" ht="12">
      <c r="A124" s="198"/>
      <c r="B124" s="198"/>
      <c r="C124" s="214"/>
      <c r="D124" s="227" t="s">
        <v>732</v>
      </c>
      <c r="E124" s="7">
        <v>2</v>
      </c>
      <c r="F124" s="7">
        <v>131835</v>
      </c>
      <c r="G124" s="7">
        <f>0+'[2]táj.2'!G124</f>
        <v>0</v>
      </c>
      <c r="H124" s="7">
        <f>0+'[2]táj.2'!H124</f>
        <v>0</v>
      </c>
      <c r="I124" s="7">
        <f>0+'[2]táj.2'!I124</f>
        <v>0</v>
      </c>
      <c r="J124" s="7">
        <f>0+'[2]táj.2'!J124</f>
        <v>0</v>
      </c>
      <c r="K124" s="7">
        <f>6500+'[2]táj.2'!K124</f>
        <v>6500</v>
      </c>
      <c r="L124" s="7">
        <f>0+'[2]táj.2'!L124</f>
        <v>0</v>
      </c>
      <c r="M124" s="7">
        <f>0+'[2]táj.2'!M124</f>
        <v>0</v>
      </c>
      <c r="N124" s="7">
        <f>0+'[2]táj.2'!N124</f>
        <v>0</v>
      </c>
      <c r="O124" s="7">
        <f>0+'[2]táj.2'!O124</f>
        <v>0</v>
      </c>
      <c r="P124" s="7">
        <f>0+'[2]táj.2'!P124</f>
        <v>0</v>
      </c>
      <c r="Q124" s="7">
        <f>SUM(G124:P124)</f>
        <v>6500</v>
      </c>
    </row>
    <row r="125" spans="1:17" ht="12">
      <c r="A125" s="198"/>
      <c r="B125" s="198"/>
      <c r="C125" s="214"/>
      <c r="D125" s="210" t="s">
        <v>733</v>
      </c>
      <c r="E125" s="207"/>
      <c r="F125" s="20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">
      <c r="A126" s="198"/>
      <c r="B126" s="198"/>
      <c r="C126" s="214"/>
      <c r="D126" s="211" t="s">
        <v>734</v>
      </c>
      <c r="E126" s="7">
        <v>1</v>
      </c>
      <c r="F126" s="7">
        <v>131811</v>
      </c>
      <c r="G126" s="7">
        <f>0+'[2]táj.2'!G126</f>
        <v>0</v>
      </c>
      <c r="H126" s="7">
        <f>0+'[2]táj.2'!H126</f>
        <v>0</v>
      </c>
      <c r="I126" s="7">
        <f>0+'[2]táj.2'!I126</f>
        <v>0</v>
      </c>
      <c r="J126" s="7">
        <f>0+'[2]táj.2'!J126</f>
        <v>0</v>
      </c>
      <c r="K126" s="7">
        <f>12000+'[2]táj.2'!K126</f>
        <v>12000</v>
      </c>
      <c r="L126" s="7">
        <f>0+'[2]táj.2'!L126</f>
        <v>0</v>
      </c>
      <c r="M126" s="7">
        <f>0+'[2]táj.2'!M126</f>
        <v>0</v>
      </c>
      <c r="N126" s="7">
        <f>0+'[2]táj.2'!N126</f>
        <v>0</v>
      </c>
      <c r="O126" s="7">
        <f>0+'[2]táj.2'!O126</f>
        <v>0</v>
      </c>
      <c r="P126" s="7">
        <f>0+'[2]táj.2'!P126</f>
        <v>0</v>
      </c>
      <c r="Q126" s="7">
        <f aca="true" t="shared" si="7" ref="Q126:Q134">SUM(G126:P126)</f>
        <v>12000</v>
      </c>
    </row>
    <row r="127" spans="1:17" ht="12">
      <c r="A127" s="198"/>
      <c r="B127" s="198"/>
      <c r="C127" s="214"/>
      <c r="D127" s="211" t="s">
        <v>735</v>
      </c>
      <c r="E127" s="7">
        <v>1</v>
      </c>
      <c r="F127" s="7">
        <v>131812</v>
      </c>
      <c r="G127" s="7">
        <f>0+'[2]táj.2'!G127</f>
        <v>0</v>
      </c>
      <c r="H127" s="7">
        <f>0+'[2]táj.2'!H127</f>
        <v>0</v>
      </c>
      <c r="I127" s="7">
        <f>0+'[2]táj.2'!I127</f>
        <v>0</v>
      </c>
      <c r="J127" s="7">
        <f>0+'[2]táj.2'!J127</f>
        <v>0</v>
      </c>
      <c r="K127" s="7">
        <f>7000+'[2]táj.2'!K127</f>
        <v>7000</v>
      </c>
      <c r="L127" s="7">
        <f>0+'[2]táj.2'!L127</f>
        <v>0</v>
      </c>
      <c r="M127" s="7">
        <f>0+'[2]táj.2'!M127</f>
        <v>0</v>
      </c>
      <c r="N127" s="7">
        <f>0+'[2]táj.2'!N127</f>
        <v>0</v>
      </c>
      <c r="O127" s="7">
        <f>0+'[2]táj.2'!O127</f>
        <v>0</v>
      </c>
      <c r="P127" s="7">
        <f>0+'[2]táj.2'!P127</f>
        <v>0</v>
      </c>
      <c r="Q127" s="7">
        <f t="shared" si="7"/>
        <v>7000</v>
      </c>
    </row>
    <row r="128" spans="1:17" ht="12">
      <c r="A128" s="198"/>
      <c r="B128" s="198"/>
      <c r="C128" s="214"/>
      <c r="D128" s="211" t="s">
        <v>736</v>
      </c>
      <c r="E128" s="7">
        <v>1</v>
      </c>
      <c r="F128" s="7">
        <v>131813</v>
      </c>
      <c r="G128" s="7">
        <f>0+'[2]táj.2'!G128</f>
        <v>0</v>
      </c>
      <c r="H128" s="7">
        <f>0+'[2]táj.2'!H128</f>
        <v>0</v>
      </c>
      <c r="I128" s="7">
        <f>0+'[2]táj.2'!I128</f>
        <v>0</v>
      </c>
      <c r="J128" s="7">
        <f>0+'[2]táj.2'!J128</f>
        <v>0</v>
      </c>
      <c r="K128" s="7">
        <f>1800+'[2]táj.2'!K128</f>
        <v>1800</v>
      </c>
      <c r="L128" s="7">
        <f>0+'[2]táj.2'!L128</f>
        <v>0</v>
      </c>
      <c r="M128" s="7">
        <f>0+'[2]táj.2'!M128</f>
        <v>0</v>
      </c>
      <c r="N128" s="7">
        <f>0+'[2]táj.2'!N128</f>
        <v>0</v>
      </c>
      <c r="O128" s="7">
        <f>0+'[2]táj.2'!O128</f>
        <v>0</v>
      </c>
      <c r="P128" s="7">
        <f>0+'[2]táj.2'!P128</f>
        <v>0</v>
      </c>
      <c r="Q128" s="7">
        <f t="shared" si="7"/>
        <v>1800</v>
      </c>
    </row>
    <row r="129" spans="1:17" ht="12">
      <c r="A129" s="198"/>
      <c r="B129" s="198"/>
      <c r="C129" s="214"/>
      <c r="D129" s="211" t="s">
        <v>737</v>
      </c>
      <c r="E129" s="7">
        <v>1</v>
      </c>
      <c r="F129" s="7">
        <v>131816</v>
      </c>
      <c r="G129" s="7">
        <f>0+'[2]táj.2'!G129</f>
        <v>0</v>
      </c>
      <c r="H129" s="7">
        <f>0+'[2]táj.2'!H129</f>
        <v>0</v>
      </c>
      <c r="I129" s="7">
        <f>0+'[2]táj.2'!I129</f>
        <v>0</v>
      </c>
      <c r="J129" s="7">
        <f>0+'[2]táj.2'!J129</f>
        <v>0</v>
      </c>
      <c r="K129" s="7">
        <f>1400+'[2]táj.2'!K129</f>
        <v>1400</v>
      </c>
      <c r="L129" s="7">
        <f>0+'[2]táj.2'!L129</f>
        <v>0</v>
      </c>
      <c r="M129" s="7">
        <f>0+'[2]táj.2'!M129</f>
        <v>0</v>
      </c>
      <c r="N129" s="7">
        <f>0+'[2]táj.2'!N129</f>
        <v>0</v>
      </c>
      <c r="O129" s="7">
        <f>0+'[2]táj.2'!O129</f>
        <v>0</v>
      </c>
      <c r="P129" s="7">
        <f>0+'[2]táj.2'!P129</f>
        <v>0</v>
      </c>
      <c r="Q129" s="7">
        <f t="shared" si="7"/>
        <v>1400</v>
      </c>
    </row>
    <row r="130" spans="1:17" ht="12">
      <c r="A130" s="198"/>
      <c r="B130" s="198"/>
      <c r="C130" s="214"/>
      <c r="D130" s="211" t="s">
        <v>738</v>
      </c>
      <c r="E130" s="7">
        <v>1</v>
      </c>
      <c r="F130" s="7">
        <v>131817</v>
      </c>
      <c r="G130" s="7">
        <f>0+'[2]táj.2'!G130</f>
        <v>0</v>
      </c>
      <c r="H130" s="7">
        <f>0+'[2]táj.2'!H130</f>
        <v>0</v>
      </c>
      <c r="I130" s="7">
        <f>0+'[2]táj.2'!I130</f>
        <v>0</v>
      </c>
      <c r="J130" s="7">
        <f>0+'[2]táj.2'!J130</f>
        <v>0</v>
      </c>
      <c r="K130" s="7">
        <f>990+'[2]táj.2'!K130</f>
        <v>990</v>
      </c>
      <c r="L130" s="7">
        <f>0+'[2]táj.2'!L130</f>
        <v>0</v>
      </c>
      <c r="M130" s="7">
        <f>0+'[2]táj.2'!M130</f>
        <v>0</v>
      </c>
      <c r="N130" s="7">
        <f>0+'[2]táj.2'!N130</f>
        <v>0</v>
      </c>
      <c r="O130" s="7">
        <f>0+'[2]táj.2'!O130</f>
        <v>0</v>
      </c>
      <c r="P130" s="7">
        <f>0+'[2]táj.2'!P130</f>
        <v>0</v>
      </c>
      <c r="Q130" s="7">
        <f t="shared" si="7"/>
        <v>990</v>
      </c>
    </row>
    <row r="131" spans="1:17" ht="12">
      <c r="A131" s="198"/>
      <c r="B131" s="198"/>
      <c r="C131" s="214"/>
      <c r="D131" s="211" t="s">
        <v>739</v>
      </c>
      <c r="E131" s="7">
        <v>1</v>
      </c>
      <c r="F131" s="7">
        <v>131818</v>
      </c>
      <c r="G131" s="7">
        <f>0+'[2]táj.2'!G131</f>
        <v>0</v>
      </c>
      <c r="H131" s="7">
        <f>0+'[2]táj.2'!H131</f>
        <v>0</v>
      </c>
      <c r="I131" s="7">
        <f>0+'[2]táj.2'!I131</f>
        <v>0</v>
      </c>
      <c r="J131" s="7">
        <f>0+'[2]táj.2'!J131</f>
        <v>0</v>
      </c>
      <c r="K131" s="7">
        <f>400+'[2]táj.2'!K131</f>
        <v>400</v>
      </c>
      <c r="L131" s="7">
        <f>0+'[2]táj.2'!L131</f>
        <v>0</v>
      </c>
      <c r="M131" s="7">
        <f>0+'[2]táj.2'!M131</f>
        <v>0</v>
      </c>
      <c r="N131" s="7">
        <f>0+'[2]táj.2'!N131</f>
        <v>0</v>
      </c>
      <c r="O131" s="7">
        <f>0+'[2]táj.2'!O131</f>
        <v>0</v>
      </c>
      <c r="P131" s="7">
        <f>0+'[2]táj.2'!P131</f>
        <v>0</v>
      </c>
      <c r="Q131" s="7">
        <f t="shared" si="7"/>
        <v>400</v>
      </c>
    </row>
    <row r="132" spans="1:17" ht="12">
      <c r="A132" s="198"/>
      <c r="B132" s="198"/>
      <c r="C132" s="214"/>
      <c r="D132" s="211" t="s">
        <v>740</v>
      </c>
      <c r="E132" s="7">
        <v>1</v>
      </c>
      <c r="F132" s="7">
        <v>131819</v>
      </c>
      <c r="G132" s="7">
        <f>0+'[2]táj.2'!G132</f>
        <v>0</v>
      </c>
      <c r="H132" s="7">
        <f>0+'[2]táj.2'!H132</f>
        <v>0</v>
      </c>
      <c r="I132" s="7">
        <f>0+'[2]táj.2'!I132</f>
        <v>0</v>
      </c>
      <c r="J132" s="7">
        <f>0+'[2]táj.2'!J132</f>
        <v>0</v>
      </c>
      <c r="K132" s="7">
        <f>400+'[2]táj.2'!K132</f>
        <v>400</v>
      </c>
      <c r="L132" s="7">
        <f>0+'[2]táj.2'!L132</f>
        <v>0</v>
      </c>
      <c r="M132" s="7">
        <f>0+'[2]táj.2'!M132</f>
        <v>0</v>
      </c>
      <c r="N132" s="7">
        <f>0+'[2]táj.2'!N132</f>
        <v>0</v>
      </c>
      <c r="O132" s="7">
        <f>0+'[2]táj.2'!O132</f>
        <v>0</v>
      </c>
      <c r="P132" s="7">
        <f>0+'[2]táj.2'!P132</f>
        <v>0</v>
      </c>
      <c r="Q132" s="7">
        <f t="shared" si="7"/>
        <v>400</v>
      </c>
    </row>
    <row r="133" spans="1:17" ht="12">
      <c r="A133" s="198"/>
      <c r="B133" s="198"/>
      <c r="C133" s="214"/>
      <c r="D133" s="211" t="s">
        <v>741</v>
      </c>
      <c r="E133" s="7">
        <v>1</v>
      </c>
      <c r="F133" s="7">
        <v>131832</v>
      </c>
      <c r="G133" s="7">
        <f>0+'[2]táj.2'!G133</f>
        <v>0</v>
      </c>
      <c r="H133" s="7">
        <f>0+'[2]táj.2'!H133</f>
        <v>0</v>
      </c>
      <c r="I133" s="7">
        <f>0+'[2]táj.2'!I133</f>
        <v>0</v>
      </c>
      <c r="J133" s="7">
        <f>0+'[2]táj.2'!J133</f>
        <v>0</v>
      </c>
      <c r="K133" s="7">
        <f>225+'[2]táj.2'!K133</f>
        <v>225</v>
      </c>
      <c r="L133" s="7">
        <f>0+'[2]táj.2'!L133</f>
        <v>0</v>
      </c>
      <c r="M133" s="7">
        <f>0+'[2]táj.2'!M133</f>
        <v>0</v>
      </c>
      <c r="N133" s="7">
        <f>0+'[2]táj.2'!N133</f>
        <v>0</v>
      </c>
      <c r="O133" s="7">
        <f>0+'[2]táj.2'!O133</f>
        <v>0</v>
      </c>
      <c r="P133" s="7">
        <f>0+'[2]táj.2'!P133</f>
        <v>0</v>
      </c>
      <c r="Q133" s="7">
        <f t="shared" si="7"/>
        <v>225</v>
      </c>
    </row>
    <row r="134" spans="1:17" ht="12">
      <c r="A134" s="198"/>
      <c r="B134" s="198"/>
      <c r="C134" s="214"/>
      <c r="D134" s="211" t="s">
        <v>742</v>
      </c>
      <c r="E134" s="7">
        <v>1</v>
      </c>
      <c r="F134" s="7">
        <v>131820</v>
      </c>
      <c r="G134" s="7">
        <f>100+'[2]táj.2'!G134</f>
        <v>100</v>
      </c>
      <c r="H134" s="7">
        <f>40+'[2]táj.2'!H134</f>
        <v>40</v>
      </c>
      <c r="I134" s="7">
        <f>300+'[2]táj.2'!I134</f>
        <v>300</v>
      </c>
      <c r="J134" s="7">
        <f>0+'[2]táj.2'!J134</f>
        <v>0</v>
      </c>
      <c r="K134" s="7">
        <f>1560+'[2]táj.2'!K134</f>
        <v>1560</v>
      </c>
      <c r="L134" s="7">
        <f>0+'[2]táj.2'!L134</f>
        <v>0</v>
      </c>
      <c r="M134" s="7">
        <f>0+'[2]táj.2'!M134</f>
        <v>0</v>
      </c>
      <c r="N134" s="7">
        <f>500+'[2]táj.2'!N134</f>
        <v>500</v>
      </c>
      <c r="O134" s="7">
        <f>0+'[2]táj.2'!O134</f>
        <v>0</v>
      </c>
      <c r="P134" s="7">
        <f>0+'[2]táj.2'!P134</f>
        <v>0</v>
      </c>
      <c r="Q134" s="7">
        <f t="shared" si="7"/>
        <v>2500</v>
      </c>
    </row>
    <row r="135" spans="1:17" ht="12">
      <c r="A135" s="198"/>
      <c r="B135" s="198"/>
      <c r="C135" s="214"/>
      <c r="D135" s="211" t="s">
        <v>743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">
      <c r="A136" s="198"/>
      <c r="B136" s="198"/>
      <c r="C136" s="214"/>
      <c r="D136" s="211" t="s">
        <v>744</v>
      </c>
      <c r="E136" s="207">
        <v>2</v>
      </c>
      <c r="F136" s="7">
        <v>131821</v>
      </c>
      <c r="G136" s="7">
        <f>0+'[2]táj.2'!G136</f>
        <v>0</v>
      </c>
      <c r="H136" s="7">
        <f>0+'[2]táj.2'!H136</f>
        <v>0</v>
      </c>
      <c r="I136" s="7">
        <f>0+'[2]táj.2'!I136</f>
        <v>0</v>
      </c>
      <c r="J136" s="7">
        <f>0+'[2]táj.2'!J136</f>
        <v>0</v>
      </c>
      <c r="K136" s="7">
        <f>7000+'[2]táj.2'!K136</f>
        <v>7000</v>
      </c>
      <c r="L136" s="7">
        <f>0+'[2]táj.2'!L136</f>
        <v>0</v>
      </c>
      <c r="M136" s="7">
        <f>0+'[2]táj.2'!M136</f>
        <v>0</v>
      </c>
      <c r="N136" s="7">
        <f>0+'[2]táj.2'!N136</f>
        <v>0</v>
      </c>
      <c r="O136" s="7">
        <f>0+'[2]táj.2'!O136</f>
        <v>0</v>
      </c>
      <c r="P136" s="7">
        <f>0+'[2]táj.2'!P136</f>
        <v>0</v>
      </c>
      <c r="Q136" s="7">
        <f aca="true" t="shared" si="8" ref="Q136:Q164">SUM(G136:P136)</f>
        <v>7000</v>
      </c>
    </row>
    <row r="137" spans="1:17" ht="12">
      <c r="A137" s="198"/>
      <c r="B137" s="198"/>
      <c r="C137" s="214"/>
      <c r="D137" s="211" t="s">
        <v>745</v>
      </c>
      <c r="E137" s="207">
        <v>2</v>
      </c>
      <c r="F137" s="7">
        <v>131822</v>
      </c>
      <c r="G137" s="7">
        <f>0+'[2]táj.2'!G137</f>
        <v>0</v>
      </c>
      <c r="H137" s="7">
        <f>0+'[2]táj.2'!H137</f>
        <v>0</v>
      </c>
      <c r="I137" s="7">
        <f>0+'[2]táj.2'!I137</f>
        <v>0</v>
      </c>
      <c r="J137" s="7">
        <f>0+'[2]táj.2'!J137</f>
        <v>0</v>
      </c>
      <c r="K137" s="7">
        <f>450+'[2]táj.2'!K137</f>
        <v>450</v>
      </c>
      <c r="L137" s="7">
        <f>0+'[2]táj.2'!L137</f>
        <v>0</v>
      </c>
      <c r="M137" s="7">
        <f>0+'[2]táj.2'!M137</f>
        <v>0</v>
      </c>
      <c r="N137" s="7">
        <f>0+'[2]táj.2'!N137</f>
        <v>0</v>
      </c>
      <c r="O137" s="7">
        <f>0+'[2]táj.2'!O137</f>
        <v>0</v>
      </c>
      <c r="P137" s="7">
        <f>0+'[2]táj.2'!P137</f>
        <v>0</v>
      </c>
      <c r="Q137" s="7">
        <f t="shared" si="8"/>
        <v>450</v>
      </c>
    </row>
    <row r="138" spans="1:17" ht="12">
      <c r="A138" s="198"/>
      <c r="B138" s="198"/>
      <c r="C138" s="214"/>
      <c r="D138" s="246" t="s">
        <v>746</v>
      </c>
      <c r="E138" s="247">
        <v>2</v>
      </c>
      <c r="F138" s="7">
        <v>131823</v>
      </c>
      <c r="G138" s="7">
        <f>0+'[2]táj.2'!G138</f>
        <v>0</v>
      </c>
      <c r="H138" s="7">
        <f>0+'[2]táj.2'!H138</f>
        <v>0</v>
      </c>
      <c r="I138" s="7">
        <f>0+'[2]táj.2'!I138</f>
        <v>0</v>
      </c>
      <c r="J138" s="7">
        <f>0+'[2]táj.2'!J138</f>
        <v>0</v>
      </c>
      <c r="K138" s="7">
        <f>18000+'[2]táj.2'!K138</f>
        <v>18000</v>
      </c>
      <c r="L138" s="7">
        <f>0+'[2]táj.2'!L138</f>
        <v>0</v>
      </c>
      <c r="M138" s="7">
        <f>0+'[2]táj.2'!M138</f>
        <v>0</v>
      </c>
      <c r="N138" s="7">
        <f>0+'[2]táj.2'!N138</f>
        <v>0</v>
      </c>
      <c r="O138" s="7">
        <f>0+'[2]táj.2'!O138</f>
        <v>0</v>
      </c>
      <c r="P138" s="7">
        <f>0+'[2]táj.2'!P138</f>
        <v>0</v>
      </c>
      <c r="Q138" s="7">
        <f t="shared" si="8"/>
        <v>18000</v>
      </c>
    </row>
    <row r="139" spans="1:17" ht="12">
      <c r="A139" s="198"/>
      <c r="B139" s="198"/>
      <c r="C139" s="214"/>
      <c r="D139" s="246" t="s">
        <v>747</v>
      </c>
      <c r="E139" s="247">
        <v>2</v>
      </c>
      <c r="F139" s="7">
        <v>131846</v>
      </c>
      <c r="G139" s="7">
        <f>0+'[2]táj.2'!G139</f>
        <v>0</v>
      </c>
      <c r="H139" s="7">
        <f>0+'[2]táj.2'!H139</f>
        <v>0</v>
      </c>
      <c r="I139" s="7">
        <f>0+'[2]táj.2'!I139</f>
        <v>0</v>
      </c>
      <c r="J139" s="7">
        <f>0+'[2]táj.2'!J139</f>
        <v>0</v>
      </c>
      <c r="K139" s="7">
        <f>12000+'[2]táj.2'!K139</f>
        <v>12000</v>
      </c>
      <c r="L139" s="7">
        <f>0+'[2]táj.2'!L139</f>
        <v>0</v>
      </c>
      <c r="M139" s="7">
        <f>0+'[2]táj.2'!M139</f>
        <v>0</v>
      </c>
      <c r="N139" s="7">
        <f>0+'[2]táj.2'!N139</f>
        <v>0</v>
      </c>
      <c r="O139" s="7">
        <f>0+'[2]táj.2'!O139</f>
        <v>0</v>
      </c>
      <c r="P139" s="7">
        <f>0+'[2]táj.2'!P139</f>
        <v>0</v>
      </c>
      <c r="Q139" s="7">
        <f t="shared" si="8"/>
        <v>12000</v>
      </c>
    </row>
    <row r="140" spans="1:17" ht="12">
      <c r="A140" s="198"/>
      <c r="B140" s="198"/>
      <c r="C140" s="214"/>
      <c r="D140" s="246" t="s">
        <v>748</v>
      </c>
      <c r="E140" s="248">
        <v>2</v>
      </c>
      <c r="F140" s="7">
        <v>131824</v>
      </c>
      <c r="G140" s="7">
        <f>0+'[2]táj.2'!G140</f>
        <v>0</v>
      </c>
      <c r="H140" s="7">
        <f>0+'[2]táj.2'!H140</f>
        <v>0</v>
      </c>
      <c r="I140" s="7">
        <f>0+'[2]táj.2'!I140</f>
        <v>0</v>
      </c>
      <c r="J140" s="7">
        <f>0+'[2]táj.2'!J140</f>
        <v>0</v>
      </c>
      <c r="K140" s="7">
        <f>2250+'[2]táj.2'!K140</f>
        <v>2250</v>
      </c>
      <c r="L140" s="7">
        <f>0+'[2]táj.2'!L140</f>
        <v>0</v>
      </c>
      <c r="M140" s="7">
        <f>0+'[2]táj.2'!M140</f>
        <v>0</v>
      </c>
      <c r="N140" s="7">
        <f>0+'[2]táj.2'!N140</f>
        <v>0</v>
      </c>
      <c r="O140" s="7">
        <f>0+'[2]táj.2'!O140</f>
        <v>0</v>
      </c>
      <c r="P140" s="7">
        <f>0+'[2]táj.2'!P140</f>
        <v>0</v>
      </c>
      <c r="Q140" s="7">
        <f t="shared" si="8"/>
        <v>2250</v>
      </c>
    </row>
    <row r="141" spans="1:17" ht="12">
      <c r="A141" s="198"/>
      <c r="B141" s="198"/>
      <c r="C141" s="214"/>
      <c r="D141" s="246" t="s">
        <v>749</v>
      </c>
      <c r="E141" s="248">
        <v>2</v>
      </c>
      <c r="F141" s="249">
        <v>131833</v>
      </c>
      <c r="G141" s="7">
        <f>0+'[2]táj.2'!G141</f>
        <v>0</v>
      </c>
      <c r="H141" s="7">
        <f>0+'[2]táj.2'!H141</f>
        <v>0</v>
      </c>
      <c r="I141" s="7">
        <f>0+'[2]táj.2'!I141</f>
        <v>0</v>
      </c>
      <c r="J141" s="7">
        <f>0+'[2]táj.2'!J141</f>
        <v>0</v>
      </c>
      <c r="K141" s="7">
        <f>2700+'[2]táj.2'!K141</f>
        <v>2700</v>
      </c>
      <c r="L141" s="7">
        <f>0+'[2]táj.2'!L141</f>
        <v>0</v>
      </c>
      <c r="M141" s="7">
        <f>0+'[2]táj.2'!M141</f>
        <v>0</v>
      </c>
      <c r="N141" s="7">
        <f>0+'[2]táj.2'!N141</f>
        <v>0</v>
      </c>
      <c r="O141" s="7">
        <f>0+'[2]táj.2'!O141</f>
        <v>0</v>
      </c>
      <c r="P141" s="7">
        <f>0+'[2]táj.2'!P141</f>
        <v>0</v>
      </c>
      <c r="Q141" s="7">
        <f t="shared" si="8"/>
        <v>2700</v>
      </c>
    </row>
    <row r="142" spans="1:17" ht="12">
      <c r="A142" s="198"/>
      <c r="B142" s="198"/>
      <c r="C142" s="214"/>
      <c r="D142" s="246" t="s">
        <v>750</v>
      </c>
      <c r="E142" s="248">
        <v>2</v>
      </c>
      <c r="F142" s="249">
        <v>131834</v>
      </c>
      <c r="G142" s="7">
        <f>0+'[2]táj.2'!G142</f>
        <v>0</v>
      </c>
      <c r="H142" s="7">
        <f>0+'[2]táj.2'!H142</f>
        <v>0</v>
      </c>
      <c r="I142" s="7">
        <f>0+'[2]táj.2'!I142</f>
        <v>0</v>
      </c>
      <c r="J142" s="7">
        <f>0+'[2]táj.2'!J142</f>
        <v>0</v>
      </c>
      <c r="K142" s="7">
        <f>3600+'[2]táj.2'!K142</f>
        <v>3600</v>
      </c>
      <c r="L142" s="7">
        <f>0+'[2]táj.2'!L142</f>
        <v>0</v>
      </c>
      <c r="M142" s="7">
        <f>0+'[2]táj.2'!M142</f>
        <v>0</v>
      </c>
      <c r="N142" s="7">
        <f>0+'[2]táj.2'!N142</f>
        <v>0</v>
      </c>
      <c r="O142" s="7">
        <f>0+'[2]táj.2'!O142</f>
        <v>0</v>
      </c>
      <c r="P142" s="7">
        <f>0+'[2]táj.2'!P142</f>
        <v>0</v>
      </c>
      <c r="Q142" s="7">
        <f t="shared" si="8"/>
        <v>3600</v>
      </c>
    </row>
    <row r="143" spans="1:17" ht="12">
      <c r="A143" s="198"/>
      <c r="B143" s="198"/>
      <c r="C143" s="214"/>
      <c r="D143" s="246" t="s">
        <v>751</v>
      </c>
      <c r="E143" s="248">
        <v>2</v>
      </c>
      <c r="F143" s="249">
        <v>131836</v>
      </c>
      <c r="G143" s="7">
        <f>0+'[2]táj.2'!G143</f>
        <v>0</v>
      </c>
      <c r="H143" s="7">
        <f>0+'[2]táj.2'!H143</f>
        <v>0</v>
      </c>
      <c r="I143" s="7">
        <f>0+'[2]táj.2'!I143</f>
        <v>0</v>
      </c>
      <c r="J143" s="7">
        <f>0+'[2]táj.2'!J143</f>
        <v>0</v>
      </c>
      <c r="K143" s="7">
        <f>9000+'[2]táj.2'!K143</f>
        <v>9000</v>
      </c>
      <c r="L143" s="7">
        <f>0+'[2]táj.2'!L143</f>
        <v>0</v>
      </c>
      <c r="M143" s="7">
        <f>0+'[2]táj.2'!M143</f>
        <v>0</v>
      </c>
      <c r="N143" s="7">
        <f>0+'[2]táj.2'!N143</f>
        <v>0</v>
      </c>
      <c r="O143" s="7">
        <f>0+'[2]táj.2'!O143</f>
        <v>0</v>
      </c>
      <c r="P143" s="7">
        <f>0+'[2]táj.2'!P143</f>
        <v>0</v>
      </c>
      <c r="Q143" s="7">
        <f t="shared" si="8"/>
        <v>9000</v>
      </c>
    </row>
    <row r="144" spans="1:17" ht="12">
      <c r="A144" s="198"/>
      <c r="B144" s="198"/>
      <c r="C144" s="214"/>
      <c r="D144" s="246" t="s">
        <v>752</v>
      </c>
      <c r="E144" s="248">
        <v>2</v>
      </c>
      <c r="F144" s="249">
        <v>131837</v>
      </c>
      <c r="G144" s="7">
        <f>0+'[2]táj.2'!G144</f>
        <v>0</v>
      </c>
      <c r="H144" s="7">
        <f>0+'[2]táj.2'!H144</f>
        <v>0</v>
      </c>
      <c r="I144" s="7">
        <f>0+'[2]táj.2'!I144</f>
        <v>0</v>
      </c>
      <c r="J144" s="7">
        <f>0+'[2]táj.2'!J144</f>
        <v>0</v>
      </c>
      <c r="K144" s="7">
        <f>8000+'[2]táj.2'!K144</f>
        <v>8000</v>
      </c>
      <c r="L144" s="7">
        <f>0+'[2]táj.2'!L144</f>
        <v>0</v>
      </c>
      <c r="M144" s="7">
        <f>0+'[2]táj.2'!M144</f>
        <v>0</v>
      </c>
      <c r="N144" s="7">
        <f>0+'[2]táj.2'!N144</f>
        <v>0</v>
      </c>
      <c r="O144" s="7">
        <f>0+'[2]táj.2'!O144</f>
        <v>0</v>
      </c>
      <c r="P144" s="7">
        <f>0+'[2]táj.2'!P144</f>
        <v>0</v>
      </c>
      <c r="Q144" s="7">
        <f t="shared" si="8"/>
        <v>8000</v>
      </c>
    </row>
    <row r="145" spans="1:17" ht="12">
      <c r="A145" s="198"/>
      <c r="B145" s="198"/>
      <c r="C145" s="214"/>
      <c r="D145" s="246" t="s">
        <v>753</v>
      </c>
      <c r="E145" s="248">
        <v>2</v>
      </c>
      <c r="F145" s="249">
        <v>131838</v>
      </c>
      <c r="G145" s="7">
        <f>0+'[2]táj.2'!G145</f>
        <v>0</v>
      </c>
      <c r="H145" s="7">
        <f>0+'[2]táj.2'!H145</f>
        <v>0</v>
      </c>
      <c r="I145" s="7">
        <f>0+'[2]táj.2'!I145</f>
        <v>0</v>
      </c>
      <c r="J145" s="7">
        <f>0+'[2]táj.2'!J145</f>
        <v>0</v>
      </c>
      <c r="K145" s="7">
        <f>19700+'[2]táj.2'!K145</f>
        <v>19700</v>
      </c>
      <c r="L145" s="7">
        <f>0+'[2]táj.2'!L145</f>
        <v>0</v>
      </c>
      <c r="M145" s="7">
        <f>0+'[2]táj.2'!M145</f>
        <v>0</v>
      </c>
      <c r="N145" s="7">
        <f>0+'[2]táj.2'!N145</f>
        <v>0</v>
      </c>
      <c r="O145" s="7">
        <f>0+'[2]táj.2'!O145</f>
        <v>0</v>
      </c>
      <c r="P145" s="7">
        <f>0+'[2]táj.2'!P145</f>
        <v>0</v>
      </c>
      <c r="Q145" s="7">
        <f t="shared" si="8"/>
        <v>19700</v>
      </c>
    </row>
    <row r="146" spans="1:17" ht="12">
      <c r="A146" s="198"/>
      <c r="B146" s="198"/>
      <c r="C146" s="214"/>
      <c r="D146" s="246" t="s">
        <v>754</v>
      </c>
      <c r="E146" s="248">
        <v>2</v>
      </c>
      <c r="F146" s="249">
        <v>131840</v>
      </c>
      <c r="G146" s="7">
        <f>0+'[2]táj.2'!G146</f>
        <v>0</v>
      </c>
      <c r="H146" s="7">
        <f>0+'[2]táj.2'!H146</f>
        <v>0</v>
      </c>
      <c r="I146" s="7">
        <f>0+'[2]táj.2'!I146</f>
        <v>0</v>
      </c>
      <c r="J146" s="7">
        <f>0+'[2]táj.2'!J146</f>
        <v>0</v>
      </c>
      <c r="K146" s="7">
        <f>1350+'[2]táj.2'!K146</f>
        <v>1350</v>
      </c>
      <c r="L146" s="7">
        <f>0+'[2]táj.2'!L146</f>
        <v>0</v>
      </c>
      <c r="M146" s="7">
        <f>0+'[2]táj.2'!M146</f>
        <v>0</v>
      </c>
      <c r="N146" s="7">
        <f>0+'[2]táj.2'!N146</f>
        <v>0</v>
      </c>
      <c r="O146" s="7">
        <f>0+'[2]táj.2'!O146</f>
        <v>0</v>
      </c>
      <c r="P146" s="7">
        <f>0+'[2]táj.2'!P146</f>
        <v>0</v>
      </c>
      <c r="Q146" s="7">
        <f t="shared" si="8"/>
        <v>1350</v>
      </c>
    </row>
    <row r="147" spans="1:17" ht="12">
      <c r="A147" s="198"/>
      <c r="B147" s="198"/>
      <c r="C147" s="214"/>
      <c r="D147" s="246" t="s">
        <v>755</v>
      </c>
      <c r="E147" s="248">
        <v>2</v>
      </c>
      <c r="F147" s="249">
        <v>131841</v>
      </c>
      <c r="G147" s="7">
        <f>0+'[2]táj.2'!G147</f>
        <v>0</v>
      </c>
      <c r="H147" s="7">
        <f>0+'[2]táj.2'!H147</f>
        <v>0</v>
      </c>
      <c r="I147" s="7">
        <f>0+'[2]táj.2'!I147</f>
        <v>0</v>
      </c>
      <c r="J147" s="7">
        <f>0+'[2]táj.2'!J147</f>
        <v>0</v>
      </c>
      <c r="K147" s="7">
        <f>450+'[2]táj.2'!K147</f>
        <v>450</v>
      </c>
      <c r="L147" s="7">
        <f>0+'[2]táj.2'!L147</f>
        <v>0</v>
      </c>
      <c r="M147" s="7">
        <f>0+'[2]táj.2'!M147</f>
        <v>0</v>
      </c>
      <c r="N147" s="7">
        <f>0+'[2]táj.2'!N147</f>
        <v>0</v>
      </c>
      <c r="O147" s="7">
        <f>0+'[2]táj.2'!O147</f>
        <v>0</v>
      </c>
      <c r="P147" s="7">
        <f>0+'[2]táj.2'!P147</f>
        <v>0</v>
      </c>
      <c r="Q147" s="7">
        <f t="shared" si="8"/>
        <v>450</v>
      </c>
    </row>
    <row r="148" spans="1:17" ht="12">
      <c r="A148" s="198"/>
      <c r="B148" s="198"/>
      <c r="C148" s="214"/>
      <c r="D148" s="246" t="s">
        <v>756</v>
      </c>
      <c r="E148" s="248">
        <v>2</v>
      </c>
      <c r="F148" s="249">
        <v>131842</v>
      </c>
      <c r="G148" s="7">
        <f>0+'[2]táj.2'!G148</f>
        <v>0</v>
      </c>
      <c r="H148" s="7">
        <f>0+'[2]táj.2'!H148</f>
        <v>0</v>
      </c>
      <c r="I148" s="7">
        <f>0+'[2]táj.2'!I148</f>
        <v>0</v>
      </c>
      <c r="J148" s="7">
        <f>0+'[2]táj.2'!J148</f>
        <v>0</v>
      </c>
      <c r="K148" s="7">
        <f>1000+'[2]táj.2'!K148</f>
        <v>1000</v>
      </c>
      <c r="L148" s="7">
        <f>0+'[2]táj.2'!L148</f>
        <v>0</v>
      </c>
      <c r="M148" s="7">
        <f>0+'[2]táj.2'!M148</f>
        <v>0</v>
      </c>
      <c r="N148" s="7">
        <f>0+'[2]táj.2'!N148</f>
        <v>0</v>
      </c>
      <c r="O148" s="7">
        <f>0+'[2]táj.2'!O148</f>
        <v>0</v>
      </c>
      <c r="P148" s="7">
        <f>0+'[2]táj.2'!P148</f>
        <v>0</v>
      </c>
      <c r="Q148" s="7">
        <f t="shared" si="8"/>
        <v>1000</v>
      </c>
    </row>
    <row r="149" spans="1:17" ht="12">
      <c r="A149" s="198"/>
      <c r="B149" s="198"/>
      <c r="C149" s="214"/>
      <c r="D149" s="246" t="s">
        <v>757</v>
      </c>
      <c r="E149" s="248">
        <v>2</v>
      </c>
      <c r="F149" s="249">
        <v>131843</v>
      </c>
      <c r="G149" s="7">
        <f>0+'[2]táj.2'!G149</f>
        <v>0</v>
      </c>
      <c r="H149" s="7">
        <f>0+'[2]táj.2'!H149</f>
        <v>0</v>
      </c>
      <c r="I149" s="7">
        <f>0+'[2]táj.2'!I149</f>
        <v>0</v>
      </c>
      <c r="J149" s="7">
        <f>0+'[2]táj.2'!J149</f>
        <v>0</v>
      </c>
      <c r="K149" s="7">
        <f>2250+'[2]táj.2'!K149</f>
        <v>2250</v>
      </c>
      <c r="L149" s="7">
        <f>0+'[2]táj.2'!L149</f>
        <v>0</v>
      </c>
      <c r="M149" s="7">
        <f>0+'[2]táj.2'!M149</f>
        <v>0</v>
      </c>
      <c r="N149" s="7">
        <f>0+'[2]táj.2'!N149</f>
        <v>0</v>
      </c>
      <c r="O149" s="7">
        <f>0+'[2]táj.2'!O149</f>
        <v>0</v>
      </c>
      <c r="P149" s="7">
        <f>0+'[2]táj.2'!P149</f>
        <v>0</v>
      </c>
      <c r="Q149" s="7">
        <f t="shared" si="8"/>
        <v>2250</v>
      </c>
    </row>
    <row r="150" spans="1:17" ht="12">
      <c r="A150" s="198"/>
      <c r="B150" s="198"/>
      <c r="C150" s="198"/>
      <c r="D150" s="7" t="s">
        <v>758</v>
      </c>
      <c r="E150" s="248">
        <v>2</v>
      </c>
      <c r="F150" s="249">
        <v>131847</v>
      </c>
      <c r="G150" s="7">
        <f>0+'[2]táj.2'!G150</f>
        <v>0</v>
      </c>
      <c r="H150" s="7">
        <f>0+'[2]táj.2'!H150</f>
        <v>0</v>
      </c>
      <c r="I150" s="7">
        <f>0+'[2]táj.2'!I150</f>
        <v>0</v>
      </c>
      <c r="J150" s="7">
        <f>0+'[2]táj.2'!J150</f>
        <v>0</v>
      </c>
      <c r="K150" s="7">
        <f>2750+'[2]táj.2'!K150</f>
        <v>2750</v>
      </c>
      <c r="L150" s="7">
        <f>0+'[2]táj.2'!L150</f>
        <v>0</v>
      </c>
      <c r="M150" s="7">
        <f>0+'[2]táj.2'!M150</f>
        <v>0</v>
      </c>
      <c r="N150" s="7">
        <f>0+'[2]táj.2'!N150</f>
        <v>0</v>
      </c>
      <c r="O150" s="7">
        <f>0+'[2]táj.2'!O150</f>
        <v>0</v>
      </c>
      <c r="P150" s="7">
        <f>0+'[2]táj.2'!P150</f>
        <v>0</v>
      </c>
      <c r="Q150" s="7">
        <v>2750</v>
      </c>
    </row>
    <row r="151" spans="1:17" ht="12">
      <c r="A151" s="198"/>
      <c r="B151" s="198"/>
      <c r="C151" s="198"/>
      <c r="D151" s="250" t="s">
        <v>759</v>
      </c>
      <c r="E151" s="248">
        <v>2</v>
      </c>
      <c r="F151" s="249">
        <v>131848</v>
      </c>
      <c r="G151" s="7">
        <f>0+'[2]táj.2'!G151</f>
        <v>0</v>
      </c>
      <c r="H151" s="7">
        <f>0+'[2]táj.2'!H151</f>
        <v>0</v>
      </c>
      <c r="I151" s="7">
        <f>0+'[2]táj.2'!I151</f>
        <v>0</v>
      </c>
      <c r="J151" s="7">
        <f>0+'[2]táj.2'!J151</f>
        <v>0</v>
      </c>
      <c r="K151" s="7">
        <f>450+'[2]táj.2'!K151</f>
        <v>450</v>
      </c>
      <c r="L151" s="7">
        <f>0+'[2]táj.2'!L151</f>
        <v>0</v>
      </c>
      <c r="M151" s="7">
        <f>0+'[2]táj.2'!M151</f>
        <v>0</v>
      </c>
      <c r="N151" s="7">
        <f>0+'[2]táj.2'!N151</f>
        <v>0</v>
      </c>
      <c r="O151" s="7">
        <f>0+'[2]táj.2'!O151</f>
        <v>0</v>
      </c>
      <c r="P151" s="7">
        <f>0+'[2]táj.2'!P151</f>
        <v>0</v>
      </c>
      <c r="Q151" s="7">
        <f t="shared" si="8"/>
        <v>450</v>
      </c>
    </row>
    <row r="152" spans="1:17" ht="12">
      <c r="A152" s="198"/>
      <c r="B152" s="198"/>
      <c r="C152" s="198"/>
      <c r="D152" s="250" t="s">
        <v>760</v>
      </c>
      <c r="E152" s="248">
        <v>2</v>
      </c>
      <c r="F152" s="249">
        <v>131850</v>
      </c>
      <c r="G152" s="7">
        <f>0+'[2]táj.2'!G152</f>
        <v>0</v>
      </c>
      <c r="H152" s="7">
        <f>0+'[2]táj.2'!H152</f>
        <v>0</v>
      </c>
      <c r="I152" s="7">
        <f>0+'[2]táj.2'!I152</f>
        <v>0</v>
      </c>
      <c r="J152" s="7">
        <f>0+'[2]táj.2'!J152</f>
        <v>0</v>
      </c>
      <c r="K152" s="7">
        <f>900+'[2]táj.2'!K152</f>
        <v>900</v>
      </c>
      <c r="L152" s="7">
        <f>0+'[2]táj.2'!L152</f>
        <v>0</v>
      </c>
      <c r="M152" s="7">
        <f>0+'[2]táj.2'!M152</f>
        <v>0</v>
      </c>
      <c r="N152" s="7">
        <f>0+'[2]táj.2'!N152</f>
        <v>0</v>
      </c>
      <c r="O152" s="7">
        <f>0+'[2]táj.2'!O152</f>
        <v>0</v>
      </c>
      <c r="P152" s="7">
        <f>0+'[2]táj.2'!P152</f>
        <v>0</v>
      </c>
      <c r="Q152" s="7">
        <f t="shared" si="8"/>
        <v>900</v>
      </c>
    </row>
    <row r="153" spans="1:17" ht="12">
      <c r="A153" s="198"/>
      <c r="B153" s="198"/>
      <c r="C153" s="198"/>
      <c r="D153" s="250" t="s">
        <v>761</v>
      </c>
      <c r="E153" s="248">
        <v>2</v>
      </c>
      <c r="F153" s="249">
        <v>131851</v>
      </c>
      <c r="G153" s="7">
        <f>0+'[2]táj.2'!G153</f>
        <v>0</v>
      </c>
      <c r="H153" s="7">
        <f>0+'[2]táj.2'!H153</f>
        <v>0</v>
      </c>
      <c r="I153" s="7">
        <f>0+'[2]táj.2'!I153</f>
        <v>0</v>
      </c>
      <c r="J153" s="7">
        <f>0+'[2]táj.2'!J153</f>
        <v>0</v>
      </c>
      <c r="K153" s="7">
        <f>720+'[2]táj.2'!K153</f>
        <v>720</v>
      </c>
      <c r="L153" s="7">
        <f>0+'[2]táj.2'!L153</f>
        <v>0</v>
      </c>
      <c r="M153" s="7">
        <f>0+'[2]táj.2'!M153</f>
        <v>0</v>
      </c>
      <c r="N153" s="7">
        <f>0+'[2]táj.2'!N153</f>
        <v>0</v>
      </c>
      <c r="O153" s="7">
        <f>0+'[2]táj.2'!O153</f>
        <v>0</v>
      </c>
      <c r="P153" s="7">
        <f>0+'[2]táj.2'!P153</f>
        <v>0</v>
      </c>
      <c r="Q153" s="7">
        <f t="shared" si="8"/>
        <v>720</v>
      </c>
    </row>
    <row r="154" spans="1:17" ht="12">
      <c r="A154" s="198"/>
      <c r="B154" s="198"/>
      <c r="C154" s="198"/>
      <c r="D154" s="239" t="s">
        <v>762</v>
      </c>
      <c r="E154" s="248">
        <v>2</v>
      </c>
      <c r="F154" s="249">
        <v>131852</v>
      </c>
      <c r="G154" s="7">
        <f>0+'[2]táj.2'!G154</f>
        <v>0</v>
      </c>
      <c r="H154" s="7">
        <f>0+'[2]táj.2'!H154</f>
        <v>0</v>
      </c>
      <c r="I154" s="7">
        <f>0+'[2]táj.2'!I154</f>
        <v>0</v>
      </c>
      <c r="J154" s="7">
        <f>0+'[2]táj.2'!J154</f>
        <v>0</v>
      </c>
      <c r="K154" s="7">
        <f>4000+'[2]táj.2'!K154</f>
        <v>4000</v>
      </c>
      <c r="L154" s="7">
        <f>0+'[2]táj.2'!L154</f>
        <v>0</v>
      </c>
      <c r="M154" s="7">
        <f>0+'[2]táj.2'!M154</f>
        <v>0</v>
      </c>
      <c r="N154" s="7">
        <f>0+'[2]táj.2'!N154</f>
        <v>0</v>
      </c>
      <c r="O154" s="7">
        <f>0+'[2]táj.2'!O154</f>
        <v>0</v>
      </c>
      <c r="P154" s="7">
        <f>0+'[2]táj.2'!P154</f>
        <v>0</v>
      </c>
      <c r="Q154" s="7">
        <f t="shared" si="8"/>
        <v>4000</v>
      </c>
    </row>
    <row r="155" spans="1:17" ht="36">
      <c r="A155" s="198"/>
      <c r="B155" s="198"/>
      <c r="C155" s="198"/>
      <c r="D155" s="251" t="s">
        <v>763</v>
      </c>
      <c r="E155" s="252">
        <v>2</v>
      </c>
      <c r="F155" s="29">
        <v>131853</v>
      </c>
      <c r="G155" s="7">
        <f>0+'[2]táj.2'!G155</f>
        <v>0</v>
      </c>
      <c r="H155" s="7">
        <f>0+'[2]táj.2'!H155</f>
        <v>0</v>
      </c>
      <c r="I155" s="7">
        <f>0+'[2]táj.2'!I155</f>
        <v>0</v>
      </c>
      <c r="J155" s="7">
        <f>0+'[2]táj.2'!J155</f>
        <v>0</v>
      </c>
      <c r="K155" s="7">
        <f>3000+'[2]táj.2'!K155</f>
        <v>3000</v>
      </c>
      <c r="L155" s="7">
        <f>0+'[2]táj.2'!L155</f>
        <v>0</v>
      </c>
      <c r="M155" s="7">
        <f>0+'[2]táj.2'!M155</f>
        <v>0</v>
      </c>
      <c r="N155" s="7">
        <f>0+'[2]táj.2'!N155</f>
        <v>0</v>
      </c>
      <c r="O155" s="7">
        <f>0+'[2]táj.2'!O155</f>
        <v>0</v>
      </c>
      <c r="P155" s="7">
        <f>0+'[2]táj.2'!P155</f>
        <v>0</v>
      </c>
      <c r="Q155" s="7">
        <f t="shared" si="8"/>
        <v>3000</v>
      </c>
    </row>
    <row r="156" spans="1:17" ht="24">
      <c r="A156" s="198"/>
      <c r="B156" s="198"/>
      <c r="C156" s="198"/>
      <c r="D156" s="251" t="s">
        <v>764</v>
      </c>
      <c r="E156" s="252">
        <v>2</v>
      </c>
      <c r="F156" s="29">
        <v>131862</v>
      </c>
      <c r="G156" s="7">
        <f>0+'[2]táj.2'!G156</f>
        <v>0</v>
      </c>
      <c r="H156" s="7">
        <f>0+'[2]táj.2'!H156</f>
        <v>0</v>
      </c>
      <c r="I156" s="7">
        <f>0+'[2]táj.2'!I156</f>
        <v>0</v>
      </c>
      <c r="J156" s="7">
        <f>0+'[2]táj.2'!J156</f>
        <v>0</v>
      </c>
      <c r="K156" s="7">
        <f>2000+'[2]táj.2'!K156</f>
        <v>2000</v>
      </c>
      <c r="L156" s="7">
        <f>0+'[2]táj.2'!L156</f>
        <v>0</v>
      </c>
      <c r="M156" s="7">
        <f>0+'[2]táj.2'!M156</f>
        <v>0</v>
      </c>
      <c r="N156" s="7">
        <f>0+'[2]táj.2'!N156</f>
        <v>0</v>
      </c>
      <c r="O156" s="7">
        <f>0+'[2]táj.2'!O156</f>
        <v>0</v>
      </c>
      <c r="P156" s="7">
        <f>0+'[2]táj.2'!P156</f>
        <v>0</v>
      </c>
      <c r="Q156" s="7">
        <f t="shared" si="8"/>
        <v>2000</v>
      </c>
    </row>
    <row r="157" spans="1:17" ht="24">
      <c r="A157" s="198"/>
      <c r="B157" s="198"/>
      <c r="C157" s="198"/>
      <c r="D157" s="251" t="s">
        <v>765</v>
      </c>
      <c r="E157" s="252">
        <v>2</v>
      </c>
      <c r="F157" s="29">
        <v>131863</v>
      </c>
      <c r="G157" s="7">
        <f>0+'[2]táj.2'!G157</f>
        <v>0</v>
      </c>
      <c r="H157" s="7">
        <f>0+'[2]táj.2'!H157</f>
        <v>0</v>
      </c>
      <c r="I157" s="7">
        <f>2500+'[2]táj.2'!I157</f>
        <v>2500</v>
      </c>
      <c r="J157" s="7">
        <f>0+'[2]táj.2'!J157</f>
        <v>0</v>
      </c>
      <c r="K157" s="7">
        <f>0+'[2]táj.2'!K157</f>
        <v>0</v>
      </c>
      <c r="L157" s="7">
        <f>0+'[2]táj.2'!L157</f>
        <v>0</v>
      </c>
      <c r="M157" s="7">
        <f>0+'[2]táj.2'!M157</f>
        <v>0</v>
      </c>
      <c r="N157" s="7">
        <f>0+'[2]táj.2'!N157</f>
        <v>0</v>
      </c>
      <c r="O157" s="7">
        <f>0+'[2]táj.2'!O157</f>
        <v>0</v>
      </c>
      <c r="P157" s="7">
        <f>0+'[2]táj.2'!P157</f>
        <v>0</v>
      </c>
      <c r="Q157" s="7">
        <f t="shared" si="8"/>
        <v>2500</v>
      </c>
    </row>
    <row r="158" spans="1:17" ht="12">
      <c r="A158" s="198"/>
      <c r="B158" s="198"/>
      <c r="C158" s="198"/>
      <c r="D158" s="7" t="s">
        <v>766</v>
      </c>
      <c r="E158" s="248">
        <v>2</v>
      </c>
      <c r="F158" s="249">
        <v>131854</v>
      </c>
      <c r="G158" s="7">
        <f>0+'[2]táj.2'!G158</f>
        <v>0</v>
      </c>
      <c r="H158" s="7">
        <f>0+'[2]táj.2'!H158</f>
        <v>0</v>
      </c>
      <c r="I158" s="7">
        <f>0+'[2]táj.2'!I158</f>
        <v>0</v>
      </c>
      <c r="J158" s="7">
        <f>0+'[2]táj.2'!J158</f>
        <v>0</v>
      </c>
      <c r="K158" s="7">
        <f>0+'[2]táj.2'!K158</f>
        <v>0</v>
      </c>
      <c r="L158" s="7">
        <f>0+'[2]táj.2'!L158</f>
        <v>0</v>
      </c>
      <c r="M158" s="7">
        <f>0+'[2]táj.2'!M158</f>
        <v>0</v>
      </c>
      <c r="N158" s="7">
        <f>0+'[2]táj.2'!N158</f>
        <v>0</v>
      </c>
      <c r="O158" s="7">
        <f>0+'[2]táj.2'!O158</f>
        <v>0</v>
      </c>
      <c r="P158" s="7">
        <f>0+'[2]táj.2'!P158</f>
        <v>0</v>
      </c>
      <c r="Q158" s="7">
        <f t="shared" si="8"/>
        <v>0</v>
      </c>
    </row>
    <row r="159" spans="1:17" ht="12">
      <c r="A159" s="198"/>
      <c r="B159" s="198"/>
      <c r="C159" s="198"/>
      <c r="D159" s="7" t="s">
        <v>767</v>
      </c>
      <c r="E159" s="248">
        <v>2</v>
      </c>
      <c r="F159" s="249">
        <v>131856</v>
      </c>
      <c r="G159" s="7">
        <f>0+'[2]táj.2'!G159</f>
        <v>0</v>
      </c>
      <c r="H159" s="7">
        <f>0+'[2]táj.2'!H159</f>
        <v>0</v>
      </c>
      <c r="I159" s="7">
        <f>0+'[2]táj.2'!I159</f>
        <v>0</v>
      </c>
      <c r="J159" s="7">
        <f>0+'[2]táj.2'!J159</f>
        <v>0</v>
      </c>
      <c r="K159" s="7">
        <f>100+'[2]táj.2'!K159</f>
        <v>100</v>
      </c>
      <c r="L159" s="7">
        <f>0+'[2]táj.2'!L159</f>
        <v>0</v>
      </c>
      <c r="M159" s="7">
        <f>0+'[2]táj.2'!M159</f>
        <v>0</v>
      </c>
      <c r="N159" s="7">
        <f>0+'[2]táj.2'!N159</f>
        <v>0</v>
      </c>
      <c r="O159" s="7">
        <f>0+'[2]táj.2'!O159</f>
        <v>0</v>
      </c>
      <c r="P159" s="7">
        <f>0+'[2]táj.2'!P159</f>
        <v>0</v>
      </c>
      <c r="Q159" s="7">
        <f t="shared" si="8"/>
        <v>100</v>
      </c>
    </row>
    <row r="160" spans="1:17" ht="12">
      <c r="A160" s="198"/>
      <c r="B160" s="198"/>
      <c r="C160" s="198"/>
      <c r="D160" s="253" t="s">
        <v>768</v>
      </c>
      <c r="E160" s="248">
        <v>2</v>
      </c>
      <c r="F160" s="249">
        <v>131859</v>
      </c>
      <c r="G160" s="7">
        <f>0+'[2]táj.2'!G160</f>
        <v>0</v>
      </c>
      <c r="H160" s="7">
        <f>0+'[2]táj.2'!H160</f>
        <v>0</v>
      </c>
      <c r="I160" s="7">
        <f>0+'[2]táj.2'!I160</f>
        <v>0</v>
      </c>
      <c r="J160" s="7">
        <f>0+'[2]táj.2'!J160</f>
        <v>0</v>
      </c>
      <c r="K160" s="7">
        <f>100+'[2]táj.2'!K160</f>
        <v>100</v>
      </c>
      <c r="L160" s="7">
        <f>0+'[2]táj.2'!L160</f>
        <v>0</v>
      </c>
      <c r="M160" s="7">
        <f>0+'[2]táj.2'!M160</f>
        <v>0</v>
      </c>
      <c r="N160" s="7">
        <f>0+'[2]táj.2'!N160</f>
        <v>0</v>
      </c>
      <c r="O160" s="7">
        <f>0+'[2]táj.2'!O160</f>
        <v>0</v>
      </c>
      <c r="P160" s="7">
        <f>0+'[2]táj.2'!P160</f>
        <v>0</v>
      </c>
      <c r="Q160" s="7">
        <f t="shared" si="8"/>
        <v>100</v>
      </c>
    </row>
    <row r="161" spans="1:17" ht="12">
      <c r="A161" s="198"/>
      <c r="B161" s="198"/>
      <c r="C161" s="198"/>
      <c r="D161" s="253" t="s">
        <v>769</v>
      </c>
      <c r="E161" s="248">
        <v>2</v>
      </c>
      <c r="F161" s="249">
        <v>131860</v>
      </c>
      <c r="G161" s="7">
        <f>0+'[2]táj.2'!G161</f>
        <v>0</v>
      </c>
      <c r="H161" s="7">
        <f>0+'[2]táj.2'!H161</f>
        <v>0</v>
      </c>
      <c r="I161" s="7">
        <f>0+'[2]táj.2'!I161</f>
        <v>0</v>
      </c>
      <c r="J161" s="7">
        <f>0+'[2]táj.2'!J161</f>
        <v>0</v>
      </c>
      <c r="K161" s="7">
        <f>100+'[2]táj.2'!K161</f>
        <v>100</v>
      </c>
      <c r="L161" s="7">
        <f>0+'[2]táj.2'!L161</f>
        <v>0</v>
      </c>
      <c r="M161" s="7">
        <f>0+'[2]táj.2'!M161</f>
        <v>0</v>
      </c>
      <c r="N161" s="7">
        <f>0+'[2]táj.2'!N161</f>
        <v>0</v>
      </c>
      <c r="O161" s="7">
        <f>0+'[2]táj.2'!O161</f>
        <v>0</v>
      </c>
      <c r="P161" s="7">
        <f>0+'[2]táj.2'!P161</f>
        <v>0</v>
      </c>
      <c r="Q161" s="7">
        <f t="shared" si="8"/>
        <v>100</v>
      </c>
    </row>
    <row r="162" spans="1:17" ht="12">
      <c r="A162" s="198"/>
      <c r="B162" s="198"/>
      <c r="C162" s="198"/>
      <c r="D162" s="253" t="s">
        <v>770</v>
      </c>
      <c r="E162" s="248">
        <v>2</v>
      </c>
      <c r="F162" s="249">
        <v>131861</v>
      </c>
      <c r="G162" s="7">
        <f>0+'[2]táj.2'!G162</f>
        <v>0</v>
      </c>
      <c r="H162" s="7">
        <f>0+'[2]táj.2'!H162</f>
        <v>0</v>
      </c>
      <c r="I162" s="7">
        <f>0+'[2]táj.2'!I162</f>
        <v>0</v>
      </c>
      <c r="J162" s="7">
        <f>0+'[2]táj.2'!J162</f>
        <v>0</v>
      </c>
      <c r="K162" s="7">
        <f>100+'[2]táj.2'!K162</f>
        <v>100</v>
      </c>
      <c r="L162" s="7">
        <f>0+'[2]táj.2'!L162</f>
        <v>0</v>
      </c>
      <c r="M162" s="7">
        <f>0+'[2]táj.2'!M162</f>
        <v>0</v>
      </c>
      <c r="N162" s="7">
        <f>0+'[2]táj.2'!N162</f>
        <v>0</v>
      </c>
      <c r="O162" s="7">
        <f>0+'[2]táj.2'!O162</f>
        <v>0</v>
      </c>
      <c r="P162" s="7">
        <f>0+'[2]táj.2'!P162</f>
        <v>0</v>
      </c>
      <c r="Q162" s="7">
        <f t="shared" si="8"/>
        <v>100</v>
      </c>
    </row>
    <row r="163" spans="1:17" ht="12">
      <c r="A163" s="198"/>
      <c r="B163" s="198"/>
      <c r="C163" s="198"/>
      <c r="D163" s="210" t="s">
        <v>771</v>
      </c>
      <c r="E163" s="207">
        <v>2</v>
      </c>
      <c r="F163" s="7">
        <v>131829</v>
      </c>
      <c r="G163" s="7">
        <f>400+'[2]táj.2'!G163</f>
        <v>400</v>
      </c>
      <c r="H163" s="7">
        <f>250+'[2]táj.2'!H163</f>
        <v>250</v>
      </c>
      <c r="I163" s="7">
        <f>1543+'[2]táj.2'!I163</f>
        <v>1543</v>
      </c>
      <c r="J163" s="7">
        <f>0+'[2]táj.2'!J163</f>
        <v>0</v>
      </c>
      <c r="K163" s="7">
        <f>1600+'[2]táj.2'!K163</f>
        <v>1600</v>
      </c>
      <c r="L163" s="7">
        <f>0+'[2]táj.2'!L163</f>
        <v>0</v>
      </c>
      <c r="M163" s="7">
        <f>0+'[2]táj.2'!M163</f>
        <v>0</v>
      </c>
      <c r="N163" s="7">
        <f>0+'[2]táj.2'!N163</f>
        <v>0</v>
      </c>
      <c r="O163" s="7">
        <f>0+'[2]táj.2'!O163</f>
        <v>0</v>
      </c>
      <c r="P163" s="7">
        <f>0+'[2]táj.2'!P163</f>
        <v>0</v>
      </c>
      <c r="Q163" s="7">
        <f t="shared" si="8"/>
        <v>3793</v>
      </c>
    </row>
    <row r="164" spans="1:17" ht="12">
      <c r="A164" s="198"/>
      <c r="B164" s="198"/>
      <c r="C164" s="198"/>
      <c r="D164" s="210" t="s">
        <v>1497</v>
      </c>
      <c r="E164" s="207">
        <v>2</v>
      </c>
      <c r="F164" s="7">
        <v>131864</v>
      </c>
      <c r="G164" s="7">
        <f>0+'[2]táj.2'!G164</f>
        <v>0</v>
      </c>
      <c r="H164" s="7">
        <f>0+'[2]táj.2'!H164</f>
        <v>0</v>
      </c>
      <c r="I164" s="7">
        <f>0+'[2]táj.2'!I164</f>
        <v>0</v>
      </c>
      <c r="J164" s="7">
        <f>0+'[2]táj.2'!J164</f>
        <v>0</v>
      </c>
      <c r="K164" s="7">
        <f>4000+'[2]táj.2'!K164</f>
        <v>4000</v>
      </c>
      <c r="L164" s="7">
        <f>0+'[2]táj.2'!L164</f>
        <v>0</v>
      </c>
      <c r="M164" s="7">
        <f>0+'[2]táj.2'!M164</f>
        <v>0</v>
      </c>
      <c r="N164" s="7">
        <f>0+'[2]táj.2'!N164</f>
        <v>0</v>
      </c>
      <c r="O164" s="7">
        <f>0+'[2]táj.2'!O164</f>
        <v>0</v>
      </c>
      <c r="P164" s="7">
        <f>0+'[2]táj.2'!P164</f>
        <v>0</v>
      </c>
      <c r="Q164" s="7">
        <f t="shared" si="8"/>
        <v>4000</v>
      </c>
    </row>
    <row r="165" spans="1:17" ht="12">
      <c r="A165" s="198"/>
      <c r="B165" s="198"/>
      <c r="C165" s="198"/>
      <c r="D165" s="7" t="s">
        <v>772</v>
      </c>
      <c r="E165" s="20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">
      <c r="A166" s="198"/>
      <c r="B166" s="198"/>
      <c r="C166" s="214"/>
      <c r="D166" s="211" t="s">
        <v>773</v>
      </c>
      <c r="E166" s="207">
        <v>1</v>
      </c>
      <c r="F166" s="7">
        <v>131827</v>
      </c>
      <c r="G166" s="7">
        <f>0+'[2]táj.2'!G166</f>
        <v>0</v>
      </c>
      <c r="H166" s="7">
        <f>0+'[2]táj.2'!H166</f>
        <v>0</v>
      </c>
      <c r="I166" s="7">
        <f>13043+'[2]táj.2'!I166</f>
        <v>13043</v>
      </c>
      <c r="J166" s="7">
        <f>0+'[2]táj.2'!J166</f>
        <v>0</v>
      </c>
      <c r="K166" s="7">
        <f>23000+'[2]táj.2'!K166</f>
        <v>23000</v>
      </c>
      <c r="L166" s="7">
        <f>0+'[2]táj.2'!L166</f>
        <v>0</v>
      </c>
      <c r="M166" s="7">
        <f>0+'[2]táj.2'!M166</f>
        <v>0</v>
      </c>
      <c r="N166" s="7">
        <f>0+'[2]táj.2'!N166</f>
        <v>0</v>
      </c>
      <c r="O166" s="7">
        <f>0+'[2]táj.2'!O166</f>
        <v>0</v>
      </c>
      <c r="P166" s="7">
        <f>0+'[2]táj.2'!P166</f>
        <v>0</v>
      </c>
      <c r="Q166" s="7">
        <f>SUM(G166:P166)</f>
        <v>36043</v>
      </c>
    </row>
    <row r="167" spans="1:17" ht="12">
      <c r="A167" s="198"/>
      <c r="B167" s="198"/>
      <c r="C167" s="214"/>
      <c r="D167" s="211" t="s">
        <v>774</v>
      </c>
      <c r="E167" s="7">
        <v>2</v>
      </c>
      <c r="F167" s="7">
        <v>131857</v>
      </c>
      <c r="G167" s="7">
        <f>0+'[2]táj.2'!G167</f>
        <v>0</v>
      </c>
      <c r="H167" s="7">
        <f>0+'[2]táj.2'!H167</f>
        <v>0</v>
      </c>
      <c r="I167" s="7">
        <f>0+'[2]táj.2'!I167</f>
        <v>0</v>
      </c>
      <c r="J167" s="7">
        <f>0+'[2]táj.2'!J167</f>
        <v>0</v>
      </c>
      <c r="K167" s="7">
        <f>13000+'[2]táj.2'!K167</f>
        <v>13000</v>
      </c>
      <c r="L167" s="7">
        <f>0+'[2]táj.2'!L167</f>
        <v>0</v>
      </c>
      <c r="M167" s="7">
        <f>0+'[2]táj.2'!M167</f>
        <v>0</v>
      </c>
      <c r="N167" s="7">
        <f>0+'[2]táj.2'!N167</f>
        <v>0</v>
      </c>
      <c r="O167" s="7">
        <f>0+'[2]táj.2'!O167</f>
        <v>0</v>
      </c>
      <c r="P167" s="7">
        <f>0+'[2]táj.2'!P167</f>
        <v>0</v>
      </c>
      <c r="Q167" s="7">
        <f>SUM(G167:P167)</f>
        <v>13000</v>
      </c>
    </row>
    <row r="168" spans="1:17" ht="12">
      <c r="A168" s="198"/>
      <c r="B168" s="198"/>
      <c r="C168" s="214"/>
      <c r="D168" s="254" t="s">
        <v>775</v>
      </c>
      <c r="E168" s="7">
        <v>2</v>
      </c>
      <c r="F168" s="7">
        <v>131844</v>
      </c>
      <c r="G168" s="7">
        <f>0+'[2]táj.2'!G168</f>
        <v>0</v>
      </c>
      <c r="H168" s="7">
        <f>0+'[2]táj.2'!H168</f>
        <v>0</v>
      </c>
      <c r="I168" s="7">
        <f>0+'[2]táj.2'!I168</f>
        <v>0</v>
      </c>
      <c r="J168" s="7">
        <f>0+'[2]táj.2'!J168</f>
        <v>0</v>
      </c>
      <c r="K168" s="7">
        <f>24842+'[2]táj.2'!K168</f>
        <v>24842</v>
      </c>
      <c r="L168" s="7">
        <f>0+'[2]táj.2'!L168</f>
        <v>0</v>
      </c>
      <c r="M168" s="7">
        <f>0+'[2]táj.2'!M168</f>
        <v>0</v>
      </c>
      <c r="N168" s="7">
        <f>0+'[2]táj.2'!N168</f>
        <v>0</v>
      </c>
      <c r="O168" s="7">
        <f>0+'[2]táj.2'!O168</f>
        <v>0</v>
      </c>
      <c r="P168" s="7">
        <f>0+'[2]táj.2'!P168</f>
        <v>0</v>
      </c>
      <c r="Q168" s="7">
        <f>SUM(G168:P168)</f>
        <v>24842</v>
      </c>
    </row>
    <row r="169" spans="1:17" ht="12">
      <c r="A169" s="218"/>
      <c r="B169" s="218"/>
      <c r="C169" s="219"/>
      <c r="D169" s="220" t="s">
        <v>776</v>
      </c>
      <c r="E169" s="221"/>
      <c r="F169" s="61"/>
      <c r="G169" s="255">
        <f aca="true" t="shared" si="9" ref="G169:Q169">SUM(G49:G168)</f>
        <v>4179</v>
      </c>
      <c r="H169" s="255">
        <f t="shared" si="9"/>
        <v>1712</v>
      </c>
      <c r="I169" s="255">
        <f t="shared" si="9"/>
        <v>80184</v>
      </c>
      <c r="J169" s="255">
        <f t="shared" si="9"/>
        <v>5100</v>
      </c>
      <c r="K169" s="255">
        <f t="shared" si="9"/>
        <v>665376</v>
      </c>
      <c r="L169" s="255">
        <f t="shared" si="9"/>
        <v>0</v>
      </c>
      <c r="M169" s="255">
        <f t="shared" si="9"/>
        <v>0</v>
      </c>
      <c r="N169" s="255">
        <f t="shared" si="9"/>
        <v>500</v>
      </c>
      <c r="O169" s="255">
        <f t="shared" si="9"/>
        <v>0</v>
      </c>
      <c r="P169" s="255">
        <f t="shared" si="9"/>
        <v>0</v>
      </c>
      <c r="Q169" s="255">
        <f t="shared" si="9"/>
        <v>757051</v>
      </c>
    </row>
    <row r="170" spans="1:17" ht="12">
      <c r="A170" s="170"/>
      <c r="B170" s="170"/>
      <c r="C170" s="256"/>
      <c r="D170" s="245" t="s">
        <v>653</v>
      </c>
      <c r="E170" s="9"/>
      <c r="F170" s="8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</row>
    <row r="171" spans="1:17" ht="13.5">
      <c r="A171" s="170"/>
      <c r="B171" s="170"/>
      <c r="C171" s="259" t="s">
        <v>269</v>
      </c>
      <c r="D171" s="260" t="s">
        <v>663</v>
      </c>
      <c r="E171" s="9"/>
      <c r="F171" s="8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</row>
    <row r="172" spans="1:17" ht="13.5">
      <c r="A172" s="170"/>
      <c r="B172" s="170"/>
      <c r="C172" s="261" t="s">
        <v>777</v>
      </c>
      <c r="D172" s="262" t="s">
        <v>0</v>
      </c>
      <c r="E172" s="263"/>
      <c r="F172" s="8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</row>
    <row r="173" spans="1:17" ht="38.25">
      <c r="A173" s="170"/>
      <c r="B173" s="170"/>
      <c r="C173" s="265" t="s">
        <v>1</v>
      </c>
      <c r="D173" s="646" t="s">
        <v>2</v>
      </c>
      <c r="E173" s="223"/>
      <c r="F173" s="7">
        <v>132903</v>
      </c>
      <c r="G173" s="10">
        <f>0+'[2]táj.2'!G173</f>
        <v>0</v>
      </c>
      <c r="H173" s="10">
        <f>0+'[2]táj.2'!H173</f>
        <v>0</v>
      </c>
      <c r="I173" s="10">
        <f>0+'[2]táj.2'!I173</f>
        <v>0</v>
      </c>
      <c r="J173" s="10">
        <f>0+'[2]táj.2'!J173</f>
        <v>0</v>
      </c>
      <c r="K173" s="10">
        <f>0+'[2]táj.2'!K173</f>
        <v>0</v>
      </c>
      <c r="L173" s="10">
        <f>0+'[2]táj.2'!L173</f>
        <v>0</v>
      </c>
      <c r="M173" s="10">
        <f>0+'[2]táj.2'!M173</f>
        <v>0</v>
      </c>
      <c r="N173" s="10">
        <f>13500+'[2]táj.2'!N173</f>
        <v>13500</v>
      </c>
      <c r="O173" s="10">
        <f>0+'[2]táj.2'!O173</f>
        <v>0</v>
      </c>
      <c r="P173" s="10">
        <f>0+'[2]táj.2'!P173</f>
        <v>0</v>
      </c>
      <c r="Q173" s="264">
        <f aca="true" t="shared" si="10" ref="Q173:Q184">SUM(G173:P173)</f>
        <v>13500</v>
      </c>
    </row>
    <row r="174" spans="1:17" ht="12.75">
      <c r="A174" s="170"/>
      <c r="B174" s="170"/>
      <c r="C174" s="265" t="s">
        <v>3</v>
      </c>
      <c r="D174" s="647" t="s">
        <v>4</v>
      </c>
      <c r="E174" s="223"/>
      <c r="F174" s="7">
        <v>134920</v>
      </c>
      <c r="G174" s="10">
        <f>0+'[2]táj.2'!G174</f>
        <v>0</v>
      </c>
      <c r="H174" s="10">
        <f>0+'[2]táj.2'!H174</f>
        <v>0</v>
      </c>
      <c r="I174" s="10">
        <f>0+'[2]táj.2'!I174</f>
        <v>0</v>
      </c>
      <c r="J174" s="10">
        <f>0+'[2]táj.2'!J174</f>
        <v>0</v>
      </c>
      <c r="K174" s="10">
        <f>0+'[2]táj.2'!K174</f>
        <v>0</v>
      </c>
      <c r="L174" s="10">
        <f>0+'[2]táj.2'!L174</f>
        <v>0</v>
      </c>
      <c r="M174" s="10">
        <f>0+'[2]táj.2'!M174</f>
        <v>0</v>
      </c>
      <c r="N174" s="10">
        <f>300+'[2]táj.2'!N174</f>
        <v>300</v>
      </c>
      <c r="O174" s="10">
        <f>0+'[2]táj.2'!O174</f>
        <v>0</v>
      </c>
      <c r="P174" s="10">
        <f>0+'[2]táj.2'!P174</f>
        <v>0</v>
      </c>
      <c r="Q174" s="264">
        <f t="shared" si="10"/>
        <v>300</v>
      </c>
    </row>
    <row r="175" spans="1:17" ht="12.75">
      <c r="A175" s="170"/>
      <c r="B175" s="170"/>
      <c r="C175" s="265" t="s">
        <v>5</v>
      </c>
      <c r="D175" s="236" t="s">
        <v>6</v>
      </c>
      <c r="E175" s="818"/>
      <c r="F175" s="7">
        <v>134995</v>
      </c>
      <c r="G175" s="10">
        <f>0+'[2]táj.2'!G175</f>
        <v>0</v>
      </c>
      <c r="H175" s="10">
        <f>0+'[2]táj.2'!H175</f>
        <v>0</v>
      </c>
      <c r="I175" s="10">
        <f>0+'[2]táj.2'!I175</f>
        <v>0</v>
      </c>
      <c r="J175" s="10">
        <f>0+'[2]táj.2'!J175</f>
        <v>0</v>
      </c>
      <c r="K175" s="10">
        <f>0+'[2]táj.2'!K175</f>
        <v>0</v>
      </c>
      <c r="L175" s="10">
        <f>0+'[2]táj.2'!L175</f>
        <v>0</v>
      </c>
      <c r="M175" s="10">
        <f>0+'[2]táj.2'!M175</f>
        <v>0</v>
      </c>
      <c r="N175" s="10">
        <f>250+'[2]táj.2'!N175</f>
        <v>250</v>
      </c>
      <c r="O175" s="10">
        <f>0+'[2]táj.2'!O175</f>
        <v>0</v>
      </c>
      <c r="P175" s="10">
        <f>0+'[2]táj.2'!P175</f>
        <v>0</v>
      </c>
      <c r="Q175" s="264">
        <f t="shared" si="10"/>
        <v>250</v>
      </c>
    </row>
    <row r="176" spans="1:17" ht="12.75">
      <c r="A176" s="170"/>
      <c r="B176" s="170"/>
      <c r="C176" s="265" t="s">
        <v>7</v>
      </c>
      <c r="D176" s="266" t="s">
        <v>8</v>
      </c>
      <c r="E176" s="818"/>
      <c r="F176" s="7">
        <v>132928</v>
      </c>
      <c r="G176" s="10">
        <f>0+'[2]táj.2'!G176</f>
        <v>0</v>
      </c>
      <c r="H176" s="10">
        <f>0+'[2]táj.2'!H176</f>
        <v>0</v>
      </c>
      <c r="I176" s="10">
        <f>0+'[2]táj.2'!I176</f>
        <v>0</v>
      </c>
      <c r="J176" s="10">
        <f>0+'[2]táj.2'!J176</f>
        <v>0</v>
      </c>
      <c r="K176" s="10">
        <f>0+'[2]táj.2'!K176</f>
        <v>0</v>
      </c>
      <c r="L176" s="10">
        <f>1300+'[2]táj.2'!L176</f>
        <v>1300</v>
      </c>
      <c r="M176" s="10">
        <f>0+'[2]táj.2'!M176</f>
        <v>0</v>
      </c>
      <c r="N176" s="10">
        <f>0+'[2]táj.2'!N176</f>
        <v>0</v>
      </c>
      <c r="O176" s="10">
        <f>0+'[2]táj.2'!O176</f>
        <v>0</v>
      </c>
      <c r="P176" s="10">
        <f>0+'[2]táj.2'!P176</f>
        <v>0</v>
      </c>
      <c r="Q176" s="264">
        <f t="shared" si="10"/>
        <v>1300</v>
      </c>
    </row>
    <row r="177" spans="1:17" ht="12.75">
      <c r="A177" s="170"/>
      <c r="B177" s="170"/>
      <c r="C177" s="265" t="s">
        <v>9</v>
      </c>
      <c r="D177" s="266" t="s">
        <v>10</v>
      </c>
      <c r="E177" s="818"/>
      <c r="F177" s="7">
        <v>132929</v>
      </c>
      <c r="G177" s="10">
        <f>0+'[2]táj.2'!G177</f>
        <v>0</v>
      </c>
      <c r="H177" s="10">
        <f>0+'[2]táj.2'!H177</f>
        <v>0</v>
      </c>
      <c r="I177" s="10">
        <f>0+'[2]táj.2'!I177</f>
        <v>0</v>
      </c>
      <c r="J177" s="10">
        <f>0+'[2]táj.2'!J177</f>
        <v>0</v>
      </c>
      <c r="K177" s="10">
        <f>0+'[2]táj.2'!K177</f>
        <v>0</v>
      </c>
      <c r="L177" s="10">
        <f>1779+'[2]táj.2'!L177</f>
        <v>1779</v>
      </c>
      <c r="M177" s="10">
        <f>0+'[2]táj.2'!M177</f>
        <v>0</v>
      </c>
      <c r="N177" s="10">
        <f>0+'[2]táj.2'!N177</f>
        <v>0</v>
      </c>
      <c r="O177" s="10">
        <f>0+'[2]táj.2'!O177</f>
        <v>0</v>
      </c>
      <c r="P177" s="10">
        <f>0+'[2]táj.2'!P177</f>
        <v>0</v>
      </c>
      <c r="Q177" s="264">
        <f t="shared" si="10"/>
        <v>1779</v>
      </c>
    </row>
    <row r="178" spans="1:17" ht="12.75">
      <c r="A178" s="170"/>
      <c r="B178" s="170"/>
      <c r="C178" s="265" t="s">
        <v>11</v>
      </c>
      <c r="D178" s="267" t="s">
        <v>12</v>
      </c>
      <c r="E178" s="223"/>
      <c r="F178" s="7">
        <v>132930</v>
      </c>
      <c r="G178" s="10">
        <f>0+'[2]táj.2'!G178</f>
        <v>0</v>
      </c>
      <c r="H178" s="10">
        <f>0+'[2]táj.2'!H178</f>
        <v>0</v>
      </c>
      <c r="I178" s="10">
        <f>0+'[2]táj.2'!I178</f>
        <v>0</v>
      </c>
      <c r="J178" s="10">
        <f>0+'[2]táj.2'!J178</f>
        <v>0</v>
      </c>
      <c r="K178" s="10">
        <f>0+'[2]táj.2'!K178</f>
        <v>0</v>
      </c>
      <c r="L178" s="10">
        <f>2381+'[2]táj.2'!L178</f>
        <v>2381</v>
      </c>
      <c r="M178" s="10">
        <f>0+'[2]táj.2'!M178</f>
        <v>0</v>
      </c>
      <c r="N178" s="10">
        <f>0+'[2]táj.2'!N178</f>
        <v>0</v>
      </c>
      <c r="O178" s="10">
        <f>0+'[2]táj.2'!O178</f>
        <v>0</v>
      </c>
      <c r="P178" s="10">
        <f>0+'[2]táj.2'!P178</f>
        <v>0</v>
      </c>
      <c r="Q178" s="264">
        <f t="shared" si="10"/>
        <v>2381</v>
      </c>
    </row>
    <row r="179" spans="1:17" ht="12.75">
      <c r="A179" s="170"/>
      <c r="B179" s="170"/>
      <c r="C179" s="265" t="s">
        <v>13</v>
      </c>
      <c r="D179" s="320" t="s">
        <v>14</v>
      </c>
      <c r="E179" s="223"/>
      <c r="F179" s="674">
        <v>134919</v>
      </c>
      <c r="G179" s="10">
        <f>0+'[2]táj.2'!G179</f>
        <v>0</v>
      </c>
      <c r="H179" s="10">
        <f>0+'[2]táj.2'!H179</f>
        <v>0</v>
      </c>
      <c r="I179" s="10">
        <f>0+'[2]táj.2'!I179</f>
        <v>0</v>
      </c>
      <c r="J179" s="10">
        <f>0+'[2]táj.2'!J179</f>
        <v>0</v>
      </c>
      <c r="K179" s="10">
        <f>0+'[2]táj.2'!K179</f>
        <v>0</v>
      </c>
      <c r="L179" s="10">
        <f>0+'[2]táj.2'!L179</f>
        <v>0</v>
      </c>
      <c r="M179" s="10">
        <f>0+'[2]táj.2'!M179</f>
        <v>0</v>
      </c>
      <c r="N179" s="10">
        <f>500+'[2]táj.2'!N179</f>
        <v>500</v>
      </c>
      <c r="O179" s="10">
        <f>0+'[2]táj.2'!O179</f>
        <v>0</v>
      </c>
      <c r="P179" s="10">
        <f>0+'[2]táj.2'!P179</f>
        <v>0</v>
      </c>
      <c r="Q179" s="264">
        <f t="shared" si="10"/>
        <v>500</v>
      </c>
    </row>
    <row r="180" spans="1:17" ht="25.5">
      <c r="A180" s="170"/>
      <c r="B180" s="170"/>
      <c r="C180" s="265" t="s">
        <v>15</v>
      </c>
      <c r="D180" s="236" t="s">
        <v>16</v>
      </c>
      <c r="E180" s="223"/>
      <c r="F180" s="7">
        <v>132904</v>
      </c>
      <c r="G180" s="10">
        <f>0+'[2]táj.2'!G180</f>
        <v>0</v>
      </c>
      <c r="H180" s="10">
        <f>0+'[2]táj.2'!H180</f>
        <v>0</v>
      </c>
      <c r="I180" s="10">
        <f>0+'[2]táj.2'!I180</f>
        <v>0</v>
      </c>
      <c r="J180" s="10">
        <f>0+'[2]táj.2'!J180</f>
        <v>0</v>
      </c>
      <c r="K180" s="10">
        <f>0+'[2]táj.2'!K180</f>
        <v>0</v>
      </c>
      <c r="L180" s="10">
        <f>3000+'[2]táj.2'!L180</f>
        <v>3000</v>
      </c>
      <c r="M180" s="10">
        <f>0+'[2]táj.2'!M180</f>
        <v>0</v>
      </c>
      <c r="N180" s="10">
        <f>0+'[2]táj.2'!N180</f>
        <v>0</v>
      </c>
      <c r="O180" s="10">
        <f>0+'[2]táj.2'!O180</f>
        <v>0</v>
      </c>
      <c r="P180" s="10">
        <f>0+'[2]táj.2'!P180</f>
        <v>0</v>
      </c>
      <c r="Q180" s="264">
        <f t="shared" si="10"/>
        <v>3000</v>
      </c>
    </row>
    <row r="181" spans="1:17" ht="12.75">
      <c r="A181" s="170"/>
      <c r="B181" s="170"/>
      <c r="C181" s="265" t="s">
        <v>17</v>
      </c>
      <c r="D181" s="236" t="s">
        <v>18</v>
      </c>
      <c r="E181" s="223"/>
      <c r="F181" s="7">
        <v>134908</v>
      </c>
      <c r="G181" s="10">
        <f>0+'[2]táj.2'!G181</f>
        <v>0</v>
      </c>
      <c r="H181" s="10">
        <f>0+'[2]táj.2'!H181</f>
        <v>0</v>
      </c>
      <c r="I181" s="10">
        <f>0+'[2]táj.2'!I181</f>
        <v>0</v>
      </c>
      <c r="J181" s="10">
        <f>0+'[2]táj.2'!J181</f>
        <v>0</v>
      </c>
      <c r="K181" s="10">
        <f>0+'[2]táj.2'!K181</f>
        <v>0</v>
      </c>
      <c r="L181" s="10">
        <f>0+'[2]táj.2'!L181</f>
        <v>0</v>
      </c>
      <c r="M181" s="10">
        <f>2500+'[2]táj.2'!M181</f>
        <v>2500</v>
      </c>
      <c r="N181" s="10">
        <f>0+'[2]táj.2'!N181</f>
        <v>0</v>
      </c>
      <c r="O181" s="10">
        <f>0+'[2]táj.2'!O181</f>
        <v>0</v>
      </c>
      <c r="P181" s="10">
        <f>0+'[2]táj.2'!P181</f>
        <v>0</v>
      </c>
      <c r="Q181" s="264">
        <f t="shared" si="10"/>
        <v>2500</v>
      </c>
    </row>
    <row r="182" spans="1:17" ht="12.75">
      <c r="A182" s="170"/>
      <c r="B182" s="170"/>
      <c r="C182" s="265" t="s">
        <v>71</v>
      </c>
      <c r="D182" s="326" t="s">
        <v>72</v>
      </c>
      <c r="E182" s="643"/>
      <c r="F182" s="7">
        <v>132934</v>
      </c>
      <c r="G182" s="10">
        <f>0+'[2]táj.2'!G182</f>
        <v>0</v>
      </c>
      <c r="H182" s="10">
        <f>0+'[2]táj.2'!H182</f>
        <v>0</v>
      </c>
      <c r="I182" s="10">
        <f>0+'[2]táj.2'!I182</f>
        <v>0</v>
      </c>
      <c r="J182" s="10">
        <f>0+'[2]táj.2'!J182</f>
        <v>0</v>
      </c>
      <c r="K182" s="10">
        <f>0+'[2]táj.2'!K182</f>
        <v>0</v>
      </c>
      <c r="L182" s="10">
        <f>2000+'[2]táj.2'!L182</f>
        <v>2000</v>
      </c>
      <c r="M182" s="10">
        <f>0+'[2]táj.2'!M182</f>
        <v>0</v>
      </c>
      <c r="N182" s="10">
        <f>0+'[2]táj.2'!N182</f>
        <v>0</v>
      </c>
      <c r="O182" s="10">
        <f>0+'[2]táj.2'!O182</f>
        <v>0</v>
      </c>
      <c r="P182" s="10">
        <f>0+'[2]táj.2'!P182</f>
        <v>0</v>
      </c>
      <c r="Q182" s="264">
        <f t="shared" si="10"/>
        <v>2000</v>
      </c>
    </row>
    <row r="183" spans="1:17" ht="12.75">
      <c r="A183" s="170"/>
      <c r="B183" s="170"/>
      <c r="C183" s="265" t="s">
        <v>73</v>
      </c>
      <c r="D183" s="236" t="s">
        <v>74</v>
      </c>
      <c r="E183" s="223"/>
      <c r="F183" s="7">
        <v>134937</v>
      </c>
      <c r="G183" s="10">
        <f>0+'[2]táj.2'!G183</f>
        <v>0</v>
      </c>
      <c r="H183" s="10">
        <f>0+'[2]táj.2'!H183</f>
        <v>0</v>
      </c>
      <c r="I183" s="10">
        <f>0+'[2]táj.2'!I183</f>
        <v>0</v>
      </c>
      <c r="J183" s="10">
        <f>0+'[2]táj.2'!J183</f>
        <v>0</v>
      </c>
      <c r="K183" s="10">
        <f>0+'[2]táj.2'!K183</f>
        <v>0</v>
      </c>
      <c r="L183" s="10">
        <f>0+'[2]táj.2'!L183</f>
        <v>0</v>
      </c>
      <c r="M183" s="10">
        <f>336+'[2]táj.2'!M183</f>
        <v>336</v>
      </c>
      <c r="N183" s="10">
        <f>0+'[2]táj.2'!N183</f>
        <v>0</v>
      </c>
      <c r="O183" s="10">
        <f>0+'[2]táj.2'!O183</f>
        <v>0</v>
      </c>
      <c r="P183" s="10">
        <f>0+'[2]táj.2'!P183</f>
        <v>0</v>
      </c>
      <c r="Q183" s="264">
        <f t="shared" si="10"/>
        <v>336</v>
      </c>
    </row>
    <row r="184" spans="1:17" ht="25.5">
      <c r="A184" s="170"/>
      <c r="B184" s="170"/>
      <c r="C184" s="265" t="s">
        <v>75</v>
      </c>
      <c r="D184" s="236" t="s">
        <v>76</v>
      </c>
      <c r="E184" s="223"/>
      <c r="F184" s="7">
        <v>134938</v>
      </c>
      <c r="G184" s="10">
        <f>0+'[2]táj.2'!G184</f>
        <v>0</v>
      </c>
      <c r="H184" s="10">
        <f>0+'[2]táj.2'!H184</f>
        <v>0</v>
      </c>
      <c r="I184" s="10">
        <f>0+'[2]táj.2'!I184</f>
        <v>0</v>
      </c>
      <c r="J184" s="10">
        <f>0+'[2]táj.2'!J184</f>
        <v>0</v>
      </c>
      <c r="K184" s="10">
        <f>0+'[2]táj.2'!K184</f>
        <v>0</v>
      </c>
      <c r="L184" s="10">
        <f>0+'[2]táj.2'!L184</f>
        <v>0</v>
      </c>
      <c r="M184" s="10">
        <f>0+'[2]táj.2'!M184</f>
        <v>0</v>
      </c>
      <c r="N184" s="10">
        <f>500+'[2]táj.2'!N184</f>
        <v>500</v>
      </c>
      <c r="O184" s="10">
        <f>0+'[2]táj.2'!O184</f>
        <v>0</v>
      </c>
      <c r="P184" s="10">
        <f>0+'[2]táj.2'!P184</f>
        <v>0</v>
      </c>
      <c r="Q184" s="264">
        <f t="shared" si="10"/>
        <v>500</v>
      </c>
    </row>
    <row r="185" spans="1:17" ht="13.5">
      <c r="A185" s="170"/>
      <c r="B185" s="170"/>
      <c r="C185" s="256" t="s">
        <v>19</v>
      </c>
      <c r="D185" s="268" t="s">
        <v>20</v>
      </c>
      <c r="E185" s="223"/>
      <c r="F185" s="7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264"/>
    </row>
    <row r="186" spans="1:17" ht="12.75">
      <c r="A186" s="170"/>
      <c r="B186" s="170"/>
      <c r="C186" s="269" t="s">
        <v>21</v>
      </c>
      <c r="D186" s="320" t="s">
        <v>22</v>
      </c>
      <c r="E186" s="223"/>
      <c r="F186" s="7">
        <v>134928</v>
      </c>
      <c r="G186" s="10">
        <f>0+'[2]táj.2'!G186</f>
        <v>0</v>
      </c>
      <c r="H186" s="10">
        <f>0+'[2]táj.2'!H186</f>
        <v>0</v>
      </c>
      <c r="I186" s="10">
        <f>0+'[2]táj.2'!I186</f>
        <v>0</v>
      </c>
      <c r="J186" s="10">
        <f>0+'[2]táj.2'!J186</f>
        <v>0</v>
      </c>
      <c r="K186" s="10">
        <f>0+'[2]táj.2'!K186</f>
        <v>0</v>
      </c>
      <c r="L186" s="10">
        <f>0+'[2]táj.2'!L186</f>
        <v>0</v>
      </c>
      <c r="M186" s="10">
        <f>0+'[2]táj.2'!M186</f>
        <v>0</v>
      </c>
      <c r="N186" s="10">
        <f>300+'[2]táj.2'!N186</f>
        <v>300</v>
      </c>
      <c r="O186" s="10">
        <f>0+'[2]táj.2'!O186</f>
        <v>0</v>
      </c>
      <c r="P186" s="10">
        <f>0+'[2]táj.2'!P186</f>
        <v>0</v>
      </c>
      <c r="Q186" s="264">
        <f>SUM(G186:P186)</f>
        <v>300</v>
      </c>
    </row>
    <row r="187" spans="1:17" ht="12.75">
      <c r="A187" s="170"/>
      <c r="B187" s="170"/>
      <c r="C187" s="269" t="s">
        <v>23</v>
      </c>
      <c r="D187" s="270" t="s">
        <v>24</v>
      </c>
      <c r="E187" s="223"/>
      <c r="F187" s="7">
        <v>134914</v>
      </c>
      <c r="G187" s="10">
        <f>0+'[2]táj.2'!G187</f>
        <v>0</v>
      </c>
      <c r="H187" s="10">
        <f>0+'[2]táj.2'!H187</f>
        <v>0</v>
      </c>
      <c r="I187" s="10">
        <f>0+'[2]táj.2'!I187</f>
        <v>0</v>
      </c>
      <c r="J187" s="10">
        <f>0+'[2]táj.2'!J187</f>
        <v>0</v>
      </c>
      <c r="K187" s="10">
        <f>0+'[2]táj.2'!K187</f>
        <v>0</v>
      </c>
      <c r="L187" s="10">
        <f>0+'[2]táj.2'!L187</f>
        <v>0</v>
      </c>
      <c r="M187" s="10">
        <f>0+'[2]táj.2'!M187</f>
        <v>0</v>
      </c>
      <c r="N187" s="10">
        <f>500+'[2]táj.2'!N187</f>
        <v>500</v>
      </c>
      <c r="O187" s="10">
        <f>0+'[2]táj.2'!O187</f>
        <v>0</v>
      </c>
      <c r="P187" s="10">
        <f>0+'[2]táj.2'!P187</f>
        <v>0</v>
      </c>
      <c r="Q187" s="264">
        <f aca="true" t="shared" si="11" ref="Q187:Q193">SUM(L187:P187)</f>
        <v>500</v>
      </c>
    </row>
    <row r="188" spans="1:17" ht="12.75">
      <c r="A188" s="170"/>
      <c r="B188" s="170"/>
      <c r="C188" s="269" t="s">
        <v>25</v>
      </c>
      <c r="D188" s="236" t="s">
        <v>26</v>
      </c>
      <c r="E188" s="223"/>
      <c r="F188" s="7">
        <v>132905</v>
      </c>
      <c r="G188" s="10">
        <f>0+'[2]táj.2'!G188</f>
        <v>0</v>
      </c>
      <c r="H188" s="10">
        <f>0+'[2]táj.2'!H188</f>
        <v>0</v>
      </c>
      <c r="I188" s="10">
        <f>0+'[2]táj.2'!I188</f>
        <v>0</v>
      </c>
      <c r="J188" s="10">
        <f>0+'[2]táj.2'!J188</f>
        <v>0</v>
      </c>
      <c r="K188" s="10">
        <f>0+'[2]táj.2'!K188</f>
        <v>0</v>
      </c>
      <c r="L188" s="10">
        <f>0+'[2]táj.2'!L188</f>
        <v>0</v>
      </c>
      <c r="M188" s="10">
        <f>0+'[2]táj.2'!M188</f>
        <v>0</v>
      </c>
      <c r="N188" s="10">
        <f>500+'[2]táj.2'!N188</f>
        <v>500</v>
      </c>
      <c r="O188" s="10">
        <f>0+'[2]táj.2'!O188</f>
        <v>0</v>
      </c>
      <c r="P188" s="10">
        <f>0+'[2]táj.2'!P188</f>
        <v>0</v>
      </c>
      <c r="Q188" s="264">
        <f t="shared" si="11"/>
        <v>500</v>
      </c>
    </row>
    <row r="189" spans="1:17" ht="12.75">
      <c r="A189" s="170"/>
      <c r="B189" s="170"/>
      <c r="C189" s="269" t="s">
        <v>27</v>
      </c>
      <c r="D189" s="236" t="s">
        <v>28</v>
      </c>
      <c r="E189" s="223"/>
      <c r="F189" s="7">
        <v>134929</v>
      </c>
      <c r="G189" s="10">
        <f>0+'[2]táj.2'!G189</f>
        <v>0</v>
      </c>
      <c r="H189" s="10">
        <f>0+'[2]táj.2'!H189</f>
        <v>0</v>
      </c>
      <c r="I189" s="10">
        <f>0+'[2]táj.2'!I189</f>
        <v>0</v>
      </c>
      <c r="J189" s="10">
        <f>0+'[2]táj.2'!J189</f>
        <v>0</v>
      </c>
      <c r="K189" s="10">
        <f>0+'[2]táj.2'!K189</f>
        <v>0</v>
      </c>
      <c r="L189" s="10">
        <f>0+'[2]táj.2'!L189</f>
        <v>0</v>
      </c>
      <c r="M189" s="10">
        <f>0+'[2]táj.2'!M189</f>
        <v>0</v>
      </c>
      <c r="N189" s="10">
        <f>400+'[2]táj.2'!N189</f>
        <v>400</v>
      </c>
      <c r="O189" s="10">
        <f>0+'[2]táj.2'!O189</f>
        <v>0</v>
      </c>
      <c r="P189" s="10">
        <f>0+'[2]táj.2'!P189</f>
        <v>0</v>
      </c>
      <c r="Q189" s="264">
        <f t="shared" si="11"/>
        <v>400</v>
      </c>
    </row>
    <row r="190" spans="1:17" ht="25.5">
      <c r="A190" s="170"/>
      <c r="B190" s="170"/>
      <c r="C190" s="269" t="s">
        <v>29</v>
      </c>
      <c r="D190" s="320" t="s">
        <v>30</v>
      </c>
      <c r="E190" s="223"/>
      <c r="F190" s="7">
        <v>132932</v>
      </c>
      <c r="G190" s="10">
        <f>0+'[2]táj.2'!G190</f>
        <v>0</v>
      </c>
      <c r="H190" s="10">
        <f>0+'[2]táj.2'!H190</f>
        <v>0</v>
      </c>
      <c r="I190" s="10">
        <f>0+'[2]táj.2'!I190</f>
        <v>0</v>
      </c>
      <c r="J190" s="10">
        <f>0+'[2]táj.2'!J190</f>
        <v>0</v>
      </c>
      <c r="K190" s="10">
        <f>0+'[2]táj.2'!K190</f>
        <v>0</v>
      </c>
      <c r="L190" s="10">
        <f>900+'[2]táj.2'!L190</f>
        <v>900</v>
      </c>
      <c r="M190" s="10">
        <f>0+'[2]táj.2'!M190</f>
        <v>0</v>
      </c>
      <c r="N190" s="10">
        <f>0+'[2]táj.2'!N190</f>
        <v>0</v>
      </c>
      <c r="O190" s="10">
        <f>0+'[2]táj.2'!O190</f>
        <v>0</v>
      </c>
      <c r="P190" s="10">
        <f>0+'[2]táj.2'!P190</f>
        <v>0</v>
      </c>
      <c r="Q190" s="264">
        <f t="shared" si="11"/>
        <v>900</v>
      </c>
    </row>
    <row r="191" spans="1:17" ht="25.5">
      <c r="A191" s="170"/>
      <c r="B191" s="170"/>
      <c r="C191" s="269" t="s">
        <v>31</v>
      </c>
      <c r="D191" s="297" t="s">
        <v>32</v>
      </c>
      <c r="E191" s="223"/>
      <c r="F191" s="7">
        <v>134931</v>
      </c>
      <c r="G191" s="10">
        <f>0+'[2]táj.2'!G191</f>
        <v>0</v>
      </c>
      <c r="H191" s="10">
        <f>0+'[2]táj.2'!H191</f>
        <v>0</v>
      </c>
      <c r="I191" s="10">
        <f>0+'[2]táj.2'!I191</f>
        <v>0</v>
      </c>
      <c r="J191" s="10">
        <f>0+'[2]táj.2'!J191</f>
        <v>0</v>
      </c>
      <c r="K191" s="10">
        <f>0+'[2]táj.2'!K191</f>
        <v>0</v>
      </c>
      <c r="L191" s="10">
        <f>0+'[2]táj.2'!L191</f>
        <v>0</v>
      </c>
      <c r="M191" s="10">
        <f>0+'[2]táj.2'!M191</f>
        <v>0</v>
      </c>
      <c r="N191" s="10">
        <f>1500+'[2]táj.2'!N191</f>
        <v>1500</v>
      </c>
      <c r="O191" s="10">
        <f>0+'[2]táj.2'!O191</f>
        <v>0</v>
      </c>
      <c r="P191" s="10">
        <f>0+'[2]táj.2'!P191</f>
        <v>0</v>
      </c>
      <c r="Q191" s="264">
        <f t="shared" si="11"/>
        <v>1500</v>
      </c>
    </row>
    <row r="192" spans="1:17" ht="12.75">
      <c r="A192" s="170"/>
      <c r="B192" s="170"/>
      <c r="C192" s="269" t="s">
        <v>33</v>
      </c>
      <c r="D192" s="270" t="s">
        <v>1498</v>
      </c>
      <c r="E192" s="223"/>
      <c r="F192" s="7">
        <v>134930</v>
      </c>
      <c r="G192" s="10">
        <f>0+'[2]táj.2'!G192</f>
        <v>0</v>
      </c>
      <c r="H192" s="10">
        <f>0+'[2]táj.2'!H192</f>
        <v>0</v>
      </c>
      <c r="I192" s="10">
        <f>0+'[2]táj.2'!I192</f>
        <v>0</v>
      </c>
      <c r="J192" s="10">
        <f>0+'[2]táj.2'!J192</f>
        <v>0</v>
      </c>
      <c r="K192" s="10">
        <f>0+'[2]táj.2'!K192</f>
        <v>0</v>
      </c>
      <c r="L192" s="10">
        <f>0+'[2]táj.2'!L192</f>
        <v>0</v>
      </c>
      <c r="M192" s="10">
        <f>2500+'[2]táj.2'!M192</f>
        <v>2500</v>
      </c>
      <c r="N192" s="10">
        <f>0+'[2]táj.2'!N192</f>
        <v>0</v>
      </c>
      <c r="O192" s="10">
        <f>0+'[2]táj.2'!O192</f>
        <v>0</v>
      </c>
      <c r="P192" s="10">
        <f>0+'[2]táj.2'!P192</f>
        <v>0</v>
      </c>
      <c r="Q192" s="264">
        <f t="shared" si="11"/>
        <v>2500</v>
      </c>
    </row>
    <row r="193" spans="1:17" ht="25.5">
      <c r="A193" s="170"/>
      <c r="B193" s="170"/>
      <c r="C193" s="269" t="s">
        <v>34</v>
      </c>
      <c r="D193" s="270" t="s">
        <v>101</v>
      </c>
      <c r="E193" s="223"/>
      <c r="F193" s="7">
        <v>132933</v>
      </c>
      <c r="G193" s="10">
        <f>0+'[2]táj.2'!G193</f>
        <v>0</v>
      </c>
      <c r="H193" s="10">
        <f>0+'[2]táj.2'!H193</f>
        <v>0</v>
      </c>
      <c r="I193" s="10">
        <f>0+'[2]táj.2'!I193</f>
        <v>0</v>
      </c>
      <c r="J193" s="10">
        <f>0+'[2]táj.2'!J193</f>
        <v>0</v>
      </c>
      <c r="K193" s="10">
        <f>0+'[2]táj.2'!K193</f>
        <v>0</v>
      </c>
      <c r="L193" s="10">
        <f>1200+'[2]táj.2'!L193</f>
        <v>1200</v>
      </c>
      <c r="M193" s="10">
        <f>0+'[2]táj.2'!M193</f>
        <v>0</v>
      </c>
      <c r="N193" s="10">
        <f>0+'[2]táj.2'!N193</f>
        <v>0</v>
      </c>
      <c r="O193" s="10">
        <f>0+'[2]táj.2'!O193</f>
        <v>0</v>
      </c>
      <c r="P193" s="10">
        <f>0+'[2]táj.2'!P193</f>
        <v>0</v>
      </c>
      <c r="Q193" s="264">
        <f t="shared" si="11"/>
        <v>1200</v>
      </c>
    </row>
    <row r="194" spans="1:17" ht="13.5">
      <c r="A194" s="170"/>
      <c r="B194" s="170"/>
      <c r="C194" s="271" t="s">
        <v>35</v>
      </c>
      <c r="D194" s="272" t="s">
        <v>36</v>
      </c>
      <c r="E194" s="223"/>
      <c r="F194" s="7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264"/>
    </row>
    <row r="195" spans="1:17" ht="25.5">
      <c r="A195" s="170"/>
      <c r="B195" s="170"/>
      <c r="C195" s="273" t="s">
        <v>37</v>
      </c>
      <c r="D195" s="236" t="s">
        <v>38</v>
      </c>
      <c r="E195" s="9"/>
      <c r="F195" s="7">
        <v>132992</v>
      </c>
      <c r="G195" s="10">
        <f>0+'[2]táj.2'!G195</f>
        <v>0</v>
      </c>
      <c r="H195" s="10">
        <f>0+'[2]táj.2'!H195</f>
        <v>0</v>
      </c>
      <c r="I195" s="10">
        <f>0+'[2]táj.2'!I195</f>
        <v>0</v>
      </c>
      <c r="J195" s="10">
        <f>0+'[2]táj.2'!J195</f>
        <v>0</v>
      </c>
      <c r="K195" s="10">
        <f>0+'[2]táj.2'!K195</f>
        <v>0</v>
      </c>
      <c r="L195" s="10">
        <f>0+'[2]táj.2'!L195</f>
        <v>0</v>
      </c>
      <c r="M195" s="10">
        <f>0+'[2]táj.2'!M195</f>
        <v>0</v>
      </c>
      <c r="N195" s="10">
        <f>200+'[2]táj.2'!N195</f>
        <v>200</v>
      </c>
      <c r="O195" s="10">
        <f>0+'[2]táj.2'!O195</f>
        <v>0</v>
      </c>
      <c r="P195" s="10">
        <f>0+'[2]táj.2'!P195</f>
        <v>0</v>
      </c>
      <c r="Q195" s="264">
        <f>SUM(M195:P195)</f>
        <v>200</v>
      </c>
    </row>
    <row r="196" spans="1:17" ht="13.5">
      <c r="A196" s="170"/>
      <c r="B196" s="170"/>
      <c r="C196" s="274" t="s">
        <v>268</v>
      </c>
      <c r="D196" s="259" t="s">
        <v>671</v>
      </c>
      <c r="E196" s="9"/>
      <c r="F196" s="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264"/>
    </row>
    <row r="197" spans="1:17" ht="25.5">
      <c r="A197" s="170"/>
      <c r="B197" s="170"/>
      <c r="C197" s="214" t="s">
        <v>39</v>
      </c>
      <c r="D197" s="236" t="s">
        <v>40</v>
      </c>
      <c r="E197" s="9"/>
      <c r="F197" s="7">
        <v>132909</v>
      </c>
      <c r="G197" s="10">
        <f>0+'[2]táj.2'!G197</f>
        <v>0</v>
      </c>
      <c r="H197" s="10">
        <f>0+'[2]táj.2'!H197</f>
        <v>0</v>
      </c>
      <c r="I197" s="10">
        <f>0+'[2]táj.2'!I197</f>
        <v>0</v>
      </c>
      <c r="J197" s="10">
        <f>0+'[2]táj.2'!J197</f>
        <v>0</v>
      </c>
      <c r="K197" s="10">
        <f>0+'[2]táj.2'!K197</f>
        <v>0</v>
      </c>
      <c r="L197" s="10">
        <f>500+'[2]táj.2'!L197</f>
        <v>500</v>
      </c>
      <c r="M197" s="10">
        <f>0+'[2]táj.2'!M197</f>
        <v>0</v>
      </c>
      <c r="N197" s="10">
        <f>0+'[2]táj.2'!N197</f>
        <v>0</v>
      </c>
      <c r="O197" s="10">
        <f>0+'[2]táj.2'!O197</f>
        <v>0</v>
      </c>
      <c r="P197" s="10">
        <f>0+'[2]táj.2'!P197</f>
        <v>0</v>
      </c>
      <c r="Q197" s="264">
        <f>SUM(G197:P197)</f>
        <v>500</v>
      </c>
    </row>
    <row r="198" spans="1:17" ht="12.75">
      <c r="A198" s="170"/>
      <c r="B198" s="170"/>
      <c r="C198" s="214" t="s">
        <v>41</v>
      </c>
      <c r="D198" s="236" t="s">
        <v>42</v>
      </c>
      <c r="E198" s="9"/>
      <c r="F198" s="7">
        <v>132921</v>
      </c>
      <c r="G198" s="10">
        <f>0+'[2]táj.2'!G198</f>
        <v>0</v>
      </c>
      <c r="H198" s="10">
        <f>0+'[2]táj.2'!H198</f>
        <v>0</v>
      </c>
      <c r="I198" s="10">
        <f>0+'[2]táj.2'!I198</f>
        <v>0</v>
      </c>
      <c r="J198" s="10">
        <f>0+'[2]táj.2'!J198</f>
        <v>0</v>
      </c>
      <c r="K198" s="10">
        <f>0+'[2]táj.2'!K198</f>
        <v>0</v>
      </c>
      <c r="L198" s="10">
        <f>700+'[2]táj.2'!L198</f>
        <v>700</v>
      </c>
      <c r="M198" s="10">
        <f>0+'[2]táj.2'!M198</f>
        <v>0</v>
      </c>
      <c r="N198" s="10">
        <f>0+'[2]táj.2'!N198</f>
        <v>0</v>
      </c>
      <c r="O198" s="10">
        <f>0+'[2]táj.2'!O198</f>
        <v>0</v>
      </c>
      <c r="P198" s="10">
        <f>0+'[2]táj.2'!P198</f>
        <v>0</v>
      </c>
      <c r="Q198" s="264">
        <f>SUM(G198:P198)</f>
        <v>700</v>
      </c>
    </row>
    <row r="199" spans="1:17" ht="12.75">
      <c r="A199" s="170"/>
      <c r="B199" s="170"/>
      <c r="C199" s="214" t="s">
        <v>1507</v>
      </c>
      <c r="D199" s="283" t="s">
        <v>77</v>
      </c>
      <c r="E199" s="9"/>
      <c r="F199" s="7">
        <v>134932</v>
      </c>
      <c r="G199" s="10">
        <f>0+'[2]táj.2'!G199</f>
        <v>0</v>
      </c>
      <c r="H199" s="10">
        <f>0+'[2]táj.2'!H199</f>
        <v>0</v>
      </c>
      <c r="I199" s="10">
        <f>11000+'[2]táj.2'!I199</f>
        <v>11000</v>
      </c>
      <c r="J199" s="10">
        <f>0+'[2]táj.2'!J199</f>
        <v>0</v>
      </c>
      <c r="K199" s="10">
        <f>0+'[2]táj.2'!K199</f>
        <v>0</v>
      </c>
      <c r="L199" s="10">
        <f>0+'[2]táj.2'!L199</f>
        <v>0</v>
      </c>
      <c r="M199" s="10">
        <f>0+'[2]táj.2'!M199</f>
        <v>0</v>
      </c>
      <c r="N199" s="10">
        <f>0+'[2]táj.2'!N199</f>
        <v>0</v>
      </c>
      <c r="O199" s="10">
        <f>0+'[2]táj.2'!O199</f>
        <v>0</v>
      </c>
      <c r="P199" s="10">
        <f>0+'[2]táj.2'!P199</f>
        <v>0</v>
      </c>
      <c r="Q199" s="264">
        <f>SUM(G199:P199)</f>
        <v>11000</v>
      </c>
    </row>
    <row r="200" spans="1:17" ht="13.5">
      <c r="A200" s="170"/>
      <c r="B200" s="170"/>
      <c r="C200" s="276" t="s">
        <v>270</v>
      </c>
      <c r="D200" s="259" t="s">
        <v>799</v>
      </c>
      <c r="E200" s="223"/>
      <c r="F200" s="7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264"/>
    </row>
    <row r="201" spans="1:17" ht="12.75">
      <c r="A201" s="170"/>
      <c r="B201" s="170"/>
      <c r="C201" s="273" t="s">
        <v>800</v>
      </c>
      <c r="D201" s="236" t="s">
        <v>78</v>
      </c>
      <c r="E201" s="223"/>
      <c r="F201" s="7">
        <v>134999</v>
      </c>
      <c r="G201" s="10">
        <f>0+'[2]táj.2'!G201</f>
        <v>0</v>
      </c>
      <c r="H201" s="10">
        <f>0+'[2]táj.2'!H201</f>
        <v>0</v>
      </c>
      <c r="I201" s="10">
        <f>0+'[2]táj.2'!I201</f>
        <v>0</v>
      </c>
      <c r="J201" s="10">
        <f>0+'[2]táj.2'!J201</f>
        <v>0</v>
      </c>
      <c r="K201" s="10">
        <f>0+'[2]táj.2'!K201</f>
        <v>0</v>
      </c>
      <c r="L201" s="10">
        <f>0+'[2]táj.2'!L201</f>
        <v>0</v>
      </c>
      <c r="M201" s="10">
        <f>0+'[2]táj.2'!M201</f>
        <v>0</v>
      </c>
      <c r="N201" s="10">
        <f>500+'[2]táj.2'!N201</f>
        <v>500</v>
      </c>
      <c r="O201" s="10">
        <f>0+'[2]táj.2'!O201</f>
        <v>0</v>
      </c>
      <c r="P201" s="10">
        <f>0+'[2]táj.2'!P201</f>
        <v>0</v>
      </c>
      <c r="Q201" s="264">
        <f>SUM(G201:P201)</f>
        <v>500</v>
      </c>
    </row>
    <row r="202" spans="1:17" ht="12.75">
      <c r="A202" s="170"/>
      <c r="B202" s="170"/>
      <c r="C202" s="273" t="s">
        <v>801</v>
      </c>
      <c r="D202" s="236" t="s">
        <v>802</v>
      </c>
      <c r="E202" s="223"/>
      <c r="F202" s="7">
        <v>134926</v>
      </c>
      <c r="G202" s="10">
        <f>0+'[2]táj.2'!G202</f>
        <v>0</v>
      </c>
      <c r="H202" s="10">
        <f>0+'[2]táj.2'!H202</f>
        <v>0</v>
      </c>
      <c r="I202" s="10">
        <f>0+'[2]táj.2'!I202</f>
        <v>0</v>
      </c>
      <c r="J202" s="10">
        <f>0+'[2]táj.2'!J202</f>
        <v>0</v>
      </c>
      <c r="K202" s="10">
        <f>0+'[2]táj.2'!K202</f>
        <v>0</v>
      </c>
      <c r="L202" s="10">
        <f>0+'[2]táj.2'!L202</f>
        <v>0</v>
      </c>
      <c r="M202" s="10">
        <f>0+'[2]táj.2'!M202</f>
        <v>0</v>
      </c>
      <c r="N202" s="10">
        <f>1000+'[2]táj.2'!N202</f>
        <v>1000</v>
      </c>
      <c r="O202" s="10">
        <f>0+'[2]táj.2'!O202</f>
        <v>0</v>
      </c>
      <c r="P202" s="10">
        <f>0+'[2]táj.2'!P202</f>
        <v>0</v>
      </c>
      <c r="Q202" s="264">
        <f>SUM(G202:P202)</f>
        <v>1000</v>
      </c>
    </row>
    <row r="203" spans="1:17" ht="25.5">
      <c r="A203" s="170"/>
      <c r="B203" s="170"/>
      <c r="C203" s="273" t="s">
        <v>964</v>
      </c>
      <c r="D203" s="346" t="s">
        <v>803</v>
      </c>
      <c r="E203" s="223"/>
      <c r="F203" s="7">
        <v>134933</v>
      </c>
      <c r="G203" s="10">
        <f>0+'[2]táj.2'!G203</f>
        <v>0</v>
      </c>
      <c r="H203" s="10">
        <f>0+'[2]táj.2'!H203</f>
        <v>0</v>
      </c>
      <c r="I203" s="10">
        <f>0+'[2]táj.2'!I203</f>
        <v>0</v>
      </c>
      <c r="J203" s="10">
        <f>0+'[2]táj.2'!J203</f>
        <v>0</v>
      </c>
      <c r="K203" s="10">
        <f>0+'[2]táj.2'!K203</f>
        <v>0</v>
      </c>
      <c r="L203" s="10">
        <f>0+'[2]táj.2'!L203</f>
        <v>0</v>
      </c>
      <c r="M203" s="10">
        <f>3800+'[2]táj.2'!M203</f>
        <v>3800</v>
      </c>
      <c r="N203" s="10">
        <f>0+'[2]táj.2'!N203</f>
        <v>0</v>
      </c>
      <c r="O203" s="10">
        <f>0+'[2]táj.2'!O203</f>
        <v>0</v>
      </c>
      <c r="P203" s="10">
        <f>0+'[2]táj.2'!P203</f>
        <v>0</v>
      </c>
      <c r="Q203" s="264">
        <f>SUM(G203:P203)</f>
        <v>3800</v>
      </c>
    </row>
    <row r="204" spans="1:17" ht="12.75">
      <c r="A204" s="170"/>
      <c r="B204" s="170"/>
      <c r="C204" s="553" t="s">
        <v>966</v>
      </c>
      <c r="D204" s="346" t="s">
        <v>1500</v>
      </c>
      <c r="E204" s="223"/>
      <c r="F204" s="7">
        <v>134936</v>
      </c>
      <c r="G204" s="10">
        <f>0+'[2]táj.2'!G204</f>
        <v>0</v>
      </c>
      <c r="H204" s="10">
        <f>0+'[2]táj.2'!H204</f>
        <v>0</v>
      </c>
      <c r="I204" s="10">
        <f>0+'[2]táj.2'!I204</f>
        <v>0</v>
      </c>
      <c r="J204" s="10">
        <f>0+'[2]táj.2'!J204</f>
        <v>0</v>
      </c>
      <c r="K204" s="10">
        <f>0+'[2]táj.2'!K204</f>
        <v>0</v>
      </c>
      <c r="L204" s="10">
        <f>0+'[2]táj.2'!L204</f>
        <v>0</v>
      </c>
      <c r="M204" s="10">
        <f>4703+'[2]táj.2'!M204</f>
        <v>4703</v>
      </c>
      <c r="N204" s="10">
        <f>0+'[2]táj.2'!N204</f>
        <v>0</v>
      </c>
      <c r="O204" s="10">
        <f>0+'[2]táj.2'!O204</f>
        <v>0</v>
      </c>
      <c r="P204" s="10">
        <f>0+'[2]táj.2'!P204</f>
        <v>0</v>
      </c>
      <c r="Q204" s="264">
        <f>SUM(G204:P204)</f>
        <v>4703</v>
      </c>
    </row>
    <row r="205" spans="1:17" ht="25.5">
      <c r="A205" s="170"/>
      <c r="B205" s="170"/>
      <c r="C205" s="275" t="s">
        <v>79</v>
      </c>
      <c r="D205" s="346" t="s">
        <v>80</v>
      </c>
      <c r="E205" s="223"/>
      <c r="F205" s="7">
        <v>134924</v>
      </c>
      <c r="G205" s="10">
        <f>0+'[2]táj.2'!G205</f>
        <v>0</v>
      </c>
      <c r="H205" s="10">
        <f>0+'[2]táj.2'!H205</f>
        <v>0</v>
      </c>
      <c r="I205" s="10">
        <f>0+'[2]táj.2'!I205</f>
        <v>0</v>
      </c>
      <c r="J205" s="10">
        <f>0+'[2]táj.2'!J205</f>
        <v>0</v>
      </c>
      <c r="K205" s="10">
        <f>0+'[2]táj.2'!K205</f>
        <v>0</v>
      </c>
      <c r="L205" s="10">
        <f>0+'[2]táj.2'!L205</f>
        <v>0</v>
      </c>
      <c r="M205" s="10">
        <f>1799+'[2]táj.2'!M205</f>
        <v>1799</v>
      </c>
      <c r="N205" s="10">
        <f>0+'[2]táj.2'!N205</f>
        <v>0</v>
      </c>
      <c r="O205" s="10">
        <f>0+'[2]táj.2'!O205</f>
        <v>0</v>
      </c>
      <c r="P205" s="10">
        <f>0+'[2]táj.2'!P205</f>
        <v>0</v>
      </c>
      <c r="Q205" s="264">
        <f>SUM(G205:P205)</f>
        <v>1799</v>
      </c>
    </row>
    <row r="206" spans="1:17" ht="13.5">
      <c r="A206" s="170"/>
      <c r="B206" s="170"/>
      <c r="C206" s="170" t="s">
        <v>271</v>
      </c>
      <c r="D206" s="552" t="s">
        <v>97</v>
      </c>
      <c r="E206" s="223"/>
      <c r="F206" s="7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264">
        <f>SUM(G206:P206)</f>
        <v>0</v>
      </c>
    </row>
    <row r="207" spans="1:17" ht="25.5">
      <c r="A207" s="170"/>
      <c r="B207" s="170"/>
      <c r="C207" s="198" t="s">
        <v>981</v>
      </c>
      <c r="D207" s="346" t="s">
        <v>98</v>
      </c>
      <c r="E207" s="223"/>
      <c r="F207" s="7">
        <v>132924</v>
      </c>
      <c r="G207" s="10">
        <f>0+'[2]táj.2'!G207</f>
        <v>0</v>
      </c>
      <c r="H207" s="10">
        <f>0+'[2]táj.2'!H207</f>
        <v>0</v>
      </c>
      <c r="I207" s="10">
        <f>0+'[2]táj.2'!I207</f>
        <v>0</v>
      </c>
      <c r="J207" s="10">
        <f>0+'[2]táj.2'!J207</f>
        <v>0</v>
      </c>
      <c r="K207" s="10">
        <f>0+'[2]táj.2'!K207</f>
        <v>0</v>
      </c>
      <c r="L207" s="10">
        <f>0+'[2]táj.2'!L207</f>
        <v>0</v>
      </c>
      <c r="M207" s="10">
        <f>0+'[2]táj.2'!M207</f>
        <v>0</v>
      </c>
      <c r="N207" s="10">
        <f>1500+'[2]táj.2'!N207</f>
        <v>1500</v>
      </c>
      <c r="O207" s="10">
        <f>0+'[2]táj.2'!O207</f>
        <v>0</v>
      </c>
      <c r="P207" s="10">
        <f>0+'[2]táj.2'!P207</f>
        <v>0</v>
      </c>
      <c r="Q207" s="264">
        <f>SUM(G207:P207)</f>
        <v>1500</v>
      </c>
    </row>
    <row r="208" spans="1:17" ht="13.5">
      <c r="A208" s="170"/>
      <c r="B208" s="170"/>
      <c r="C208" s="256" t="s">
        <v>258</v>
      </c>
      <c r="D208" s="277" t="s">
        <v>656</v>
      </c>
      <c r="E208" s="9"/>
      <c r="F208" s="8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264"/>
    </row>
    <row r="209" spans="1:17" ht="12.75">
      <c r="A209" s="170"/>
      <c r="B209" s="170"/>
      <c r="C209" s="214" t="s">
        <v>804</v>
      </c>
      <c r="D209" s="278" t="s">
        <v>805</v>
      </c>
      <c r="E209" s="223"/>
      <c r="F209" s="7">
        <v>132990</v>
      </c>
      <c r="G209" s="10">
        <f>0+'[2]táj.2'!G209</f>
        <v>0</v>
      </c>
      <c r="H209" s="10">
        <f>0+'[2]táj.2'!H209</f>
        <v>0</v>
      </c>
      <c r="I209" s="10">
        <f>0+'[2]táj.2'!I209</f>
        <v>0</v>
      </c>
      <c r="J209" s="10">
        <f>0+'[2]táj.2'!J209</f>
        <v>0</v>
      </c>
      <c r="K209" s="10">
        <f>0+'[2]táj.2'!K209</f>
        <v>0</v>
      </c>
      <c r="L209" s="10">
        <f>1000+'[2]táj.2'!L209</f>
        <v>1000</v>
      </c>
      <c r="M209" s="10">
        <f>0+'[2]táj.2'!M209</f>
        <v>0</v>
      </c>
      <c r="N209" s="10">
        <f>0+'[2]táj.2'!N209</f>
        <v>0</v>
      </c>
      <c r="O209" s="10">
        <f>0+'[2]táj.2'!O209</f>
        <v>0</v>
      </c>
      <c r="P209" s="10">
        <f>0+'[2]táj.2'!P209</f>
        <v>0</v>
      </c>
      <c r="Q209" s="264">
        <f aca="true" t="shared" si="12" ref="Q209:Q217">SUM(G209:P209)</f>
        <v>1000</v>
      </c>
    </row>
    <row r="210" spans="1:17" ht="12.75">
      <c r="A210" s="170"/>
      <c r="B210" s="170"/>
      <c r="C210" s="214" t="s">
        <v>806</v>
      </c>
      <c r="D210" s="236" t="s">
        <v>807</v>
      </c>
      <c r="E210" s="280"/>
      <c r="F210" s="7">
        <v>132927</v>
      </c>
      <c r="G210" s="10">
        <f>0+'[2]táj.2'!G210</f>
        <v>0</v>
      </c>
      <c r="H210" s="10">
        <f>0+'[2]táj.2'!H210</f>
        <v>0</v>
      </c>
      <c r="I210" s="10">
        <f>0+'[2]táj.2'!I210</f>
        <v>0</v>
      </c>
      <c r="J210" s="10">
        <f>0+'[2]táj.2'!J210</f>
        <v>0</v>
      </c>
      <c r="K210" s="10">
        <f>0+'[2]táj.2'!K210</f>
        <v>0</v>
      </c>
      <c r="L210" s="10">
        <f>0+'[2]táj.2'!L210</f>
        <v>0</v>
      </c>
      <c r="M210" s="10">
        <f>371+'[2]táj.2'!M210</f>
        <v>371</v>
      </c>
      <c r="N210" s="10">
        <f>0+'[2]táj.2'!N210</f>
        <v>0</v>
      </c>
      <c r="O210" s="10">
        <f>0+'[2]táj.2'!O210</f>
        <v>0</v>
      </c>
      <c r="P210" s="10">
        <f>0+'[2]táj.2'!P210</f>
        <v>0</v>
      </c>
      <c r="Q210" s="264">
        <f t="shared" si="12"/>
        <v>371</v>
      </c>
    </row>
    <row r="211" spans="1:17" ht="25.5">
      <c r="A211" s="170"/>
      <c r="B211" s="170"/>
      <c r="C211" s="214" t="s">
        <v>808</v>
      </c>
      <c r="D211" s="648" t="s">
        <v>809</v>
      </c>
      <c r="E211" s="281"/>
      <c r="F211" s="7">
        <v>132915</v>
      </c>
      <c r="G211" s="10">
        <f>0+'[2]táj.2'!G211</f>
        <v>0</v>
      </c>
      <c r="H211" s="10">
        <f>0+'[2]táj.2'!H211</f>
        <v>0</v>
      </c>
      <c r="I211" s="10">
        <f>0+'[2]táj.2'!I211</f>
        <v>0</v>
      </c>
      <c r="J211" s="10">
        <f>0+'[2]táj.2'!J211</f>
        <v>0</v>
      </c>
      <c r="K211" s="10">
        <f>0+'[2]táj.2'!K211</f>
        <v>0</v>
      </c>
      <c r="L211" s="10">
        <f>0+'[2]táj.2'!L211</f>
        <v>0</v>
      </c>
      <c r="M211" s="10">
        <f>0+'[2]táj.2'!M211</f>
        <v>0</v>
      </c>
      <c r="N211" s="10">
        <f>5500+'[2]táj.2'!N211</f>
        <v>5500</v>
      </c>
      <c r="O211" s="10">
        <f>0+'[2]táj.2'!O211</f>
        <v>0</v>
      </c>
      <c r="P211" s="10">
        <f>0+'[2]táj.2'!P211</f>
        <v>0</v>
      </c>
      <c r="Q211" s="264">
        <f t="shared" si="12"/>
        <v>5500</v>
      </c>
    </row>
    <row r="212" spans="1:17" ht="25.5">
      <c r="A212" s="170"/>
      <c r="B212" s="170"/>
      <c r="C212" s="214" t="s">
        <v>810</v>
      </c>
      <c r="D212" s="236" t="s">
        <v>811</v>
      </c>
      <c r="E212" s="9"/>
      <c r="F212" s="7">
        <v>134910</v>
      </c>
      <c r="G212" s="10">
        <f>0+'[2]táj.2'!G212</f>
        <v>0</v>
      </c>
      <c r="H212" s="10">
        <f>0+'[2]táj.2'!H212</f>
        <v>0</v>
      </c>
      <c r="I212" s="10">
        <f>0+'[2]táj.2'!I212</f>
        <v>0</v>
      </c>
      <c r="J212" s="10">
        <f>0+'[2]táj.2'!J212</f>
        <v>0</v>
      </c>
      <c r="K212" s="10">
        <f>0+'[2]táj.2'!K212</f>
        <v>0</v>
      </c>
      <c r="L212" s="10">
        <f>0+'[2]táj.2'!L212</f>
        <v>0</v>
      </c>
      <c r="M212" s="10">
        <f>3620+'[2]táj.2'!M212</f>
        <v>3620</v>
      </c>
      <c r="N212" s="10">
        <f>0+'[2]táj.2'!N212</f>
        <v>0</v>
      </c>
      <c r="O212" s="10">
        <f>0+'[2]táj.2'!O212</f>
        <v>0</v>
      </c>
      <c r="P212" s="10">
        <f>0+'[2]táj.2'!P212</f>
        <v>0</v>
      </c>
      <c r="Q212" s="264">
        <f t="shared" si="12"/>
        <v>3620</v>
      </c>
    </row>
    <row r="213" spans="1:17" ht="12.75">
      <c r="A213" s="170"/>
      <c r="B213" s="170"/>
      <c r="C213" s="214" t="s">
        <v>812</v>
      </c>
      <c r="D213" s="236" t="s">
        <v>813</v>
      </c>
      <c r="E213" s="281"/>
      <c r="F213" s="7">
        <v>134923</v>
      </c>
      <c r="G213" s="10">
        <f>0+'[2]táj.2'!G213</f>
        <v>0</v>
      </c>
      <c r="H213" s="10">
        <f>0+'[2]táj.2'!H213</f>
        <v>0</v>
      </c>
      <c r="I213" s="10">
        <f>0+'[2]táj.2'!I213</f>
        <v>0</v>
      </c>
      <c r="J213" s="10">
        <f>0+'[2]táj.2'!J213</f>
        <v>0</v>
      </c>
      <c r="K213" s="10">
        <f>0+'[2]táj.2'!K213</f>
        <v>0</v>
      </c>
      <c r="L213" s="10">
        <f>0+'[2]táj.2'!L213</f>
        <v>0</v>
      </c>
      <c r="M213" s="10">
        <f>2146+'[2]táj.2'!M213</f>
        <v>2146</v>
      </c>
      <c r="N213" s="10">
        <f>0+'[2]táj.2'!N213</f>
        <v>0</v>
      </c>
      <c r="O213" s="10">
        <f>0+'[2]táj.2'!O213</f>
        <v>0</v>
      </c>
      <c r="P213" s="10">
        <f>0+'[2]táj.2'!P213</f>
        <v>0</v>
      </c>
      <c r="Q213" s="264">
        <f t="shared" si="12"/>
        <v>2146</v>
      </c>
    </row>
    <row r="214" spans="1:17" ht="25.5">
      <c r="A214" s="170"/>
      <c r="B214" s="170"/>
      <c r="C214" s="214" t="s">
        <v>814</v>
      </c>
      <c r="D214" s="236" t="s">
        <v>815</v>
      </c>
      <c r="E214" s="280"/>
      <c r="F214" s="7">
        <v>134927</v>
      </c>
      <c r="G214" s="10">
        <f>0+'[2]táj.2'!G214</f>
        <v>0</v>
      </c>
      <c r="H214" s="10">
        <f>0+'[2]táj.2'!H214</f>
        <v>0</v>
      </c>
      <c r="I214" s="10">
        <f>0+'[2]táj.2'!I214</f>
        <v>0</v>
      </c>
      <c r="J214" s="10">
        <f>0+'[2]táj.2'!J214</f>
        <v>0</v>
      </c>
      <c r="K214" s="10">
        <f>0+'[2]táj.2'!K214</f>
        <v>0</v>
      </c>
      <c r="L214" s="10">
        <f>0+'[2]táj.2'!L214</f>
        <v>0</v>
      </c>
      <c r="M214" s="10">
        <f>11160+'[2]táj.2'!M214</f>
        <v>11160</v>
      </c>
      <c r="N214" s="10">
        <f>0+'[2]táj.2'!N214</f>
        <v>0</v>
      </c>
      <c r="O214" s="10">
        <f>0+'[2]táj.2'!O214</f>
        <v>0</v>
      </c>
      <c r="P214" s="10">
        <f>0+'[2]táj.2'!P214</f>
        <v>0</v>
      </c>
      <c r="Q214" s="264">
        <f t="shared" si="12"/>
        <v>11160</v>
      </c>
    </row>
    <row r="215" spans="1:17" ht="12.75">
      <c r="A215" s="170"/>
      <c r="B215" s="170"/>
      <c r="C215" s="214" t="s">
        <v>816</v>
      </c>
      <c r="D215" s="282" t="s">
        <v>817</v>
      </c>
      <c r="E215" s="819"/>
      <c r="F215" s="7">
        <v>134996</v>
      </c>
      <c r="G215" s="10">
        <f>0+'[2]táj.2'!G215</f>
        <v>0</v>
      </c>
      <c r="H215" s="10">
        <f>0+'[2]táj.2'!H215</f>
        <v>0</v>
      </c>
      <c r="I215" s="10">
        <f>0+'[2]táj.2'!I215</f>
        <v>0</v>
      </c>
      <c r="J215" s="10">
        <f>0+'[2]táj.2'!J215</f>
        <v>0</v>
      </c>
      <c r="K215" s="10">
        <f>0+'[2]táj.2'!K215</f>
        <v>0</v>
      </c>
      <c r="L215" s="10">
        <f>0+'[2]táj.2'!L215</f>
        <v>0</v>
      </c>
      <c r="M215" s="10">
        <f>200+'[2]táj.2'!M215</f>
        <v>200</v>
      </c>
      <c r="N215" s="10">
        <f>0+'[2]táj.2'!N215</f>
        <v>0</v>
      </c>
      <c r="O215" s="10">
        <f>0+'[2]táj.2'!O215</f>
        <v>0</v>
      </c>
      <c r="P215" s="10">
        <f>0+'[2]táj.2'!P215</f>
        <v>0</v>
      </c>
      <c r="Q215" s="264">
        <f t="shared" si="12"/>
        <v>200</v>
      </c>
    </row>
    <row r="216" spans="1:17" ht="12.75">
      <c r="A216" s="170"/>
      <c r="B216" s="170"/>
      <c r="C216" s="214" t="s">
        <v>818</v>
      </c>
      <c r="D216" s="236" t="s">
        <v>819</v>
      </c>
      <c r="E216" s="281"/>
      <c r="F216" s="7">
        <v>132999</v>
      </c>
      <c r="G216" s="10">
        <f>0+'[2]táj.2'!G216</f>
        <v>0</v>
      </c>
      <c r="H216" s="10">
        <f>0+'[2]táj.2'!H216</f>
        <v>0</v>
      </c>
      <c r="I216" s="10">
        <f>0+'[2]táj.2'!I216</f>
        <v>0</v>
      </c>
      <c r="J216" s="10">
        <f>0+'[2]táj.2'!J216</f>
        <v>0</v>
      </c>
      <c r="K216" s="10">
        <f>0+'[2]táj.2'!K216</f>
        <v>0</v>
      </c>
      <c r="L216" s="10">
        <f>100+'[2]táj.2'!L216</f>
        <v>100</v>
      </c>
      <c r="M216" s="10">
        <f>0+'[2]táj.2'!M216</f>
        <v>0</v>
      </c>
      <c r="N216" s="10">
        <f>0+'[2]táj.2'!N216</f>
        <v>0</v>
      </c>
      <c r="O216" s="10">
        <f>0+'[2]táj.2'!O216</f>
        <v>0</v>
      </c>
      <c r="P216" s="10">
        <f>0+'[2]táj.2'!P216</f>
        <v>0</v>
      </c>
      <c r="Q216" s="264">
        <f t="shared" si="12"/>
        <v>100</v>
      </c>
    </row>
    <row r="217" spans="1:17" ht="12.75">
      <c r="A217" s="170"/>
      <c r="B217" s="170"/>
      <c r="C217" s="214" t="s">
        <v>820</v>
      </c>
      <c r="D217" s="236" t="s">
        <v>821</v>
      </c>
      <c r="E217" s="281"/>
      <c r="F217" s="7">
        <v>132926</v>
      </c>
      <c r="G217" s="10">
        <f>0+'[2]táj.2'!G217</f>
        <v>0</v>
      </c>
      <c r="H217" s="10">
        <f>0+'[2]táj.2'!H217</f>
        <v>0</v>
      </c>
      <c r="I217" s="10">
        <f>0+'[2]táj.2'!I217</f>
        <v>0</v>
      </c>
      <c r="J217" s="10">
        <f>0+'[2]táj.2'!J217</f>
        <v>0</v>
      </c>
      <c r="K217" s="10">
        <f>0+'[2]táj.2'!K217</f>
        <v>0</v>
      </c>
      <c r="L217" s="10">
        <f>1000+'[2]táj.2'!L217</f>
        <v>1000</v>
      </c>
      <c r="M217" s="10">
        <f>0+'[2]táj.2'!M217</f>
        <v>0</v>
      </c>
      <c r="N217" s="10">
        <f>0+'[2]táj.2'!N217</f>
        <v>0</v>
      </c>
      <c r="O217" s="10">
        <f>0+'[2]táj.2'!O217</f>
        <v>0</v>
      </c>
      <c r="P217" s="10">
        <f>0+'[2]táj.2'!P217</f>
        <v>0</v>
      </c>
      <c r="Q217" s="264">
        <f t="shared" si="12"/>
        <v>1000</v>
      </c>
    </row>
    <row r="218" spans="1:17" ht="13.5">
      <c r="A218" s="218"/>
      <c r="B218" s="218"/>
      <c r="C218" s="219"/>
      <c r="D218" s="183" t="s">
        <v>495</v>
      </c>
      <c r="E218" s="221"/>
      <c r="F218" s="61"/>
      <c r="G218" s="255">
        <f aca="true" t="shared" si="13" ref="G218:Q218">SUM(G169:G217)</f>
        <v>4179</v>
      </c>
      <c r="H218" s="255">
        <f t="shared" si="13"/>
        <v>1712</v>
      </c>
      <c r="I218" s="255">
        <f t="shared" si="13"/>
        <v>91184</v>
      </c>
      <c r="J218" s="255">
        <f t="shared" si="13"/>
        <v>5100</v>
      </c>
      <c r="K218" s="255">
        <f t="shared" si="13"/>
        <v>665376</v>
      </c>
      <c r="L218" s="255">
        <f t="shared" si="13"/>
        <v>15860</v>
      </c>
      <c r="M218" s="255">
        <f t="shared" si="13"/>
        <v>33135</v>
      </c>
      <c r="N218" s="255">
        <f t="shared" si="13"/>
        <v>27450</v>
      </c>
      <c r="O218" s="255">
        <f t="shared" si="13"/>
        <v>0</v>
      </c>
      <c r="P218" s="255">
        <f t="shared" si="13"/>
        <v>0</v>
      </c>
      <c r="Q218" s="255">
        <f t="shared" si="13"/>
        <v>843996</v>
      </c>
    </row>
    <row r="219" spans="1:17" ht="13.5">
      <c r="A219" s="170">
        <v>1</v>
      </c>
      <c r="B219" s="170">
        <v>14</v>
      </c>
      <c r="C219" s="256"/>
      <c r="D219" s="277" t="s">
        <v>383</v>
      </c>
      <c r="E219" s="9"/>
      <c r="F219" s="8"/>
      <c r="G219" s="8"/>
      <c r="H219" s="3"/>
      <c r="I219" s="3"/>
      <c r="J219" s="3"/>
      <c r="K219" s="3"/>
      <c r="L219" s="3"/>
      <c r="M219" s="8"/>
      <c r="N219" s="8"/>
      <c r="O219" s="8"/>
      <c r="P219" s="8"/>
      <c r="Q219" s="8"/>
    </row>
    <row r="220" spans="1:17" ht="12.75">
      <c r="A220" s="170"/>
      <c r="B220" s="170"/>
      <c r="C220" s="256"/>
      <c r="D220" s="178" t="s">
        <v>496</v>
      </c>
      <c r="E220" s="9"/>
      <c r="F220" s="8"/>
      <c r="G220" s="8"/>
      <c r="H220" s="3"/>
      <c r="I220" s="3"/>
      <c r="J220" s="3"/>
      <c r="K220" s="3"/>
      <c r="L220" s="3"/>
      <c r="M220" s="8"/>
      <c r="N220" s="8"/>
      <c r="O220" s="8"/>
      <c r="P220" s="8"/>
      <c r="Q220" s="8"/>
    </row>
    <row r="221" spans="1:17" ht="12.75">
      <c r="A221" s="170"/>
      <c r="B221" s="170"/>
      <c r="C221" s="256"/>
      <c r="D221" s="283" t="s">
        <v>822</v>
      </c>
      <c r="E221" s="7">
        <v>1</v>
      </c>
      <c r="F221" s="7">
        <v>171918</v>
      </c>
      <c r="G221" s="7">
        <f>0+'[2]táj.2'!G221</f>
        <v>0</v>
      </c>
      <c r="H221" s="7">
        <f>0+'[2]táj.2'!H221</f>
        <v>0</v>
      </c>
      <c r="I221" s="7">
        <f>1104+'[2]táj.2'!I221</f>
        <v>1104</v>
      </c>
      <c r="J221" s="7">
        <f>0+'[2]táj.2'!J221</f>
        <v>0</v>
      </c>
      <c r="K221" s="7">
        <f>0+'[2]táj.2'!K221</f>
        <v>0</v>
      </c>
      <c r="L221" s="7">
        <f>0+'[2]táj.2'!L221</f>
        <v>0</v>
      </c>
      <c r="M221" s="7">
        <f>0+'[2]táj.2'!M221</f>
        <v>0</v>
      </c>
      <c r="N221" s="7">
        <f>0+'[2]táj.2'!N221</f>
        <v>0</v>
      </c>
      <c r="O221" s="7">
        <f>0+'[2]táj.2'!O221</f>
        <v>0</v>
      </c>
      <c r="P221" s="7">
        <f>0+'[2]táj.2'!P221</f>
        <v>0</v>
      </c>
      <c r="Q221" s="7">
        <f>SUM(G221:P221)</f>
        <v>1104</v>
      </c>
    </row>
    <row r="222" spans="1:17" ht="25.5">
      <c r="A222" s="170"/>
      <c r="B222" s="170"/>
      <c r="C222" s="256"/>
      <c r="D222" s="176" t="s">
        <v>823</v>
      </c>
      <c r="E222" s="7">
        <v>1</v>
      </c>
      <c r="F222" s="7">
        <v>171922</v>
      </c>
      <c r="G222" s="7">
        <f>0+'[2]táj.2'!G222</f>
        <v>0</v>
      </c>
      <c r="H222" s="7">
        <f>0+'[2]táj.2'!H222</f>
        <v>0</v>
      </c>
      <c r="I222" s="7">
        <f>2422+'[2]táj.2'!I222</f>
        <v>2422</v>
      </c>
      <c r="J222" s="7">
        <f>0+'[2]táj.2'!J222</f>
        <v>0</v>
      </c>
      <c r="K222" s="7">
        <f>0+'[2]táj.2'!K222</f>
        <v>0</v>
      </c>
      <c r="L222" s="7">
        <f>0+'[2]táj.2'!L222</f>
        <v>0</v>
      </c>
      <c r="M222" s="7">
        <f>0+'[2]táj.2'!M222</f>
        <v>0</v>
      </c>
      <c r="N222" s="7">
        <f>0+'[2]táj.2'!N222</f>
        <v>0</v>
      </c>
      <c r="O222" s="7">
        <f>0+'[2]táj.2'!O222</f>
        <v>0</v>
      </c>
      <c r="P222" s="7">
        <f>0+'[2]táj.2'!P222</f>
        <v>0</v>
      </c>
      <c r="Q222" s="7">
        <f>SUM(G222:P222)</f>
        <v>2422</v>
      </c>
    </row>
    <row r="223" spans="1:17" ht="12.75">
      <c r="A223" s="170"/>
      <c r="B223" s="170"/>
      <c r="C223" s="256"/>
      <c r="D223" s="283" t="s">
        <v>824</v>
      </c>
      <c r="E223" s="7">
        <v>1</v>
      </c>
      <c r="F223" s="7">
        <v>171926</v>
      </c>
      <c r="G223" s="7">
        <f>0+'[2]táj.2'!G223</f>
        <v>0</v>
      </c>
      <c r="H223" s="7">
        <f>0+'[2]táj.2'!H223</f>
        <v>0</v>
      </c>
      <c r="I223" s="7">
        <f>1500+'[2]táj.2'!I223</f>
        <v>1500</v>
      </c>
      <c r="J223" s="7">
        <f>0+'[2]táj.2'!J223</f>
        <v>0</v>
      </c>
      <c r="K223" s="7">
        <f>0+'[2]táj.2'!K223</f>
        <v>0</v>
      </c>
      <c r="L223" s="7">
        <f>0+'[2]táj.2'!L223</f>
        <v>0</v>
      </c>
      <c r="M223" s="7">
        <f>0+'[2]táj.2'!M223</f>
        <v>0</v>
      </c>
      <c r="N223" s="7">
        <f>0+'[2]táj.2'!N223</f>
        <v>0</v>
      </c>
      <c r="O223" s="7">
        <f>0+'[2]táj.2'!O223</f>
        <v>0</v>
      </c>
      <c r="P223" s="7">
        <f>0+'[2]táj.2'!P223</f>
        <v>0</v>
      </c>
      <c r="Q223" s="7">
        <f>SUM(G223:P223)</f>
        <v>1500</v>
      </c>
    </row>
    <row r="224" spans="1:17" ht="12.75">
      <c r="A224" s="170"/>
      <c r="B224" s="170"/>
      <c r="C224" s="256"/>
      <c r="D224" s="283" t="s">
        <v>825</v>
      </c>
      <c r="E224" s="7">
        <v>1</v>
      </c>
      <c r="F224" s="7">
        <v>171967</v>
      </c>
      <c r="G224" s="7">
        <f>0+'[2]táj.2'!G224</f>
        <v>0</v>
      </c>
      <c r="H224" s="7">
        <f>0+'[2]táj.2'!H224</f>
        <v>0</v>
      </c>
      <c r="I224" s="7">
        <f>4000+'[2]táj.2'!I224</f>
        <v>4000</v>
      </c>
      <c r="J224" s="7">
        <f>0+'[2]táj.2'!J224</f>
        <v>0</v>
      </c>
      <c r="K224" s="7">
        <f>0+'[2]táj.2'!K224</f>
        <v>0</v>
      </c>
      <c r="L224" s="7">
        <f>0+'[2]táj.2'!L224</f>
        <v>0</v>
      </c>
      <c r="M224" s="7">
        <f>0+'[2]táj.2'!M224</f>
        <v>0</v>
      </c>
      <c r="N224" s="7">
        <f>0+'[2]táj.2'!N224</f>
        <v>0</v>
      </c>
      <c r="O224" s="7">
        <f>0+'[2]táj.2'!O224</f>
        <v>0</v>
      </c>
      <c r="P224" s="7">
        <f>0+'[2]táj.2'!P224</f>
        <v>0</v>
      </c>
      <c r="Q224" s="7">
        <f>SUM(G224:P224)</f>
        <v>4000</v>
      </c>
    </row>
    <row r="225" spans="1:17" ht="13.5">
      <c r="A225" s="218"/>
      <c r="B225" s="218"/>
      <c r="C225" s="219"/>
      <c r="D225" s="183" t="s">
        <v>826</v>
      </c>
      <c r="E225" s="284"/>
      <c r="F225" s="285"/>
      <c r="G225" s="286">
        <f aca="true" t="shared" si="14" ref="G225:Q225">SUM(G221:G224)</f>
        <v>0</v>
      </c>
      <c r="H225" s="286">
        <f t="shared" si="14"/>
        <v>0</v>
      </c>
      <c r="I225" s="286">
        <f t="shared" si="14"/>
        <v>9026</v>
      </c>
      <c r="J225" s="286">
        <f t="shared" si="14"/>
        <v>0</v>
      </c>
      <c r="K225" s="286">
        <f t="shared" si="14"/>
        <v>0</v>
      </c>
      <c r="L225" s="286">
        <f t="shared" si="14"/>
        <v>0</v>
      </c>
      <c r="M225" s="286">
        <f t="shared" si="14"/>
        <v>0</v>
      </c>
      <c r="N225" s="286">
        <f t="shared" si="14"/>
        <v>0</v>
      </c>
      <c r="O225" s="286">
        <f t="shared" si="14"/>
        <v>0</v>
      </c>
      <c r="P225" s="286">
        <f t="shared" si="14"/>
        <v>0</v>
      </c>
      <c r="Q225" s="286">
        <f t="shared" si="14"/>
        <v>9026</v>
      </c>
    </row>
    <row r="226" spans="1:17" ht="12.75">
      <c r="A226" s="170"/>
      <c r="B226" s="170"/>
      <c r="C226" s="256"/>
      <c r="D226" s="287" t="s">
        <v>827</v>
      </c>
      <c r="E226" s="223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170"/>
      <c r="B227" s="170"/>
      <c r="C227" s="288"/>
      <c r="D227" s="283" t="s">
        <v>656</v>
      </c>
      <c r="E227" s="289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170"/>
      <c r="B228" s="170"/>
      <c r="C228" s="290" t="s">
        <v>657</v>
      </c>
      <c r="D228" s="291" t="s">
        <v>828</v>
      </c>
      <c r="E228" s="289"/>
      <c r="F228" s="7">
        <v>162650</v>
      </c>
      <c r="G228" s="3">
        <f>0+'[2]táj.2'!G228</f>
        <v>0</v>
      </c>
      <c r="H228" s="3">
        <f>0+'[2]táj.2'!H228</f>
        <v>0</v>
      </c>
      <c r="I228" s="3">
        <f>0+'[2]táj.2'!I228</f>
        <v>0</v>
      </c>
      <c r="J228" s="3">
        <f>0+'[2]táj.2'!J228</f>
        <v>0</v>
      </c>
      <c r="K228" s="3">
        <f>0+'[2]táj.2'!K228</f>
        <v>0</v>
      </c>
      <c r="L228" s="3">
        <f>17517+'[2]táj.2'!L228</f>
        <v>17517</v>
      </c>
      <c r="M228" s="3">
        <f>0+'[2]táj.2'!M228</f>
        <v>0</v>
      </c>
      <c r="N228" s="3">
        <f>0+'[2]táj.2'!N228</f>
        <v>0</v>
      </c>
      <c r="O228" s="3">
        <f>0+'[2]táj.2'!O228</f>
        <v>0</v>
      </c>
      <c r="P228" s="3">
        <f>0+'[2]táj.2'!P228</f>
        <v>0</v>
      </c>
      <c r="Q228" s="3">
        <f>SUM(G228:P228)</f>
        <v>17517</v>
      </c>
    </row>
    <row r="229" spans="1:17" ht="12.75">
      <c r="A229" s="170"/>
      <c r="B229" s="170"/>
      <c r="C229" s="290" t="s">
        <v>659</v>
      </c>
      <c r="D229" s="292" t="s">
        <v>829</v>
      </c>
      <c r="E229" s="289"/>
      <c r="F229" s="7">
        <v>164903</v>
      </c>
      <c r="G229" s="3">
        <f>0+'[2]táj.2'!G229</f>
        <v>0</v>
      </c>
      <c r="H229" s="3">
        <f>0+'[2]táj.2'!H229</f>
        <v>0</v>
      </c>
      <c r="I229" s="3">
        <f>0+'[2]táj.2'!I229</f>
        <v>0</v>
      </c>
      <c r="J229" s="3">
        <f>0+'[2]táj.2'!J229</f>
        <v>0</v>
      </c>
      <c r="K229" s="3">
        <f>0+'[2]táj.2'!K229</f>
        <v>0</v>
      </c>
      <c r="L229" s="3">
        <f>0+'[2]táj.2'!L229</f>
        <v>0</v>
      </c>
      <c r="M229" s="3">
        <f>0+'[2]táj.2'!M229</f>
        <v>0</v>
      </c>
      <c r="N229" s="3">
        <f>6846+'[2]táj.2'!N229</f>
        <v>6846</v>
      </c>
      <c r="O229" s="3">
        <f>0+'[2]táj.2'!O229</f>
        <v>0</v>
      </c>
      <c r="P229" s="3">
        <f>0+'[2]táj.2'!P229</f>
        <v>0</v>
      </c>
      <c r="Q229" s="3">
        <f>SUM(G229:P229)</f>
        <v>6846</v>
      </c>
    </row>
    <row r="230" spans="1:17" ht="13.5">
      <c r="A230" s="218"/>
      <c r="B230" s="218"/>
      <c r="C230" s="219"/>
      <c r="D230" s="183" t="s">
        <v>498</v>
      </c>
      <c r="E230" s="284"/>
      <c r="F230" s="285"/>
      <c r="G230" s="286">
        <f aca="true" t="shared" si="15" ref="G230:Q230">SUM(G225:G229)</f>
        <v>0</v>
      </c>
      <c r="H230" s="286">
        <f t="shared" si="15"/>
        <v>0</v>
      </c>
      <c r="I230" s="286">
        <f t="shared" si="15"/>
        <v>9026</v>
      </c>
      <c r="J230" s="286">
        <f t="shared" si="15"/>
        <v>0</v>
      </c>
      <c r="K230" s="286">
        <f t="shared" si="15"/>
        <v>0</v>
      </c>
      <c r="L230" s="286">
        <f t="shared" si="15"/>
        <v>17517</v>
      </c>
      <c r="M230" s="286">
        <f t="shared" si="15"/>
        <v>0</v>
      </c>
      <c r="N230" s="286">
        <f t="shared" si="15"/>
        <v>6846</v>
      </c>
      <c r="O230" s="286">
        <f t="shared" si="15"/>
        <v>0</v>
      </c>
      <c r="P230" s="286">
        <f t="shared" si="15"/>
        <v>0</v>
      </c>
      <c r="Q230" s="286">
        <f t="shared" si="15"/>
        <v>33389</v>
      </c>
    </row>
    <row r="231" spans="1:17" ht="13.5">
      <c r="A231" s="198">
        <v>1</v>
      </c>
      <c r="B231" s="198">
        <v>15</v>
      </c>
      <c r="C231" s="214"/>
      <c r="D231" s="277" t="s">
        <v>831</v>
      </c>
      <c r="E231" s="223"/>
      <c r="F231" s="7"/>
      <c r="G231" s="7"/>
      <c r="H231" s="3"/>
      <c r="I231" s="3"/>
      <c r="J231" s="3"/>
      <c r="K231" s="3"/>
      <c r="L231" s="3"/>
      <c r="M231" s="7"/>
      <c r="N231" s="7"/>
      <c r="O231" s="7"/>
      <c r="P231" s="7"/>
      <c r="Q231" s="7"/>
    </row>
    <row r="232" spans="1:17" ht="12.75">
      <c r="A232" s="198"/>
      <c r="B232" s="198"/>
      <c r="C232" s="214"/>
      <c r="D232" s="293" t="s">
        <v>832</v>
      </c>
      <c r="E232" s="223"/>
      <c r="F232" s="7"/>
      <c r="G232" s="7"/>
      <c r="H232" s="3"/>
      <c r="I232" s="3"/>
      <c r="J232" s="3"/>
      <c r="K232" s="3"/>
      <c r="L232" s="3"/>
      <c r="M232" s="7"/>
      <c r="N232" s="7"/>
      <c r="O232" s="7"/>
      <c r="P232" s="7"/>
      <c r="Q232" s="7"/>
    </row>
    <row r="233" spans="1:17" ht="12.75">
      <c r="A233" s="198"/>
      <c r="B233" s="198"/>
      <c r="C233" s="214"/>
      <c r="D233" s="283" t="s">
        <v>833</v>
      </c>
      <c r="E233" s="7">
        <v>1</v>
      </c>
      <c r="F233" s="7">
        <v>151502</v>
      </c>
      <c r="G233" s="7">
        <f>0+'[2]táj.2'!G233</f>
        <v>0</v>
      </c>
      <c r="H233" s="7">
        <f>0+'[2]táj.2'!H233</f>
        <v>0</v>
      </c>
      <c r="I233" s="7">
        <f>28416+'[2]táj.2'!I233</f>
        <v>28416</v>
      </c>
      <c r="J233" s="7">
        <f>0+'[2]táj.2'!J233</f>
        <v>0</v>
      </c>
      <c r="K233" s="7">
        <f>0+'[2]táj.2'!K233</f>
        <v>0</v>
      </c>
      <c r="L233" s="7">
        <f>0+'[2]táj.2'!L233</f>
        <v>0</v>
      </c>
      <c r="M233" s="7">
        <f>0+'[2]táj.2'!M233</f>
        <v>0</v>
      </c>
      <c r="N233" s="7">
        <f>0+'[2]táj.2'!N233</f>
        <v>0</v>
      </c>
      <c r="O233" s="7">
        <f>0+'[2]táj.2'!O233</f>
        <v>0</v>
      </c>
      <c r="P233" s="7">
        <f>0+'[2]táj.2'!P233</f>
        <v>0</v>
      </c>
      <c r="Q233" s="7">
        <f aca="true" t="shared" si="16" ref="Q233:Q258">SUM(G233:P233)</f>
        <v>28416</v>
      </c>
    </row>
    <row r="234" spans="1:17" ht="25.5">
      <c r="A234" s="198"/>
      <c r="B234" s="198"/>
      <c r="C234" s="214"/>
      <c r="D234" s="176" t="s">
        <v>1503</v>
      </c>
      <c r="E234" s="7">
        <v>1</v>
      </c>
      <c r="F234" s="7">
        <v>151530</v>
      </c>
      <c r="G234" s="7">
        <f>0+'[2]táj.2'!G234</f>
        <v>0</v>
      </c>
      <c r="H234" s="7">
        <f>0+'[2]táj.2'!H234</f>
        <v>0</v>
      </c>
      <c r="I234" s="7">
        <f>5000+'[2]táj.2'!I234</f>
        <v>5000</v>
      </c>
      <c r="J234" s="7">
        <f>0+'[2]táj.2'!J234</f>
        <v>0</v>
      </c>
      <c r="K234" s="7">
        <f>0+'[2]táj.2'!K234</f>
        <v>0</v>
      </c>
      <c r="L234" s="7">
        <f>0+'[2]táj.2'!L234</f>
        <v>0</v>
      </c>
      <c r="M234" s="7">
        <f>0+'[2]táj.2'!M234</f>
        <v>0</v>
      </c>
      <c r="N234" s="7">
        <f>0+'[2]táj.2'!N234</f>
        <v>0</v>
      </c>
      <c r="O234" s="7">
        <f>0+'[2]táj.2'!O234</f>
        <v>0</v>
      </c>
      <c r="P234" s="7">
        <f>0+'[2]táj.2'!P234</f>
        <v>0</v>
      </c>
      <c r="Q234" s="7">
        <f t="shared" si="16"/>
        <v>5000</v>
      </c>
    </row>
    <row r="235" spans="1:17" ht="12.75">
      <c r="A235" s="198"/>
      <c r="B235" s="198"/>
      <c r="C235" s="214"/>
      <c r="D235" s="283" t="s">
        <v>834</v>
      </c>
      <c r="E235" s="7">
        <v>1</v>
      </c>
      <c r="F235" s="7">
        <v>151504</v>
      </c>
      <c r="G235" s="7">
        <f>0+'[2]táj.2'!G235</f>
        <v>0</v>
      </c>
      <c r="H235" s="7">
        <f>0+'[2]táj.2'!H235</f>
        <v>0</v>
      </c>
      <c r="I235" s="7">
        <f>226000+'[2]táj.2'!I235</f>
        <v>226000</v>
      </c>
      <c r="J235" s="7">
        <f>0+'[2]táj.2'!J235</f>
        <v>0</v>
      </c>
      <c r="K235" s="7">
        <f>0+'[2]táj.2'!K235</f>
        <v>0</v>
      </c>
      <c r="L235" s="7">
        <f>0+'[2]táj.2'!L235</f>
        <v>0</v>
      </c>
      <c r="M235" s="7">
        <f>0+'[2]táj.2'!M235</f>
        <v>0</v>
      </c>
      <c r="N235" s="7">
        <f>0+'[2]táj.2'!N235</f>
        <v>0</v>
      </c>
      <c r="O235" s="7">
        <f>0+'[2]táj.2'!O235</f>
        <v>0</v>
      </c>
      <c r="P235" s="7">
        <f>0+'[2]táj.2'!P235</f>
        <v>0</v>
      </c>
      <c r="Q235" s="7">
        <f t="shared" si="16"/>
        <v>226000</v>
      </c>
    </row>
    <row r="236" spans="1:17" ht="12.75">
      <c r="A236" s="198"/>
      <c r="B236" s="198"/>
      <c r="C236" s="214"/>
      <c r="D236" s="294" t="s">
        <v>835</v>
      </c>
      <c r="E236" s="7">
        <v>1</v>
      </c>
      <c r="F236" s="7">
        <v>151501</v>
      </c>
      <c r="G236" s="7">
        <f>0+'[2]táj.2'!G236</f>
        <v>0</v>
      </c>
      <c r="H236" s="7">
        <f>0+'[2]táj.2'!H236</f>
        <v>0</v>
      </c>
      <c r="I236" s="7">
        <f>10769+'[2]táj.2'!I236</f>
        <v>10769</v>
      </c>
      <c r="J236" s="7">
        <f>0+'[2]táj.2'!J236</f>
        <v>0</v>
      </c>
      <c r="K236" s="7">
        <f>0+'[2]táj.2'!K236</f>
        <v>0</v>
      </c>
      <c r="L236" s="7">
        <f>0+'[2]táj.2'!L236</f>
        <v>0</v>
      </c>
      <c r="M236" s="7">
        <f>0+'[2]táj.2'!M236</f>
        <v>0</v>
      </c>
      <c r="N236" s="7">
        <f>0+'[2]táj.2'!N236</f>
        <v>0</v>
      </c>
      <c r="O236" s="7">
        <f>0+'[2]táj.2'!O236</f>
        <v>0</v>
      </c>
      <c r="P236" s="7">
        <f>0+'[2]táj.2'!P236</f>
        <v>0</v>
      </c>
      <c r="Q236" s="7">
        <f t="shared" si="16"/>
        <v>10769</v>
      </c>
    </row>
    <row r="237" spans="1:17" ht="12.75">
      <c r="A237" s="198"/>
      <c r="B237" s="198"/>
      <c r="C237" s="214"/>
      <c r="D237" s="294" t="s">
        <v>836</v>
      </c>
      <c r="E237" s="7">
        <v>1</v>
      </c>
      <c r="F237" s="7">
        <v>151905</v>
      </c>
      <c r="G237" s="7">
        <f>0+'[2]táj.2'!G237</f>
        <v>0</v>
      </c>
      <c r="H237" s="7">
        <f>0+'[2]táj.2'!H237</f>
        <v>0</v>
      </c>
      <c r="I237" s="7">
        <f>800+'[2]táj.2'!I237</f>
        <v>800</v>
      </c>
      <c r="J237" s="7">
        <f>0+'[2]táj.2'!J237</f>
        <v>0</v>
      </c>
      <c r="K237" s="7">
        <f>0+'[2]táj.2'!K237</f>
        <v>0</v>
      </c>
      <c r="L237" s="7">
        <f>0+'[2]táj.2'!L237</f>
        <v>0</v>
      </c>
      <c r="M237" s="7">
        <f>0+'[2]táj.2'!M237</f>
        <v>0</v>
      </c>
      <c r="N237" s="7">
        <f>0+'[2]táj.2'!N237</f>
        <v>0</v>
      </c>
      <c r="O237" s="7">
        <f>0+'[2]táj.2'!O237</f>
        <v>0</v>
      </c>
      <c r="P237" s="7">
        <f>0+'[2]táj.2'!P237</f>
        <v>0</v>
      </c>
      <c r="Q237" s="7">
        <f t="shared" si="16"/>
        <v>800</v>
      </c>
    </row>
    <row r="238" spans="1:17" ht="12.75">
      <c r="A238" s="198"/>
      <c r="B238" s="198"/>
      <c r="C238" s="214"/>
      <c r="D238" s="294" t="s">
        <v>837</v>
      </c>
      <c r="E238" s="7">
        <v>1</v>
      </c>
      <c r="F238" s="7">
        <v>151920</v>
      </c>
      <c r="G238" s="7">
        <f>0+'[2]táj.2'!G238</f>
        <v>0</v>
      </c>
      <c r="H238" s="7">
        <f>0+'[2]táj.2'!H238</f>
        <v>0</v>
      </c>
      <c r="I238" s="7">
        <f>2000+'[2]táj.2'!I238</f>
        <v>2000</v>
      </c>
      <c r="J238" s="7">
        <f>0+'[2]táj.2'!J238</f>
        <v>0</v>
      </c>
      <c r="K238" s="7">
        <f>0+'[2]táj.2'!K238</f>
        <v>0</v>
      </c>
      <c r="L238" s="7">
        <f>0+'[2]táj.2'!L238</f>
        <v>0</v>
      </c>
      <c r="M238" s="7">
        <f>0+'[2]táj.2'!M238</f>
        <v>0</v>
      </c>
      <c r="N238" s="7">
        <f>0+'[2]táj.2'!N238</f>
        <v>0</v>
      </c>
      <c r="O238" s="7">
        <f>0+'[2]táj.2'!O238</f>
        <v>0</v>
      </c>
      <c r="P238" s="7">
        <f>0+'[2]táj.2'!P238</f>
        <v>0</v>
      </c>
      <c r="Q238" s="7">
        <f t="shared" si="16"/>
        <v>2000</v>
      </c>
    </row>
    <row r="239" spans="1:17" ht="12.75">
      <c r="A239" s="198"/>
      <c r="B239" s="198"/>
      <c r="C239" s="214"/>
      <c r="D239" s="294" t="s">
        <v>838</v>
      </c>
      <c r="E239" s="7">
        <v>1</v>
      </c>
      <c r="F239" s="7">
        <v>151917</v>
      </c>
      <c r="G239" s="7">
        <f>0+'[2]táj.2'!G239</f>
        <v>0</v>
      </c>
      <c r="H239" s="7">
        <f>0+'[2]táj.2'!H239</f>
        <v>0</v>
      </c>
      <c r="I239" s="7">
        <f>4625+'[2]táj.2'!I239</f>
        <v>4625</v>
      </c>
      <c r="J239" s="7">
        <f>0+'[2]táj.2'!J239</f>
        <v>0</v>
      </c>
      <c r="K239" s="7">
        <f>0+'[2]táj.2'!K239</f>
        <v>0</v>
      </c>
      <c r="L239" s="7">
        <f>0+'[2]táj.2'!L239</f>
        <v>0</v>
      </c>
      <c r="M239" s="7">
        <f>0+'[2]táj.2'!M239</f>
        <v>0</v>
      </c>
      <c r="N239" s="7">
        <f>0+'[2]táj.2'!N239</f>
        <v>0</v>
      </c>
      <c r="O239" s="7">
        <f>0+'[2]táj.2'!O239</f>
        <v>0</v>
      </c>
      <c r="P239" s="7">
        <f>0+'[2]táj.2'!P239</f>
        <v>0</v>
      </c>
      <c r="Q239" s="7">
        <f t="shared" si="16"/>
        <v>4625</v>
      </c>
    </row>
    <row r="240" spans="1:17" ht="12.75">
      <c r="A240" s="198"/>
      <c r="B240" s="198"/>
      <c r="C240" s="214"/>
      <c r="D240" s="294" t="s">
        <v>839</v>
      </c>
      <c r="E240" s="7">
        <v>2</v>
      </c>
      <c r="F240" s="7">
        <v>151503</v>
      </c>
      <c r="G240" s="7">
        <f>0+'[2]táj.2'!G240</f>
        <v>0</v>
      </c>
      <c r="H240" s="7">
        <f>0+'[2]táj.2'!H240</f>
        <v>0</v>
      </c>
      <c r="I240" s="7">
        <f>1800+'[2]táj.2'!I240</f>
        <v>1800</v>
      </c>
      <c r="J240" s="7">
        <f>0+'[2]táj.2'!J240</f>
        <v>0</v>
      </c>
      <c r="K240" s="7">
        <f>0+'[2]táj.2'!K240</f>
        <v>0</v>
      </c>
      <c r="L240" s="7">
        <f>0+'[2]táj.2'!L240</f>
        <v>0</v>
      </c>
      <c r="M240" s="7">
        <f>0+'[2]táj.2'!M240</f>
        <v>0</v>
      </c>
      <c r="N240" s="7">
        <f>0+'[2]táj.2'!N240</f>
        <v>0</v>
      </c>
      <c r="O240" s="7">
        <f>0+'[2]táj.2'!O240</f>
        <v>0</v>
      </c>
      <c r="P240" s="7">
        <f>0+'[2]táj.2'!P240</f>
        <v>0</v>
      </c>
      <c r="Q240" s="7">
        <f t="shared" si="16"/>
        <v>1800</v>
      </c>
    </row>
    <row r="241" spans="1:17" ht="12.75">
      <c r="A241" s="198"/>
      <c r="B241" s="198"/>
      <c r="C241" s="214"/>
      <c r="D241" s="649" t="s">
        <v>840</v>
      </c>
      <c r="E241" s="7">
        <v>2</v>
      </c>
      <c r="F241" s="7">
        <v>151921</v>
      </c>
      <c r="G241" s="7">
        <f>0+'[2]táj.2'!G241</f>
        <v>0</v>
      </c>
      <c r="H241" s="7">
        <f>0+'[2]táj.2'!H241</f>
        <v>0</v>
      </c>
      <c r="I241" s="7">
        <f>300+'[2]táj.2'!I241</f>
        <v>300</v>
      </c>
      <c r="J241" s="7">
        <f>0+'[2]táj.2'!J241</f>
        <v>0</v>
      </c>
      <c r="K241" s="7">
        <f>0+'[2]táj.2'!K241</f>
        <v>0</v>
      </c>
      <c r="L241" s="7">
        <f>0+'[2]táj.2'!L241</f>
        <v>0</v>
      </c>
      <c r="M241" s="7">
        <f>0+'[2]táj.2'!M241</f>
        <v>0</v>
      </c>
      <c r="N241" s="7">
        <f>0+'[2]táj.2'!N241</f>
        <v>0</v>
      </c>
      <c r="O241" s="7">
        <f>0+'[2]táj.2'!O241</f>
        <v>0</v>
      </c>
      <c r="P241" s="7">
        <f>0+'[2]táj.2'!P241</f>
        <v>0</v>
      </c>
      <c r="Q241" s="7">
        <f t="shared" si="16"/>
        <v>300</v>
      </c>
    </row>
    <row r="242" spans="1:17" ht="12.75">
      <c r="A242" s="198"/>
      <c r="B242" s="198"/>
      <c r="C242" s="214"/>
      <c r="D242" s="314" t="s">
        <v>841</v>
      </c>
      <c r="E242" s="7">
        <v>2</v>
      </c>
      <c r="F242" s="7">
        <v>151922</v>
      </c>
      <c r="G242" s="7">
        <f>0+'[2]táj.2'!G242</f>
        <v>0</v>
      </c>
      <c r="H242" s="7">
        <f>0+'[2]táj.2'!H242</f>
        <v>0</v>
      </c>
      <c r="I242" s="7">
        <f>2000+'[2]táj.2'!I242</f>
        <v>2000</v>
      </c>
      <c r="J242" s="7">
        <f>0+'[2]táj.2'!J242</f>
        <v>0</v>
      </c>
      <c r="K242" s="7">
        <f>0+'[2]táj.2'!K242</f>
        <v>0</v>
      </c>
      <c r="L242" s="7">
        <f>0+'[2]táj.2'!L242</f>
        <v>0</v>
      </c>
      <c r="M242" s="7">
        <f>0+'[2]táj.2'!M242</f>
        <v>0</v>
      </c>
      <c r="N242" s="7">
        <f>0+'[2]táj.2'!N242</f>
        <v>0</v>
      </c>
      <c r="O242" s="7">
        <f>0+'[2]táj.2'!O242</f>
        <v>0</v>
      </c>
      <c r="P242" s="7">
        <f>0+'[2]táj.2'!P242</f>
        <v>0</v>
      </c>
      <c r="Q242" s="7">
        <f t="shared" si="16"/>
        <v>2000</v>
      </c>
    </row>
    <row r="243" spans="1:17" ht="12.75">
      <c r="A243" s="198"/>
      <c r="B243" s="198"/>
      <c r="C243" s="214"/>
      <c r="D243" s="294" t="s">
        <v>842</v>
      </c>
      <c r="E243" s="7">
        <v>2</v>
      </c>
      <c r="F243" s="7">
        <v>151507</v>
      </c>
      <c r="G243" s="7">
        <f>0+'[2]táj.2'!G243</f>
        <v>0</v>
      </c>
      <c r="H243" s="7">
        <f>0+'[2]táj.2'!H243</f>
        <v>0</v>
      </c>
      <c r="I243" s="7">
        <f>1000+'[2]táj.2'!I243</f>
        <v>1000</v>
      </c>
      <c r="J243" s="7">
        <f>0+'[2]táj.2'!J243</f>
        <v>0</v>
      </c>
      <c r="K243" s="7">
        <f>0+'[2]táj.2'!K243</f>
        <v>0</v>
      </c>
      <c r="L243" s="7">
        <f>0+'[2]táj.2'!L243</f>
        <v>0</v>
      </c>
      <c r="M243" s="7">
        <f>0+'[2]táj.2'!M243</f>
        <v>0</v>
      </c>
      <c r="N243" s="7">
        <f>0+'[2]táj.2'!N243</f>
        <v>0</v>
      </c>
      <c r="O243" s="7">
        <f>0+'[2]táj.2'!O243</f>
        <v>0</v>
      </c>
      <c r="P243" s="7">
        <f>0+'[2]táj.2'!P243</f>
        <v>0</v>
      </c>
      <c r="Q243" s="7">
        <f t="shared" si="16"/>
        <v>1000</v>
      </c>
    </row>
    <row r="244" spans="1:17" ht="12.75">
      <c r="A244" s="198"/>
      <c r="B244" s="198"/>
      <c r="C244" s="214"/>
      <c r="D244" s="294" t="s">
        <v>843</v>
      </c>
      <c r="E244" s="7">
        <v>2</v>
      </c>
      <c r="F244" s="7">
        <v>151509</v>
      </c>
      <c r="G244" s="7">
        <f>0+'[2]táj.2'!G244</f>
        <v>0</v>
      </c>
      <c r="H244" s="7">
        <f>0+'[2]táj.2'!H244</f>
        <v>0</v>
      </c>
      <c r="I244" s="7">
        <f>500+'[2]táj.2'!I244</f>
        <v>500</v>
      </c>
      <c r="J244" s="7">
        <f>0+'[2]táj.2'!J244</f>
        <v>0</v>
      </c>
      <c r="K244" s="7">
        <f>0+'[2]táj.2'!K244</f>
        <v>0</v>
      </c>
      <c r="L244" s="7">
        <f>0+'[2]táj.2'!L244</f>
        <v>0</v>
      </c>
      <c r="M244" s="7">
        <f>0+'[2]táj.2'!M244</f>
        <v>0</v>
      </c>
      <c r="N244" s="7">
        <f>0+'[2]táj.2'!N244</f>
        <v>0</v>
      </c>
      <c r="O244" s="7">
        <f>0+'[2]táj.2'!O244</f>
        <v>0</v>
      </c>
      <c r="P244" s="7">
        <f>0+'[2]táj.2'!P244</f>
        <v>0</v>
      </c>
      <c r="Q244" s="7">
        <f t="shared" si="16"/>
        <v>500</v>
      </c>
    </row>
    <row r="245" spans="1:17" ht="12.75">
      <c r="A245" s="198"/>
      <c r="B245" s="198"/>
      <c r="C245" s="214"/>
      <c r="D245" s="294" t="s">
        <v>844</v>
      </c>
      <c r="E245" s="7">
        <v>1</v>
      </c>
      <c r="F245" s="7">
        <v>151510</v>
      </c>
      <c r="G245" s="7">
        <f>0+'[2]táj.2'!G245</f>
        <v>0</v>
      </c>
      <c r="H245" s="7">
        <f>0+'[2]táj.2'!H245</f>
        <v>0</v>
      </c>
      <c r="I245" s="7">
        <f>13200+'[2]táj.2'!I245</f>
        <v>13200</v>
      </c>
      <c r="J245" s="7">
        <f>0+'[2]táj.2'!J245</f>
        <v>0</v>
      </c>
      <c r="K245" s="7">
        <f>0+'[2]táj.2'!K245</f>
        <v>0</v>
      </c>
      <c r="L245" s="7">
        <f>0+'[2]táj.2'!L245</f>
        <v>0</v>
      </c>
      <c r="M245" s="7">
        <f>0+'[2]táj.2'!M245</f>
        <v>0</v>
      </c>
      <c r="N245" s="7">
        <f>0+'[2]táj.2'!N245</f>
        <v>0</v>
      </c>
      <c r="O245" s="7">
        <f>0+'[2]táj.2'!O245</f>
        <v>0</v>
      </c>
      <c r="P245" s="7">
        <f>0+'[2]táj.2'!P245</f>
        <v>0</v>
      </c>
      <c r="Q245" s="7">
        <f t="shared" si="16"/>
        <v>13200</v>
      </c>
    </row>
    <row r="246" spans="1:17" ht="12.75">
      <c r="A246" s="198"/>
      <c r="B246" s="198"/>
      <c r="C246" s="214"/>
      <c r="D246" s="295" t="s">
        <v>845</v>
      </c>
      <c r="E246" s="194">
        <v>1</v>
      </c>
      <c r="F246" s="7">
        <v>151520</v>
      </c>
      <c r="G246" s="7">
        <f>0+'[2]táj.2'!G246</f>
        <v>0</v>
      </c>
      <c r="H246" s="7">
        <f>0+'[2]táj.2'!H246</f>
        <v>0</v>
      </c>
      <c r="I246" s="7">
        <f>2500+'[2]táj.2'!I246</f>
        <v>2500</v>
      </c>
      <c r="J246" s="7">
        <f>0+'[2]táj.2'!J246</f>
        <v>0</v>
      </c>
      <c r="K246" s="7">
        <f>0+'[2]táj.2'!K246</f>
        <v>0</v>
      </c>
      <c r="L246" s="7">
        <f>0+'[2]táj.2'!L246</f>
        <v>0</v>
      </c>
      <c r="M246" s="7">
        <f>0+'[2]táj.2'!M246</f>
        <v>0</v>
      </c>
      <c r="N246" s="7">
        <f>0+'[2]táj.2'!N246</f>
        <v>0</v>
      </c>
      <c r="O246" s="7">
        <f>0+'[2]táj.2'!O246</f>
        <v>0</v>
      </c>
      <c r="P246" s="7">
        <f>0+'[2]táj.2'!P246</f>
        <v>0</v>
      </c>
      <c r="Q246" s="7">
        <f t="shared" si="16"/>
        <v>2500</v>
      </c>
    </row>
    <row r="247" spans="1:17" ht="12.75">
      <c r="A247" s="198"/>
      <c r="B247" s="198"/>
      <c r="C247" s="214"/>
      <c r="D247" s="296" t="s">
        <v>846</v>
      </c>
      <c r="E247" s="7">
        <v>1</v>
      </c>
      <c r="F247" s="7">
        <v>151521</v>
      </c>
      <c r="G247" s="7">
        <f>0+'[2]táj.2'!G247</f>
        <v>0</v>
      </c>
      <c r="H247" s="7">
        <f>0+'[2]táj.2'!H247</f>
        <v>0</v>
      </c>
      <c r="I247" s="7">
        <f>400+'[2]táj.2'!I247</f>
        <v>400</v>
      </c>
      <c r="J247" s="7">
        <f>0+'[2]táj.2'!J247</f>
        <v>0</v>
      </c>
      <c r="K247" s="7">
        <f>0+'[2]táj.2'!K247</f>
        <v>0</v>
      </c>
      <c r="L247" s="7">
        <f>0+'[2]táj.2'!L247</f>
        <v>0</v>
      </c>
      <c r="M247" s="7">
        <f>0+'[2]táj.2'!M247</f>
        <v>0</v>
      </c>
      <c r="N247" s="7">
        <f>0+'[2]táj.2'!N247</f>
        <v>0</v>
      </c>
      <c r="O247" s="7">
        <f>0+'[2]táj.2'!O247</f>
        <v>0</v>
      </c>
      <c r="P247" s="7">
        <f>0+'[2]táj.2'!P247</f>
        <v>0</v>
      </c>
      <c r="Q247" s="7">
        <f t="shared" si="16"/>
        <v>400</v>
      </c>
    </row>
    <row r="248" spans="1:17" ht="12.75">
      <c r="A248" s="198"/>
      <c r="B248" s="198"/>
      <c r="C248" s="214"/>
      <c r="D248" s="296" t="s">
        <v>847</v>
      </c>
      <c r="E248" s="7">
        <v>1</v>
      </c>
      <c r="F248" s="7">
        <v>151522</v>
      </c>
      <c r="G248" s="7">
        <f>0+'[2]táj.2'!G248</f>
        <v>0</v>
      </c>
      <c r="H248" s="7">
        <f>0+'[2]táj.2'!H248</f>
        <v>0</v>
      </c>
      <c r="I248" s="7">
        <f>1000+'[2]táj.2'!I248</f>
        <v>1000</v>
      </c>
      <c r="J248" s="7">
        <f>0+'[2]táj.2'!J248</f>
        <v>0</v>
      </c>
      <c r="K248" s="7">
        <f>0+'[2]táj.2'!K248</f>
        <v>0</v>
      </c>
      <c r="L248" s="7">
        <f>0+'[2]táj.2'!L248</f>
        <v>0</v>
      </c>
      <c r="M248" s="7">
        <f>0+'[2]táj.2'!M248</f>
        <v>0</v>
      </c>
      <c r="N248" s="7">
        <f>0+'[2]táj.2'!N248</f>
        <v>0</v>
      </c>
      <c r="O248" s="7">
        <f>0+'[2]táj.2'!O248</f>
        <v>0</v>
      </c>
      <c r="P248" s="7">
        <f>0+'[2]táj.2'!P248</f>
        <v>0</v>
      </c>
      <c r="Q248" s="7">
        <f t="shared" si="16"/>
        <v>1000</v>
      </c>
    </row>
    <row r="249" spans="1:17" ht="12.75">
      <c r="A249" s="198"/>
      <c r="B249" s="198"/>
      <c r="C249" s="214"/>
      <c r="D249" s="236" t="s">
        <v>848</v>
      </c>
      <c r="E249" s="7">
        <v>2</v>
      </c>
      <c r="F249" s="7">
        <v>151529</v>
      </c>
      <c r="G249" s="7">
        <f>0+'[2]táj.2'!G249</f>
        <v>0</v>
      </c>
      <c r="H249" s="7">
        <f>0+'[2]táj.2'!H249</f>
        <v>0</v>
      </c>
      <c r="I249" s="7">
        <f>200+'[2]táj.2'!I249</f>
        <v>200</v>
      </c>
      <c r="J249" s="7">
        <f>0+'[2]táj.2'!J249</f>
        <v>0</v>
      </c>
      <c r="K249" s="7">
        <f>0+'[2]táj.2'!K249</f>
        <v>0</v>
      </c>
      <c r="L249" s="7">
        <f>0+'[2]táj.2'!L249</f>
        <v>0</v>
      </c>
      <c r="M249" s="7">
        <f>0+'[2]táj.2'!M249</f>
        <v>0</v>
      </c>
      <c r="N249" s="7">
        <f>0+'[2]táj.2'!N249</f>
        <v>0</v>
      </c>
      <c r="O249" s="7">
        <f>0+'[2]táj.2'!O249</f>
        <v>0</v>
      </c>
      <c r="P249" s="7">
        <f>0+'[2]táj.2'!P249</f>
        <v>0</v>
      </c>
      <c r="Q249" s="7">
        <f t="shared" si="16"/>
        <v>200</v>
      </c>
    </row>
    <row r="250" spans="1:17" ht="12.75">
      <c r="A250" s="198"/>
      <c r="B250" s="198"/>
      <c r="C250" s="214"/>
      <c r="D250" s="294" t="s">
        <v>849</v>
      </c>
      <c r="E250" s="7">
        <v>1</v>
      </c>
      <c r="F250" s="7">
        <v>151512</v>
      </c>
      <c r="G250" s="7">
        <f>0+'[2]táj.2'!G250</f>
        <v>0</v>
      </c>
      <c r="H250" s="7">
        <f>0+'[2]táj.2'!H250</f>
        <v>0</v>
      </c>
      <c r="I250" s="7">
        <f>1165+'[2]táj.2'!I250</f>
        <v>1165</v>
      </c>
      <c r="J250" s="7">
        <f>0+'[2]táj.2'!J250</f>
        <v>0</v>
      </c>
      <c r="K250" s="7">
        <f>0+'[2]táj.2'!K250</f>
        <v>0</v>
      </c>
      <c r="L250" s="7">
        <f>0+'[2]táj.2'!L250</f>
        <v>0</v>
      </c>
      <c r="M250" s="7">
        <f>0+'[2]táj.2'!M250</f>
        <v>0</v>
      </c>
      <c r="N250" s="7">
        <f>0+'[2]táj.2'!N250</f>
        <v>0</v>
      </c>
      <c r="O250" s="7">
        <f>0+'[2]táj.2'!O250</f>
        <v>0</v>
      </c>
      <c r="P250" s="7">
        <f>0+'[2]táj.2'!P250</f>
        <v>0</v>
      </c>
      <c r="Q250" s="7">
        <f t="shared" si="16"/>
        <v>1165</v>
      </c>
    </row>
    <row r="251" spans="1:17" ht="12.75">
      <c r="A251" s="198"/>
      <c r="B251" s="198"/>
      <c r="C251" s="214"/>
      <c r="D251" s="296" t="s">
        <v>850</v>
      </c>
      <c r="E251" s="7">
        <v>1</v>
      </c>
      <c r="F251" s="7">
        <v>151519</v>
      </c>
      <c r="G251" s="7">
        <f>0+'[2]táj.2'!G251</f>
        <v>0</v>
      </c>
      <c r="H251" s="7">
        <f>0+'[2]táj.2'!H251</f>
        <v>0</v>
      </c>
      <c r="I251" s="7">
        <f>500+'[2]táj.2'!I251</f>
        <v>500</v>
      </c>
      <c r="J251" s="7">
        <f>0+'[2]táj.2'!J251</f>
        <v>0</v>
      </c>
      <c r="K251" s="7">
        <f>0+'[2]táj.2'!K251</f>
        <v>0</v>
      </c>
      <c r="L251" s="7">
        <f>0+'[2]táj.2'!L251</f>
        <v>0</v>
      </c>
      <c r="M251" s="7">
        <f>0+'[2]táj.2'!M251</f>
        <v>0</v>
      </c>
      <c r="N251" s="7">
        <f>0+'[2]táj.2'!N251</f>
        <v>0</v>
      </c>
      <c r="O251" s="7">
        <f>0+'[2]táj.2'!O251</f>
        <v>0</v>
      </c>
      <c r="P251" s="7">
        <f>0+'[2]táj.2'!P251</f>
        <v>0</v>
      </c>
      <c r="Q251" s="7">
        <f t="shared" si="16"/>
        <v>500</v>
      </c>
    </row>
    <row r="252" spans="1:17" ht="12.75">
      <c r="A252" s="198"/>
      <c r="B252" s="198"/>
      <c r="C252" s="214"/>
      <c r="D252" s="294" t="s">
        <v>851</v>
      </c>
      <c r="E252" s="7">
        <v>2</v>
      </c>
      <c r="F252" s="7">
        <v>151511</v>
      </c>
      <c r="G252" s="7">
        <f>0+'[2]táj.2'!G252</f>
        <v>0</v>
      </c>
      <c r="H252" s="7">
        <f>0+'[2]táj.2'!H252</f>
        <v>0</v>
      </c>
      <c r="I252" s="7">
        <f>4000+'[2]táj.2'!I252</f>
        <v>4000</v>
      </c>
      <c r="J252" s="7">
        <f>0+'[2]táj.2'!J252</f>
        <v>0</v>
      </c>
      <c r="K252" s="7">
        <f>0+'[2]táj.2'!K252</f>
        <v>0</v>
      </c>
      <c r="L252" s="7">
        <f>0+'[2]táj.2'!L252</f>
        <v>0</v>
      </c>
      <c r="M252" s="7">
        <f>0+'[2]táj.2'!M252</f>
        <v>0</v>
      </c>
      <c r="N252" s="7">
        <f>0+'[2]táj.2'!N252</f>
        <v>0</v>
      </c>
      <c r="O252" s="7">
        <f>0+'[2]táj.2'!O252</f>
        <v>0</v>
      </c>
      <c r="P252" s="7">
        <f>0+'[2]táj.2'!P252</f>
        <v>0</v>
      </c>
      <c r="Q252" s="7">
        <f t="shared" si="16"/>
        <v>4000</v>
      </c>
    </row>
    <row r="253" spans="1:17" ht="12.75">
      <c r="A253" s="198"/>
      <c r="B253" s="198"/>
      <c r="C253" s="214"/>
      <c r="D253" s="294" t="s">
        <v>852</v>
      </c>
      <c r="E253" s="169">
        <v>2</v>
      </c>
      <c r="F253" s="7">
        <v>151514</v>
      </c>
      <c r="G253" s="7">
        <f>0+'[2]táj.2'!G253</f>
        <v>0</v>
      </c>
      <c r="H253" s="7">
        <f>0+'[2]táj.2'!H253</f>
        <v>0</v>
      </c>
      <c r="I253" s="7">
        <f>3000+'[2]táj.2'!I253</f>
        <v>3000</v>
      </c>
      <c r="J253" s="7">
        <f>0+'[2]táj.2'!J253</f>
        <v>0</v>
      </c>
      <c r="K253" s="7">
        <f>0+'[2]táj.2'!K253</f>
        <v>0</v>
      </c>
      <c r="L253" s="7">
        <f>0+'[2]táj.2'!L253</f>
        <v>0</v>
      </c>
      <c r="M253" s="7">
        <f>0+'[2]táj.2'!M253</f>
        <v>0</v>
      </c>
      <c r="N253" s="7">
        <f>0+'[2]táj.2'!N253</f>
        <v>0</v>
      </c>
      <c r="O253" s="7">
        <f>0+'[2]táj.2'!O253</f>
        <v>0</v>
      </c>
      <c r="P253" s="7">
        <f>0+'[2]táj.2'!P253</f>
        <v>0</v>
      </c>
      <c r="Q253" s="7">
        <f t="shared" si="16"/>
        <v>3000</v>
      </c>
    </row>
    <row r="254" spans="1:17" ht="12.75">
      <c r="A254" s="198"/>
      <c r="B254" s="198"/>
      <c r="C254" s="214"/>
      <c r="D254" s="294" t="s">
        <v>853</v>
      </c>
      <c r="E254" s="169">
        <v>2</v>
      </c>
      <c r="F254" s="7">
        <v>151515</v>
      </c>
      <c r="G254" s="7">
        <f>0+'[2]táj.2'!G254</f>
        <v>0</v>
      </c>
      <c r="H254" s="7">
        <f>0+'[2]táj.2'!H254</f>
        <v>0</v>
      </c>
      <c r="I254" s="7">
        <f>0+'[2]táj.2'!I254</f>
        <v>0</v>
      </c>
      <c r="J254" s="7">
        <f>0+'[2]táj.2'!J254</f>
        <v>0</v>
      </c>
      <c r="K254" s="7">
        <f>0+'[2]táj.2'!K254</f>
        <v>0</v>
      </c>
      <c r="L254" s="7">
        <f>0+'[2]táj.2'!L254</f>
        <v>0</v>
      </c>
      <c r="M254" s="7">
        <f>0+'[2]táj.2'!M254</f>
        <v>0</v>
      </c>
      <c r="N254" s="7">
        <f>0+'[2]táj.2'!N254</f>
        <v>0</v>
      </c>
      <c r="O254" s="7">
        <f>0+'[2]táj.2'!O254</f>
        <v>0</v>
      </c>
      <c r="P254" s="7">
        <f>0+'[2]táj.2'!P254</f>
        <v>0</v>
      </c>
      <c r="Q254" s="7">
        <f t="shared" si="16"/>
        <v>0</v>
      </c>
    </row>
    <row r="255" spans="1:17" ht="12.75">
      <c r="A255" s="198"/>
      <c r="B255" s="198"/>
      <c r="C255" s="214"/>
      <c r="D255" s="294" t="s">
        <v>854</v>
      </c>
      <c r="E255" s="169">
        <v>1</v>
      </c>
      <c r="F255" s="7">
        <v>151513</v>
      </c>
      <c r="G255" s="7">
        <f>0+'[2]táj.2'!G255</f>
        <v>0</v>
      </c>
      <c r="H255" s="7">
        <f>0+'[2]táj.2'!H255</f>
        <v>0</v>
      </c>
      <c r="I255" s="7">
        <f>10000+'[2]táj.2'!I255</f>
        <v>10000</v>
      </c>
      <c r="J255" s="7">
        <f>0+'[2]táj.2'!J255</f>
        <v>0</v>
      </c>
      <c r="K255" s="7">
        <f>0+'[2]táj.2'!K255</f>
        <v>0</v>
      </c>
      <c r="L255" s="7">
        <f>0+'[2]táj.2'!L255</f>
        <v>0</v>
      </c>
      <c r="M255" s="7">
        <f>0+'[2]táj.2'!M255</f>
        <v>0</v>
      </c>
      <c r="N255" s="7">
        <f>0+'[2]táj.2'!N255</f>
        <v>0</v>
      </c>
      <c r="O255" s="7">
        <f>0+'[2]táj.2'!O255</f>
        <v>0</v>
      </c>
      <c r="P255" s="7">
        <f>0+'[2]táj.2'!P255</f>
        <v>0</v>
      </c>
      <c r="Q255" s="7">
        <f t="shared" si="16"/>
        <v>10000</v>
      </c>
    </row>
    <row r="256" spans="1:17" ht="12.75">
      <c r="A256" s="198"/>
      <c r="B256" s="198"/>
      <c r="C256" s="214"/>
      <c r="D256" s="294" t="s">
        <v>855</v>
      </c>
      <c r="E256" s="169">
        <v>2</v>
      </c>
      <c r="F256" s="7">
        <v>151918</v>
      </c>
      <c r="G256" s="7">
        <f>0+'[2]táj.2'!G256</f>
        <v>0</v>
      </c>
      <c r="H256" s="7">
        <f>0+'[2]táj.2'!H256</f>
        <v>0</v>
      </c>
      <c r="I256" s="7">
        <f>2000+'[2]táj.2'!I256</f>
        <v>2000</v>
      </c>
      <c r="J256" s="7">
        <f>0+'[2]táj.2'!J256</f>
        <v>0</v>
      </c>
      <c r="K256" s="7">
        <f>0+'[2]táj.2'!K256</f>
        <v>0</v>
      </c>
      <c r="L256" s="7">
        <f>0+'[2]táj.2'!L256</f>
        <v>0</v>
      </c>
      <c r="M256" s="7">
        <f>0+'[2]táj.2'!M256</f>
        <v>0</v>
      </c>
      <c r="N256" s="7">
        <f>0+'[2]táj.2'!N256</f>
        <v>0</v>
      </c>
      <c r="O256" s="7">
        <f>0+'[2]táj.2'!O256</f>
        <v>0</v>
      </c>
      <c r="P256" s="7">
        <f>0+'[2]táj.2'!P256</f>
        <v>0</v>
      </c>
      <c r="Q256" s="7">
        <f t="shared" si="16"/>
        <v>2000</v>
      </c>
    </row>
    <row r="257" spans="1:17" ht="12.75">
      <c r="A257" s="198"/>
      <c r="B257" s="198"/>
      <c r="C257" s="214"/>
      <c r="D257" s="294" t="s">
        <v>856</v>
      </c>
      <c r="E257" s="169">
        <v>2</v>
      </c>
      <c r="F257" s="7">
        <v>151923</v>
      </c>
      <c r="G257" s="7">
        <f>0+'[2]táj.2'!G257</f>
        <v>0</v>
      </c>
      <c r="H257" s="7">
        <f>0+'[2]táj.2'!H257</f>
        <v>0</v>
      </c>
      <c r="I257" s="7">
        <f>1000+'[2]táj.2'!I257</f>
        <v>1000</v>
      </c>
      <c r="J257" s="7">
        <f>0+'[2]táj.2'!J257</f>
        <v>0</v>
      </c>
      <c r="K257" s="7">
        <f>0+'[2]táj.2'!K257</f>
        <v>0</v>
      </c>
      <c r="L257" s="7">
        <f>0+'[2]táj.2'!L257</f>
        <v>0</v>
      </c>
      <c r="M257" s="7">
        <f>0+'[2]táj.2'!M257</f>
        <v>0</v>
      </c>
      <c r="N257" s="7">
        <f>0+'[2]táj.2'!N257</f>
        <v>0</v>
      </c>
      <c r="O257" s="7">
        <f>0+'[2]táj.2'!O257</f>
        <v>0</v>
      </c>
      <c r="P257" s="7">
        <f>0+'[2]táj.2'!P257</f>
        <v>0</v>
      </c>
      <c r="Q257" s="7">
        <f t="shared" si="16"/>
        <v>1000</v>
      </c>
    </row>
    <row r="258" spans="1:17" ht="25.5">
      <c r="A258" s="198"/>
      <c r="B258" s="198"/>
      <c r="C258" s="214"/>
      <c r="D258" s="174" t="s">
        <v>106</v>
      </c>
      <c r="E258" s="169">
        <v>2</v>
      </c>
      <c r="F258" s="7">
        <v>151524</v>
      </c>
      <c r="G258" s="7">
        <f>0+'[2]táj.2'!G258</f>
        <v>0</v>
      </c>
      <c r="H258" s="7">
        <f>0+'[2]táj.2'!H258</f>
        <v>0</v>
      </c>
      <c r="I258" s="7">
        <f>8496+'[2]táj.2'!I258</f>
        <v>8496</v>
      </c>
      <c r="J258" s="7">
        <f>0+'[2]táj.2'!J258</f>
        <v>0</v>
      </c>
      <c r="K258" s="7">
        <f>1000+'[2]táj.2'!K258</f>
        <v>1000</v>
      </c>
      <c r="L258" s="7">
        <f>0+'[2]táj.2'!L258</f>
        <v>0</v>
      </c>
      <c r="M258" s="7">
        <f>0+'[2]táj.2'!M258</f>
        <v>0</v>
      </c>
      <c r="N258" s="7">
        <f>0+'[2]táj.2'!N258</f>
        <v>0</v>
      </c>
      <c r="O258" s="7">
        <f>0+'[2]táj.2'!O258</f>
        <v>0</v>
      </c>
      <c r="P258" s="7">
        <f>0+'[2]táj.2'!P258</f>
        <v>0</v>
      </c>
      <c r="Q258" s="7">
        <f t="shared" si="16"/>
        <v>9496</v>
      </c>
    </row>
    <row r="259" spans="1:17" ht="12.75">
      <c r="A259" s="198"/>
      <c r="B259" s="198"/>
      <c r="C259" s="214"/>
      <c r="D259" s="283" t="s">
        <v>857</v>
      </c>
      <c r="E259" s="207"/>
      <c r="F259" s="20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>
      <c r="A260" s="198"/>
      <c r="B260" s="198"/>
      <c r="C260" s="214"/>
      <c r="D260" s="283" t="s">
        <v>858</v>
      </c>
      <c r="E260" s="7">
        <v>1</v>
      </c>
      <c r="F260" s="7">
        <v>151401</v>
      </c>
      <c r="G260" s="7">
        <f>0+'[2]táj.2'!G260</f>
        <v>0</v>
      </c>
      <c r="H260" s="7">
        <f>0+'[2]táj.2'!H260</f>
        <v>0</v>
      </c>
      <c r="I260" s="7">
        <f>166820+'[2]táj.2'!I260</f>
        <v>166820</v>
      </c>
      <c r="J260" s="7">
        <f>0+'[2]táj.2'!J260</f>
        <v>0</v>
      </c>
      <c r="K260" s="7">
        <f>0+'[2]táj.2'!K260</f>
        <v>0</v>
      </c>
      <c r="L260" s="7">
        <f>0+'[2]táj.2'!L260</f>
        <v>0</v>
      </c>
      <c r="M260" s="7">
        <f>0+'[2]táj.2'!M260</f>
        <v>0</v>
      </c>
      <c r="N260" s="7">
        <f>0+'[2]táj.2'!N260</f>
        <v>0</v>
      </c>
      <c r="O260" s="7">
        <f>0+'[2]táj.2'!O260</f>
        <v>0</v>
      </c>
      <c r="P260" s="7">
        <f>0+'[2]táj.2'!P260</f>
        <v>0</v>
      </c>
      <c r="Q260" s="7">
        <f aca="true" t="shared" si="17" ref="Q260:Q275">SUM(G260:P260)</f>
        <v>166820</v>
      </c>
    </row>
    <row r="261" spans="1:17" ht="12.75">
      <c r="A261" s="198"/>
      <c r="B261" s="198"/>
      <c r="C261" s="214"/>
      <c r="D261" s="283" t="s">
        <v>859</v>
      </c>
      <c r="E261" s="207">
        <v>1</v>
      </c>
      <c r="F261" s="7">
        <v>151402</v>
      </c>
      <c r="G261" s="7">
        <f>0+'[2]táj.2'!G261</f>
        <v>0</v>
      </c>
      <c r="H261" s="7">
        <f>0+'[2]táj.2'!H261</f>
        <v>0</v>
      </c>
      <c r="I261" s="7">
        <f>41015+'[2]táj.2'!I261</f>
        <v>41015</v>
      </c>
      <c r="J261" s="7">
        <f>0+'[2]táj.2'!J261</f>
        <v>0</v>
      </c>
      <c r="K261" s="7">
        <f>0+'[2]táj.2'!K261</f>
        <v>0</v>
      </c>
      <c r="L261" s="7">
        <f>0+'[2]táj.2'!L261</f>
        <v>0</v>
      </c>
      <c r="M261" s="7">
        <f>0+'[2]táj.2'!M261</f>
        <v>0</v>
      </c>
      <c r="N261" s="7">
        <f>0+'[2]táj.2'!N261</f>
        <v>0</v>
      </c>
      <c r="O261" s="7">
        <f>0+'[2]táj.2'!O261</f>
        <v>0</v>
      </c>
      <c r="P261" s="7">
        <f>0+'[2]táj.2'!P261</f>
        <v>0</v>
      </c>
      <c r="Q261" s="7">
        <f t="shared" si="17"/>
        <v>41015</v>
      </c>
    </row>
    <row r="262" spans="1:17" ht="12.75">
      <c r="A262" s="198"/>
      <c r="B262" s="198"/>
      <c r="C262" s="214"/>
      <c r="D262" s="283" t="s">
        <v>860</v>
      </c>
      <c r="E262" s="207">
        <v>1</v>
      </c>
      <c r="F262" s="7">
        <v>151411</v>
      </c>
      <c r="G262" s="7">
        <f>0+'[2]táj.2'!G262</f>
        <v>0</v>
      </c>
      <c r="H262" s="7">
        <f>0+'[2]táj.2'!H262</f>
        <v>0</v>
      </c>
      <c r="I262" s="7">
        <f>5000+'[2]táj.2'!I262</f>
        <v>5000</v>
      </c>
      <c r="J262" s="7">
        <f>0+'[2]táj.2'!J262</f>
        <v>0</v>
      </c>
      <c r="K262" s="7">
        <f>0+'[2]táj.2'!K262</f>
        <v>0</v>
      </c>
      <c r="L262" s="7">
        <f>0+'[2]táj.2'!L262</f>
        <v>0</v>
      </c>
      <c r="M262" s="7">
        <f>0+'[2]táj.2'!M262</f>
        <v>0</v>
      </c>
      <c r="N262" s="7">
        <f>0+'[2]táj.2'!N262</f>
        <v>0</v>
      </c>
      <c r="O262" s="7">
        <f>0+'[2]táj.2'!O262</f>
        <v>0</v>
      </c>
      <c r="P262" s="7">
        <f>0+'[2]táj.2'!P262</f>
        <v>0</v>
      </c>
      <c r="Q262" s="7">
        <f t="shared" si="17"/>
        <v>5000</v>
      </c>
    </row>
    <row r="263" spans="1:17" ht="12.75">
      <c r="A263" s="198"/>
      <c r="B263" s="198"/>
      <c r="C263" s="214"/>
      <c r="D263" s="283" t="s">
        <v>861</v>
      </c>
      <c r="E263" s="207">
        <v>1</v>
      </c>
      <c r="F263" s="7">
        <v>151412</v>
      </c>
      <c r="G263" s="7">
        <f>0+'[2]táj.2'!G263</f>
        <v>0</v>
      </c>
      <c r="H263" s="7">
        <f>0+'[2]táj.2'!H263</f>
        <v>0</v>
      </c>
      <c r="I263" s="7">
        <f>3000+'[2]táj.2'!I263</f>
        <v>3000</v>
      </c>
      <c r="J263" s="7">
        <f>0+'[2]táj.2'!J263</f>
        <v>0</v>
      </c>
      <c r="K263" s="7">
        <f>0+'[2]táj.2'!K263</f>
        <v>0</v>
      </c>
      <c r="L263" s="7">
        <f>0+'[2]táj.2'!L263</f>
        <v>0</v>
      </c>
      <c r="M263" s="7">
        <f>0+'[2]táj.2'!M263</f>
        <v>0</v>
      </c>
      <c r="N263" s="7">
        <f>0+'[2]táj.2'!N263</f>
        <v>0</v>
      </c>
      <c r="O263" s="7">
        <f>0+'[2]táj.2'!O263</f>
        <v>0</v>
      </c>
      <c r="P263" s="7">
        <f>0+'[2]táj.2'!P263</f>
        <v>0</v>
      </c>
      <c r="Q263" s="7">
        <f t="shared" si="17"/>
        <v>3000</v>
      </c>
    </row>
    <row r="264" spans="1:17" ht="12.75">
      <c r="A264" s="198"/>
      <c r="B264" s="198"/>
      <c r="C264" s="214"/>
      <c r="D264" s="283" t="s">
        <v>81</v>
      </c>
      <c r="E264" s="207">
        <v>1</v>
      </c>
      <c r="F264" s="7">
        <v>151413</v>
      </c>
      <c r="G264" s="7">
        <f>0+'[2]táj.2'!G264</f>
        <v>0</v>
      </c>
      <c r="H264" s="7">
        <f>0+'[2]táj.2'!H264</f>
        <v>0</v>
      </c>
      <c r="I264" s="7">
        <f>8000+'[2]táj.2'!I264</f>
        <v>8000</v>
      </c>
      <c r="J264" s="7">
        <f>0+'[2]táj.2'!J264</f>
        <v>0</v>
      </c>
      <c r="K264" s="7">
        <f>0+'[2]táj.2'!K264</f>
        <v>0</v>
      </c>
      <c r="L264" s="7">
        <f>0+'[2]táj.2'!L264</f>
        <v>0</v>
      </c>
      <c r="M264" s="7">
        <f>0+'[2]táj.2'!M264</f>
        <v>0</v>
      </c>
      <c r="N264" s="7">
        <f>0+'[2]táj.2'!N264</f>
        <v>0</v>
      </c>
      <c r="O264" s="7">
        <f>0+'[2]táj.2'!O264</f>
        <v>0</v>
      </c>
      <c r="P264" s="7">
        <f>0+'[2]táj.2'!P264</f>
        <v>0</v>
      </c>
      <c r="Q264" s="7">
        <f t="shared" si="17"/>
        <v>8000</v>
      </c>
    </row>
    <row r="265" spans="1:17" ht="12.75">
      <c r="A265" s="198"/>
      <c r="B265" s="198"/>
      <c r="C265" s="214"/>
      <c r="D265" s="283" t="s">
        <v>862</v>
      </c>
      <c r="E265" s="207">
        <v>2</v>
      </c>
      <c r="F265" s="7">
        <v>151414</v>
      </c>
      <c r="G265" s="7">
        <f>0+'[2]táj.2'!G265</f>
        <v>0</v>
      </c>
      <c r="H265" s="7">
        <f>0+'[2]táj.2'!H265</f>
        <v>0</v>
      </c>
      <c r="I265" s="7">
        <f>5000+'[2]táj.2'!I265</f>
        <v>5000</v>
      </c>
      <c r="J265" s="7">
        <f>0+'[2]táj.2'!J265</f>
        <v>0</v>
      </c>
      <c r="K265" s="7">
        <f>0+'[2]táj.2'!K265</f>
        <v>0</v>
      </c>
      <c r="L265" s="7">
        <f>0+'[2]táj.2'!L265</f>
        <v>0</v>
      </c>
      <c r="M265" s="7">
        <f>0+'[2]táj.2'!M265</f>
        <v>0</v>
      </c>
      <c r="N265" s="7">
        <f>0+'[2]táj.2'!N265</f>
        <v>0</v>
      </c>
      <c r="O265" s="7">
        <f>0+'[2]táj.2'!O265</f>
        <v>0</v>
      </c>
      <c r="P265" s="7">
        <f>0+'[2]táj.2'!P265</f>
        <v>0</v>
      </c>
      <c r="Q265" s="7">
        <f t="shared" si="17"/>
        <v>5000</v>
      </c>
    </row>
    <row r="266" spans="1:17" ht="12.75">
      <c r="A266" s="198"/>
      <c r="B266" s="198"/>
      <c r="C266" s="214"/>
      <c r="D266" s="283" t="s">
        <v>863</v>
      </c>
      <c r="E266" s="207">
        <v>2</v>
      </c>
      <c r="F266" s="7">
        <v>151415</v>
      </c>
      <c r="G266" s="7">
        <f>0+'[2]táj.2'!G266</f>
        <v>0</v>
      </c>
      <c r="H266" s="7">
        <f>0+'[2]táj.2'!H266</f>
        <v>0</v>
      </c>
      <c r="I266" s="7">
        <f>1850+'[2]táj.2'!I266</f>
        <v>1850</v>
      </c>
      <c r="J266" s="7">
        <f>0+'[2]táj.2'!J266</f>
        <v>0</v>
      </c>
      <c r="K266" s="7">
        <f>0+'[2]táj.2'!K266</f>
        <v>0</v>
      </c>
      <c r="L266" s="7">
        <f>0+'[2]táj.2'!L266</f>
        <v>0</v>
      </c>
      <c r="M266" s="7">
        <f>0+'[2]táj.2'!M266</f>
        <v>0</v>
      </c>
      <c r="N266" s="7">
        <f>0+'[2]táj.2'!N266</f>
        <v>0</v>
      </c>
      <c r="O266" s="7">
        <f>0+'[2]táj.2'!O266</f>
        <v>0</v>
      </c>
      <c r="P266" s="7">
        <f>0+'[2]táj.2'!P266</f>
        <v>0</v>
      </c>
      <c r="Q266" s="7">
        <f t="shared" si="17"/>
        <v>1850</v>
      </c>
    </row>
    <row r="267" spans="1:17" ht="12.75">
      <c r="A267" s="198"/>
      <c r="B267" s="198"/>
      <c r="C267" s="214"/>
      <c r="D267" s="283" t="s">
        <v>864</v>
      </c>
      <c r="E267" s="207">
        <v>2</v>
      </c>
      <c r="F267" s="7">
        <v>151406</v>
      </c>
      <c r="G267" s="7">
        <f>0+'[2]táj.2'!G267</f>
        <v>0</v>
      </c>
      <c r="H267" s="7">
        <f>0+'[2]táj.2'!H267</f>
        <v>0</v>
      </c>
      <c r="I267" s="7">
        <f>500+'[2]táj.2'!I267</f>
        <v>500</v>
      </c>
      <c r="J267" s="7">
        <f>0+'[2]táj.2'!J267</f>
        <v>0</v>
      </c>
      <c r="K267" s="7">
        <f>0+'[2]táj.2'!K267</f>
        <v>0</v>
      </c>
      <c r="L267" s="7">
        <f>0+'[2]táj.2'!L267</f>
        <v>0</v>
      </c>
      <c r="M267" s="7">
        <f>0+'[2]táj.2'!M267</f>
        <v>0</v>
      </c>
      <c r="N267" s="7">
        <f>0+'[2]táj.2'!N267</f>
        <v>0</v>
      </c>
      <c r="O267" s="7">
        <f>0+'[2]táj.2'!O267</f>
        <v>0</v>
      </c>
      <c r="P267" s="7">
        <f>0+'[2]táj.2'!P267</f>
        <v>0</v>
      </c>
      <c r="Q267" s="7">
        <f t="shared" si="17"/>
        <v>500</v>
      </c>
    </row>
    <row r="268" spans="1:17" ht="12.75">
      <c r="A268" s="198"/>
      <c r="B268" s="198"/>
      <c r="C268" s="214"/>
      <c r="D268" s="283" t="s">
        <v>865</v>
      </c>
      <c r="E268" s="207">
        <v>1</v>
      </c>
      <c r="F268" s="7">
        <v>151416</v>
      </c>
      <c r="G268" s="7">
        <f>0+'[2]táj.2'!G268</f>
        <v>0</v>
      </c>
      <c r="H268" s="7">
        <f>0+'[2]táj.2'!H268</f>
        <v>0</v>
      </c>
      <c r="I268" s="7">
        <f>2000+'[2]táj.2'!I268</f>
        <v>2000</v>
      </c>
      <c r="J268" s="7">
        <f>0+'[2]táj.2'!J268</f>
        <v>0</v>
      </c>
      <c r="K268" s="7">
        <f>0+'[2]táj.2'!K268</f>
        <v>0</v>
      </c>
      <c r="L268" s="7">
        <f>0+'[2]táj.2'!L268</f>
        <v>0</v>
      </c>
      <c r="M268" s="7">
        <f>0+'[2]táj.2'!M268</f>
        <v>0</v>
      </c>
      <c r="N268" s="7">
        <f>0+'[2]táj.2'!N268</f>
        <v>0</v>
      </c>
      <c r="O268" s="7">
        <f>0+'[2]táj.2'!O268</f>
        <v>0</v>
      </c>
      <c r="P268" s="7">
        <f>0+'[2]táj.2'!P268</f>
        <v>0</v>
      </c>
      <c r="Q268" s="7">
        <f t="shared" si="17"/>
        <v>2000</v>
      </c>
    </row>
    <row r="269" spans="1:17" ht="12.75">
      <c r="A269" s="198"/>
      <c r="B269" s="198"/>
      <c r="C269" s="214"/>
      <c r="D269" s="283" t="s">
        <v>866</v>
      </c>
      <c r="E269" s="207">
        <v>1</v>
      </c>
      <c r="F269" s="7">
        <v>151417</v>
      </c>
      <c r="G269" s="7">
        <f>0+'[2]táj.2'!G269</f>
        <v>0</v>
      </c>
      <c r="H269" s="7">
        <f>0+'[2]táj.2'!H269</f>
        <v>0</v>
      </c>
      <c r="I269" s="7">
        <f>3000+'[2]táj.2'!I269</f>
        <v>3000</v>
      </c>
      <c r="J269" s="7">
        <f>0+'[2]táj.2'!J269</f>
        <v>0</v>
      </c>
      <c r="K269" s="7">
        <f>0+'[2]táj.2'!K269</f>
        <v>0</v>
      </c>
      <c r="L269" s="7">
        <f>0+'[2]táj.2'!L269</f>
        <v>0</v>
      </c>
      <c r="M269" s="7">
        <f>0+'[2]táj.2'!M269</f>
        <v>0</v>
      </c>
      <c r="N269" s="7">
        <f>0+'[2]táj.2'!N269</f>
        <v>0</v>
      </c>
      <c r="O269" s="7">
        <f>0+'[2]táj.2'!O269</f>
        <v>0</v>
      </c>
      <c r="P269" s="7">
        <f>0+'[2]táj.2'!P269</f>
        <v>0</v>
      </c>
      <c r="Q269" s="7">
        <f t="shared" si="17"/>
        <v>3000</v>
      </c>
    </row>
    <row r="270" spans="1:17" ht="12.75">
      <c r="A270" s="198"/>
      <c r="B270" s="198"/>
      <c r="C270" s="214"/>
      <c r="D270" s="283" t="s">
        <v>867</v>
      </c>
      <c r="E270" s="207">
        <v>2</v>
      </c>
      <c r="F270" s="7">
        <v>151407</v>
      </c>
      <c r="G270" s="7">
        <f>0+'[2]táj.2'!G270</f>
        <v>0</v>
      </c>
      <c r="H270" s="7">
        <f>0+'[2]táj.2'!H270</f>
        <v>0</v>
      </c>
      <c r="I270" s="7">
        <f>7830+'[2]táj.2'!I270</f>
        <v>7830</v>
      </c>
      <c r="J270" s="7">
        <f>0+'[2]táj.2'!J270</f>
        <v>0</v>
      </c>
      <c r="K270" s="7">
        <f>0+'[2]táj.2'!K270</f>
        <v>0</v>
      </c>
      <c r="L270" s="7">
        <f>0+'[2]táj.2'!L270</f>
        <v>0</v>
      </c>
      <c r="M270" s="7">
        <f>0+'[2]táj.2'!M270</f>
        <v>0</v>
      </c>
      <c r="N270" s="7">
        <f>0+'[2]táj.2'!N270</f>
        <v>0</v>
      </c>
      <c r="O270" s="7">
        <f>0+'[2]táj.2'!O270</f>
        <v>0</v>
      </c>
      <c r="P270" s="7">
        <f>0+'[2]táj.2'!P270</f>
        <v>0</v>
      </c>
      <c r="Q270" s="7">
        <f t="shared" si="17"/>
        <v>7830</v>
      </c>
    </row>
    <row r="271" spans="1:17" ht="12.75">
      <c r="A271" s="198"/>
      <c r="B271" s="198"/>
      <c r="C271" s="214"/>
      <c r="D271" s="283" t="s">
        <v>868</v>
      </c>
      <c r="E271" s="207">
        <v>1</v>
      </c>
      <c r="F271" s="7">
        <v>151403</v>
      </c>
      <c r="G271" s="7">
        <f>0+'[2]táj.2'!G271</f>
        <v>0</v>
      </c>
      <c r="H271" s="7">
        <f>0+'[2]táj.2'!H271</f>
        <v>0</v>
      </c>
      <c r="I271" s="7">
        <f>1000+'[2]táj.2'!I271</f>
        <v>1000</v>
      </c>
      <c r="J271" s="7">
        <f>0+'[2]táj.2'!J271</f>
        <v>0</v>
      </c>
      <c r="K271" s="7">
        <f>0+'[2]táj.2'!K271</f>
        <v>0</v>
      </c>
      <c r="L271" s="7">
        <f>0+'[2]táj.2'!L271</f>
        <v>0</v>
      </c>
      <c r="M271" s="7">
        <f>0+'[2]táj.2'!M271</f>
        <v>0</v>
      </c>
      <c r="N271" s="7">
        <f>0+'[2]táj.2'!N271</f>
        <v>0</v>
      </c>
      <c r="O271" s="7">
        <f>0+'[2]táj.2'!O271</f>
        <v>0</v>
      </c>
      <c r="P271" s="7">
        <f>0+'[2]táj.2'!P271</f>
        <v>0</v>
      </c>
      <c r="Q271" s="7">
        <f t="shared" si="17"/>
        <v>1000</v>
      </c>
    </row>
    <row r="272" spans="1:17" ht="12.75">
      <c r="A272" s="198"/>
      <c r="B272" s="198"/>
      <c r="C272" s="214"/>
      <c r="D272" s="283" t="s">
        <v>869</v>
      </c>
      <c r="E272" s="207">
        <v>2</v>
      </c>
      <c r="F272" s="207">
        <v>151404</v>
      </c>
      <c r="G272" s="7">
        <f>0+'[2]táj.2'!G272</f>
        <v>0</v>
      </c>
      <c r="H272" s="7">
        <f>0+'[2]táj.2'!H272</f>
        <v>0</v>
      </c>
      <c r="I272" s="7">
        <f>6015+'[2]táj.2'!I272</f>
        <v>6015</v>
      </c>
      <c r="J272" s="7">
        <f>0+'[2]táj.2'!J272</f>
        <v>0</v>
      </c>
      <c r="K272" s="7">
        <f>0+'[2]táj.2'!K272</f>
        <v>0</v>
      </c>
      <c r="L272" s="7">
        <f>0+'[2]táj.2'!L272</f>
        <v>0</v>
      </c>
      <c r="M272" s="7">
        <f>0+'[2]táj.2'!M272</f>
        <v>0</v>
      </c>
      <c r="N272" s="7">
        <f>0+'[2]táj.2'!N272</f>
        <v>0</v>
      </c>
      <c r="O272" s="7">
        <f>0+'[2]táj.2'!O272</f>
        <v>0</v>
      </c>
      <c r="P272" s="7">
        <f>0+'[2]táj.2'!P272</f>
        <v>0</v>
      </c>
      <c r="Q272" s="7">
        <f t="shared" si="17"/>
        <v>6015</v>
      </c>
    </row>
    <row r="273" spans="1:17" ht="12.75">
      <c r="A273" s="198"/>
      <c r="B273" s="198"/>
      <c r="C273" s="214"/>
      <c r="D273" s="296" t="s">
        <v>870</v>
      </c>
      <c r="E273" s="207">
        <v>2</v>
      </c>
      <c r="F273" s="207">
        <v>151408</v>
      </c>
      <c r="G273" s="7">
        <f>0+'[2]táj.2'!G273</f>
        <v>0</v>
      </c>
      <c r="H273" s="7">
        <f>0+'[2]táj.2'!H273</f>
        <v>0</v>
      </c>
      <c r="I273" s="7">
        <f>2000+'[2]táj.2'!I273</f>
        <v>2000</v>
      </c>
      <c r="J273" s="7">
        <f>0+'[2]táj.2'!J273</f>
        <v>0</v>
      </c>
      <c r="K273" s="7">
        <f>0+'[2]táj.2'!K273</f>
        <v>0</v>
      </c>
      <c r="L273" s="7">
        <f>0+'[2]táj.2'!L273</f>
        <v>0</v>
      </c>
      <c r="M273" s="7">
        <f>0+'[2]táj.2'!M273</f>
        <v>0</v>
      </c>
      <c r="N273" s="7">
        <f>0+'[2]táj.2'!N273</f>
        <v>0</v>
      </c>
      <c r="O273" s="7">
        <f>0+'[2]táj.2'!O273</f>
        <v>0</v>
      </c>
      <c r="P273" s="7">
        <f>0+'[2]táj.2'!P273</f>
        <v>0</v>
      </c>
      <c r="Q273" s="7">
        <f t="shared" si="17"/>
        <v>2000</v>
      </c>
    </row>
    <row r="274" spans="1:17" ht="12.75">
      <c r="A274" s="198"/>
      <c r="B274" s="198"/>
      <c r="C274" s="214"/>
      <c r="D274" s="296" t="s">
        <v>871</v>
      </c>
      <c r="E274" s="207">
        <v>1</v>
      </c>
      <c r="F274" s="207">
        <v>151409</v>
      </c>
      <c r="G274" s="7">
        <f>0+'[2]táj.2'!G274</f>
        <v>0</v>
      </c>
      <c r="H274" s="7">
        <f>0+'[2]táj.2'!H274</f>
        <v>0</v>
      </c>
      <c r="I274" s="7">
        <f>1000+'[2]táj.2'!I274</f>
        <v>1000</v>
      </c>
      <c r="J274" s="7">
        <f>0+'[2]táj.2'!J274</f>
        <v>0</v>
      </c>
      <c r="K274" s="7">
        <f>0+'[2]táj.2'!K274</f>
        <v>0</v>
      </c>
      <c r="L274" s="7">
        <f>0+'[2]táj.2'!L274</f>
        <v>0</v>
      </c>
      <c r="M274" s="7">
        <f>0+'[2]táj.2'!M274</f>
        <v>0</v>
      </c>
      <c r="N274" s="7">
        <f>0+'[2]táj.2'!N274</f>
        <v>0</v>
      </c>
      <c r="O274" s="7">
        <f>0+'[2]táj.2'!O274</f>
        <v>0</v>
      </c>
      <c r="P274" s="7">
        <f>0+'[2]táj.2'!P274</f>
        <v>0</v>
      </c>
      <c r="Q274" s="7">
        <f t="shared" si="17"/>
        <v>1000</v>
      </c>
    </row>
    <row r="275" spans="1:17" ht="12.75">
      <c r="A275" s="198"/>
      <c r="B275" s="198"/>
      <c r="C275" s="214"/>
      <c r="D275" s="297" t="s">
        <v>872</v>
      </c>
      <c r="E275" s="207">
        <v>2</v>
      </c>
      <c r="F275" s="207">
        <v>151418</v>
      </c>
      <c r="G275" s="7">
        <f>0+'[2]táj.2'!G275</f>
        <v>0</v>
      </c>
      <c r="H275" s="7">
        <f>0+'[2]táj.2'!H275</f>
        <v>0</v>
      </c>
      <c r="I275" s="7">
        <f>500+'[2]táj.2'!I275</f>
        <v>500</v>
      </c>
      <c r="J275" s="7">
        <f>0+'[2]táj.2'!J275</f>
        <v>0</v>
      </c>
      <c r="K275" s="7">
        <f>0+'[2]táj.2'!K275</f>
        <v>0</v>
      </c>
      <c r="L275" s="7">
        <f>0+'[2]táj.2'!L275</f>
        <v>0</v>
      </c>
      <c r="M275" s="7">
        <f>0+'[2]táj.2'!M275</f>
        <v>0</v>
      </c>
      <c r="N275" s="7">
        <f>0+'[2]táj.2'!N275</f>
        <v>0</v>
      </c>
      <c r="O275" s="7">
        <f>0+'[2]táj.2'!O275</f>
        <v>0</v>
      </c>
      <c r="P275" s="7">
        <f>0+'[2]táj.2'!P275</f>
        <v>0</v>
      </c>
      <c r="Q275" s="7">
        <f t="shared" si="17"/>
        <v>500</v>
      </c>
    </row>
    <row r="276" spans="1:17" ht="12.75">
      <c r="A276" s="198"/>
      <c r="B276" s="198"/>
      <c r="C276" s="214"/>
      <c r="D276" s="283" t="s">
        <v>873</v>
      </c>
      <c r="E276" s="207"/>
      <c r="F276" s="20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25.5">
      <c r="A277" s="198"/>
      <c r="B277" s="198"/>
      <c r="C277" s="214"/>
      <c r="D277" s="176" t="s">
        <v>874</v>
      </c>
      <c r="E277" s="232">
        <v>1</v>
      </c>
      <c r="F277" s="29">
        <v>191129</v>
      </c>
      <c r="G277" s="7">
        <f>0+'[2]táj.2'!G277</f>
        <v>0</v>
      </c>
      <c r="H277" s="7">
        <f>0+'[2]táj.2'!H277</f>
        <v>0</v>
      </c>
      <c r="I277" s="7">
        <f>0+'[2]táj.2'!I277</f>
        <v>0</v>
      </c>
      <c r="J277" s="7">
        <f>0+'[2]táj.2'!J277</f>
        <v>0</v>
      </c>
      <c r="K277" s="7">
        <f>385622+'[2]táj.2'!K277</f>
        <v>385622</v>
      </c>
      <c r="L277" s="7">
        <f>0+'[2]táj.2'!L277</f>
        <v>0</v>
      </c>
      <c r="M277" s="7">
        <f>0+'[2]táj.2'!M277</f>
        <v>0</v>
      </c>
      <c r="N277" s="7">
        <f>0+'[2]táj.2'!N277</f>
        <v>0</v>
      </c>
      <c r="O277" s="7">
        <f>0+'[2]táj.2'!O277</f>
        <v>0</v>
      </c>
      <c r="P277" s="7">
        <f>0+'[2]táj.2'!P277</f>
        <v>0</v>
      </c>
      <c r="Q277" s="7">
        <f>SUM(G277:P277)</f>
        <v>385622</v>
      </c>
    </row>
    <row r="278" spans="1:17" ht="12.75">
      <c r="A278" s="198"/>
      <c r="B278" s="198"/>
      <c r="C278" s="214"/>
      <c r="D278" s="294" t="s">
        <v>875</v>
      </c>
      <c r="E278" s="207"/>
      <c r="F278" s="20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7"/>
      <c r="B279" s="7"/>
      <c r="C279" s="7"/>
      <c r="D279" s="283" t="s">
        <v>876</v>
      </c>
      <c r="E279" s="7">
        <v>1</v>
      </c>
      <c r="F279" s="7">
        <v>151102</v>
      </c>
      <c r="G279" s="7">
        <f>0+'[2]táj.2'!G279</f>
        <v>0</v>
      </c>
      <c r="H279" s="7">
        <f>0+'[2]táj.2'!H279</f>
        <v>0</v>
      </c>
      <c r="I279" s="7">
        <f>2550+'[2]táj.2'!I279</f>
        <v>2550</v>
      </c>
      <c r="J279" s="7">
        <f>0+'[2]táj.2'!J279</f>
        <v>0</v>
      </c>
      <c r="K279" s="7">
        <f>0+'[2]táj.2'!K279</f>
        <v>0</v>
      </c>
      <c r="L279" s="7">
        <f>0+'[2]táj.2'!L279</f>
        <v>0</v>
      </c>
      <c r="M279" s="7">
        <f>0+'[2]táj.2'!M279</f>
        <v>0</v>
      </c>
      <c r="N279" s="7">
        <f>0+'[2]táj.2'!N279</f>
        <v>0</v>
      </c>
      <c r="O279" s="7">
        <f>0+'[2]táj.2'!O279</f>
        <v>0</v>
      </c>
      <c r="P279" s="7">
        <f>0+'[2]táj.2'!P279</f>
        <v>0</v>
      </c>
      <c r="Q279" s="7">
        <f>SUM(G279:P279)</f>
        <v>2550</v>
      </c>
    </row>
    <row r="280" spans="1:17" ht="12.75">
      <c r="A280" s="198"/>
      <c r="B280" s="198"/>
      <c r="C280" s="214"/>
      <c r="D280" s="283" t="s">
        <v>877</v>
      </c>
      <c r="E280" s="7">
        <v>1</v>
      </c>
      <c r="F280" s="7">
        <v>151103</v>
      </c>
      <c r="G280" s="7">
        <f>0+'[2]táj.2'!G280</f>
        <v>0</v>
      </c>
      <c r="H280" s="7">
        <f>0+'[2]táj.2'!H280</f>
        <v>0</v>
      </c>
      <c r="I280" s="7">
        <f>2801+'[2]táj.2'!I280</f>
        <v>2801</v>
      </c>
      <c r="J280" s="7">
        <f>0+'[2]táj.2'!J280</f>
        <v>0</v>
      </c>
      <c r="K280" s="7">
        <f>0+'[2]táj.2'!K280</f>
        <v>0</v>
      </c>
      <c r="L280" s="7">
        <f>0+'[2]táj.2'!L280</f>
        <v>0</v>
      </c>
      <c r="M280" s="7">
        <f>0+'[2]táj.2'!M280</f>
        <v>0</v>
      </c>
      <c r="N280" s="7">
        <f>0+'[2]táj.2'!N280</f>
        <v>0</v>
      </c>
      <c r="O280" s="7">
        <f>0+'[2]táj.2'!O280</f>
        <v>0</v>
      </c>
      <c r="P280" s="7">
        <f>0+'[2]táj.2'!P280</f>
        <v>0</v>
      </c>
      <c r="Q280" s="7">
        <f>SUM(G280:P280)</f>
        <v>2801</v>
      </c>
    </row>
    <row r="281" spans="1:17" ht="12.75">
      <c r="A281" s="198"/>
      <c r="B281" s="198"/>
      <c r="C281" s="214"/>
      <c r="D281" s="283" t="s">
        <v>878</v>
      </c>
      <c r="E281" s="7">
        <v>1</v>
      </c>
      <c r="F281" s="7">
        <v>151105</v>
      </c>
      <c r="G281" s="7">
        <f>0+'[2]táj.2'!G281</f>
        <v>0</v>
      </c>
      <c r="H281" s="7">
        <f>0+'[2]táj.2'!H281</f>
        <v>0</v>
      </c>
      <c r="I281" s="7">
        <f>5000+'[2]táj.2'!I281</f>
        <v>5000</v>
      </c>
      <c r="J281" s="7">
        <f>0+'[2]táj.2'!J281</f>
        <v>0</v>
      </c>
      <c r="K281" s="7">
        <f>0+'[2]táj.2'!K281</f>
        <v>0</v>
      </c>
      <c r="L281" s="7">
        <f>0+'[2]táj.2'!L281</f>
        <v>0</v>
      </c>
      <c r="M281" s="7">
        <f>0+'[2]táj.2'!M281</f>
        <v>0</v>
      </c>
      <c r="N281" s="7">
        <f>0+'[2]táj.2'!N281</f>
        <v>0</v>
      </c>
      <c r="O281" s="7">
        <f>0+'[2]táj.2'!O281</f>
        <v>0</v>
      </c>
      <c r="P281" s="7">
        <f>0+'[2]táj.2'!P281</f>
        <v>0</v>
      </c>
      <c r="Q281" s="7">
        <f>SUM(G281:P281)</f>
        <v>5000</v>
      </c>
    </row>
    <row r="282" spans="1:17" ht="12.75">
      <c r="A282" s="198"/>
      <c r="B282" s="198"/>
      <c r="C282" s="214"/>
      <c r="D282" s="283" t="s">
        <v>879</v>
      </c>
      <c r="E282" s="207"/>
      <c r="F282" s="20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198"/>
      <c r="B283" s="198"/>
      <c r="C283" s="214"/>
      <c r="D283" s="294" t="s">
        <v>880</v>
      </c>
      <c r="E283" s="207">
        <v>1</v>
      </c>
      <c r="F283" s="7">
        <v>151301</v>
      </c>
      <c r="G283" s="7">
        <f>0+'[2]táj.2'!G283</f>
        <v>0</v>
      </c>
      <c r="H283" s="7">
        <f>0+'[2]táj.2'!H283</f>
        <v>0</v>
      </c>
      <c r="I283" s="7">
        <f>18667+'[2]táj.2'!I283</f>
        <v>18667</v>
      </c>
      <c r="J283" s="7">
        <f>0+'[2]táj.2'!J283</f>
        <v>0</v>
      </c>
      <c r="K283" s="7">
        <f>0+'[2]táj.2'!K283</f>
        <v>0</v>
      </c>
      <c r="L283" s="7">
        <f>0+'[2]táj.2'!L283</f>
        <v>0</v>
      </c>
      <c r="M283" s="7">
        <f>0+'[2]táj.2'!M283</f>
        <v>0</v>
      </c>
      <c r="N283" s="7">
        <f>0+'[2]táj.2'!N283</f>
        <v>0</v>
      </c>
      <c r="O283" s="7">
        <f>0+'[2]táj.2'!O283</f>
        <v>0</v>
      </c>
      <c r="P283" s="7">
        <f>0+'[2]táj.2'!P283</f>
        <v>0</v>
      </c>
      <c r="Q283" s="7">
        <f aca="true" t="shared" si="18" ref="Q283:Q298">SUM(G283:P283)</f>
        <v>18667</v>
      </c>
    </row>
    <row r="284" spans="1:17" ht="12.75">
      <c r="A284" s="198"/>
      <c r="B284" s="198"/>
      <c r="C284" s="214"/>
      <c r="D284" s="294" t="s">
        <v>881</v>
      </c>
      <c r="E284" s="207">
        <v>1</v>
      </c>
      <c r="F284" s="7">
        <v>151310</v>
      </c>
      <c r="G284" s="7">
        <f>0+'[2]táj.2'!G284</f>
        <v>0</v>
      </c>
      <c r="H284" s="7">
        <f>0+'[2]táj.2'!H284</f>
        <v>0</v>
      </c>
      <c r="I284" s="7">
        <f>15387+'[2]táj.2'!I284</f>
        <v>15387</v>
      </c>
      <c r="J284" s="7">
        <f>0+'[2]táj.2'!J284</f>
        <v>0</v>
      </c>
      <c r="K284" s="7">
        <f>0+'[2]táj.2'!K284</f>
        <v>0</v>
      </c>
      <c r="L284" s="7">
        <f>0+'[2]táj.2'!L284</f>
        <v>0</v>
      </c>
      <c r="M284" s="7">
        <f>0+'[2]táj.2'!M284</f>
        <v>0</v>
      </c>
      <c r="N284" s="7">
        <f>0+'[2]táj.2'!N284</f>
        <v>0</v>
      </c>
      <c r="O284" s="7">
        <f>0+'[2]táj.2'!O284</f>
        <v>0</v>
      </c>
      <c r="P284" s="7">
        <f>0+'[2]táj.2'!P284</f>
        <v>0</v>
      </c>
      <c r="Q284" s="7">
        <f t="shared" si="18"/>
        <v>15387</v>
      </c>
    </row>
    <row r="285" spans="1:17" ht="12.75">
      <c r="A285" s="198"/>
      <c r="B285" s="198"/>
      <c r="C285" s="214"/>
      <c r="D285" s="294" t="s">
        <v>882</v>
      </c>
      <c r="E285" s="207">
        <v>1</v>
      </c>
      <c r="F285" s="7">
        <v>151313</v>
      </c>
      <c r="G285" s="7">
        <f>0+'[2]táj.2'!G285</f>
        <v>0</v>
      </c>
      <c r="H285" s="7">
        <f>0+'[2]táj.2'!H285</f>
        <v>0</v>
      </c>
      <c r="I285" s="7">
        <f>15166+'[2]táj.2'!I285</f>
        <v>15166</v>
      </c>
      <c r="J285" s="7">
        <f>0+'[2]táj.2'!J285</f>
        <v>0</v>
      </c>
      <c r="K285" s="7">
        <f>0+'[2]táj.2'!K285</f>
        <v>0</v>
      </c>
      <c r="L285" s="7">
        <f>0+'[2]táj.2'!L285</f>
        <v>0</v>
      </c>
      <c r="M285" s="7">
        <f>0+'[2]táj.2'!M285</f>
        <v>0</v>
      </c>
      <c r="N285" s="7">
        <f>0+'[2]táj.2'!N285</f>
        <v>0</v>
      </c>
      <c r="O285" s="7">
        <f>0+'[2]táj.2'!O285</f>
        <v>0</v>
      </c>
      <c r="P285" s="7">
        <f>0+'[2]táj.2'!P285</f>
        <v>0</v>
      </c>
      <c r="Q285" s="7">
        <f t="shared" si="18"/>
        <v>15166</v>
      </c>
    </row>
    <row r="286" spans="1:17" ht="12.75">
      <c r="A286" s="198"/>
      <c r="B286" s="198"/>
      <c r="C286" s="214"/>
      <c r="D286" s="294" t="s">
        <v>883</v>
      </c>
      <c r="E286" s="207">
        <v>1</v>
      </c>
      <c r="F286" s="7">
        <v>151314</v>
      </c>
      <c r="G286" s="7">
        <f>0+'[2]táj.2'!G286</f>
        <v>0</v>
      </c>
      <c r="H286" s="7">
        <f>0+'[2]táj.2'!H286</f>
        <v>0</v>
      </c>
      <c r="I286" s="7">
        <f>36499+'[2]táj.2'!I286</f>
        <v>36499</v>
      </c>
      <c r="J286" s="7">
        <f>0+'[2]táj.2'!J286</f>
        <v>0</v>
      </c>
      <c r="K286" s="7">
        <f>0+'[2]táj.2'!K286</f>
        <v>0</v>
      </c>
      <c r="L286" s="7">
        <f>0+'[2]táj.2'!L286</f>
        <v>0</v>
      </c>
      <c r="M286" s="7">
        <f>0+'[2]táj.2'!M286</f>
        <v>0</v>
      </c>
      <c r="N286" s="7">
        <f>0+'[2]táj.2'!N286</f>
        <v>0</v>
      </c>
      <c r="O286" s="7">
        <f>0+'[2]táj.2'!O286</f>
        <v>0</v>
      </c>
      <c r="P286" s="7">
        <f>0+'[2]táj.2'!P286</f>
        <v>0</v>
      </c>
      <c r="Q286" s="7">
        <f t="shared" si="18"/>
        <v>36499</v>
      </c>
    </row>
    <row r="287" spans="1:17" ht="12.75">
      <c r="A287" s="198"/>
      <c r="B287" s="198"/>
      <c r="C287" s="214"/>
      <c r="D287" s="294" t="s">
        <v>884</v>
      </c>
      <c r="E287" s="207">
        <v>1</v>
      </c>
      <c r="F287" s="7">
        <v>151320</v>
      </c>
      <c r="G287" s="7">
        <f>0+'[2]táj.2'!G287</f>
        <v>0</v>
      </c>
      <c r="H287" s="7">
        <f>0+'[2]táj.2'!H287</f>
        <v>0</v>
      </c>
      <c r="I287" s="7">
        <f>7000+'[2]táj.2'!I287</f>
        <v>7000</v>
      </c>
      <c r="J287" s="7">
        <f>0+'[2]táj.2'!J287</f>
        <v>0</v>
      </c>
      <c r="K287" s="7">
        <f>0+'[2]táj.2'!K287</f>
        <v>0</v>
      </c>
      <c r="L287" s="7">
        <f>0+'[2]táj.2'!L287</f>
        <v>0</v>
      </c>
      <c r="M287" s="7">
        <f>0+'[2]táj.2'!M287</f>
        <v>0</v>
      </c>
      <c r="N287" s="7">
        <f>0+'[2]táj.2'!N287</f>
        <v>0</v>
      </c>
      <c r="O287" s="7">
        <f>0+'[2]táj.2'!O287</f>
        <v>0</v>
      </c>
      <c r="P287" s="7">
        <f>0+'[2]táj.2'!P287</f>
        <v>0</v>
      </c>
      <c r="Q287" s="7">
        <f t="shared" si="18"/>
        <v>7000</v>
      </c>
    </row>
    <row r="288" spans="1:17" ht="12.75">
      <c r="A288" s="198"/>
      <c r="B288" s="198"/>
      <c r="C288" s="214"/>
      <c r="D288" s="294" t="s">
        <v>885</v>
      </c>
      <c r="E288" s="207">
        <v>1</v>
      </c>
      <c r="F288" s="7">
        <v>151317</v>
      </c>
      <c r="G288" s="7">
        <f>0+'[2]táj.2'!G288</f>
        <v>0</v>
      </c>
      <c r="H288" s="7">
        <f>0+'[2]táj.2'!H288</f>
        <v>0</v>
      </c>
      <c r="I288" s="7">
        <f>16718+'[2]táj.2'!I288</f>
        <v>16718</v>
      </c>
      <c r="J288" s="7">
        <f>0+'[2]táj.2'!J288</f>
        <v>0</v>
      </c>
      <c r="K288" s="7">
        <f>0+'[2]táj.2'!K288</f>
        <v>0</v>
      </c>
      <c r="L288" s="7">
        <f>0+'[2]táj.2'!L288</f>
        <v>0</v>
      </c>
      <c r="M288" s="7">
        <f>0+'[2]táj.2'!M288</f>
        <v>0</v>
      </c>
      <c r="N288" s="7">
        <f>0+'[2]táj.2'!N288</f>
        <v>0</v>
      </c>
      <c r="O288" s="7">
        <f>0+'[2]táj.2'!O288</f>
        <v>0</v>
      </c>
      <c r="P288" s="7">
        <f>0+'[2]táj.2'!P288</f>
        <v>0</v>
      </c>
      <c r="Q288" s="7">
        <f t="shared" si="18"/>
        <v>16718</v>
      </c>
    </row>
    <row r="289" spans="1:17" ht="12.75">
      <c r="A289" s="198"/>
      <c r="B289" s="198"/>
      <c r="C289" s="214"/>
      <c r="D289" s="176" t="s">
        <v>886</v>
      </c>
      <c r="E289" s="207">
        <v>1</v>
      </c>
      <c r="F289" s="7">
        <v>151306</v>
      </c>
      <c r="G289" s="7">
        <f>0+'[2]táj.2'!G289</f>
        <v>0</v>
      </c>
      <c r="H289" s="7">
        <f>0+'[2]táj.2'!H289</f>
        <v>0</v>
      </c>
      <c r="I289" s="7">
        <f>9226+'[2]táj.2'!I289</f>
        <v>9226</v>
      </c>
      <c r="J289" s="7">
        <f>0+'[2]táj.2'!J289</f>
        <v>0</v>
      </c>
      <c r="K289" s="7">
        <f>0+'[2]táj.2'!K289</f>
        <v>0</v>
      </c>
      <c r="L289" s="7">
        <f>0+'[2]táj.2'!L289</f>
        <v>0</v>
      </c>
      <c r="M289" s="7">
        <f>0+'[2]táj.2'!M289</f>
        <v>0</v>
      </c>
      <c r="N289" s="7">
        <f>0+'[2]táj.2'!N289</f>
        <v>0</v>
      </c>
      <c r="O289" s="7">
        <f>0+'[2]táj.2'!O289</f>
        <v>0</v>
      </c>
      <c r="P289" s="7">
        <f>0+'[2]táj.2'!P289</f>
        <v>0</v>
      </c>
      <c r="Q289" s="7">
        <f t="shared" si="18"/>
        <v>9226</v>
      </c>
    </row>
    <row r="290" spans="1:17" ht="25.5">
      <c r="A290" s="198"/>
      <c r="B290" s="198"/>
      <c r="C290" s="214"/>
      <c r="D290" s="176" t="s">
        <v>887</v>
      </c>
      <c r="E290" s="207">
        <v>1</v>
      </c>
      <c r="F290" s="7">
        <v>151307</v>
      </c>
      <c r="G290" s="7">
        <f>0+'[2]táj.2'!G290</f>
        <v>0</v>
      </c>
      <c r="H290" s="7">
        <f>0+'[2]táj.2'!H290</f>
        <v>0</v>
      </c>
      <c r="I290" s="7">
        <f>12566+'[2]táj.2'!I290</f>
        <v>12566</v>
      </c>
      <c r="J290" s="7">
        <f>0+'[2]táj.2'!J290</f>
        <v>0</v>
      </c>
      <c r="K290" s="7">
        <f>0+'[2]táj.2'!K290</f>
        <v>0</v>
      </c>
      <c r="L290" s="7">
        <f>0+'[2]táj.2'!L290</f>
        <v>0</v>
      </c>
      <c r="M290" s="7">
        <f>0+'[2]táj.2'!M290</f>
        <v>0</v>
      </c>
      <c r="N290" s="7">
        <f>0+'[2]táj.2'!N290</f>
        <v>0</v>
      </c>
      <c r="O290" s="7">
        <f>0+'[2]táj.2'!O290</f>
        <v>0</v>
      </c>
      <c r="P290" s="7">
        <f>0+'[2]táj.2'!P290</f>
        <v>0</v>
      </c>
      <c r="Q290" s="7">
        <f t="shared" si="18"/>
        <v>12566</v>
      </c>
    </row>
    <row r="291" spans="1:17" ht="25.5">
      <c r="A291" s="198"/>
      <c r="B291" s="198"/>
      <c r="C291" s="214"/>
      <c r="D291" s="176" t="s">
        <v>888</v>
      </c>
      <c r="E291" s="207">
        <v>1</v>
      </c>
      <c r="F291" s="7">
        <v>151308</v>
      </c>
      <c r="G291" s="7">
        <f>0+'[2]táj.2'!G291</f>
        <v>0</v>
      </c>
      <c r="H291" s="7">
        <f>0+'[2]táj.2'!H291</f>
        <v>0</v>
      </c>
      <c r="I291" s="7">
        <f>1183+'[2]táj.2'!I291</f>
        <v>1183</v>
      </c>
      <c r="J291" s="7">
        <f>0+'[2]táj.2'!J291</f>
        <v>0</v>
      </c>
      <c r="K291" s="7">
        <f>0+'[2]táj.2'!K291</f>
        <v>0</v>
      </c>
      <c r="L291" s="7">
        <f>0+'[2]táj.2'!L291</f>
        <v>0</v>
      </c>
      <c r="M291" s="7">
        <f>0+'[2]táj.2'!M291</f>
        <v>0</v>
      </c>
      <c r="N291" s="7">
        <f>0+'[2]táj.2'!N291</f>
        <v>0</v>
      </c>
      <c r="O291" s="7">
        <f>0+'[2]táj.2'!O291</f>
        <v>0</v>
      </c>
      <c r="P291" s="7">
        <f>0+'[2]táj.2'!P291</f>
        <v>0</v>
      </c>
      <c r="Q291" s="7">
        <f t="shared" si="18"/>
        <v>1183</v>
      </c>
    </row>
    <row r="292" spans="1:17" ht="25.5">
      <c r="A292" s="198"/>
      <c r="B292" s="198"/>
      <c r="C292" s="214"/>
      <c r="D292" s="176" t="s">
        <v>889</v>
      </c>
      <c r="E292" s="232">
        <v>1</v>
      </c>
      <c r="F292" s="29">
        <v>151311</v>
      </c>
      <c r="G292" s="7">
        <f>0+'[2]táj.2'!G292</f>
        <v>0</v>
      </c>
      <c r="H292" s="7">
        <f>0+'[2]táj.2'!H292</f>
        <v>0</v>
      </c>
      <c r="I292" s="7">
        <f>1000+'[2]táj.2'!I292</f>
        <v>1000</v>
      </c>
      <c r="J292" s="7">
        <f>0+'[2]táj.2'!J292</f>
        <v>0</v>
      </c>
      <c r="K292" s="7">
        <f>0+'[2]táj.2'!K292</f>
        <v>0</v>
      </c>
      <c r="L292" s="7">
        <f>0+'[2]táj.2'!L292</f>
        <v>0</v>
      </c>
      <c r="M292" s="7">
        <f>0+'[2]táj.2'!M292</f>
        <v>0</v>
      </c>
      <c r="N292" s="7">
        <f>0+'[2]táj.2'!N292</f>
        <v>0</v>
      </c>
      <c r="O292" s="7">
        <f>0+'[2]táj.2'!O292</f>
        <v>0</v>
      </c>
      <c r="P292" s="7">
        <f>0+'[2]táj.2'!P292</f>
        <v>0</v>
      </c>
      <c r="Q292" s="7">
        <f t="shared" si="18"/>
        <v>1000</v>
      </c>
    </row>
    <row r="293" spans="1:17" ht="12.75">
      <c r="A293" s="198"/>
      <c r="B293" s="198"/>
      <c r="C293" s="214"/>
      <c r="D293" s="283" t="s">
        <v>890</v>
      </c>
      <c r="E293" s="207">
        <v>1</v>
      </c>
      <c r="F293" s="7">
        <v>151312</v>
      </c>
      <c r="G293" s="7">
        <f>0+'[2]táj.2'!G293</f>
        <v>0</v>
      </c>
      <c r="H293" s="7">
        <f>0+'[2]táj.2'!H293</f>
        <v>0</v>
      </c>
      <c r="I293" s="7">
        <f>500+'[2]táj.2'!I293</f>
        <v>500</v>
      </c>
      <c r="J293" s="7">
        <f>0+'[2]táj.2'!J293</f>
        <v>0</v>
      </c>
      <c r="K293" s="7">
        <f>0+'[2]táj.2'!K293</f>
        <v>0</v>
      </c>
      <c r="L293" s="7">
        <f>0+'[2]táj.2'!L293</f>
        <v>0</v>
      </c>
      <c r="M293" s="7">
        <f>0+'[2]táj.2'!M293</f>
        <v>0</v>
      </c>
      <c r="N293" s="7">
        <f>0+'[2]táj.2'!N293</f>
        <v>0</v>
      </c>
      <c r="O293" s="7">
        <f>0+'[2]táj.2'!O293</f>
        <v>0</v>
      </c>
      <c r="P293" s="7">
        <f>0+'[2]táj.2'!P293</f>
        <v>0</v>
      </c>
      <c r="Q293" s="7">
        <f t="shared" si="18"/>
        <v>500</v>
      </c>
    </row>
    <row r="294" spans="1:17" ht="12.75">
      <c r="A294" s="198"/>
      <c r="B294" s="198"/>
      <c r="C294" s="214"/>
      <c r="D294" s="176" t="s">
        <v>891</v>
      </c>
      <c r="E294" s="207">
        <v>1</v>
      </c>
      <c r="F294" s="7">
        <v>151302</v>
      </c>
      <c r="G294" s="7">
        <f>0+'[2]táj.2'!G294</f>
        <v>0</v>
      </c>
      <c r="H294" s="7">
        <f>0+'[2]táj.2'!H294</f>
        <v>0</v>
      </c>
      <c r="I294" s="7">
        <f>2000+'[2]táj.2'!I294</f>
        <v>2000</v>
      </c>
      <c r="J294" s="7">
        <f>0+'[2]táj.2'!J294</f>
        <v>0</v>
      </c>
      <c r="K294" s="7">
        <f>0+'[2]táj.2'!K294</f>
        <v>0</v>
      </c>
      <c r="L294" s="7">
        <f>0+'[2]táj.2'!L294</f>
        <v>0</v>
      </c>
      <c r="M294" s="7">
        <f>0+'[2]táj.2'!M294</f>
        <v>0</v>
      </c>
      <c r="N294" s="7">
        <f>0+'[2]táj.2'!N294</f>
        <v>0</v>
      </c>
      <c r="O294" s="7">
        <f>0+'[2]táj.2'!O294</f>
        <v>0</v>
      </c>
      <c r="P294" s="7">
        <f>0+'[2]táj.2'!P294</f>
        <v>0</v>
      </c>
      <c r="Q294" s="7">
        <f t="shared" si="18"/>
        <v>2000</v>
      </c>
    </row>
    <row r="295" spans="1:17" ht="25.5">
      <c r="A295" s="198"/>
      <c r="B295" s="198"/>
      <c r="C295" s="214"/>
      <c r="D295" s="174" t="s">
        <v>892</v>
      </c>
      <c r="E295" s="207">
        <v>1</v>
      </c>
      <c r="F295" s="7">
        <v>151303</v>
      </c>
      <c r="G295" s="7">
        <f>0+'[2]táj.2'!G295</f>
        <v>0</v>
      </c>
      <c r="H295" s="7">
        <f>0+'[2]táj.2'!H295</f>
        <v>0</v>
      </c>
      <c r="I295" s="7">
        <f>1000+'[2]táj.2'!I295</f>
        <v>1000</v>
      </c>
      <c r="J295" s="7">
        <f>0+'[2]táj.2'!J295</f>
        <v>0</v>
      </c>
      <c r="K295" s="7">
        <f>0+'[2]táj.2'!K295</f>
        <v>0</v>
      </c>
      <c r="L295" s="7">
        <f>0+'[2]táj.2'!L295</f>
        <v>0</v>
      </c>
      <c r="M295" s="7">
        <f>0+'[2]táj.2'!M295</f>
        <v>0</v>
      </c>
      <c r="N295" s="7">
        <f>0+'[2]táj.2'!N295</f>
        <v>0</v>
      </c>
      <c r="O295" s="7">
        <f>0+'[2]táj.2'!O295</f>
        <v>0</v>
      </c>
      <c r="P295" s="7">
        <f>0+'[2]táj.2'!P295</f>
        <v>0</v>
      </c>
      <c r="Q295" s="7">
        <f t="shared" si="18"/>
        <v>1000</v>
      </c>
    </row>
    <row r="296" spans="1:17" ht="25.5">
      <c r="A296" s="198"/>
      <c r="B296" s="198"/>
      <c r="C296" s="214"/>
      <c r="D296" s="298" t="s">
        <v>893</v>
      </c>
      <c r="E296" s="299">
        <v>2</v>
      </c>
      <c r="F296" s="29">
        <v>151315</v>
      </c>
      <c r="G296" s="7">
        <f>0+'[2]táj.2'!G296</f>
        <v>0</v>
      </c>
      <c r="H296" s="7">
        <f>0+'[2]táj.2'!H296</f>
        <v>0</v>
      </c>
      <c r="I296" s="7">
        <f>1000+'[2]táj.2'!I296</f>
        <v>1000</v>
      </c>
      <c r="J296" s="7">
        <f>0+'[2]táj.2'!J296</f>
        <v>0</v>
      </c>
      <c r="K296" s="7">
        <f>0+'[2]táj.2'!K296</f>
        <v>0</v>
      </c>
      <c r="L296" s="7">
        <f>0+'[2]táj.2'!L296</f>
        <v>0</v>
      </c>
      <c r="M296" s="7">
        <f>0+'[2]táj.2'!M296</f>
        <v>0</v>
      </c>
      <c r="N296" s="7">
        <f>0+'[2]táj.2'!N296</f>
        <v>0</v>
      </c>
      <c r="O296" s="7">
        <f>0+'[2]táj.2'!O296</f>
        <v>0</v>
      </c>
      <c r="P296" s="7">
        <f>0+'[2]táj.2'!P296</f>
        <v>0</v>
      </c>
      <c r="Q296" s="7">
        <f t="shared" si="18"/>
        <v>1000</v>
      </c>
    </row>
    <row r="297" spans="1:17" ht="25.5">
      <c r="A297" s="198"/>
      <c r="B297" s="198"/>
      <c r="C297" s="214"/>
      <c r="D297" s="650" t="s">
        <v>894</v>
      </c>
      <c r="E297" s="300">
        <v>1</v>
      </c>
      <c r="F297" s="29">
        <v>151321</v>
      </c>
      <c r="G297" s="7">
        <f>0+'[2]táj.2'!G297</f>
        <v>0</v>
      </c>
      <c r="H297" s="7">
        <f>0+'[2]táj.2'!H297</f>
        <v>0</v>
      </c>
      <c r="I297" s="7">
        <f>5000+'[2]táj.2'!I297</f>
        <v>5000</v>
      </c>
      <c r="J297" s="7">
        <f>0+'[2]táj.2'!J297</f>
        <v>0</v>
      </c>
      <c r="K297" s="7">
        <f>0+'[2]táj.2'!K297</f>
        <v>0</v>
      </c>
      <c r="L297" s="7">
        <f>0+'[2]táj.2'!L297</f>
        <v>0</v>
      </c>
      <c r="M297" s="7">
        <f>0+'[2]táj.2'!M297</f>
        <v>0</v>
      </c>
      <c r="N297" s="7">
        <f>0+'[2]táj.2'!N297</f>
        <v>0</v>
      </c>
      <c r="O297" s="7">
        <f>0+'[2]táj.2'!O297</f>
        <v>0</v>
      </c>
      <c r="P297" s="7">
        <f>0+'[2]táj.2'!P297</f>
        <v>0</v>
      </c>
      <c r="Q297" s="7">
        <f t="shared" si="18"/>
        <v>5000</v>
      </c>
    </row>
    <row r="298" spans="1:17" ht="25.5">
      <c r="A298" s="198"/>
      <c r="B298" s="198"/>
      <c r="C298" s="214"/>
      <c r="D298" s="176" t="s">
        <v>895</v>
      </c>
      <c r="E298" s="180">
        <v>1</v>
      </c>
      <c r="F298" s="29">
        <v>151319</v>
      </c>
      <c r="G298" s="7">
        <f>0+'[2]táj.2'!G298</f>
        <v>0</v>
      </c>
      <c r="H298" s="7">
        <f>0+'[2]táj.2'!H298</f>
        <v>0</v>
      </c>
      <c r="I298" s="7">
        <f>1399+'[2]táj.2'!I298</f>
        <v>1399</v>
      </c>
      <c r="J298" s="7">
        <f>0+'[2]táj.2'!J298</f>
        <v>0</v>
      </c>
      <c r="K298" s="7">
        <f>0+'[2]táj.2'!K298</f>
        <v>0</v>
      </c>
      <c r="L298" s="7">
        <f>0+'[2]táj.2'!L298</f>
        <v>0</v>
      </c>
      <c r="M298" s="7">
        <f>0+'[2]táj.2'!M298</f>
        <v>0</v>
      </c>
      <c r="N298" s="7">
        <f>0+'[2]táj.2'!N298</f>
        <v>0</v>
      </c>
      <c r="O298" s="7">
        <f>0+'[2]táj.2'!O298</f>
        <v>0</v>
      </c>
      <c r="P298" s="7">
        <f>0+'[2]táj.2'!P298</f>
        <v>0</v>
      </c>
      <c r="Q298" s="7">
        <f t="shared" si="18"/>
        <v>1399</v>
      </c>
    </row>
    <row r="299" spans="1:17" ht="25.5">
      <c r="A299" s="198"/>
      <c r="B299" s="198"/>
      <c r="C299" s="214"/>
      <c r="D299" s="176" t="s">
        <v>897</v>
      </c>
      <c r="E299" s="232"/>
      <c r="F299" s="232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>
      <c r="A300" s="198"/>
      <c r="B300" s="198"/>
      <c r="C300" s="214"/>
      <c r="D300" s="283" t="s">
        <v>898</v>
      </c>
      <c r="E300" s="7">
        <v>1</v>
      </c>
      <c r="F300" s="7">
        <v>151703</v>
      </c>
      <c r="G300" s="7">
        <f>0+'[2]táj.2'!G300</f>
        <v>0</v>
      </c>
      <c r="H300" s="7">
        <f>0+'[2]táj.2'!H300</f>
        <v>0</v>
      </c>
      <c r="I300" s="7">
        <f>2000+'[2]táj.2'!I300</f>
        <v>2000</v>
      </c>
      <c r="J300" s="7">
        <f>0+'[2]táj.2'!J300</f>
        <v>0</v>
      </c>
      <c r="K300" s="7">
        <f>0+'[2]táj.2'!K300</f>
        <v>0</v>
      </c>
      <c r="L300" s="7">
        <f>0+'[2]táj.2'!L300</f>
        <v>0</v>
      </c>
      <c r="M300" s="7">
        <f>0+'[2]táj.2'!M300</f>
        <v>0</v>
      </c>
      <c r="N300" s="7">
        <f>0+'[2]táj.2'!N300</f>
        <v>0</v>
      </c>
      <c r="O300" s="7">
        <f>0+'[2]táj.2'!O300</f>
        <v>0</v>
      </c>
      <c r="P300" s="7">
        <f>0+'[2]táj.2'!P300</f>
        <v>0</v>
      </c>
      <c r="Q300" s="7">
        <f>SUM(G300:P300)</f>
        <v>2000</v>
      </c>
    </row>
    <row r="301" spans="1:17" ht="12.75">
      <c r="A301" s="198"/>
      <c r="B301" s="198"/>
      <c r="C301" s="214"/>
      <c r="D301" s="294" t="s">
        <v>510</v>
      </c>
      <c r="E301" s="207"/>
      <c r="F301" s="20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>
      <c r="A302" s="198"/>
      <c r="B302" s="198"/>
      <c r="C302" s="214"/>
      <c r="D302" s="283" t="s">
        <v>899</v>
      </c>
      <c r="E302" s="7">
        <v>1</v>
      </c>
      <c r="F302" s="7">
        <v>151601</v>
      </c>
      <c r="G302" s="7">
        <f>0+'[2]táj.2'!G302</f>
        <v>0</v>
      </c>
      <c r="H302" s="7">
        <f>0+'[2]táj.2'!H302</f>
        <v>0</v>
      </c>
      <c r="I302" s="7">
        <f>16040+'[2]táj.2'!I302</f>
        <v>16040</v>
      </c>
      <c r="J302" s="7">
        <f>0+'[2]táj.2'!J302</f>
        <v>0</v>
      </c>
      <c r="K302" s="7">
        <f>0+'[2]táj.2'!K302</f>
        <v>0</v>
      </c>
      <c r="L302" s="7">
        <f>0+'[2]táj.2'!L302</f>
        <v>0</v>
      </c>
      <c r="M302" s="7">
        <f>0+'[2]táj.2'!M302</f>
        <v>0</v>
      </c>
      <c r="N302" s="7">
        <f>0+'[2]táj.2'!N302</f>
        <v>0</v>
      </c>
      <c r="O302" s="7">
        <f>0+'[2]táj.2'!O302</f>
        <v>0</v>
      </c>
      <c r="P302" s="7">
        <f>0+'[2]táj.2'!P302</f>
        <v>0</v>
      </c>
      <c r="Q302" s="7">
        <f aca="true" t="shared" si="19" ref="Q302:Q319">SUM(G302:P302)</f>
        <v>16040</v>
      </c>
    </row>
    <row r="303" spans="1:17" ht="12.75">
      <c r="A303" s="198"/>
      <c r="B303" s="198"/>
      <c r="C303" s="214"/>
      <c r="D303" s="283" t="s">
        <v>900</v>
      </c>
      <c r="E303" s="7">
        <v>1</v>
      </c>
      <c r="F303" s="7">
        <v>151602</v>
      </c>
      <c r="G303" s="7">
        <f>0+'[2]táj.2'!G303</f>
        <v>0</v>
      </c>
      <c r="H303" s="7">
        <f>0+'[2]táj.2'!H303</f>
        <v>0</v>
      </c>
      <c r="I303" s="7">
        <f>0+'[2]táj.2'!I303</f>
        <v>0</v>
      </c>
      <c r="J303" s="7">
        <f>0+'[2]táj.2'!J303</f>
        <v>0</v>
      </c>
      <c r="K303" s="7">
        <f>19500+'[2]táj.2'!K303</f>
        <v>19500</v>
      </c>
      <c r="L303" s="7">
        <f>0+'[2]táj.2'!L303</f>
        <v>0</v>
      </c>
      <c r="M303" s="7">
        <f>0+'[2]táj.2'!M303</f>
        <v>0</v>
      </c>
      <c r="N303" s="7">
        <f>0+'[2]táj.2'!N303</f>
        <v>0</v>
      </c>
      <c r="O303" s="7">
        <f>0+'[2]táj.2'!O303</f>
        <v>0</v>
      </c>
      <c r="P303" s="7">
        <f>0+'[2]táj.2'!P303</f>
        <v>0</v>
      </c>
      <c r="Q303" s="7">
        <f t="shared" si="19"/>
        <v>19500</v>
      </c>
    </row>
    <row r="304" spans="1:17" ht="12.75">
      <c r="A304" s="198"/>
      <c r="B304" s="198"/>
      <c r="C304" s="214"/>
      <c r="D304" s="283" t="s">
        <v>901</v>
      </c>
      <c r="E304" s="7">
        <v>1</v>
      </c>
      <c r="F304" s="7">
        <v>151607</v>
      </c>
      <c r="G304" s="7">
        <f>0+'[2]táj.2'!G304</f>
        <v>0</v>
      </c>
      <c r="H304" s="7">
        <f>0+'[2]táj.2'!H304</f>
        <v>0</v>
      </c>
      <c r="I304" s="7">
        <f>19131+'[2]táj.2'!I304</f>
        <v>19131</v>
      </c>
      <c r="J304" s="7">
        <f>0+'[2]táj.2'!J304</f>
        <v>0</v>
      </c>
      <c r="K304" s="7">
        <f>415+'[2]táj.2'!K304</f>
        <v>415</v>
      </c>
      <c r="L304" s="7">
        <f>400+'[2]táj.2'!L304</f>
        <v>400</v>
      </c>
      <c r="M304" s="7">
        <f>0+'[2]táj.2'!M304</f>
        <v>0</v>
      </c>
      <c r="N304" s="7">
        <f>0+'[2]táj.2'!N304</f>
        <v>0</v>
      </c>
      <c r="O304" s="7">
        <f>0+'[2]táj.2'!O304</f>
        <v>0</v>
      </c>
      <c r="P304" s="7">
        <f>0+'[2]táj.2'!P304</f>
        <v>0</v>
      </c>
      <c r="Q304" s="7">
        <f t="shared" si="19"/>
        <v>19946</v>
      </c>
    </row>
    <row r="305" spans="1:17" ht="12.75">
      <c r="A305" s="198"/>
      <c r="B305" s="198"/>
      <c r="C305" s="214"/>
      <c r="D305" s="283" t="s">
        <v>902</v>
      </c>
      <c r="E305" s="7">
        <v>2</v>
      </c>
      <c r="F305" s="7">
        <v>151610</v>
      </c>
      <c r="G305" s="7">
        <f>0+'[2]táj.2'!G305</f>
        <v>0</v>
      </c>
      <c r="H305" s="7">
        <f>0+'[2]táj.2'!H305</f>
        <v>0</v>
      </c>
      <c r="I305" s="7">
        <f>850+'[2]táj.2'!I305</f>
        <v>850</v>
      </c>
      <c r="J305" s="7">
        <f>0+'[2]táj.2'!J305</f>
        <v>0</v>
      </c>
      <c r="K305" s="7">
        <f>150+'[2]táj.2'!K305</f>
        <v>150</v>
      </c>
      <c r="L305" s="7">
        <f>0+'[2]táj.2'!L305</f>
        <v>0</v>
      </c>
      <c r="M305" s="7">
        <f>0+'[2]táj.2'!M305</f>
        <v>0</v>
      </c>
      <c r="N305" s="7">
        <f>0+'[2]táj.2'!N305</f>
        <v>0</v>
      </c>
      <c r="O305" s="7">
        <f>0+'[2]táj.2'!O305</f>
        <v>0</v>
      </c>
      <c r="P305" s="7">
        <f>0+'[2]táj.2'!P305</f>
        <v>0</v>
      </c>
      <c r="Q305" s="7">
        <f t="shared" si="19"/>
        <v>1000</v>
      </c>
    </row>
    <row r="306" spans="1:17" ht="25.5">
      <c r="A306" s="198" t="s">
        <v>265</v>
      </c>
      <c r="B306" s="198"/>
      <c r="C306" s="214"/>
      <c r="D306" s="176" t="s">
        <v>903</v>
      </c>
      <c r="E306" s="207">
        <v>2</v>
      </c>
      <c r="F306" s="7">
        <v>151619</v>
      </c>
      <c r="G306" s="7">
        <f>0+'[2]táj.2'!G306</f>
        <v>0</v>
      </c>
      <c r="H306" s="7">
        <f>0+'[2]táj.2'!H306</f>
        <v>0</v>
      </c>
      <c r="I306" s="7">
        <f>58736+'[2]táj.2'!I306</f>
        <v>58736</v>
      </c>
      <c r="J306" s="7">
        <f>0+'[2]táj.2'!J306</f>
        <v>0</v>
      </c>
      <c r="K306" s="7">
        <f>0+'[2]táj.2'!K306</f>
        <v>0</v>
      </c>
      <c r="L306" s="7">
        <f>0+'[2]táj.2'!L306</f>
        <v>0</v>
      </c>
      <c r="M306" s="7">
        <f>0+'[2]táj.2'!M306</f>
        <v>0</v>
      </c>
      <c r="N306" s="7">
        <f>0+'[2]táj.2'!N306</f>
        <v>0</v>
      </c>
      <c r="O306" s="7">
        <f>0+'[2]táj.2'!O306</f>
        <v>0</v>
      </c>
      <c r="P306" s="7">
        <f>0+'[2]táj.2'!P306</f>
        <v>0</v>
      </c>
      <c r="Q306" s="7">
        <f t="shared" si="19"/>
        <v>58736</v>
      </c>
    </row>
    <row r="307" spans="1:17" ht="12.75">
      <c r="A307" s="198"/>
      <c r="B307" s="198"/>
      <c r="C307" s="214"/>
      <c r="D307" s="294" t="s">
        <v>904</v>
      </c>
      <c r="E307" s="169">
        <v>2</v>
      </c>
      <c r="F307" s="7">
        <v>151626</v>
      </c>
      <c r="G307" s="7">
        <f>0+'[2]táj.2'!G307</f>
        <v>0</v>
      </c>
      <c r="H307" s="7">
        <f>0+'[2]táj.2'!H307</f>
        <v>0</v>
      </c>
      <c r="I307" s="7">
        <f>800+'[2]táj.2'!I307</f>
        <v>800</v>
      </c>
      <c r="J307" s="7">
        <f>0+'[2]táj.2'!J307</f>
        <v>0</v>
      </c>
      <c r="K307" s="7">
        <f>0+'[2]táj.2'!K307</f>
        <v>0</v>
      </c>
      <c r="L307" s="7">
        <f>0+'[2]táj.2'!L307</f>
        <v>0</v>
      </c>
      <c r="M307" s="7">
        <f>0+'[2]táj.2'!M307</f>
        <v>0</v>
      </c>
      <c r="N307" s="7">
        <f>0+'[2]táj.2'!N307</f>
        <v>0</v>
      </c>
      <c r="O307" s="7">
        <f>0+'[2]táj.2'!O307</f>
        <v>0</v>
      </c>
      <c r="P307" s="7">
        <f>0+'[2]táj.2'!P307</f>
        <v>0</v>
      </c>
      <c r="Q307" s="7">
        <f t="shared" si="19"/>
        <v>800</v>
      </c>
    </row>
    <row r="308" spans="1:17" ht="12.75">
      <c r="A308" s="198"/>
      <c r="B308" s="198"/>
      <c r="C308" s="214"/>
      <c r="D308" s="174" t="s">
        <v>905</v>
      </c>
      <c r="E308" s="180">
        <v>2</v>
      </c>
      <c r="F308" s="29">
        <v>151627</v>
      </c>
      <c r="G308" s="7">
        <f>0+'[2]táj.2'!G308</f>
        <v>0</v>
      </c>
      <c r="H308" s="7">
        <f>0+'[2]táj.2'!H308</f>
        <v>0</v>
      </c>
      <c r="I308" s="7">
        <f>1000+'[2]táj.2'!I308</f>
        <v>1000</v>
      </c>
      <c r="J308" s="7">
        <f>0+'[2]táj.2'!J308</f>
        <v>0</v>
      </c>
      <c r="K308" s="7">
        <f>0+'[2]táj.2'!K308</f>
        <v>0</v>
      </c>
      <c r="L308" s="7">
        <f>0+'[2]táj.2'!L308</f>
        <v>0</v>
      </c>
      <c r="M308" s="7">
        <f>0+'[2]táj.2'!M308</f>
        <v>0</v>
      </c>
      <c r="N308" s="7">
        <f>0+'[2]táj.2'!N308</f>
        <v>0</v>
      </c>
      <c r="O308" s="7">
        <f>0+'[2]táj.2'!O308</f>
        <v>0</v>
      </c>
      <c r="P308" s="7">
        <f>0+'[2]táj.2'!P308</f>
        <v>0</v>
      </c>
      <c r="Q308" s="7">
        <f t="shared" si="19"/>
        <v>1000</v>
      </c>
    </row>
    <row r="309" spans="1:17" ht="12.75">
      <c r="A309" s="198"/>
      <c r="B309" s="198"/>
      <c r="C309" s="214"/>
      <c r="D309" s="294" t="s">
        <v>906</v>
      </c>
      <c r="E309" s="180">
        <v>2</v>
      </c>
      <c r="F309" s="29">
        <v>151638</v>
      </c>
      <c r="G309" s="7">
        <f>0+'[2]táj.2'!G309</f>
        <v>0</v>
      </c>
      <c r="H309" s="7">
        <f>0+'[2]táj.2'!H309</f>
        <v>0</v>
      </c>
      <c r="I309" s="7">
        <f>1500+'[2]táj.2'!I309</f>
        <v>1500</v>
      </c>
      <c r="J309" s="7">
        <f>0+'[2]táj.2'!J309</f>
        <v>0</v>
      </c>
      <c r="K309" s="7">
        <f>0+'[2]táj.2'!K309</f>
        <v>0</v>
      </c>
      <c r="L309" s="7">
        <f>0+'[2]táj.2'!L309</f>
        <v>0</v>
      </c>
      <c r="M309" s="7">
        <f>0+'[2]táj.2'!M309</f>
        <v>0</v>
      </c>
      <c r="N309" s="7">
        <f>0+'[2]táj.2'!N309</f>
        <v>0</v>
      </c>
      <c r="O309" s="7">
        <f>0+'[2]táj.2'!O309</f>
        <v>0</v>
      </c>
      <c r="P309" s="7">
        <f>0+'[2]táj.2'!P309</f>
        <v>0</v>
      </c>
      <c r="Q309" s="7">
        <f t="shared" si="19"/>
        <v>1500</v>
      </c>
    </row>
    <row r="310" spans="1:17" ht="12.75">
      <c r="A310" s="198"/>
      <c r="B310" s="198"/>
      <c r="C310" s="214"/>
      <c r="D310" s="283" t="s">
        <v>907</v>
      </c>
      <c r="E310" s="7">
        <v>1</v>
      </c>
      <c r="F310" s="7">
        <v>151603</v>
      </c>
      <c r="G310" s="7">
        <f>0+'[2]táj.2'!G310</f>
        <v>0</v>
      </c>
      <c r="H310" s="7">
        <f>0+'[2]táj.2'!H310</f>
        <v>0</v>
      </c>
      <c r="I310" s="7">
        <f>87665+'[2]táj.2'!I310</f>
        <v>87665</v>
      </c>
      <c r="J310" s="7">
        <f>0+'[2]táj.2'!J310</f>
        <v>0</v>
      </c>
      <c r="K310" s="7">
        <f>0+'[2]táj.2'!K310</f>
        <v>0</v>
      </c>
      <c r="L310" s="7">
        <f>0+'[2]táj.2'!L310</f>
        <v>0</v>
      </c>
      <c r="M310" s="7">
        <f>0+'[2]táj.2'!M310</f>
        <v>0</v>
      </c>
      <c r="N310" s="7">
        <f>0+'[2]táj.2'!N310</f>
        <v>0</v>
      </c>
      <c r="O310" s="7">
        <f>0+'[2]táj.2'!O310</f>
        <v>0</v>
      </c>
      <c r="P310" s="7">
        <f>0+'[2]táj.2'!P310</f>
        <v>0</v>
      </c>
      <c r="Q310" s="7">
        <f t="shared" si="19"/>
        <v>87665</v>
      </c>
    </row>
    <row r="311" spans="1:17" ht="12.75">
      <c r="A311" s="198"/>
      <c r="B311" s="198"/>
      <c r="C311" s="214"/>
      <c r="D311" s="283" t="s">
        <v>908</v>
      </c>
      <c r="E311" s="7">
        <v>1</v>
      </c>
      <c r="F311" s="7">
        <v>151605</v>
      </c>
      <c r="G311" s="7">
        <f>0+'[2]táj.2'!G311</f>
        <v>0</v>
      </c>
      <c r="H311" s="7">
        <f>0+'[2]táj.2'!H311</f>
        <v>0</v>
      </c>
      <c r="I311" s="7">
        <f>110175+'[2]táj.2'!I311</f>
        <v>110175</v>
      </c>
      <c r="J311" s="7">
        <f>0+'[2]táj.2'!J311</f>
        <v>0</v>
      </c>
      <c r="K311" s="7">
        <f>0+'[2]táj.2'!K311</f>
        <v>0</v>
      </c>
      <c r="L311" s="7">
        <f>0+'[2]táj.2'!L311</f>
        <v>0</v>
      </c>
      <c r="M311" s="7">
        <f>0+'[2]táj.2'!M311</f>
        <v>0</v>
      </c>
      <c r="N311" s="7">
        <f>0+'[2]táj.2'!N311</f>
        <v>0</v>
      </c>
      <c r="O311" s="7">
        <f>0+'[2]táj.2'!O311</f>
        <v>0</v>
      </c>
      <c r="P311" s="7">
        <f>0+'[2]táj.2'!P311</f>
        <v>0</v>
      </c>
      <c r="Q311" s="7">
        <f t="shared" si="19"/>
        <v>110175</v>
      </c>
    </row>
    <row r="312" spans="1:17" ht="12.75">
      <c r="A312" s="198"/>
      <c r="B312" s="198"/>
      <c r="C312" s="214"/>
      <c r="D312" s="283" t="s">
        <v>909</v>
      </c>
      <c r="E312" s="7">
        <v>1</v>
      </c>
      <c r="F312" s="7">
        <v>151608</v>
      </c>
      <c r="G312" s="7">
        <f>0+'[2]táj.2'!G312</f>
        <v>0</v>
      </c>
      <c r="H312" s="7">
        <f>0+'[2]táj.2'!H312</f>
        <v>0</v>
      </c>
      <c r="I312" s="7">
        <f>70000+'[2]táj.2'!I312</f>
        <v>70000</v>
      </c>
      <c r="J312" s="7">
        <f>0+'[2]táj.2'!J312</f>
        <v>0</v>
      </c>
      <c r="K312" s="7">
        <f>0+'[2]táj.2'!K312</f>
        <v>0</v>
      </c>
      <c r="L312" s="7">
        <f>0+'[2]táj.2'!L312</f>
        <v>0</v>
      </c>
      <c r="M312" s="7">
        <f>0+'[2]táj.2'!M312</f>
        <v>0</v>
      </c>
      <c r="N312" s="7">
        <f>0+'[2]táj.2'!N312</f>
        <v>0</v>
      </c>
      <c r="O312" s="7">
        <f>0+'[2]táj.2'!O312</f>
        <v>0</v>
      </c>
      <c r="P312" s="7">
        <f>0+'[2]táj.2'!P312</f>
        <v>0</v>
      </c>
      <c r="Q312" s="7">
        <f t="shared" si="19"/>
        <v>70000</v>
      </c>
    </row>
    <row r="313" spans="1:17" ht="12.75">
      <c r="A313" s="198"/>
      <c r="B313" s="198"/>
      <c r="C313" s="214"/>
      <c r="D313" s="283" t="s">
        <v>910</v>
      </c>
      <c r="E313" s="7">
        <v>2</v>
      </c>
      <c r="F313" s="7">
        <v>151624</v>
      </c>
      <c r="G313" s="7">
        <f>0+'[2]táj.2'!G313</f>
        <v>0</v>
      </c>
      <c r="H313" s="7">
        <f>0+'[2]táj.2'!H313</f>
        <v>0</v>
      </c>
      <c r="I313" s="7">
        <f>3600+'[2]táj.2'!I313</f>
        <v>3600</v>
      </c>
      <c r="J313" s="7">
        <f>0+'[2]táj.2'!J313</f>
        <v>0</v>
      </c>
      <c r="K313" s="7">
        <f>0+'[2]táj.2'!K313</f>
        <v>0</v>
      </c>
      <c r="L313" s="7">
        <f>0+'[2]táj.2'!L313</f>
        <v>0</v>
      </c>
      <c r="M313" s="7">
        <f>0+'[2]táj.2'!M313</f>
        <v>0</v>
      </c>
      <c r="N313" s="7">
        <f>0+'[2]táj.2'!N313</f>
        <v>0</v>
      </c>
      <c r="O313" s="7">
        <f>0+'[2]táj.2'!O313</f>
        <v>0</v>
      </c>
      <c r="P313" s="7">
        <f>0+'[2]táj.2'!P313</f>
        <v>0</v>
      </c>
      <c r="Q313" s="7">
        <f t="shared" si="19"/>
        <v>3600</v>
      </c>
    </row>
    <row r="314" spans="1:17" ht="12.75">
      <c r="A314" s="198"/>
      <c r="B314" s="198"/>
      <c r="C314" s="214"/>
      <c r="D314" s="283" t="s">
        <v>911</v>
      </c>
      <c r="E314" s="7">
        <v>1</v>
      </c>
      <c r="F314" s="7">
        <v>151631</v>
      </c>
      <c r="G314" s="7">
        <f>0+'[2]táj.2'!G314</f>
        <v>0</v>
      </c>
      <c r="H314" s="7">
        <f>0+'[2]táj.2'!H314</f>
        <v>0</v>
      </c>
      <c r="I314" s="7">
        <f>4808+'[2]táj.2'!I314</f>
        <v>4808</v>
      </c>
      <c r="J314" s="7">
        <f>0+'[2]táj.2'!J314</f>
        <v>0</v>
      </c>
      <c r="K314" s="7">
        <f>0+'[2]táj.2'!K314</f>
        <v>0</v>
      </c>
      <c r="L314" s="7">
        <f>0+'[2]táj.2'!L314</f>
        <v>0</v>
      </c>
      <c r="M314" s="7">
        <f>0+'[2]táj.2'!M314</f>
        <v>0</v>
      </c>
      <c r="N314" s="7">
        <f>0+'[2]táj.2'!N314</f>
        <v>0</v>
      </c>
      <c r="O314" s="7">
        <f>0+'[2]táj.2'!O314</f>
        <v>0</v>
      </c>
      <c r="P314" s="7">
        <f>0+'[2]táj.2'!P314</f>
        <v>0</v>
      </c>
      <c r="Q314" s="7">
        <f t="shared" si="19"/>
        <v>4808</v>
      </c>
    </row>
    <row r="315" spans="1:17" ht="12.75">
      <c r="A315" s="198"/>
      <c r="B315" s="198"/>
      <c r="C315" s="214"/>
      <c r="D315" s="303" t="s">
        <v>912</v>
      </c>
      <c r="E315" s="7">
        <v>1</v>
      </c>
      <c r="F315" s="7">
        <v>151632</v>
      </c>
      <c r="G315" s="7">
        <f>0+'[2]táj.2'!G315</f>
        <v>0</v>
      </c>
      <c r="H315" s="7">
        <f>0+'[2]táj.2'!H315</f>
        <v>0</v>
      </c>
      <c r="I315" s="7">
        <f>2500+'[2]táj.2'!I315</f>
        <v>2500</v>
      </c>
      <c r="J315" s="7">
        <f>0+'[2]táj.2'!J315</f>
        <v>0</v>
      </c>
      <c r="K315" s="7">
        <f>0+'[2]táj.2'!K315</f>
        <v>0</v>
      </c>
      <c r="L315" s="7">
        <f>0+'[2]táj.2'!L315</f>
        <v>0</v>
      </c>
      <c r="M315" s="7">
        <f>0+'[2]táj.2'!M315</f>
        <v>0</v>
      </c>
      <c r="N315" s="7">
        <f>0+'[2]táj.2'!N315</f>
        <v>0</v>
      </c>
      <c r="O315" s="7">
        <f>0+'[2]táj.2'!O315</f>
        <v>0</v>
      </c>
      <c r="P315" s="7">
        <f>0+'[2]táj.2'!P315</f>
        <v>0</v>
      </c>
      <c r="Q315" s="7">
        <f t="shared" si="19"/>
        <v>2500</v>
      </c>
    </row>
    <row r="316" spans="1:17" ht="25.5">
      <c r="A316" s="198"/>
      <c r="B316" s="198"/>
      <c r="C316" s="214"/>
      <c r="D316" s="304" t="s">
        <v>913</v>
      </c>
      <c r="E316" s="7">
        <v>1</v>
      </c>
      <c r="F316" s="7">
        <v>151635</v>
      </c>
      <c r="G316" s="7">
        <f>0+'[2]táj.2'!G316</f>
        <v>0</v>
      </c>
      <c r="H316" s="7">
        <f>0+'[2]táj.2'!H316</f>
        <v>0</v>
      </c>
      <c r="I316" s="7">
        <f>5153+'[2]táj.2'!I316</f>
        <v>5153</v>
      </c>
      <c r="J316" s="7">
        <f>0+'[2]táj.2'!J316</f>
        <v>0</v>
      </c>
      <c r="K316" s="7">
        <f>0+'[2]táj.2'!K316</f>
        <v>0</v>
      </c>
      <c r="L316" s="7">
        <f>0+'[2]táj.2'!L316</f>
        <v>0</v>
      </c>
      <c r="M316" s="7">
        <f>0+'[2]táj.2'!M316</f>
        <v>0</v>
      </c>
      <c r="N316" s="7">
        <f>0+'[2]táj.2'!N316</f>
        <v>0</v>
      </c>
      <c r="O316" s="7">
        <f>0+'[2]táj.2'!O316</f>
        <v>0</v>
      </c>
      <c r="P316" s="7">
        <f>0+'[2]táj.2'!P316</f>
        <v>0</v>
      </c>
      <c r="Q316" s="7">
        <f t="shared" si="19"/>
        <v>5153</v>
      </c>
    </row>
    <row r="317" spans="1:17" ht="12.75">
      <c r="A317" s="198"/>
      <c r="B317" s="198"/>
      <c r="C317" s="214"/>
      <c r="D317" s="305" t="s">
        <v>914</v>
      </c>
      <c r="E317" s="7">
        <v>1</v>
      </c>
      <c r="F317" s="7">
        <v>151612</v>
      </c>
      <c r="G317" s="7">
        <f>0+'[2]táj.2'!G317</f>
        <v>0</v>
      </c>
      <c r="H317" s="7">
        <f>0+'[2]táj.2'!H317</f>
        <v>0</v>
      </c>
      <c r="I317" s="7">
        <f>2000+'[2]táj.2'!I317</f>
        <v>2000</v>
      </c>
      <c r="J317" s="7">
        <f>0+'[2]táj.2'!J317</f>
        <v>0</v>
      </c>
      <c r="K317" s="7">
        <f>0+'[2]táj.2'!K317</f>
        <v>0</v>
      </c>
      <c r="L317" s="7">
        <f>0+'[2]táj.2'!L317</f>
        <v>0</v>
      </c>
      <c r="M317" s="7">
        <f>0+'[2]táj.2'!M317</f>
        <v>0</v>
      </c>
      <c r="N317" s="7">
        <f>0+'[2]táj.2'!N317</f>
        <v>0</v>
      </c>
      <c r="O317" s="7">
        <f>0+'[2]táj.2'!O317</f>
        <v>0</v>
      </c>
      <c r="P317" s="7">
        <f>0+'[2]táj.2'!P317</f>
        <v>0</v>
      </c>
      <c r="Q317" s="7">
        <f t="shared" si="19"/>
        <v>2000</v>
      </c>
    </row>
    <row r="318" spans="1:17" ht="12.75">
      <c r="A318" s="198"/>
      <c r="B318" s="198"/>
      <c r="C318" s="214"/>
      <c r="D318" s="305" t="s">
        <v>915</v>
      </c>
      <c r="E318" s="7">
        <v>1</v>
      </c>
      <c r="F318" s="7">
        <v>151614</v>
      </c>
      <c r="G318" s="7">
        <f>0+'[2]táj.2'!G318</f>
        <v>0</v>
      </c>
      <c r="H318" s="7">
        <f>0+'[2]táj.2'!H318</f>
        <v>0</v>
      </c>
      <c r="I318" s="7">
        <f>5953+'[2]táj.2'!I318</f>
        <v>5953</v>
      </c>
      <c r="J318" s="7">
        <f>0+'[2]táj.2'!J318</f>
        <v>0</v>
      </c>
      <c r="K318" s="7">
        <f>0+'[2]táj.2'!K318</f>
        <v>0</v>
      </c>
      <c r="L318" s="7">
        <f>0+'[2]táj.2'!L318</f>
        <v>0</v>
      </c>
      <c r="M318" s="7">
        <f>0+'[2]táj.2'!M318</f>
        <v>0</v>
      </c>
      <c r="N318" s="7">
        <f>0+'[2]táj.2'!N318</f>
        <v>0</v>
      </c>
      <c r="O318" s="7">
        <f>0+'[2]táj.2'!O318</f>
        <v>0</v>
      </c>
      <c r="P318" s="7">
        <f>0+'[2]táj.2'!P318</f>
        <v>0</v>
      </c>
      <c r="Q318" s="7">
        <f t="shared" si="19"/>
        <v>5953</v>
      </c>
    </row>
    <row r="319" spans="1:17" ht="12.75">
      <c r="A319" s="198"/>
      <c r="B319" s="198"/>
      <c r="C319" s="214"/>
      <c r="D319" s="294" t="s">
        <v>916</v>
      </c>
      <c r="E319" s="7">
        <v>2</v>
      </c>
      <c r="F319" s="7">
        <v>162695</v>
      </c>
      <c r="G319" s="7">
        <f>0+'[2]táj.2'!G319</f>
        <v>0</v>
      </c>
      <c r="H319" s="7">
        <f>0+'[2]táj.2'!H319</f>
        <v>0</v>
      </c>
      <c r="I319" s="7">
        <f>0+'[2]táj.2'!I319</f>
        <v>0</v>
      </c>
      <c r="J319" s="7">
        <f>0+'[2]táj.2'!J319</f>
        <v>0</v>
      </c>
      <c r="K319" s="7">
        <f>12000+'[2]táj.2'!K319</f>
        <v>12000</v>
      </c>
      <c r="L319" s="7">
        <f>0+'[2]táj.2'!L319</f>
        <v>0</v>
      </c>
      <c r="M319" s="7">
        <f>0+'[2]táj.2'!M319</f>
        <v>0</v>
      </c>
      <c r="N319" s="7">
        <f>0+'[2]táj.2'!N319</f>
        <v>0</v>
      </c>
      <c r="O319" s="7">
        <f>0+'[2]táj.2'!O319</f>
        <v>0</v>
      </c>
      <c r="P319" s="7">
        <f>0+'[2]táj.2'!P319</f>
        <v>0</v>
      </c>
      <c r="Q319" s="7">
        <f t="shared" si="19"/>
        <v>12000</v>
      </c>
    </row>
    <row r="320" spans="1:17" ht="12.75">
      <c r="A320" s="198"/>
      <c r="B320" s="198"/>
      <c r="C320" s="214"/>
      <c r="D320" s="293" t="s">
        <v>832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25.5">
      <c r="A321" s="198"/>
      <c r="B321" s="198"/>
      <c r="C321" s="214"/>
      <c r="D321" s="176" t="s">
        <v>917</v>
      </c>
      <c r="E321" s="7">
        <v>1</v>
      </c>
      <c r="F321" s="7">
        <v>151505</v>
      </c>
      <c r="G321" s="7">
        <f>0+'[2]táj.2'!G321</f>
        <v>0</v>
      </c>
      <c r="H321" s="7">
        <f>0+'[2]táj.2'!H321</f>
        <v>0</v>
      </c>
      <c r="I321" s="7">
        <f>6317+'[2]táj.2'!I321</f>
        <v>6317</v>
      </c>
      <c r="J321" s="7">
        <f>0+'[2]táj.2'!J321</f>
        <v>0</v>
      </c>
      <c r="K321" s="7">
        <f>0+'[2]táj.2'!K321</f>
        <v>0</v>
      </c>
      <c r="L321" s="7">
        <f>0+'[2]táj.2'!L321</f>
        <v>0</v>
      </c>
      <c r="M321" s="7">
        <f>0+'[2]táj.2'!M321</f>
        <v>0</v>
      </c>
      <c r="N321" s="7">
        <f>0+'[2]táj.2'!N321</f>
        <v>0</v>
      </c>
      <c r="O321" s="7">
        <f>0+'[2]táj.2'!O321</f>
        <v>0</v>
      </c>
      <c r="P321" s="7">
        <f>0+'[2]táj.2'!P321</f>
        <v>0</v>
      </c>
      <c r="Q321" s="7">
        <f>SUM(G321:P321)</f>
        <v>6317</v>
      </c>
    </row>
    <row r="322" spans="1:17" ht="12.75">
      <c r="A322" s="198"/>
      <c r="B322" s="198"/>
      <c r="C322" s="214"/>
      <c r="D322" s="294" t="s">
        <v>499</v>
      </c>
      <c r="E322" s="207"/>
      <c r="F322" s="20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>
      <c r="A323" s="198"/>
      <c r="B323" s="198"/>
      <c r="C323" s="198"/>
      <c r="D323" s="283" t="s">
        <v>500</v>
      </c>
      <c r="E323" s="7">
        <v>2</v>
      </c>
      <c r="F323" s="7">
        <v>151906</v>
      </c>
      <c r="G323" s="7">
        <f>0+'[2]táj.2'!G323</f>
        <v>0</v>
      </c>
      <c r="H323" s="7">
        <f>0+'[2]táj.2'!H323</f>
        <v>0</v>
      </c>
      <c r="I323" s="7">
        <f>134027+'[2]táj.2'!I323</f>
        <v>134027</v>
      </c>
      <c r="J323" s="7">
        <f>0+'[2]táj.2'!J323</f>
        <v>0</v>
      </c>
      <c r="K323" s="7">
        <f>0+'[2]táj.2'!K323</f>
        <v>0</v>
      </c>
      <c r="L323" s="7">
        <f>0+'[2]táj.2'!L323</f>
        <v>0</v>
      </c>
      <c r="M323" s="7">
        <f>0+'[2]táj.2'!M323</f>
        <v>0</v>
      </c>
      <c r="N323" s="7">
        <f>0+'[2]táj.2'!N323</f>
        <v>0</v>
      </c>
      <c r="O323" s="7">
        <f>0+'[2]táj.2'!O323</f>
        <v>0</v>
      </c>
      <c r="P323" s="7">
        <f>0+'[2]táj.2'!P323</f>
        <v>0</v>
      </c>
      <c r="Q323" s="7">
        <f>SUM(G323:P323)</f>
        <v>134027</v>
      </c>
    </row>
    <row r="324" spans="1:17" ht="12.75">
      <c r="A324" s="198"/>
      <c r="B324" s="198"/>
      <c r="C324" s="214"/>
      <c r="D324" s="283" t="s">
        <v>918</v>
      </c>
      <c r="E324" s="7">
        <v>2</v>
      </c>
      <c r="F324" s="7">
        <v>151915</v>
      </c>
      <c r="G324" s="7">
        <f>0+'[2]táj.2'!G324</f>
        <v>0</v>
      </c>
      <c r="H324" s="7">
        <f>0+'[2]táj.2'!H324</f>
        <v>0</v>
      </c>
      <c r="I324" s="7">
        <f>2667+'[2]táj.2'!I324</f>
        <v>2667</v>
      </c>
      <c r="J324" s="7">
        <f>0+'[2]táj.2'!J324</f>
        <v>0</v>
      </c>
      <c r="K324" s="7">
        <f>0+'[2]táj.2'!K324</f>
        <v>0</v>
      </c>
      <c r="L324" s="7">
        <f>0+'[2]táj.2'!L324</f>
        <v>0</v>
      </c>
      <c r="M324" s="7">
        <f>0+'[2]táj.2'!M324</f>
        <v>0</v>
      </c>
      <c r="N324" s="7">
        <f>0+'[2]táj.2'!N324</f>
        <v>0</v>
      </c>
      <c r="O324" s="7">
        <f>0+'[2]táj.2'!O324</f>
        <v>0</v>
      </c>
      <c r="P324" s="7">
        <f>0+'[2]táj.2'!P324</f>
        <v>0</v>
      </c>
      <c r="Q324" s="7">
        <f>SUM(G324:P324)</f>
        <v>2667</v>
      </c>
    </row>
    <row r="325" spans="1:17" ht="12.75">
      <c r="A325" s="198"/>
      <c r="B325" s="198"/>
      <c r="C325" s="214"/>
      <c r="D325" s="283" t="s">
        <v>501</v>
      </c>
      <c r="E325" s="7">
        <v>2</v>
      </c>
      <c r="F325" s="7">
        <v>151907</v>
      </c>
      <c r="G325" s="7">
        <f>0+'[2]táj.2'!G325</f>
        <v>0</v>
      </c>
      <c r="H325" s="7">
        <f>0+'[2]táj.2'!H325</f>
        <v>0</v>
      </c>
      <c r="I325" s="7">
        <f>179070+'[2]táj.2'!I325</f>
        <v>179070</v>
      </c>
      <c r="J325" s="7">
        <f>0+'[2]táj.2'!J325</f>
        <v>0</v>
      </c>
      <c r="K325" s="7">
        <f>0+'[2]táj.2'!K325</f>
        <v>0</v>
      </c>
      <c r="L325" s="7">
        <f>0+'[2]táj.2'!L325</f>
        <v>0</v>
      </c>
      <c r="M325" s="7">
        <f>0+'[2]táj.2'!M325</f>
        <v>0</v>
      </c>
      <c r="N325" s="7">
        <f>0+'[2]táj.2'!N325</f>
        <v>0</v>
      </c>
      <c r="O325" s="7">
        <f>0+'[2]táj.2'!O325</f>
        <v>0</v>
      </c>
      <c r="P325" s="7">
        <f>0+'[2]táj.2'!P325</f>
        <v>0</v>
      </c>
      <c r="Q325" s="7">
        <f>SUM(G325:P325)</f>
        <v>179070</v>
      </c>
    </row>
    <row r="326" spans="1:17" ht="25.5">
      <c r="A326" s="198"/>
      <c r="B326" s="198"/>
      <c r="C326" s="214"/>
      <c r="D326" s="176" t="s">
        <v>919</v>
      </c>
      <c r="E326" s="7">
        <v>2</v>
      </c>
      <c r="F326" s="7">
        <v>151924</v>
      </c>
      <c r="G326" s="7">
        <f>0+'[2]táj.2'!G326</f>
        <v>0</v>
      </c>
      <c r="H326" s="7">
        <f>0+'[2]táj.2'!H326</f>
        <v>0</v>
      </c>
      <c r="I326" s="7">
        <f>2000+'[2]táj.2'!I326</f>
        <v>2000</v>
      </c>
      <c r="J326" s="7">
        <f>0+'[2]táj.2'!J326</f>
        <v>0</v>
      </c>
      <c r="K326" s="7">
        <f>0+'[2]táj.2'!K326</f>
        <v>0</v>
      </c>
      <c r="L326" s="7">
        <f>0+'[2]táj.2'!L326</f>
        <v>0</v>
      </c>
      <c r="M326" s="7">
        <f>0+'[2]táj.2'!M326</f>
        <v>0</v>
      </c>
      <c r="N326" s="7">
        <f>0+'[2]táj.2'!N326</f>
        <v>0</v>
      </c>
      <c r="O326" s="7">
        <f>0+'[2]táj.2'!O326</f>
        <v>0</v>
      </c>
      <c r="P326" s="7">
        <f>0+'[2]táj.2'!P326</f>
        <v>0</v>
      </c>
      <c r="Q326" s="7">
        <f>SUM(G326:P326)</f>
        <v>2000</v>
      </c>
    </row>
    <row r="327" spans="1:17" ht="12.75">
      <c r="A327" s="198"/>
      <c r="B327" s="198"/>
      <c r="C327" s="214"/>
      <c r="D327" s="294" t="s">
        <v>920</v>
      </c>
      <c r="E327" s="207"/>
      <c r="F327" s="20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>
      <c r="A328" s="198"/>
      <c r="B328" s="198"/>
      <c r="C328" s="214"/>
      <c r="D328" s="294" t="s">
        <v>921</v>
      </c>
      <c r="E328" s="207">
        <v>1</v>
      </c>
      <c r="F328" s="7">
        <v>151801</v>
      </c>
      <c r="G328" s="7">
        <f>0+'[2]táj.2'!G328</f>
        <v>0</v>
      </c>
      <c r="H328" s="7">
        <f>0+'[2]táj.2'!H328</f>
        <v>0</v>
      </c>
      <c r="I328" s="7">
        <f>0+'[2]táj.2'!I328</f>
        <v>0</v>
      </c>
      <c r="J328" s="7">
        <f>0+'[2]táj.2'!J328</f>
        <v>0</v>
      </c>
      <c r="K328" s="7">
        <f>27911+'[2]táj.2'!K328</f>
        <v>27911</v>
      </c>
      <c r="L328" s="7">
        <f>0+'[2]táj.2'!L328</f>
        <v>0</v>
      </c>
      <c r="M328" s="7">
        <f>0+'[2]táj.2'!M328</f>
        <v>0</v>
      </c>
      <c r="N328" s="7">
        <f>0+'[2]táj.2'!N328</f>
        <v>0</v>
      </c>
      <c r="O328" s="7">
        <f>0+'[2]táj.2'!O328</f>
        <v>0</v>
      </c>
      <c r="P328" s="7">
        <f>0+'[2]táj.2'!P328</f>
        <v>0</v>
      </c>
      <c r="Q328" s="7">
        <f>SUM(G328:P328)</f>
        <v>27911</v>
      </c>
    </row>
    <row r="329" spans="1:17" ht="12.75">
      <c r="A329" s="198"/>
      <c r="B329" s="198"/>
      <c r="C329" s="214"/>
      <c r="D329" s="294" t="s">
        <v>922</v>
      </c>
      <c r="E329" s="207">
        <v>1</v>
      </c>
      <c r="F329" s="7">
        <v>151803</v>
      </c>
      <c r="G329" s="7">
        <f>0+'[2]táj.2'!G329</f>
        <v>0</v>
      </c>
      <c r="H329" s="7">
        <f>0+'[2]táj.2'!H329</f>
        <v>0</v>
      </c>
      <c r="I329" s="7">
        <f>500+'[2]táj.2'!I329</f>
        <v>500</v>
      </c>
      <c r="J329" s="7">
        <f>0+'[2]táj.2'!J329</f>
        <v>0</v>
      </c>
      <c r="K329" s="7">
        <f>0+'[2]táj.2'!K329</f>
        <v>0</v>
      </c>
      <c r="L329" s="7">
        <f>0+'[2]táj.2'!L329</f>
        <v>0</v>
      </c>
      <c r="M329" s="7">
        <f>0+'[2]táj.2'!M329</f>
        <v>0</v>
      </c>
      <c r="N329" s="7">
        <f>0+'[2]táj.2'!N329</f>
        <v>0</v>
      </c>
      <c r="O329" s="7">
        <f>0+'[2]táj.2'!O329</f>
        <v>0</v>
      </c>
      <c r="P329" s="7">
        <f>0+'[2]táj.2'!P329</f>
        <v>0</v>
      </c>
      <c r="Q329" s="7">
        <f>SUM(G329:P329)</f>
        <v>500</v>
      </c>
    </row>
    <row r="330" spans="1:17" ht="12.75">
      <c r="A330" s="198"/>
      <c r="B330" s="198"/>
      <c r="C330" s="214"/>
      <c r="D330" s="306" t="s">
        <v>923</v>
      </c>
      <c r="E330" s="209">
        <v>1</v>
      </c>
      <c r="F330" s="7">
        <v>151802</v>
      </c>
      <c r="G330" s="7">
        <f>0+'[2]táj.2'!G330</f>
        <v>0</v>
      </c>
      <c r="H330" s="7">
        <f>0+'[2]táj.2'!H330</f>
        <v>0</v>
      </c>
      <c r="I330" s="7">
        <f>1500+'[2]táj.2'!I330</f>
        <v>1500</v>
      </c>
      <c r="J330" s="7">
        <f>0+'[2]táj.2'!J330</f>
        <v>0</v>
      </c>
      <c r="K330" s="7">
        <f>0+'[2]táj.2'!K330</f>
        <v>0</v>
      </c>
      <c r="L330" s="7">
        <f>0+'[2]táj.2'!L330</f>
        <v>0</v>
      </c>
      <c r="M330" s="7">
        <f>0+'[2]táj.2'!M330</f>
        <v>0</v>
      </c>
      <c r="N330" s="7">
        <f>0+'[2]táj.2'!N330</f>
        <v>0</v>
      </c>
      <c r="O330" s="7">
        <f>0+'[2]táj.2'!O330</f>
        <v>0</v>
      </c>
      <c r="P330" s="7">
        <f>0+'[2]táj.2'!P330</f>
        <v>0</v>
      </c>
      <c r="Q330" s="7">
        <f>SUM(G330:P330)</f>
        <v>1500</v>
      </c>
    </row>
    <row r="331" spans="1:17" ht="12.75">
      <c r="A331" s="198"/>
      <c r="B331" s="198"/>
      <c r="C331" s="214"/>
      <c r="D331" s="294" t="s">
        <v>924</v>
      </c>
      <c r="E331" s="207"/>
      <c r="F331" s="20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>
      <c r="A332" s="198"/>
      <c r="B332" s="198"/>
      <c r="C332" s="214"/>
      <c r="D332" s="294" t="s">
        <v>925</v>
      </c>
      <c r="E332" s="7">
        <v>1</v>
      </c>
      <c r="F332" s="7">
        <v>151201</v>
      </c>
      <c r="G332" s="7">
        <f>0+'[2]táj.2'!G332</f>
        <v>0</v>
      </c>
      <c r="H332" s="7">
        <f>0+'[2]táj.2'!H332</f>
        <v>0</v>
      </c>
      <c r="I332" s="7">
        <f>134064+'[2]táj.2'!I332</f>
        <v>134064</v>
      </c>
      <c r="J332" s="7">
        <f>0+'[2]táj.2'!J332</f>
        <v>0</v>
      </c>
      <c r="K332" s="7">
        <f>0+'[2]táj.2'!K332</f>
        <v>0</v>
      </c>
      <c r="L332" s="7">
        <f>0+'[2]táj.2'!L332</f>
        <v>0</v>
      </c>
      <c r="M332" s="7">
        <f>0+'[2]táj.2'!M332</f>
        <v>0</v>
      </c>
      <c r="N332" s="7">
        <f>0+'[2]táj.2'!N332</f>
        <v>0</v>
      </c>
      <c r="O332" s="7">
        <f>0+'[2]táj.2'!O332</f>
        <v>0</v>
      </c>
      <c r="P332" s="7">
        <f>0+'[2]táj.2'!P332</f>
        <v>0</v>
      </c>
      <c r="Q332" s="7">
        <f aca="true" t="shared" si="20" ref="Q332:Q338">SUM(G332:P332)</f>
        <v>134064</v>
      </c>
    </row>
    <row r="333" spans="1:17" ht="12.75">
      <c r="A333" s="198"/>
      <c r="B333" s="198"/>
      <c r="C333" s="214"/>
      <c r="D333" s="294" t="s">
        <v>926</v>
      </c>
      <c r="E333" s="207">
        <v>1</v>
      </c>
      <c r="F333" s="7">
        <v>151204</v>
      </c>
      <c r="G333" s="7">
        <f>0+'[2]táj.2'!G333</f>
        <v>0</v>
      </c>
      <c r="H333" s="7">
        <f>0+'[2]táj.2'!H333</f>
        <v>0</v>
      </c>
      <c r="I333" s="7">
        <f>2207+'[2]táj.2'!I333</f>
        <v>2207</v>
      </c>
      <c r="J333" s="7">
        <f>0+'[2]táj.2'!J333</f>
        <v>0</v>
      </c>
      <c r="K333" s="7">
        <f>0+'[2]táj.2'!K333</f>
        <v>0</v>
      </c>
      <c r="L333" s="7">
        <f>0+'[2]táj.2'!L333</f>
        <v>0</v>
      </c>
      <c r="M333" s="7">
        <f>0+'[2]táj.2'!M333</f>
        <v>0</v>
      </c>
      <c r="N333" s="7">
        <f>0+'[2]táj.2'!N333</f>
        <v>0</v>
      </c>
      <c r="O333" s="7">
        <f>0+'[2]táj.2'!O333</f>
        <v>0</v>
      </c>
      <c r="P333" s="7">
        <f>0+'[2]táj.2'!P333</f>
        <v>0</v>
      </c>
      <c r="Q333" s="7">
        <f t="shared" si="20"/>
        <v>2207</v>
      </c>
    </row>
    <row r="334" spans="1:17" ht="12.75">
      <c r="A334" s="198"/>
      <c r="B334" s="198"/>
      <c r="C334" s="214"/>
      <c r="D334" s="294" t="s">
        <v>927</v>
      </c>
      <c r="E334" s="207">
        <v>1</v>
      </c>
      <c r="F334" s="7">
        <v>151202</v>
      </c>
      <c r="G334" s="7">
        <f>0+'[2]táj.2'!G334</f>
        <v>0</v>
      </c>
      <c r="H334" s="7">
        <f>0+'[2]táj.2'!H334</f>
        <v>0</v>
      </c>
      <c r="I334" s="7">
        <f>22455+'[2]táj.2'!I334</f>
        <v>22455</v>
      </c>
      <c r="J334" s="7">
        <f>0+'[2]táj.2'!J334</f>
        <v>0</v>
      </c>
      <c r="K334" s="7">
        <f>0+'[2]táj.2'!K334</f>
        <v>0</v>
      </c>
      <c r="L334" s="7">
        <f>0+'[2]táj.2'!L334</f>
        <v>0</v>
      </c>
      <c r="M334" s="7">
        <f>0+'[2]táj.2'!M334</f>
        <v>0</v>
      </c>
      <c r="N334" s="7">
        <f>0+'[2]táj.2'!N334</f>
        <v>0</v>
      </c>
      <c r="O334" s="7">
        <f>0+'[2]táj.2'!O334</f>
        <v>0</v>
      </c>
      <c r="P334" s="7">
        <f>0+'[2]táj.2'!P334</f>
        <v>0</v>
      </c>
      <c r="Q334" s="7">
        <f t="shared" si="20"/>
        <v>22455</v>
      </c>
    </row>
    <row r="335" spans="1:17" ht="12.75">
      <c r="A335" s="198"/>
      <c r="B335" s="198"/>
      <c r="C335" s="214"/>
      <c r="D335" s="294" t="s">
        <v>928</v>
      </c>
      <c r="E335" s="207">
        <v>1</v>
      </c>
      <c r="F335" s="7">
        <v>151205</v>
      </c>
      <c r="G335" s="7">
        <f>0+'[2]táj.2'!G335</f>
        <v>0</v>
      </c>
      <c r="H335" s="7">
        <f>0+'[2]táj.2'!H335</f>
        <v>0</v>
      </c>
      <c r="I335" s="7">
        <f>1000+'[2]táj.2'!I335</f>
        <v>1000</v>
      </c>
      <c r="J335" s="7">
        <f>0+'[2]táj.2'!J335</f>
        <v>0</v>
      </c>
      <c r="K335" s="7">
        <f>0+'[2]táj.2'!K335</f>
        <v>0</v>
      </c>
      <c r="L335" s="7">
        <f>0+'[2]táj.2'!L335</f>
        <v>0</v>
      </c>
      <c r="M335" s="7">
        <f>0+'[2]táj.2'!M335</f>
        <v>0</v>
      </c>
      <c r="N335" s="7">
        <f>0+'[2]táj.2'!N335</f>
        <v>0</v>
      </c>
      <c r="O335" s="7">
        <f>0+'[2]táj.2'!O335</f>
        <v>0</v>
      </c>
      <c r="P335" s="7">
        <f>0+'[2]táj.2'!P335</f>
        <v>0</v>
      </c>
      <c r="Q335" s="7">
        <f t="shared" si="20"/>
        <v>1000</v>
      </c>
    </row>
    <row r="336" spans="1:17" ht="25.5">
      <c r="A336" s="198"/>
      <c r="B336" s="198"/>
      <c r="C336" s="214"/>
      <c r="D336" s="174" t="s">
        <v>929</v>
      </c>
      <c r="E336" s="207">
        <v>2</v>
      </c>
      <c r="F336" s="7">
        <v>151207</v>
      </c>
      <c r="G336" s="7">
        <f>0+'[2]táj.2'!G336</f>
        <v>0</v>
      </c>
      <c r="H336" s="7">
        <f>0+'[2]táj.2'!H336</f>
        <v>0</v>
      </c>
      <c r="I336" s="7">
        <f>500+'[2]táj.2'!I336</f>
        <v>500</v>
      </c>
      <c r="J336" s="7">
        <f>0+'[2]táj.2'!J336</f>
        <v>0</v>
      </c>
      <c r="K336" s="7">
        <f>0+'[2]táj.2'!K336</f>
        <v>0</v>
      </c>
      <c r="L336" s="7">
        <f>0+'[2]táj.2'!L336</f>
        <v>0</v>
      </c>
      <c r="M336" s="7">
        <f>0+'[2]táj.2'!M336</f>
        <v>0</v>
      </c>
      <c r="N336" s="7">
        <f>0+'[2]táj.2'!N336</f>
        <v>0</v>
      </c>
      <c r="O336" s="7">
        <f>0+'[2]táj.2'!O336</f>
        <v>0</v>
      </c>
      <c r="P336" s="7">
        <f>0+'[2]táj.2'!P336</f>
        <v>0</v>
      </c>
      <c r="Q336" s="7">
        <f t="shared" si="20"/>
        <v>500</v>
      </c>
    </row>
    <row r="337" spans="1:17" ht="12.75">
      <c r="A337" s="198"/>
      <c r="B337" s="198"/>
      <c r="C337" s="214"/>
      <c r="D337" s="294" t="s">
        <v>930</v>
      </c>
      <c r="E337" s="207">
        <v>1</v>
      </c>
      <c r="F337" s="7">
        <v>151902</v>
      </c>
      <c r="G337" s="7">
        <f>7800+'[2]táj.2'!G337</f>
        <v>7800</v>
      </c>
      <c r="H337" s="7">
        <f>1350+'[2]táj.2'!H337</f>
        <v>1350</v>
      </c>
      <c r="I337" s="7">
        <f>5976+'[2]táj.2'!I337</f>
        <v>5976</v>
      </c>
      <c r="J337" s="7">
        <f>0+'[2]táj.2'!J337</f>
        <v>0</v>
      </c>
      <c r="K337" s="7">
        <f>0+'[2]táj.2'!K337</f>
        <v>0</v>
      </c>
      <c r="L337" s="7">
        <f>0+'[2]táj.2'!L337</f>
        <v>0</v>
      </c>
      <c r="M337" s="7">
        <f>0+'[2]táj.2'!M337</f>
        <v>0</v>
      </c>
      <c r="N337" s="7">
        <f>0+'[2]táj.2'!N337</f>
        <v>0</v>
      </c>
      <c r="O337" s="7">
        <f>0+'[2]táj.2'!O337</f>
        <v>0</v>
      </c>
      <c r="P337" s="7">
        <f>0+'[2]táj.2'!P337</f>
        <v>0</v>
      </c>
      <c r="Q337" s="7">
        <f t="shared" si="20"/>
        <v>15126</v>
      </c>
    </row>
    <row r="338" spans="1:17" ht="25.5">
      <c r="A338" s="198"/>
      <c r="B338" s="198"/>
      <c r="C338" s="214"/>
      <c r="D338" s="174" t="s">
        <v>931</v>
      </c>
      <c r="E338" s="207"/>
      <c r="F338" s="7">
        <v>151925</v>
      </c>
      <c r="G338" s="7">
        <f>0+'[2]táj.2'!G338</f>
        <v>0</v>
      </c>
      <c r="H338" s="7">
        <f>0+'[2]táj.2'!H338</f>
        <v>0</v>
      </c>
      <c r="I338" s="7">
        <f>3000+'[2]táj.2'!I338</f>
        <v>3000</v>
      </c>
      <c r="J338" s="7">
        <f>0+'[2]táj.2'!J338</f>
        <v>0</v>
      </c>
      <c r="K338" s="7">
        <f>0+'[2]táj.2'!K338</f>
        <v>0</v>
      </c>
      <c r="L338" s="7">
        <f>0+'[2]táj.2'!L338</f>
        <v>0</v>
      </c>
      <c r="M338" s="7">
        <f>0+'[2]táj.2'!M338</f>
        <v>0</v>
      </c>
      <c r="N338" s="7">
        <f>0+'[2]táj.2'!N338</f>
        <v>0</v>
      </c>
      <c r="O338" s="7">
        <f>0+'[2]táj.2'!O338</f>
        <v>0</v>
      </c>
      <c r="P338" s="7">
        <f>0+'[2]táj.2'!P338</f>
        <v>0</v>
      </c>
      <c r="Q338" s="7">
        <f t="shared" si="20"/>
        <v>3000</v>
      </c>
    </row>
    <row r="339" spans="1:17" ht="12.75">
      <c r="A339" s="198"/>
      <c r="B339" s="198"/>
      <c r="C339" s="214"/>
      <c r="D339" s="176" t="s">
        <v>514</v>
      </c>
      <c r="E339" s="232"/>
      <c r="F339" s="232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25.5">
      <c r="A340" s="198"/>
      <c r="B340" s="198"/>
      <c r="C340" s="214"/>
      <c r="D340" s="176" t="s">
        <v>932</v>
      </c>
      <c r="E340" s="180">
        <v>2</v>
      </c>
      <c r="F340" s="29">
        <v>151910</v>
      </c>
      <c r="G340" s="7">
        <f>0+'[2]táj.2'!G340</f>
        <v>0</v>
      </c>
      <c r="H340" s="7">
        <f>0+'[2]táj.2'!H340</f>
        <v>0</v>
      </c>
      <c r="I340" s="7">
        <f>180190+'[2]táj.2'!I340</f>
        <v>180190</v>
      </c>
      <c r="J340" s="7">
        <f>0+'[2]táj.2'!J340</f>
        <v>0</v>
      </c>
      <c r="K340" s="7">
        <f>0+'[2]táj.2'!K340</f>
        <v>0</v>
      </c>
      <c r="L340" s="7">
        <f>0+'[2]táj.2'!L340</f>
        <v>0</v>
      </c>
      <c r="M340" s="7">
        <f>0+'[2]táj.2'!M340</f>
        <v>0</v>
      </c>
      <c r="N340" s="7">
        <f>0+'[2]táj.2'!N340</f>
        <v>0</v>
      </c>
      <c r="O340" s="7">
        <f>0+'[2]táj.2'!O340</f>
        <v>0</v>
      </c>
      <c r="P340" s="7">
        <f>0+'[2]táj.2'!P340</f>
        <v>0</v>
      </c>
      <c r="Q340" s="7">
        <f>SUM(G340:P340)</f>
        <v>180190</v>
      </c>
    </row>
    <row r="341" spans="1:17" ht="25.5">
      <c r="A341" s="198"/>
      <c r="B341" s="198"/>
      <c r="C341" s="214"/>
      <c r="D341" s="176" t="s">
        <v>578</v>
      </c>
      <c r="E341" s="180"/>
      <c r="F341" s="232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5.5">
      <c r="A342" s="198"/>
      <c r="B342" s="198"/>
      <c r="C342" s="214"/>
      <c r="D342" s="176" t="s">
        <v>933</v>
      </c>
      <c r="E342" s="180">
        <v>1</v>
      </c>
      <c r="F342" s="29">
        <v>152915</v>
      </c>
      <c r="G342" s="7">
        <f>0+'[2]táj.2'!G342</f>
        <v>0</v>
      </c>
      <c r="H342" s="7">
        <f>0+'[2]táj.2'!H342</f>
        <v>0</v>
      </c>
      <c r="I342" s="7">
        <f>15808+'[2]táj.2'!I342</f>
        <v>15808</v>
      </c>
      <c r="J342" s="7">
        <f>0+'[2]táj.2'!J342</f>
        <v>0</v>
      </c>
      <c r="K342" s="7">
        <f>0+'[2]táj.2'!K342</f>
        <v>0</v>
      </c>
      <c r="L342" s="7">
        <f>0+'[2]táj.2'!L342</f>
        <v>0</v>
      </c>
      <c r="M342" s="7">
        <f>0+'[2]táj.2'!M342</f>
        <v>0</v>
      </c>
      <c r="N342" s="7">
        <f>0+'[2]táj.2'!N342</f>
        <v>0</v>
      </c>
      <c r="O342" s="7">
        <f>0+'[2]táj.2'!O342</f>
        <v>0</v>
      </c>
      <c r="P342" s="7">
        <f>0+'[2]táj.2'!P342</f>
        <v>0</v>
      </c>
      <c r="Q342" s="7">
        <f>SUM(G342:P342)</f>
        <v>15808</v>
      </c>
    </row>
    <row r="343" spans="1:17" ht="12.75">
      <c r="A343" s="198"/>
      <c r="B343" s="198"/>
      <c r="C343" s="214"/>
      <c r="D343" s="294" t="s">
        <v>934</v>
      </c>
      <c r="E343" s="207"/>
      <c r="F343" s="20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198"/>
      <c r="B344" s="198"/>
      <c r="C344" s="214"/>
      <c r="D344" s="294" t="s">
        <v>935</v>
      </c>
      <c r="E344" s="7">
        <v>1</v>
      </c>
      <c r="F344" s="7">
        <v>151704</v>
      </c>
      <c r="G344" s="7">
        <f>0+'[2]táj.2'!G344</f>
        <v>0</v>
      </c>
      <c r="H344" s="7">
        <f>0+'[2]táj.2'!H344</f>
        <v>0</v>
      </c>
      <c r="I344" s="7">
        <f>0+'[2]táj.2'!I344</f>
        <v>0</v>
      </c>
      <c r="J344" s="7">
        <f>0+'[2]táj.2'!J344</f>
        <v>0</v>
      </c>
      <c r="K344" s="7">
        <f>250+'[2]táj.2'!K344</f>
        <v>250</v>
      </c>
      <c r="L344" s="7">
        <f>0+'[2]táj.2'!L344</f>
        <v>0</v>
      </c>
      <c r="M344" s="7">
        <f>0+'[2]táj.2'!M344</f>
        <v>0</v>
      </c>
      <c r="N344" s="7">
        <f>0+'[2]táj.2'!N344</f>
        <v>0</v>
      </c>
      <c r="O344" s="7">
        <f>0+'[2]táj.2'!O344</f>
        <v>0</v>
      </c>
      <c r="P344" s="7">
        <f>0+'[2]táj.2'!P344</f>
        <v>0</v>
      </c>
      <c r="Q344" s="7">
        <f>SUM(G344:P344)</f>
        <v>250</v>
      </c>
    </row>
    <row r="345" spans="1:17" ht="13.5">
      <c r="A345" s="218"/>
      <c r="B345" s="218"/>
      <c r="C345" s="219"/>
      <c r="D345" s="307" t="s">
        <v>936</v>
      </c>
      <c r="E345" s="221"/>
      <c r="F345" s="61"/>
      <c r="G345" s="61">
        <f aca="true" t="shared" si="21" ref="G345:Q345">SUM(G233:G344)</f>
        <v>7800</v>
      </c>
      <c r="H345" s="61">
        <f t="shared" si="21"/>
        <v>1350</v>
      </c>
      <c r="I345" s="61">
        <f t="shared" si="21"/>
        <v>1823055</v>
      </c>
      <c r="J345" s="61">
        <f t="shared" si="21"/>
        <v>0</v>
      </c>
      <c r="K345" s="61">
        <f t="shared" si="21"/>
        <v>446848</v>
      </c>
      <c r="L345" s="61">
        <f t="shared" si="21"/>
        <v>400</v>
      </c>
      <c r="M345" s="61">
        <f t="shared" si="21"/>
        <v>0</v>
      </c>
      <c r="N345" s="61">
        <f t="shared" si="21"/>
        <v>0</v>
      </c>
      <c r="O345" s="61">
        <f t="shared" si="21"/>
        <v>0</v>
      </c>
      <c r="P345" s="61">
        <f t="shared" si="21"/>
        <v>0</v>
      </c>
      <c r="Q345" s="61">
        <f t="shared" si="21"/>
        <v>2279453</v>
      </c>
    </row>
    <row r="346" spans="1:17" ht="12.75">
      <c r="A346" s="170"/>
      <c r="B346" s="170"/>
      <c r="C346" s="170"/>
      <c r="D346" s="287" t="s">
        <v>653</v>
      </c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3.5">
      <c r="A347" s="170"/>
      <c r="B347" s="170"/>
      <c r="C347" s="308" t="s">
        <v>269</v>
      </c>
      <c r="D347" s="309" t="s">
        <v>937</v>
      </c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25.5">
      <c r="A348" s="170"/>
      <c r="B348" s="170"/>
      <c r="C348" s="198" t="s">
        <v>654</v>
      </c>
      <c r="D348" s="267" t="s">
        <v>938</v>
      </c>
      <c r="E348" s="643"/>
      <c r="F348" s="7">
        <v>154132</v>
      </c>
      <c r="G348" s="7">
        <f>0+'[2]táj.2'!G348</f>
        <v>0</v>
      </c>
      <c r="H348" s="7">
        <f>0+'[2]táj.2'!H348</f>
        <v>0</v>
      </c>
      <c r="I348" s="7">
        <f>0+'[2]táj.2'!I348</f>
        <v>0</v>
      </c>
      <c r="J348" s="7">
        <f>0+'[2]táj.2'!J348</f>
        <v>0</v>
      </c>
      <c r="K348" s="7">
        <f>0+'[2]táj.2'!K348</f>
        <v>0</v>
      </c>
      <c r="L348" s="7">
        <f>0+'[2]táj.2'!L348</f>
        <v>0</v>
      </c>
      <c r="M348" s="7">
        <f>2000+'[2]táj.2'!M348</f>
        <v>2000</v>
      </c>
      <c r="N348" s="7">
        <f>0+'[2]táj.2'!N348</f>
        <v>0</v>
      </c>
      <c r="O348" s="7">
        <f>0+'[2]táj.2'!O348</f>
        <v>0</v>
      </c>
      <c r="P348" s="7">
        <f>0+'[2]táj.2'!P348</f>
        <v>0</v>
      </c>
      <c r="Q348" s="7">
        <f>SUM(G348:P348)</f>
        <v>2000</v>
      </c>
    </row>
    <row r="349" spans="1:17" ht="12.75">
      <c r="A349" s="170"/>
      <c r="B349" s="170"/>
      <c r="C349" s="198" t="s">
        <v>939</v>
      </c>
      <c r="D349" s="820" t="s">
        <v>940</v>
      </c>
      <c r="E349" s="643"/>
      <c r="F349" s="7">
        <v>152130</v>
      </c>
      <c r="G349" s="7">
        <f>0+'[2]táj.2'!G349</f>
        <v>0</v>
      </c>
      <c r="H349" s="7">
        <f>0+'[2]táj.2'!H349</f>
        <v>0</v>
      </c>
      <c r="I349" s="7">
        <f>0+'[2]táj.2'!I349</f>
        <v>0</v>
      </c>
      <c r="J349" s="7">
        <f>0+'[2]táj.2'!J349</f>
        <v>0</v>
      </c>
      <c r="K349" s="7">
        <f>0+'[2]táj.2'!K349</f>
        <v>0</v>
      </c>
      <c r="L349" s="7">
        <f>3000+'[2]táj.2'!L349</f>
        <v>3000</v>
      </c>
      <c r="M349" s="7">
        <f>0+'[2]táj.2'!M349</f>
        <v>0</v>
      </c>
      <c r="N349" s="7">
        <f>0+'[2]táj.2'!N349</f>
        <v>0</v>
      </c>
      <c r="O349" s="7">
        <f>0+'[2]táj.2'!O349</f>
        <v>0</v>
      </c>
      <c r="P349" s="7">
        <f>0+'[2]táj.2'!P349</f>
        <v>0</v>
      </c>
      <c r="Q349" s="7">
        <f>SUM(G349:P349)</f>
        <v>3000</v>
      </c>
    </row>
    <row r="350" spans="1:17" ht="12.75">
      <c r="A350" s="170"/>
      <c r="B350" s="170"/>
      <c r="C350" s="198" t="s">
        <v>941</v>
      </c>
      <c r="D350" s="689" t="s">
        <v>942</v>
      </c>
      <c r="E350" s="643"/>
      <c r="F350" s="7">
        <v>152112</v>
      </c>
      <c r="G350" s="7">
        <f>0+'[2]táj.2'!G350</f>
        <v>0</v>
      </c>
      <c r="H350" s="7">
        <f>0+'[2]táj.2'!H350</f>
        <v>0</v>
      </c>
      <c r="I350" s="7">
        <f>0+'[2]táj.2'!I350</f>
        <v>0</v>
      </c>
      <c r="J350" s="7">
        <f>0+'[2]táj.2'!J350</f>
        <v>0</v>
      </c>
      <c r="K350" s="7">
        <f>0+'[2]táj.2'!K350</f>
        <v>0</v>
      </c>
      <c r="L350" s="7">
        <f>13000+'[2]táj.2'!L350</f>
        <v>13000</v>
      </c>
      <c r="M350" s="7">
        <f>0+'[2]táj.2'!M350</f>
        <v>0</v>
      </c>
      <c r="N350" s="7">
        <f>0+'[2]táj.2'!N350</f>
        <v>0</v>
      </c>
      <c r="O350" s="7">
        <f>0+'[2]táj.2'!O350</f>
        <v>0</v>
      </c>
      <c r="P350" s="7">
        <f>0+'[2]táj.2'!P350</f>
        <v>0</v>
      </c>
      <c r="Q350" s="7">
        <f aca="true" t="shared" si="22" ref="Q350:Q355">SUM(G350:P350)</f>
        <v>13000</v>
      </c>
    </row>
    <row r="351" spans="1:17" ht="12.75">
      <c r="A351" s="170"/>
      <c r="B351" s="170"/>
      <c r="C351" s="198" t="s">
        <v>943</v>
      </c>
      <c r="D351" s="821" t="s">
        <v>944</v>
      </c>
      <c r="E351" s="643"/>
      <c r="F351" s="7">
        <v>152131</v>
      </c>
      <c r="G351" s="7">
        <f>0+'[2]táj.2'!G351</f>
        <v>0</v>
      </c>
      <c r="H351" s="7">
        <f>0+'[2]táj.2'!H351</f>
        <v>0</v>
      </c>
      <c r="I351" s="7">
        <f>0+'[2]táj.2'!I351</f>
        <v>0</v>
      </c>
      <c r="J351" s="7">
        <f>0+'[2]táj.2'!J351</f>
        <v>0</v>
      </c>
      <c r="K351" s="7">
        <f>0+'[2]táj.2'!K351</f>
        <v>0</v>
      </c>
      <c r="L351" s="7">
        <f>2000+'[2]táj.2'!L351</f>
        <v>2000</v>
      </c>
      <c r="M351" s="7">
        <f>0+'[2]táj.2'!M351</f>
        <v>0</v>
      </c>
      <c r="N351" s="7">
        <f>0+'[2]táj.2'!N351</f>
        <v>0</v>
      </c>
      <c r="O351" s="7">
        <f>0+'[2]táj.2'!O351</f>
        <v>0</v>
      </c>
      <c r="P351" s="7">
        <f>0+'[2]táj.2'!P351</f>
        <v>0</v>
      </c>
      <c r="Q351" s="7">
        <f t="shared" si="22"/>
        <v>2000</v>
      </c>
    </row>
    <row r="352" spans="1:17" ht="12.75">
      <c r="A352" s="170"/>
      <c r="B352" s="170"/>
      <c r="C352" s="198" t="s">
        <v>945</v>
      </c>
      <c r="D352" s="690" t="s">
        <v>946</v>
      </c>
      <c r="E352" s="643"/>
      <c r="F352" s="7">
        <v>152132</v>
      </c>
      <c r="G352" s="7">
        <f>0+'[2]táj.2'!G352</f>
        <v>0</v>
      </c>
      <c r="H352" s="7">
        <f>0+'[2]táj.2'!H352</f>
        <v>0</v>
      </c>
      <c r="I352" s="7">
        <f>0+'[2]táj.2'!I352</f>
        <v>0</v>
      </c>
      <c r="J352" s="7">
        <f>0+'[2]táj.2'!J352</f>
        <v>0</v>
      </c>
      <c r="K352" s="7">
        <f>0+'[2]táj.2'!K352</f>
        <v>0</v>
      </c>
      <c r="L352" s="7">
        <f>2000+'[2]táj.2'!L352</f>
        <v>2000</v>
      </c>
      <c r="M352" s="7">
        <f>0+'[2]táj.2'!M352</f>
        <v>0</v>
      </c>
      <c r="N352" s="7">
        <f>0+'[2]táj.2'!N352</f>
        <v>0</v>
      </c>
      <c r="O352" s="7">
        <f>0+'[2]táj.2'!O352</f>
        <v>0</v>
      </c>
      <c r="P352" s="7">
        <f>0+'[2]táj.2'!P352</f>
        <v>0</v>
      </c>
      <c r="Q352" s="7">
        <f t="shared" si="22"/>
        <v>2000</v>
      </c>
    </row>
    <row r="353" spans="1:17" ht="12.75">
      <c r="A353" s="170"/>
      <c r="B353" s="170"/>
      <c r="C353" s="198" t="s">
        <v>947</v>
      </c>
      <c r="D353" s="690" t="s">
        <v>948</v>
      </c>
      <c r="E353" s="643"/>
      <c r="F353" s="7">
        <v>152133</v>
      </c>
      <c r="G353" s="7">
        <f>0+'[2]táj.2'!G353</f>
        <v>0</v>
      </c>
      <c r="H353" s="7">
        <f>0+'[2]táj.2'!H353</f>
        <v>0</v>
      </c>
      <c r="I353" s="7">
        <f>0+'[2]táj.2'!I353</f>
        <v>0</v>
      </c>
      <c r="J353" s="7">
        <f>0+'[2]táj.2'!J353</f>
        <v>0</v>
      </c>
      <c r="K353" s="7">
        <f>0+'[2]táj.2'!K353</f>
        <v>0</v>
      </c>
      <c r="L353" s="7">
        <f>1500+'[2]táj.2'!L353</f>
        <v>1500</v>
      </c>
      <c r="M353" s="7">
        <f>0+'[2]táj.2'!M353</f>
        <v>0</v>
      </c>
      <c r="N353" s="7">
        <f>0+'[2]táj.2'!N353</f>
        <v>0</v>
      </c>
      <c r="O353" s="7">
        <f>0+'[2]táj.2'!O353</f>
        <v>0</v>
      </c>
      <c r="P353" s="7">
        <f>0+'[2]táj.2'!P353</f>
        <v>0</v>
      </c>
      <c r="Q353" s="7">
        <f t="shared" si="22"/>
        <v>1500</v>
      </c>
    </row>
    <row r="354" spans="1:17" ht="12">
      <c r="A354" s="170"/>
      <c r="B354" s="170"/>
      <c r="C354" s="198" t="s">
        <v>949</v>
      </c>
      <c r="D354" s="326" t="s">
        <v>950</v>
      </c>
      <c r="E354" s="643"/>
      <c r="F354" s="7">
        <v>152134</v>
      </c>
      <c r="G354" s="7">
        <f>0+'[2]táj.2'!G354</f>
        <v>0</v>
      </c>
      <c r="H354" s="7">
        <f>0+'[2]táj.2'!H354</f>
        <v>0</v>
      </c>
      <c r="I354" s="7">
        <f>0+'[2]táj.2'!I354</f>
        <v>0</v>
      </c>
      <c r="J354" s="7">
        <f>0+'[2]táj.2'!J354</f>
        <v>0</v>
      </c>
      <c r="K354" s="7">
        <f>0+'[2]táj.2'!K354</f>
        <v>0</v>
      </c>
      <c r="L354" s="7">
        <f>0+'[2]táj.2'!L354</f>
        <v>0</v>
      </c>
      <c r="M354" s="7">
        <f>0+'[2]táj.2'!M354</f>
        <v>0</v>
      </c>
      <c r="N354" s="7">
        <f>0+'[2]táj.2'!N354</f>
        <v>0</v>
      </c>
      <c r="O354" s="7">
        <f>0+'[2]táj.2'!O354</f>
        <v>0</v>
      </c>
      <c r="P354" s="7">
        <f>0+'[2]táj.2'!P354</f>
        <v>0</v>
      </c>
      <c r="Q354" s="7">
        <f t="shared" si="22"/>
        <v>0</v>
      </c>
    </row>
    <row r="355" spans="1:17" ht="12">
      <c r="A355" s="170"/>
      <c r="B355" s="170"/>
      <c r="C355" s="198" t="s">
        <v>951</v>
      </c>
      <c r="D355" s="310" t="s">
        <v>952</v>
      </c>
      <c r="E355" s="643"/>
      <c r="F355" s="7">
        <v>152135</v>
      </c>
      <c r="G355" s="7">
        <f>0+'[2]táj.2'!G355</f>
        <v>0</v>
      </c>
      <c r="H355" s="7">
        <f>0+'[2]táj.2'!H355</f>
        <v>0</v>
      </c>
      <c r="I355" s="7">
        <f>0+'[2]táj.2'!I355</f>
        <v>0</v>
      </c>
      <c r="J355" s="7">
        <f>0+'[2]táj.2'!J355</f>
        <v>0</v>
      </c>
      <c r="K355" s="7">
        <f>0+'[2]táj.2'!K355</f>
        <v>0</v>
      </c>
      <c r="L355" s="7">
        <f>3458+'[2]táj.2'!L355</f>
        <v>3458</v>
      </c>
      <c r="M355" s="7">
        <f>0+'[2]táj.2'!M355</f>
        <v>0</v>
      </c>
      <c r="N355" s="7">
        <f>0+'[2]táj.2'!N355</f>
        <v>0</v>
      </c>
      <c r="O355" s="7">
        <f>0+'[2]táj.2'!O355</f>
        <v>0</v>
      </c>
      <c r="P355" s="7">
        <f>0+'[2]táj.2'!P355</f>
        <v>0</v>
      </c>
      <c r="Q355" s="7">
        <f t="shared" si="22"/>
        <v>3458</v>
      </c>
    </row>
    <row r="356" spans="1:17" ht="12.75">
      <c r="A356" s="170"/>
      <c r="B356" s="170"/>
      <c r="C356" s="311"/>
      <c r="D356" s="312" t="s">
        <v>656</v>
      </c>
      <c r="E356" s="9"/>
      <c r="F356" s="8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170"/>
      <c r="B357" s="308"/>
      <c r="C357" s="313" t="s">
        <v>657</v>
      </c>
      <c r="D357" s="236" t="s">
        <v>82</v>
      </c>
      <c r="E357" s="643"/>
      <c r="F357" s="7">
        <v>154103</v>
      </c>
      <c r="G357" s="7">
        <f>0+'[2]táj.2'!G357</f>
        <v>0</v>
      </c>
      <c r="H357" s="7">
        <f>0+'[2]táj.2'!H357</f>
        <v>0</v>
      </c>
      <c r="I357" s="7">
        <f>0+'[2]táj.2'!I357</f>
        <v>0</v>
      </c>
      <c r="J357" s="7">
        <f>0+'[2]táj.2'!J357</f>
        <v>0</v>
      </c>
      <c r="K357" s="7">
        <f>0+'[2]táj.2'!K357</f>
        <v>0</v>
      </c>
      <c r="L357" s="7">
        <f>0+'[2]táj.2'!L357</f>
        <v>0</v>
      </c>
      <c r="M357" s="7">
        <f>3334+'[2]táj.2'!M357</f>
        <v>3334</v>
      </c>
      <c r="N357" s="7">
        <f>0+'[2]táj.2'!N357</f>
        <v>0</v>
      </c>
      <c r="O357" s="7">
        <f>0+'[2]táj.2'!O357</f>
        <v>0</v>
      </c>
      <c r="P357" s="7">
        <f>0+'[2]táj.2'!P357</f>
        <v>0</v>
      </c>
      <c r="Q357" s="7">
        <f>SUM(G357:P357)</f>
        <v>3334</v>
      </c>
    </row>
    <row r="358" spans="1:17" ht="12.75">
      <c r="A358" s="170"/>
      <c r="B358" s="308"/>
      <c r="C358" s="313" t="s">
        <v>659</v>
      </c>
      <c r="D358" s="314" t="s">
        <v>953</v>
      </c>
      <c r="E358" s="9"/>
      <c r="F358" s="7">
        <v>152128</v>
      </c>
      <c r="G358" s="7">
        <f>0+'[2]táj.2'!G358</f>
        <v>0</v>
      </c>
      <c r="H358" s="7">
        <f>0+'[2]táj.2'!H358</f>
        <v>0</v>
      </c>
      <c r="I358" s="7">
        <f>0+'[2]táj.2'!I358</f>
        <v>0</v>
      </c>
      <c r="J358" s="7">
        <f>0+'[2]táj.2'!J358</f>
        <v>0</v>
      </c>
      <c r="K358" s="7">
        <f>0+'[2]táj.2'!K358</f>
        <v>0</v>
      </c>
      <c r="L358" s="7">
        <f>11048+'[2]táj.2'!L358</f>
        <v>11048</v>
      </c>
      <c r="M358" s="7">
        <f>0+'[2]táj.2'!M358</f>
        <v>0</v>
      </c>
      <c r="N358" s="7">
        <f>0+'[2]táj.2'!N358</f>
        <v>0</v>
      </c>
      <c r="O358" s="7">
        <f>0+'[2]táj.2'!O358</f>
        <v>0</v>
      </c>
      <c r="P358" s="7">
        <f>0+'[2]táj.2'!P358</f>
        <v>0</v>
      </c>
      <c r="Q358" s="7">
        <f>SUM(G358:P358)</f>
        <v>11048</v>
      </c>
    </row>
    <row r="359" spans="1:17" ht="12.75">
      <c r="A359" s="170"/>
      <c r="B359" s="308"/>
      <c r="C359" s="313" t="s">
        <v>954</v>
      </c>
      <c r="D359" s="314" t="s">
        <v>955</v>
      </c>
      <c r="E359" s="9"/>
      <c r="F359" s="7">
        <v>152129</v>
      </c>
      <c r="G359" s="7">
        <f>0+'[2]táj.2'!G359</f>
        <v>0</v>
      </c>
      <c r="H359" s="7">
        <f>0+'[2]táj.2'!H359</f>
        <v>0</v>
      </c>
      <c r="I359" s="7">
        <f>0+'[2]táj.2'!I359</f>
        <v>0</v>
      </c>
      <c r="J359" s="7">
        <f>0+'[2]táj.2'!J359</f>
        <v>0</v>
      </c>
      <c r="K359" s="7">
        <f>0+'[2]táj.2'!K359</f>
        <v>0</v>
      </c>
      <c r="L359" s="7">
        <f>5715+'[2]táj.2'!L359</f>
        <v>5715</v>
      </c>
      <c r="M359" s="7">
        <f>0+'[2]táj.2'!M359</f>
        <v>0</v>
      </c>
      <c r="N359" s="7">
        <f>0+'[2]táj.2'!N359</f>
        <v>0</v>
      </c>
      <c r="O359" s="7">
        <f>0+'[2]táj.2'!O359</f>
        <v>0</v>
      </c>
      <c r="P359" s="7">
        <f>0+'[2]táj.2'!P359</f>
        <v>0</v>
      </c>
      <c r="Q359" s="7">
        <f>SUM(G359:P359)</f>
        <v>5715</v>
      </c>
    </row>
    <row r="360" spans="1:17" ht="25.5">
      <c r="A360" s="170"/>
      <c r="B360" s="308"/>
      <c r="C360" s="313" t="s">
        <v>956</v>
      </c>
      <c r="D360" s="651" t="s">
        <v>957</v>
      </c>
      <c r="E360" s="325"/>
      <c r="F360" s="7">
        <v>152122</v>
      </c>
      <c r="G360" s="7">
        <f>0+'[2]táj.2'!G360</f>
        <v>0</v>
      </c>
      <c r="H360" s="7">
        <f>0+'[2]táj.2'!H360</f>
        <v>0</v>
      </c>
      <c r="I360" s="7">
        <f>2336+'[2]táj.2'!I360</f>
        <v>2336</v>
      </c>
      <c r="J360" s="7">
        <f>0+'[2]táj.2'!J360</f>
        <v>0</v>
      </c>
      <c r="K360" s="7">
        <f>0+'[2]táj.2'!K360</f>
        <v>0</v>
      </c>
      <c r="L360" s="7">
        <f>1500+'[2]táj.2'!L360</f>
        <v>1500</v>
      </c>
      <c r="M360" s="7">
        <f>0+'[2]táj.2'!M360</f>
        <v>0</v>
      </c>
      <c r="N360" s="7">
        <f>0+'[2]táj.2'!N360</f>
        <v>0</v>
      </c>
      <c r="O360" s="7">
        <f>0+'[2]táj.2'!O360</f>
        <v>0</v>
      </c>
      <c r="P360" s="7">
        <f>0+'[2]táj.2'!P360</f>
        <v>0</v>
      </c>
      <c r="Q360" s="7">
        <f>SUM(G360:P360)</f>
        <v>3836</v>
      </c>
    </row>
    <row r="361" spans="1:17" ht="12.75">
      <c r="A361" s="170"/>
      <c r="B361" s="170"/>
      <c r="C361" s="313" t="s">
        <v>958</v>
      </c>
      <c r="D361" s="652" t="s">
        <v>959</v>
      </c>
      <c r="E361" s="9"/>
      <c r="F361" s="7">
        <v>154128</v>
      </c>
      <c r="G361" s="7">
        <f>0+'[2]táj.2'!G361</f>
        <v>0</v>
      </c>
      <c r="H361" s="7">
        <f>0+'[2]táj.2'!H361</f>
        <v>0</v>
      </c>
      <c r="I361" s="7">
        <f>0+'[2]táj.2'!I361</f>
        <v>0</v>
      </c>
      <c r="J361" s="7">
        <f>0+'[2]táj.2'!J361</f>
        <v>0</v>
      </c>
      <c r="K361" s="7">
        <f>0+'[2]táj.2'!K361</f>
        <v>0</v>
      </c>
      <c r="L361" s="7">
        <f>0+'[2]táj.2'!L361</f>
        <v>0</v>
      </c>
      <c r="M361" s="7">
        <f>3139+'[2]táj.2'!M361</f>
        <v>3139</v>
      </c>
      <c r="N361" s="7">
        <f>0+'[2]táj.2'!N361</f>
        <v>0</v>
      </c>
      <c r="O361" s="7">
        <f>0+'[2]táj.2'!O361</f>
        <v>0</v>
      </c>
      <c r="P361" s="7">
        <f>0+'[2]táj.2'!P361</f>
        <v>0</v>
      </c>
      <c r="Q361" s="7">
        <f>SUM(G361:P361)</f>
        <v>3139</v>
      </c>
    </row>
    <row r="362" spans="1:17" ht="13.5">
      <c r="A362" s="170"/>
      <c r="B362" s="170"/>
      <c r="C362" s="316" t="s">
        <v>268</v>
      </c>
      <c r="D362" s="317" t="s">
        <v>960</v>
      </c>
      <c r="E362" s="9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3.5">
      <c r="A363" s="170"/>
      <c r="B363" s="170"/>
      <c r="C363" s="318" t="s">
        <v>270</v>
      </c>
      <c r="D363" s="653" t="s">
        <v>961</v>
      </c>
      <c r="E363" s="9"/>
      <c r="F363" s="8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>
      <c r="A364" s="170"/>
      <c r="B364" s="170"/>
      <c r="C364" s="319" t="s">
        <v>800</v>
      </c>
      <c r="D364" s="236" t="s">
        <v>962</v>
      </c>
      <c r="E364" s="643"/>
      <c r="F364" s="7">
        <v>152346</v>
      </c>
      <c r="G364" s="7">
        <f>0+'[2]táj.2'!G364</f>
        <v>0</v>
      </c>
      <c r="H364" s="7">
        <f>0+'[2]táj.2'!H364</f>
        <v>0</v>
      </c>
      <c r="I364" s="7">
        <f>0+'[2]táj.2'!I364</f>
        <v>0</v>
      </c>
      <c r="J364" s="7">
        <f>0+'[2]táj.2'!J364</f>
        <v>0</v>
      </c>
      <c r="K364" s="7">
        <f>0+'[2]táj.2'!K364</f>
        <v>0</v>
      </c>
      <c r="L364" s="7">
        <f>500+'[2]táj.2'!L364</f>
        <v>500</v>
      </c>
      <c r="M364" s="7">
        <f>0+'[2]táj.2'!M364</f>
        <v>0</v>
      </c>
      <c r="N364" s="7">
        <f>0+'[2]táj.2'!N364</f>
        <v>0</v>
      </c>
      <c r="O364" s="7">
        <f>0+'[2]táj.2'!O364</f>
        <v>0</v>
      </c>
      <c r="P364" s="7">
        <f>0+'[2]táj.2'!P364</f>
        <v>0</v>
      </c>
      <c r="Q364" s="7">
        <f aca="true" t="shared" si="23" ref="Q364:Q369">SUM(G364:P364)</f>
        <v>500</v>
      </c>
    </row>
    <row r="365" spans="1:17" ht="12.75">
      <c r="A365" s="170"/>
      <c r="B365" s="170"/>
      <c r="C365" s="319" t="s">
        <v>801</v>
      </c>
      <c r="D365" s="236" t="s">
        <v>963</v>
      </c>
      <c r="E365" s="9"/>
      <c r="F365" s="7">
        <v>152304</v>
      </c>
      <c r="G365" s="7">
        <f>0+'[2]táj.2'!G365</f>
        <v>0</v>
      </c>
      <c r="H365" s="7">
        <f>0+'[2]táj.2'!H365</f>
        <v>0</v>
      </c>
      <c r="I365" s="7">
        <f>0+'[2]táj.2'!I365</f>
        <v>0</v>
      </c>
      <c r="J365" s="7">
        <f>0+'[2]táj.2'!J365</f>
        <v>0</v>
      </c>
      <c r="K365" s="7">
        <f>0+'[2]táj.2'!K365</f>
        <v>0</v>
      </c>
      <c r="L365" s="7">
        <f>1000+'[2]táj.2'!L365</f>
        <v>1000</v>
      </c>
      <c r="M365" s="7">
        <f>0+'[2]táj.2'!M365</f>
        <v>0</v>
      </c>
      <c r="N365" s="7">
        <f>0+'[2]táj.2'!N365</f>
        <v>0</v>
      </c>
      <c r="O365" s="7">
        <f>0+'[2]táj.2'!O365</f>
        <v>0</v>
      </c>
      <c r="P365" s="7">
        <f>0+'[2]táj.2'!P365</f>
        <v>0</v>
      </c>
      <c r="Q365" s="7">
        <f t="shared" si="23"/>
        <v>1000</v>
      </c>
    </row>
    <row r="366" spans="1:17" ht="12.75">
      <c r="A366" s="170"/>
      <c r="B366" s="170"/>
      <c r="C366" s="319" t="s">
        <v>964</v>
      </c>
      <c r="D366" s="267" t="s">
        <v>965</v>
      </c>
      <c r="E366" s="643"/>
      <c r="F366" s="7">
        <v>152347</v>
      </c>
      <c r="G366" s="7">
        <f>0+'[2]táj.2'!G366</f>
        <v>0</v>
      </c>
      <c r="H366" s="7">
        <f>0+'[2]táj.2'!H366</f>
        <v>0</v>
      </c>
      <c r="I366" s="7">
        <f>0+'[2]táj.2'!I366</f>
        <v>0</v>
      </c>
      <c r="J366" s="7">
        <f>0+'[2]táj.2'!J366</f>
        <v>0</v>
      </c>
      <c r="K366" s="7">
        <f>0+'[2]táj.2'!K366</f>
        <v>0</v>
      </c>
      <c r="L366" s="7">
        <f>1500+'[2]táj.2'!L366</f>
        <v>1500</v>
      </c>
      <c r="M366" s="7">
        <f>0+'[2]táj.2'!M366</f>
        <v>0</v>
      </c>
      <c r="N366" s="7">
        <f>0+'[2]táj.2'!N366</f>
        <v>0</v>
      </c>
      <c r="O366" s="7">
        <f>0+'[2]táj.2'!O366</f>
        <v>0</v>
      </c>
      <c r="P366" s="7">
        <f>0+'[2]táj.2'!P366</f>
        <v>0</v>
      </c>
      <c r="Q366" s="7">
        <f t="shared" si="23"/>
        <v>1500</v>
      </c>
    </row>
    <row r="367" spans="1:17" ht="12">
      <c r="A367" s="170"/>
      <c r="B367" s="170"/>
      <c r="C367" s="319" t="s">
        <v>966</v>
      </c>
      <c r="D367" s="497" t="s">
        <v>967</v>
      </c>
      <c r="E367" s="643"/>
      <c r="F367" s="7">
        <v>152348</v>
      </c>
      <c r="G367" s="7">
        <f>0+'[2]táj.2'!G367</f>
        <v>0</v>
      </c>
      <c r="H367" s="7">
        <f>0+'[2]táj.2'!H367</f>
        <v>0</v>
      </c>
      <c r="I367" s="7">
        <f>0+'[2]táj.2'!I367</f>
        <v>0</v>
      </c>
      <c r="J367" s="7">
        <f>0+'[2]táj.2'!J367</f>
        <v>0</v>
      </c>
      <c r="K367" s="7">
        <f>0+'[2]táj.2'!K367</f>
        <v>0</v>
      </c>
      <c r="L367" s="7">
        <f>1000+'[2]táj.2'!L367</f>
        <v>1000</v>
      </c>
      <c r="M367" s="7">
        <f>0+'[2]táj.2'!M367</f>
        <v>0</v>
      </c>
      <c r="N367" s="7">
        <f>0+'[2]táj.2'!N367</f>
        <v>0</v>
      </c>
      <c r="O367" s="7">
        <f>0+'[2]táj.2'!O367</f>
        <v>0</v>
      </c>
      <c r="P367" s="7">
        <f>0+'[2]táj.2'!P367</f>
        <v>0</v>
      </c>
      <c r="Q367" s="7">
        <f t="shared" si="23"/>
        <v>1000</v>
      </c>
    </row>
    <row r="368" spans="1:17" ht="12.75">
      <c r="A368" s="170"/>
      <c r="B368" s="170"/>
      <c r="C368" s="319" t="s">
        <v>968</v>
      </c>
      <c r="D368" s="320" t="s">
        <v>969</v>
      </c>
      <c r="E368" s="643"/>
      <c r="F368" s="7">
        <v>152349</v>
      </c>
      <c r="G368" s="7">
        <f>0+'[2]táj.2'!G368</f>
        <v>0</v>
      </c>
      <c r="H368" s="7">
        <f>0+'[2]táj.2'!H368</f>
        <v>0</v>
      </c>
      <c r="I368" s="7">
        <f>0+'[2]táj.2'!I368</f>
        <v>0</v>
      </c>
      <c r="J368" s="7">
        <f>0+'[2]táj.2'!J368</f>
        <v>0</v>
      </c>
      <c r="K368" s="7">
        <f>0+'[2]táj.2'!K368</f>
        <v>0</v>
      </c>
      <c r="L368" s="7">
        <f>500+'[2]táj.2'!L368</f>
        <v>500</v>
      </c>
      <c r="M368" s="7">
        <f>0+'[2]táj.2'!M368</f>
        <v>0</v>
      </c>
      <c r="N368" s="7">
        <f>0+'[2]táj.2'!N368</f>
        <v>0</v>
      </c>
      <c r="O368" s="7">
        <f>0+'[2]táj.2'!O368</f>
        <v>0</v>
      </c>
      <c r="P368" s="7">
        <f>0+'[2]táj.2'!P368</f>
        <v>0</v>
      </c>
      <c r="Q368" s="7">
        <f t="shared" si="23"/>
        <v>500</v>
      </c>
    </row>
    <row r="369" spans="1:17" ht="12.75">
      <c r="A369" s="170"/>
      <c r="B369" s="170"/>
      <c r="C369" s="319" t="s">
        <v>970</v>
      </c>
      <c r="D369" s="320" t="s">
        <v>971</v>
      </c>
      <c r="E369" s="643"/>
      <c r="F369" s="7">
        <v>152350</v>
      </c>
      <c r="G369" s="7">
        <f>0+'[2]táj.2'!G369</f>
        <v>0</v>
      </c>
      <c r="H369" s="7">
        <f>0+'[2]táj.2'!H369</f>
        <v>0</v>
      </c>
      <c r="I369" s="7">
        <f>0+'[2]táj.2'!I369</f>
        <v>0</v>
      </c>
      <c r="J369" s="7">
        <f>0+'[2]táj.2'!J369</f>
        <v>0</v>
      </c>
      <c r="K369" s="7">
        <f>0+'[2]táj.2'!K369</f>
        <v>0</v>
      </c>
      <c r="L369" s="7">
        <f>500+'[2]táj.2'!L369</f>
        <v>500</v>
      </c>
      <c r="M369" s="7">
        <f>0+'[2]táj.2'!M369</f>
        <v>0</v>
      </c>
      <c r="N369" s="7">
        <f>0+'[2]táj.2'!N369</f>
        <v>0</v>
      </c>
      <c r="O369" s="7">
        <f>0+'[2]táj.2'!O369</f>
        <v>0</v>
      </c>
      <c r="P369" s="7">
        <f>0+'[2]táj.2'!P369</f>
        <v>0</v>
      </c>
      <c r="Q369" s="7">
        <f t="shared" si="23"/>
        <v>500</v>
      </c>
    </row>
    <row r="370" spans="1:17" ht="12.75">
      <c r="A370" s="170"/>
      <c r="B370" s="170"/>
      <c r="C370" s="321"/>
      <c r="D370" s="283" t="s">
        <v>656</v>
      </c>
      <c r="E370" s="9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170"/>
      <c r="B371" s="170"/>
      <c r="C371" s="322" t="s">
        <v>972</v>
      </c>
      <c r="D371" s="323" t="s">
        <v>973</v>
      </c>
      <c r="E371" s="9"/>
      <c r="F371" s="7">
        <v>152301</v>
      </c>
      <c r="G371" s="7">
        <f>0+'[2]táj.2'!G371</f>
        <v>0</v>
      </c>
      <c r="H371" s="7">
        <f>0+'[2]táj.2'!H371</f>
        <v>0</v>
      </c>
      <c r="I371" s="7">
        <f>0+'[2]táj.2'!I371</f>
        <v>0</v>
      </c>
      <c r="J371" s="7">
        <f>0+'[2]táj.2'!J371</f>
        <v>0</v>
      </c>
      <c r="K371" s="7">
        <f>0+'[2]táj.2'!K371</f>
        <v>0</v>
      </c>
      <c r="L371" s="7">
        <f>19867+'[2]táj.2'!L371</f>
        <v>19867</v>
      </c>
      <c r="M371" s="7">
        <f>0+'[2]táj.2'!M371</f>
        <v>0</v>
      </c>
      <c r="N371" s="7">
        <f>0+'[2]táj.2'!N371</f>
        <v>0</v>
      </c>
      <c r="O371" s="7">
        <f>0+'[2]táj.2'!O371</f>
        <v>0</v>
      </c>
      <c r="P371" s="7">
        <f>0+'[2]táj.2'!P371</f>
        <v>0</v>
      </c>
      <c r="Q371" s="7">
        <f>SUM(G371:P371)</f>
        <v>19867</v>
      </c>
    </row>
    <row r="372" spans="1:17" ht="12.75">
      <c r="A372" s="170"/>
      <c r="B372" s="170"/>
      <c r="C372" s="322" t="s">
        <v>974</v>
      </c>
      <c r="D372" s="236" t="s">
        <v>975</v>
      </c>
      <c r="E372" s="822"/>
      <c r="F372" s="7">
        <v>152302</v>
      </c>
      <c r="G372" s="7">
        <f>0+'[2]táj.2'!G372</f>
        <v>0</v>
      </c>
      <c r="H372" s="7">
        <f>0+'[2]táj.2'!H372</f>
        <v>0</v>
      </c>
      <c r="I372" s="7">
        <f>0+'[2]táj.2'!I372</f>
        <v>0</v>
      </c>
      <c r="J372" s="7">
        <f>0+'[2]táj.2'!J372</f>
        <v>0</v>
      </c>
      <c r="K372" s="7">
        <f>0+'[2]táj.2'!K372</f>
        <v>0</v>
      </c>
      <c r="L372" s="7">
        <f>70+'[2]táj.2'!L372</f>
        <v>70</v>
      </c>
      <c r="M372" s="7">
        <f>0+'[2]táj.2'!M372</f>
        <v>0</v>
      </c>
      <c r="N372" s="7">
        <f>0+'[2]táj.2'!N372</f>
        <v>0</v>
      </c>
      <c r="O372" s="7">
        <f>0+'[2]táj.2'!O372</f>
        <v>0</v>
      </c>
      <c r="P372" s="7">
        <f>0+'[2]táj.2'!P372</f>
        <v>0</v>
      </c>
      <c r="Q372" s="7">
        <f>SUM(G372:P372)</f>
        <v>70</v>
      </c>
    </row>
    <row r="373" spans="1:17" ht="25.5">
      <c r="A373" s="170"/>
      <c r="B373" s="170"/>
      <c r="C373" s="322" t="s">
        <v>976</v>
      </c>
      <c r="D373" s="236" t="s">
        <v>977</v>
      </c>
      <c r="E373" s="822"/>
      <c r="F373" s="7">
        <v>152307</v>
      </c>
      <c r="G373" s="7">
        <f>0+'[2]táj.2'!G373</f>
        <v>0</v>
      </c>
      <c r="H373" s="7">
        <f>0+'[2]táj.2'!H373</f>
        <v>0</v>
      </c>
      <c r="I373" s="7">
        <f>0+'[2]táj.2'!I373</f>
        <v>0</v>
      </c>
      <c r="J373" s="7">
        <f>0+'[2]táj.2'!J373</f>
        <v>0</v>
      </c>
      <c r="K373" s="7">
        <f>0+'[2]táj.2'!K373</f>
        <v>0</v>
      </c>
      <c r="L373" s="7">
        <f>1034+'[2]táj.2'!L373</f>
        <v>1034</v>
      </c>
      <c r="M373" s="7">
        <f>0+'[2]táj.2'!M373</f>
        <v>0</v>
      </c>
      <c r="N373" s="7">
        <f>0+'[2]táj.2'!N373</f>
        <v>0</v>
      </c>
      <c r="O373" s="7">
        <f>0+'[2]táj.2'!O373</f>
        <v>0</v>
      </c>
      <c r="P373" s="7">
        <f>0+'[2]táj.2'!P373</f>
        <v>0</v>
      </c>
      <c r="Q373" s="7">
        <f>SUM(G373:P373)</f>
        <v>1034</v>
      </c>
    </row>
    <row r="374" spans="1:17" ht="12.75">
      <c r="A374" s="170"/>
      <c r="B374" s="170"/>
      <c r="C374" s="322" t="s">
        <v>978</v>
      </c>
      <c r="D374" s="236" t="s">
        <v>979</v>
      </c>
      <c r="E374" s="822"/>
      <c r="F374" s="7">
        <v>152341</v>
      </c>
      <c r="G374" s="7">
        <f>0+'[2]táj.2'!G374</f>
        <v>0</v>
      </c>
      <c r="H374" s="7">
        <f>0+'[2]táj.2'!H374</f>
        <v>0</v>
      </c>
      <c r="I374" s="7">
        <f>0+'[2]táj.2'!I374</f>
        <v>0</v>
      </c>
      <c r="J374" s="7">
        <f>0+'[2]táj.2'!J374</f>
        <v>0</v>
      </c>
      <c r="K374" s="7">
        <f>0+'[2]táj.2'!K374</f>
        <v>0</v>
      </c>
      <c r="L374" s="7">
        <f>1200+'[2]táj.2'!L374</f>
        <v>1200</v>
      </c>
      <c r="M374" s="7">
        <f>0+'[2]táj.2'!M374</f>
        <v>0</v>
      </c>
      <c r="N374" s="7">
        <f>0+'[2]táj.2'!N374</f>
        <v>0</v>
      </c>
      <c r="O374" s="7">
        <f>0+'[2]táj.2'!O374</f>
        <v>0</v>
      </c>
      <c r="P374" s="7">
        <f>0+'[2]táj.2'!P374</f>
        <v>0</v>
      </c>
      <c r="Q374" s="7">
        <f>SUM(G374:P374)</f>
        <v>1200</v>
      </c>
    </row>
    <row r="375" spans="1:17" ht="13.5">
      <c r="A375" s="170"/>
      <c r="B375" s="170"/>
      <c r="C375" s="321" t="s">
        <v>271</v>
      </c>
      <c r="D375" s="324" t="s">
        <v>980</v>
      </c>
      <c r="E375" s="325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25.5">
      <c r="A376" s="170"/>
      <c r="B376" s="170"/>
      <c r="C376" s="319" t="s">
        <v>981</v>
      </c>
      <c r="D376" s="320" t="s">
        <v>986</v>
      </c>
      <c r="E376" s="325"/>
      <c r="F376" s="7">
        <v>151419</v>
      </c>
      <c r="G376" s="7">
        <f>0+'[2]táj.2'!G376</f>
        <v>0</v>
      </c>
      <c r="H376" s="7">
        <f>0+'[2]táj.2'!H376</f>
        <v>0</v>
      </c>
      <c r="I376" s="7">
        <f>270+'[2]táj.2'!I376</f>
        <v>270</v>
      </c>
      <c r="J376" s="7">
        <f>0+'[2]táj.2'!J376</f>
        <v>0</v>
      </c>
      <c r="K376" s="7">
        <f>0+'[2]táj.2'!K376</f>
        <v>0</v>
      </c>
      <c r="L376" s="7">
        <f>0+'[2]táj.2'!L376</f>
        <v>0</v>
      </c>
      <c r="M376" s="7">
        <f>0+'[2]táj.2'!M376</f>
        <v>0</v>
      </c>
      <c r="N376" s="7">
        <f>0+'[2]táj.2'!N376</f>
        <v>0</v>
      </c>
      <c r="O376" s="7">
        <f>0+'[2]táj.2'!O376</f>
        <v>0</v>
      </c>
      <c r="P376" s="7">
        <f>0+'[2]táj.2'!P376</f>
        <v>0</v>
      </c>
      <c r="Q376" s="7">
        <f aca="true" t="shared" si="24" ref="Q376:Q434">SUM(G376:P376)</f>
        <v>270</v>
      </c>
    </row>
    <row r="377" spans="1:17" ht="12.75">
      <c r="A377" s="170"/>
      <c r="B377" s="170"/>
      <c r="C377" s="319" t="s">
        <v>983</v>
      </c>
      <c r="D377" s="320" t="s">
        <v>988</v>
      </c>
      <c r="E377" s="643"/>
      <c r="F377" s="7">
        <v>155481</v>
      </c>
      <c r="G377" s="7">
        <f>0+'[2]táj.2'!G377</f>
        <v>0</v>
      </c>
      <c r="H377" s="7">
        <f>0+'[2]táj.2'!H377</f>
        <v>0</v>
      </c>
      <c r="I377" s="7">
        <f>0+'[2]táj.2'!I377</f>
        <v>0</v>
      </c>
      <c r="J377" s="7">
        <f>0+'[2]táj.2'!J377</f>
        <v>0</v>
      </c>
      <c r="K377" s="7">
        <f>0+'[2]táj.2'!K377</f>
        <v>0</v>
      </c>
      <c r="L377" s="7">
        <f>0+'[2]táj.2'!L377</f>
        <v>0</v>
      </c>
      <c r="M377" s="7">
        <f>500+'[2]táj.2'!M377</f>
        <v>500</v>
      </c>
      <c r="N377" s="7">
        <f>0+'[2]táj.2'!N377</f>
        <v>0</v>
      </c>
      <c r="O377" s="7">
        <f>0+'[2]táj.2'!O377</f>
        <v>0</v>
      </c>
      <c r="P377" s="7">
        <f>0+'[2]táj.2'!P377</f>
        <v>0</v>
      </c>
      <c r="Q377" s="7">
        <f t="shared" si="24"/>
        <v>500</v>
      </c>
    </row>
    <row r="378" spans="1:17" ht="25.5">
      <c r="A378" s="170"/>
      <c r="B378" s="170"/>
      <c r="C378" s="319" t="s">
        <v>985</v>
      </c>
      <c r="D378" s="320" t="s">
        <v>992</v>
      </c>
      <c r="E378" s="643"/>
      <c r="F378" s="7">
        <v>155483</v>
      </c>
      <c r="G378" s="7">
        <f>0+'[2]táj.2'!G378</f>
        <v>0</v>
      </c>
      <c r="H378" s="7">
        <f>0+'[2]táj.2'!H378</f>
        <v>0</v>
      </c>
      <c r="I378" s="7">
        <f>0+'[2]táj.2'!I378</f>
        <v>0</v>
      </c>
      <c r="J378" s="7">
        <f>0+'[2]táj.2'!J378</f>
        <v>0</v>
      </c>
      <c r="K378" s="7">
        <f>0+'[2]táj.2'!K378</f>
        <v>0</v>
      </c>
      <c r="L378" s="7">
        <f>0+'[2]táj.2'!L378</f>
        <v>0</v>
      </c>
      <c r="M378" s="7">
        <f>1800+'[2]táj.2'!M378</f>
        <v>1800</v>
      </c>
      <c r="N378" s="7">
        <f>0+'[2]táj.2'!N378</f>
        <v>0</v>
      </c>
      <c r="O378" s="7">
        <f>0+'[2]táj.2'!O378</f>
        <v>0</v>
      </c>
      <c r="P378" s="7">
        <f>0+'[2]táj.2'!P378</f>
        <v>0</v>
      </c>
      <c r="Q378" s="7">
        <f t="shared" si="24"/>
        <v>1800</v>
      </c>
    </row>
    <row r="379" spans="1:17" ht="12.75">
      <c r="A379" s="170"/>
      <c r="B379" s="170"/>
      <c r="C379" s="319" t="s">
        <v>987</v>
      </c>
      <c r="D379" s="297" t="s">
        <v>994</v>
      </c>
      <c r="E379" s="643"/>
      <c r="F379" s="7">
        <v>155482</v>
      </c>
      <c r="G379" s="7">
        <f>0+'[2]táj.2'!G379</f>
        <v>0</v>
      </c>
      <c r="H379" s="7">
        <f>0+'[2]táj.2'!H379</f>
        <v>0</v>
      </c>
      <c r="I379" s="7">
        <f>0+'[2]táj.2'!I379</f>
        <v>0</v>
      </c>
      <c r="J379" s="7">
        <f>0+'[2]táj.2'!J379</f>
        <v>0</v>
      </c>
      <c r="K379" s="7">
        <f>0+'[2]táj.2'!K379</f>
        <v>0</v>
      </c>
      <c r="L379" s="7">
        <f>0+'[2]táj.2'!L379</f>
        <v>0</v>
      </c>
      <c r="M379" s="7">
        <f>1500+'[2]táj.2'!M379</f>
        <v>1500</v>
      </c>
      <c r="N379" s="7">
        <f>0+'[2]táj.2'!N379</f>
        <v>0</v>
      </c>
      <c r="O379" s="7">
        <f>0+'[2]táj.2'!O379</f>
        <v>0</v>
      </c>
      <c r="P379" s="7">
        <f>0+'[2]táj.2'!P379</f>
        <v>0</v>
      </c>
      <c r="Q379" s="7">
        <f t="shared" si="24"/>
        <v>1500</v>
      </c>
    </row>
    <row r="380" spans="1:17" ht="12.75">
      <c r="A380" s="170"/>
      <c r="B380" s="170"/>
      <c r="C380" s="319" t="s">
        <v>989</v>
      </c>
      <c r="D380" s="823" t="s">
        <v>996</v>
      </c>
      <c r="E380" s="643"/>
      <c r="F380" s="7">
        <v>152420</v>
      </c>
      <c r="G380" s="7">
        <f>0+'[2]táj.2'!G380</f>
        <v>0</v>
      </c>
      <c r="H380" s="7">
        <f>0+'[2]táj.2'!H380</f>
        <v>0</v>
      </c>
      <c r="I380" s="7">
        <f>0+'[2]táj.2'!I380</f>
        <v>0</v>
      </c>
      <c r="J380" s="7">
        <f>0+'[2]táj.2'!J380</f>
        <v>0</v>
      </c>
      <c r="K380" s="7">
        <f>0+'[2]táj.2'!K380</f>
        <v>0</v>
      </c>
      <c r="L380" s="7">
        <f>2500+'[2]táj.2'!L380</f>
        <v>2500</v>
      </c>
      <c r="M380" s="7">
        <f>0+'[2]táj.2'!M380</f>
        <v>0</v>
      </c>
      <c r="N380" s="7">
        <f>0+'[2]táj.2'!N380</f>
        <v>0</v>
      </c>
      <c r="O380" s="7">
        <f>0+'[2]táj.2'!O380</f>
        <v>0</v>
      </c>
      <c r="P380" s="7">
        <f>0+'[2]táj.2'!P380</f>
        <v>0</v>
      </c>
      <c r="Q380" s="7">
        <f t="shared" si="24"/>
        <v>2500</v>
      </c>
    </row>
    <row r="381" spans="1:17" ht="25.5">
      <c r="A381" s="170"/>
      <c r="B381" s="170"/>
      <c r="C381" s="319" t="s">
        <v>991</v>
      </c>
      <c r="D381" s="823" t="s">
        <v>998</v>
      </c>
      <c r="E381" s="643"/>
      <c r="F381" s="7">
        <v>155484</v>
      </c>
      <c r="G381" s="7">
        <f>0+'[2]táj.2'!G381</f>
        <v>0</v>
      </c>
      <c r="H381" s="7">
        <f>0+'[2]táj.2'!H381</f>
        <v>0</v>
      </c>
      <c r="I381" s="7">
        <f>0+'[2]táj.2'!I381</f>
        <v>0</v>
      </c>
      <c r="J381" s="7">
        <f>0+'[2]táj.2'!J381</f>
        <v>0</v>
      </c>
      <c r="K381" s="7">
        <f>0+'[2]táj.2'!K381</f>
        <v>0</v>
      </c>
      <c r="L381" s="7">
        <f>0+'[2]táj.2'!L381</f>
        <v>0</v>
      </c>
      <c r="M381" s="7">
        <f>3000+'[2]táj.2'!M381</f>
        <v>3000</v>
      </c>
      <c r="N381" s="7">
        <f>0+'[2]táj.2'!N381</f>
        <v>0</v>
      </c>
      <c r="O381" s="7">
        <f>0+'[2]táj.2'!O381</f>
        <v>0</v>
      </c>
      <c r="P381" s="7">
        <f>0+'[2]táj.2'!P381</f>
        <v>0</v>
      </c>
      <c r="Q381" s="7">
        <f t="shared" si="24"/>
        <v>3000</v>
      </c>
    </row>
    <row r="382" spans="1:17" ht="12.75">
      <c r="A382" s="170"/>
      <c r="B382" s="170"/>
      <c r="C382" s="319" t="s">
        <v>993</v>
      </c>
      <c r="D382" s="320" t="s">
        <v>1001</v>
      </c>
      <c r="E382" s="643"/>
      <c r="F382" s="7">
        <v>152489</v>
      </c>
      <c r="G382" s="7">
        <f>0+'[2]táj.2'!G382</f>
        <v>0</v>
      </c>
      <c r="H382" s="7">
        <f>0+'[2]táj.2'!H382</f>
        <v>0</v>
      </c>
      <c r="I382" s="7">
        <f>0+'[2]táj.2'!I382</f>
        <v>0</v>
      </c>
      <c r="J382" s="7">
        <f>0+'[2]táj.2'!J382</f>
        <v>0</v>
      </c>
      <c r="K382" s="7">
        <f>0+'[2]táj.2'!K382</f>
        <v>0</v>
      </c>
      <c r="L382" s="7">
        <f>3000+'[2]táj.2'!L382</f>
        <v>3000</v>
      </c>
      <c r="M382" s="7">
        <f>0+'[2]táj.2'!M382</f>
        <v>0</v>
      </c>
      <c r="N382" s="7">
        <f>0+'[2]táj.2'!N382</f>
        <v>0</v>
      </c>
      <c r="O382" s="7">
        <f>0+'[2]táj.2'!O382</f>
        <v>0</v>
      </c>
      <c r="P382" s="7">
        <f>0+'[2]táj.2'!P382</f>
        <v>0</v>
      </c>
      <c r="Q382" s="7">
        <f t="shared" si="24"/>
        <v>3000</v>
      </c>
    </row>
    <row r="383" spans="1:17" ht="12.75">
      <c r="A383" s="170"/>
      <c r="B383" s="170"/>
      <c r="C383" s="319" t="s">
        <v>995</v>
      </c>
      <c r="D383" s="320" t="s">
        <v>1003</v>
      </c>
      <c r="E383" s="223"/>
      <c r="F383" s="7">
        <v>155485</v>
      </c>
      <c r="G383" s="7">
        <f>0+'[2]táj.2'!G383</f>
        <v>0</v>
      </c>
      <c r="H383" s="7">
        <f>0+'[2]táj.2'!H383</f>
        <v>0</v>
      </c>
      <c r="I383" s="7">
        <f>0+'[2]táj.2'!I383</f>
        <v>0</v>
      </c>
      <c r="J383" s="7">
        <f>0+'[2]táj.2'!J383</f>
        <v>0</v>
      </c>
      <c r="K383" s="7">
        <f>0+'[2]táj.2'!K383</f>
        <v>0</v>
      </c>
      <c r="L383" s="7">
        <f>0+'[2]táj.2'!L383</f>
        <v>0</v>
      </c>
      <c r="M383" s="7">
        <f>5500+'[2]táj.2'!M383</f>
        <v>5500</v>
      </c>
      <c r="N383" s="7">
        <f>0+'[2]táj.2'!N383</f>
        <v>0</v>
      </c>
      <c r="O383" s="7">
        <f>0+'[2]táj.2'!O383</f>
        <v>0</v>
      </c>
      <c r="P383" s="7">
        <f>0+'[2]táj.2'!P383</f>
        <v>0</v>
      </c>
      <c r="Q383" s="7">
        <f t="shared" si="24"/>
        <v>5500</v>
      </c>
    </row>
    <row r="384" spans="1:17" ht="25.5">
      <c r="A384" s="170"/>
      <c r="B384" s="170"/>
      <c r="C384" s="319" t="s">
        <v>997</v>
      </c>
      <c r="D384" s="320" t="s">
        <v>1005</v>
      </c>
      <c r="E384" s="223"/>
      <c r="F384" s="7">
        <v>152490</v>
      </c>
      <c r="G384" s="7">
        <f>0+'[2]táj.2'!G384</f>
        <v>0</v>
      </c>
      <c r="H384" s="7">
        <f>0+'[2]táj.2'!H384</f>
        <v>0</v>
      </c>
      <c r="I384" s="7">
        <f>0+'[2]táj.2'!I384</f>
        <v>0</v>
      </c>
      <c r="J384" s="7">
        <f>0+'[2]táj.2'!J384</f>
        <v>0</v>
      </c>
      <c r="K384" s="7">
        <f>0+'[2]táj.2'!K384</f>
        <v>0</v>
      </c>
      <c r="L384" s="7">
        <f>3332+'[2]táj.2'!L384</f>
        <v>3332</v>
      </c>
      <c r="M384" s="7">
        <f>0+'[2]táj.2'!M384</f>
        <v>0</v>
      </c>
      <c r="N384" s="7">
        <f>0+'[2]táj.2'!N384</f>
        <v>0</v>
      </c>
      <c r="O384" s="7">
        <f>0+'[2]táj.2'!O384</f>
        <v>0</v>
      </c>
      <c r="P384" s="7">
        <f>0+'[2]táj.2'!P384</f>
        <v>0</v>
      </c>
      <c r="Q384" s="7">
        <f t="shared" si="24"/>
        <v>3332</v>
      </c>
    </row>
    <row r="385" spans="1:17" ht="12.75">
      <c r="A385" s="170"/>
      <c r="B385" s="170"/>
      <c r="C385" s="319" t="s">
        <v>999</v>
      </c>
      <c r="D385" s="823" t="s">
        <v>1015</v>
      </c>
      <c r="E385" s="223"/>
      <c r="F385" s="7">
        <v>155489</v>
      </c>
      <c r="G385" s="7">
        <f>0+'[2]táj.2'!G385</f>
        <v>0</v>
      </c>
      <c r="H385" s="7">
        <f>0+'[2]táj.2'!H385</f>
        <v>0</v>
      </c>
      <c r="I385" s="7">
        <f>0+'[2]táj.2'!I385</f>
        <v>0</v>
      </c>
      <c r="J385" s="7">
        <f>0+'[2]táj.2'!J385</f>
        <v>0</v>
      </c>
      <c r="K385" s="7">
        <f>0+'[2]táj.2'!K385</f>
        <v>0</v>
      </c>
      <c r="L385" s="7">
        <f>0+'[2]táj.2'!L385</f>
        <v>0</v>
      </c>
      <c r="M385" s="7">
        <f>3000+'[2]táj.2'!M385</f>
        <v>3000</v>
      </c>
      <c r="N385" s="7">
        <f>0+'[2]táj.2'!N385</f>
        <v>0</v>
      </c>
      <c r="O385" s="7">
        <f>0+'[2]táj.2'!O385</f>
        <v>0</v>
      </c>
      <c r="P385" s="7">
        <f>0+'[2]táj.2'!P385</f>
        <v>0</v>
      </c>
      <c r="Q385" s="7">
        <f t="shared" si="24"/>
        <v>3000</v>
      </c>
    </row>
    <row r="386" spans="1:17" ht="12.75">
      <c r="A386" s="170"/>
      <c r="B386" s="170"/>
      <c r="C386" s="319" t="s">
        <v>1000</v>
      </c>
      <c r="D386" s="320" t="s">
        <v>102</v>
      </c>
      <c r="E386" s="223"/>
      <c r="F386" s="7">
        <v>151420</v>
      </c>
      <c r="G386" s="7">
        <f>0+'[2]táj.2'!G386</f>
        <v>0</v>
      </c>
      <c r="H386" s="7">
        <f>0+'[2]táj.2'!H386</f>
        <v>0</v>
      </c>
      <c r="I386" s="7">
        <f>602+'[2]táj.2'!I386</f>
        <v>602</v>
      </c>
      <c r="J386" s="7">
        <f>0+'[2]táj.2'!J386</f>
        <v>0</v>
      </c>
      <c r="K386" s="7">
        <f>0+'[2]táj.2'!K386</f>
        <v>0</v>
      </c>
      <c r="L386" s="7">
        <f>0+'[2]táj.2'!L386</f>
        <v>0</v>
      </c>
      <c r="M386" s="7">
        <f>0+'[2]táj.2'!M386</f>
        <v>0</v>
      </c>
      <c r="N386" s="7">
        <f>0+'[2]táj.2'!N386</f>
        <v>0</v>
      </c>
      <c r="O386" s="7">
        <f>0+'[2]táj.2'!O386</f>
        <v>0</v>
      </c>
      <c r="P386" s="7">
        <f>0+'[2]táj.2'!P386</f>
        <v>0</v>
      </c>
      <c r="Q386" s="7">
        <f t="shared" si="24"/>
        <v>602</v>
      </c>
    </row>
    <row r="387" spans="1:17" ht="25.5">
      <c r="A387" s="170"/>
      <c r="B387" s="170"/>
      <c r="C387" s="319" t="s">
        <v>1002</v>
      </c>
      <c r="D387" s="320" t="s">
        <v>1020</v>
      </c>
      <c r="E387" s="325"/>
      <c r="F387" s="7">
        <v>155490</v>
      </c>
      <c r="G387" s="7">
        <f>0+'[2]táj.2'!G387</f>
        <v>0</v>
      </c>
      <c r="H387" s="7">
        <f>0+'[2]táj.2'!H387</f>
        <v>0</v>
      </c>
      <c r="I387" s="7">
        <f>0+'[2]táj.2'!I387</f>
        <v>0</v>
      </c>
      <c r="J387" s="7">
        <f>0+'[2]táj.2'!J387</f>
        <v>0</v>
      </c>
      <c r="K387" s="7">
        <f>0+'[2]táj.2'!K387</f>
        <v>0</v>
      </c>
      <c r="L387" s="7">
        <f>0+'[2]táj.2'!L387</f>
        <v>0</v>
      </c>
      <c r="M387" s="7">
        <f>6634+'[2]táj.2'!M387</f>
        <v>6634</v>
      </c>
      <c r="N387" s="7">
        <f>0+'[2]táj.2'!N387</f>
        <v>0</v>
      </c>
      <c r="O387" s="7">
        <f>0+'[2]táj.2'!O387</f>
        <v>0</v>
      </c>
      <c r="P387" s="7">
        <f>0+'[2]táj.2'!P387</f>
        <v>0</v>
      </c>
      <c r="Q387" s="7">
        <f t="shared" si="24"/>
        <v>6634</v>
      </c>
    </row>
    <row r="388" spans="1:17" ht="25.5">
      <c r="A388" s="170"/>
      <c r="B388" s="170"/>
      <c r="C388" s="319" t="s">
        <v>1004</v>
      </c>
      <c r="D388" s="297" t="s">
        <v>1022</v>
      </c>
      <c r="E388" s="643"/>
      <c r="F388" s="7">
        <v>155491</v>
      </c>
      <c r="G388" s="7">
        <f>0+'[2]táj.2'!G388</f>
        <v>0</v>
      </c>
      <c r="H388" s="7">
        <f>0+'[2]táj.2'!H388</f>
        <v>0</v>
      </c>
      <c r="I388" s="7">
        <f>0+'[2]táj.2'!I388</f>
        <v>0</v>
      </c>
      <c r="J388" s="7">
        <f>0+'[2]táj.2'!J388</f>
        <v>0</v>
      </c>
      <c r="K388" s="7">
        <f>0+'[2]táj.2'!K388</f>
        <v>0</v>
      </c>
      <c r="L388" s="7">
        <f>0+'[2]táj.2'!L388</f>
        <v>0</v>
      </c>
      <c r="M388" s="7">
        <f>2000+'[2]táj.2'!M388</f>
        <v>2000</v>
      </c>
      <c r="N388" s="7">
        <f>0+'[2]táj.2'!N388</f>
        <v>0</v>
      </c>
      <c r="O388" s="7">
        <f>0+'[2]táj.2'!O388</f>
        <v>0</v>
      </c>
      <c r="P388" s="7">
        <f>0+'[2]táj.2'!P388</f>
        <v>0</v>
      </c>
      <c r="Q388" s="7">
        <f t="shared" si="24"/>
        <v>2000</v>
      </c>
    </row>
    <row r="389" spans="1:17" ht="12.75">
      <c r="A389" s="170"/>
      <c r="B389" s="170"/>
      <c r="C389" s="319" t="s">
        <v>1006</v>
      </c>
      <c r="D389" s="236" t="s">
        <v>1024</v>
      </c>
      <c r="E389" s="643"/>
      <c r="F389" s="7">
        <v>154468</v>
      </c>
      <c r="G389" s="7">
        <f>0+'[2]táj.2'!G389</f>
        <v>0</v>
      </c>
      <c r="H389" s="7">
        <f>0+'[2]táj.2'!H389</f>
        <v>0</v>
      </c>
      <c r="I389" s="7">
        <f>0+'[2]táj.2'!I389</f>
        <v>0</v>
      </c>
      <c r="J389" s="7">
        <f>0+'[2]táj.2'!J389</f>
        <v>0</v>
      </c>
      <c r="K389" s="7">
        <f>0+'[2]táj.2'!K389</f>
        <v>0</v>
      </c>
      <c r="L389" s="7">
        <f>0+'[2]táj.2'!L389</f>
        <v>0</v>
      </c>
      <c r="M389" s="7">
        <f>2468+'[2]táj.2'!M389</f>
        <v>2468</v>
      </c>
      <c r="N389" s="7">
        <f>0+'[2]táj.2'!N389</f>
        <v>0</v>
      </c>
      <c r="O389" s="7">
        <f>0+'[2]táj.2'!O389</f>
        <v>0</v>
      </c>
      <c r="P389" s="7">
        <f>0+'[2]táj.2'!P389</f>
        <v>0</v>
      </c>
      <c r="Q389" s="7">
        <f t="shared" si="24"/>
        <v>2468</v>
      </c>
    </row>
    <row r="390" spans="1:17" ht="12.75">
      <c r="A390" s="170"/>
      <c r="B390" s="170"/>
      <c r="C390" s="319" t="s">
        <v>1008</v>
      </c>
      <c r="D390" s="823" t="s">
        <v>1028</v>
      </c>
      <c r="E390" s="643"/>
      <c r="F390" s="7">
        <v>155492</v>
      </c>
      <c r="G390" s="7">
        <f>0+'[2]táj.2'!G390</f>
        <v>0</v>
      </c>
      <c r="H390" s="7">
        <f>0+'[2]táj.2'!H390</f>
        <v>0</v>
      </c>
      <c r="I390" s="7">
        <f>0+'[2]táj.2'!I390</f>
        <v>0</v>
      </c>
      <c r="J390" s="7">
        <f>0+'[2]táj.2'!J390</f>
        <v>0</v>
      </c>
      <c r="K390" s="7">
        <f>0+'[2]táj.2'!K390</f>
        <v>0</v>
      </c>
      <c r="L390" s="7">
        <f>0+'[2]táj.2'!L390</f>
        <v>0</v>
      </c>
      <c r="M390" s="7">
        <f>3500+'[2]táj.2'!M390</f>
        <v>3500</v>
      </c>
      <c r="N390" s="7">
        <f>0+'[2]táj.2'!N390</f>
        <v>0</v>
      </c>
      <c r="O390" s="7">
        <f>0+'[2]táj.2'!O390</f>
        <v>0</v>
      </c>
      <c r="P390" s="7">
        <f>0+'[2]táj.2'!P390</f>
        <v>0</v>
      </c>
      <c r="Q390" s="7">
        <f t="shared" si="24"/>
        <v>3500</v>
      </c>
    </row>
    <row r="391" spans="1:17" ht="12.75">
      <c r="A391" s="170"/>
      <c r="B391" s="170"/>
      <c r="C391" s="319" t="s">
        <v>1010</v>
      </c>
      <c r="D391" s="320" t="s">
        <v>1031</v>
      </c>
      <c r="E391" s="643"/>
      <c r="F391" s="7">
        <v>154471</v>
      </c>
      <c r="G391" s="7">
        <f>0+'[2]táj.2'!G391</f>
        <v>0</v>
      </c>
      <c r="H391" s="7">
        <f>0+'[2]táj.2'!H391</f>
        <v>0</v>
      </c>
      <c r="I391" s="7">
        <f>0+'[2]táj.2'!I391</f>
        <v>0</v>
      </c>
      <c r="J391" s="7">
        <f>0+'[2]táj.2'!J391</f>
        <v>0</v>
      </c>
      <c r="K391" s="7">
        <f>0+'[2]táj.2'!K391</f>
        <v>0</v>
      </c>
      <c r="L391" s="7">
        <f>0+'[2]táj.2'!L391</f>
        <v>0</v>
      </c>
      <c r="M391" s="7">
        <f>2300+'[2]táj.2'!M391</f>
        <v>2300</v>
      </c>
      <c r="N391" s="7">
        <f>0+'[2]táj.2'!N391</f>
        <v>0</v>
      </c>
      <c r="O391" s="7">
        <f>0+'[2]táj.2'!O391</f>
        <v>0</v>
      </c>
      <c r="P391" s="7">
        <f>0+'[2]táj.2'!P391</f>
        <v>0</v>
      </c>
      <c r="Q391" s="7">
        <f t="shared" si="24"/>
        <v>2300</v>
      </c>
    </row>
    <row r="392" spans="1:17" ht="12.75">
      <c r="A392" s="170"/>
      <c r="B392" s="170"/>
      <c r="C392" s="319" t="s">
        <v>1012</v>
      </c>
      <c r="D392" s="320" t="s">
        <v>1033</v>
      </c>
      <c r="E392" s="643"/>
      <c r="F392" s="7">
        <v>155494</v>
      </c>
      <c r="G392" s="7">
        <f>0+'[2]táj.2'!G392</f>
        <v>0</v>
      </c>
      <c r="H392" s="7">
        <f>0+'[2]táj.2'!H392</f>
        <v>0</v>
      </c>
      <c r="I392" s="7">
        <f>0+'[2]táj.2'!I392</f>
        <v>0</v>
      </c>
      <c r="J392" s="7">
        <f>0+'[2]táj.2'!J392</f>
        <v>0</v>
      </c>
      <c r="K392" s="7">
        <f>0+'[2]táj.2'!K392</f>
        <v>0</v>
      </c>
      <c r="L392" s="7">
        <f>0+'[2]táj.2'!L392</f>
        <v>0</v>
      </c>
      <c r="M392" s="7">
        <f>3000+'[2]táj.2'!M392</f>
        <v>3000</v>
      </c>
      <c r="N392" s="7">
        <f>0+'[2]táj.2'!N392</f>
        <v>0</v>
      </c>
      <c r="O392" s="7">
        <f>0+'[2]táj.2'!O392</f>
        <v>0</v>
      </c>
      <c r="P392" s="7">
        <f>0+'[2]táj.2'!P392</f>
        <v>0</v>
      </c>
      <c r="Q392" s="7">
        <f t="shared" si="24"/>
        <v>3000</v>
      </c>
    </row>
    <row r="393" spans="1:17" ht="12.75">
      <c r="A393" s="170"/>
      <c r="B393" s="170"/>
      <c r="C393" s="319" t="s">
        <v>1014</v>
      </c>
      <c r="D393" s="297" t="s">
        <v>1037</v>
      </c>
      <c r="E393" s="643"/>
      <c r="F393" s="7">
        <v>152495</v>
      </c>
      <c r="G393" s="7">
        <f>0+'[2]táj.2'!G393</f>
        <v>0</v>
      </c>
      <c r="H393" s="7">
        <f>0+'[2]táj.2'!H393</f>
        <v>0</v>
      </c>
      <c r="I393" s="7">
        <f>0+'[2]táj.2'!I393</f>
        <v>0</v>
      </c>
      <c r="J393" s="7">
        <f>0+'[2]táj.2'!J393</f>
        <v>0</v>
      </c>
      <c r="K393" s="7">
        <f>0+'[2]táj.2'!K393</f>
        <v>0</v>
      </c>
      <c r="L393" s="7">
        <f>5000+'[2]táj.2'!L393</f>
        <v>5000</v>
      </c>
      <c r="M393" s="7">
        <f>0+'[2]táj.2'!M393</f>
        <v>0</v>
      </c>
      <c r="N393" s="7">
        <f>0+'[2]táj.2'!N393</f>
        <v>0</v>
      </c>
      <c r="O393" s="7">
        <f>0+'[2]táj.2'!O393</f>
        <v>0</v>
      </c>
      <c r="P393" s="7">
        <f>0+'[2]táj.2'!P393</f>
        <v>0</v>
      </c>
      <c r="Q393" s="7">
        <f t="shared" si="24"/>
        <v>5000</v>
      </c>
    </row>
    <row r="394" spans="1:17" ht="12.75">
      <c r="A394" s="170"/>
      <c r="B394" s="170"/>
      <c r="C394" s="319" t="s">
        <v>1016</v>
      </c>
      <c r="D394" s="320" t="s">
        <v>1039</v>
      </c>
      <c r="E394" s="643"/>
      <c r="F394" s="7">
        <v>152496</v>
      </c>
      <c r="G394" s="7">
        <f>0+'[2]táj.2'!G394</f>
        <v>0</v>
      </c>
      <c r="H394" s="7">
        <f>0+'[2]táj.2'!H394</f>
        <v>0</v>
      </c>
      <c r="I394" s="7">
        <f>0+'[2]táj.2'!I394</f>
        <v>0</v>
      </c>
      <c r="J394" s="7">
        <f>0+'[2]táj.2'!J394</f>
        <v>0</v>
      </c>
      <c r="K394" s="7">
        <f>0+'[2]táj.2'!K394</f>
        <v>0</v>
      </c>
      <c r="L394" s="7">
        <f>5000+'[2]táj.2'!L394</f>
        <v>5000</v>
      </c>
      <c r="M394" s="7">
        <f>0+'[2]táj.2'!M394</f>
        <v>0</v>
      </c>
      <c r="N394" s="7">
        <f>0+'[2]táj.2'!N394</f>
        <v>0</v>
      </c>
      <c r="O394" s="7">
        <f>0+'[2]táj.2'!O394</f>
        <v>0</v>
      </c>
      <c r="P394" s="7">
        <f>0+'[2]táj.2'!P394</f>
        <v>0</v>
      </c>
      <c r="Q394" s="7">
        <f t="shared" si="24"/>
        <v>5000</v>
      </c>
    </row>
    <row r="395" spans="1:17" ht="12.75">
      <c r="A395" s="170"/>
      <c r="B395" s="170"/>
      <c r="C395" s="319" t="s">
        <v>1018</v>
      </c>
      <c r="D395" s="320" t="s">
        <v>1047</v>
      </c>
      <c r="E395" s="643"/>
      <c r="F395" s="7">
        <v>152499</v>
      </c>
      <c r="G395" s="7">
        <f>0+'[2]táj.2'!G395</f>
        <v>0</v>
      </c>
      <c r="H395" s="7">
        <f>0+'[2]táj.2'!H395</f>
        <v>0</v>
      </c>
      <c r="I395" s="7">
        <f>0+'[2]táj.2'!I395</f>
        <v>0</v>
      </c>
      <c r="J395" s="7">
        <f>0+'[2]táj.2'!J395</f>
        <v>0</v>
      </c>
      <c r="K395" s="7">
        <f>0+'[2]táj.2'!K395</f>
        <v>0</v>
      </c>
      <c r="L395" s="7">
        <f>2000+'[2]táj.2'!L395</f>
        <v>2000</v>
      </c>
      <c r="M395" s="7">
        <f>0+'[2]táj.2'!M395</f>
        <v>0</v>
      </c>
      <c r="N395" s="7">
        <f>0+'[2]táj.2'!N395</f>
        <v>0</v>
      </c>
      <c r="O395" s="7">
        <f>0+'[2]táj.2'!O395</f>
        <v>0</v>
      </c>
      <c r="P395" s="7">
        <f>0+'[2]táj.2'!P395</f>
        <v>0</v>
      </c>
      <c r="Q395" s="7">
        <f t="shared" si="24"/>
        <v>2000</v>
      </c>
    </row>
    <row r="396" spans="1:17" ht="12.75">
      <c r="A396" s="170"/>
      <c r="B396" s="170"/>
      <c r="C396" s="319" t="s">
        <v>1019</v>
      </c>
      <c r="D396" s="498" t="s">
        <v>1049</v>
      </c>
      <c r="E396" s="643"/>
      <c r="F396" s="7">
        <v>155496</v>
      </c>
      <c r="G396" s="7">
        <f>0+'[2]táj.2'!G396</f>
        <v>0</v>
      </c>
      <c r="H396" s="7">
        <f>0+'[2]táj.2'!H396</f>
        <v>0</v>
      </c>
      <c r="I396" s="7">
        <f>0+'[2]táj.2'!I396</f>
        <v>0</v>
      </c>
      <c r="J396" s="7">
        <f>0+'[2]táj.2'!J396</f>
        <v>0</v>
      </c>
      <c r="K396" s="7">
        <f>0+'[2]táj.2'!K396</f>
        <v>0</v>
      </c>
      <c r="L396" s="7">
        <f>0+'[2]táj.2'!L396</f>
        <v>0</v>
      </c>
      <c r="M396" s="7">
        <f>2000+'[2]táj.2'!M396</f>
        <v>2000</v>
      </c>
      <c r="N396" s="7">
        <f>0+'[2]táj.2'!N396</f>
        <v>0</v>
      </c>
      <c r="O396" s="7">
        <f>0+'[2]táj.2'!O396</f>
        <v>0</v>
      </c>
      <c r="P396" s="7">
        <f>0+'[2]táj.2'!P396</f>
        <v>0</v>
      </c>
      <c r="Q396" s="7">
        <f t="shared" si="24"/>
        <v>2000</v>
      </c>
    </row>
    <row r="397" spans="1:17" ht="25.5">
      <c r="A397" s="170"/>
      <c r="B397" s="170"/>
      <c r="C397" s="319" t="s">
        <v>1021</v>
      </c>
      <c r="D397" s="320" t="s">
        <v>1055</v>
      </c>
      <c r="E397" s="643"/>
      <c r="F397" s="7">
        <v>155497</v>
      </c>
      <c r="G397" s="7">
        <f>0+'[2]táj.2'!G397</f>
        <v>0</v>
      </c>
      <c r="H397" s="7">
        <f>0+'[2]táj.2'!H397</f>
        <v>0</v>
      </c>
      <c r="I397" s="7">
        <f>0+'[2]táj.2'!I397</f>
        <v>0</v>
      </c>
      <c r="J397" s="7">
        <f>0+'[2]táj.2'!J397</f>
        <v>0</v>
      </c>
      <c r="K397" s="7">
        <f>0+'[2]táj.2'!K397</f>
        <v>0</v>
      </c>
      <c r="L397" s="7">
        <f>0+'[2]táj.2'!L397</f>
        <v>0</v>
      </c>
      <c r="M397" s="7">
        <f>1500+'[2]táj.2'!M397</f>
        <v>1500</v>
      </c>
      <c r="N397" s="7">
        <f>0+'[2]táj.2'!N397</f>
        <v>0</v>
      </c>
      <c r="O397" s="7">
        <f>0+'[2]táj.2'!O397</f>
        <v>0</v>
      </c>
      <c r="P397" s="7">
        <f>0+'[2]táj.2'!P397</f>
        <v>0</v>
      </c>
      <c r="Q397" s="7">
        <f t="shared" si="24"/>
        <v>1500</v>
      </c>
    </row>
    <row r="398" spans="1:17" ht="25.5">
      <c r="A398" s="170"/>
      <c r="B398" s="170"/>
      <c r="C398" s="319" t="s">
        <v>1023</v>
      </c>
      <c r="D398" s="320" t="s">
        <v>1061</v>
      </c>
      <c r="E398" s="643"/>
      <c r="F398" s="7">
        <v>152425</v>
      </c>
      <c r="G398" s="7">
        <f>0+'[2]táj.2'!G398</f>
        <v>0</v>
      </c>
      <c r="H398" s="7">
        <f>0+'[2]táj.2'!H398</f>
        <v>0</v>
      </c>
      <c r="I398" s="7">
        <f>0+'[2]táj.2'!I398</f>
        <v>0</v>
      </c>
      <c r="J398" s="7">
        <f>0+'[2]táj.2'!J398</f>
        <v>0</v>
      </c>
      <c r="K398" s="7">
        <f>0+'[2]táj.2'!K398</f>
        <v>0</v>
      </c>
      <c r="L398" s="7">
        <f>1000+'[2]táj.2'!L398</f>
        <v>1000</v>
      </c>
      <c r="M398" s="7">
        <f>0+'[2]táj.2'!M398</f>
        <v>0</v>
      </c>
      <c r="N398" s="7">
        <f>0+'[2]táj.2'!N398</f>
        <v>0</v>
      </c>
      <c r="O398" s="7">
        <f>0+'[2]táj.2'!O398</f>
        <v>0</v>
      </c>
      <c r="P398" s="7">
        <f>0+'[2]táj.2'!P398</f>
        <v>0</v>
      </c>
      <c r="Q398" s="7">
        <f t="shared" si="24"/>
        <v>1000</v>
      </c>
    </row>
    <row r="399" spans="1:17" ht="25.5">
      <c r="A399" s="170"/>
      <c r="B399" s="170"/>
      <c r="C399" s="319" t="s">
        <v>1025</v>
      </c>
      <c r="D399" s="320" t="s">
        <v>1063</v>
      </c>
      <c r="E399" s="643"/>
      <c r="F399" s="7">
        <v>155498</v>
      </c>
      <c r="G399" s="7">
        <f>0+'[2]táj.2'!G399</f>
        <v>0</v>
      </c>
      <c r="H399" s="7">
        <f>0+'[2]táj.2'!H399</f>
        <v>0</v>
      </c>
      <c r="I399" s="7">
        <f>0+'[2]táj.2'!I399</f>
        <v>0</v>
      </c>
      <c r="J399" s="7">
        <f>0+'[2]táj.2'!J399</f>
        <v>0</v>
      </c>
      <c r="K399" s="7">
        <f>0+'[2]táj.2'!K399</f>
        <v>0</v>
      </c>
      <c r="L399" s="7">
        <f>0+'[2]táj.2'!L399</f>
        <v>0</v>
      </c>
      <c r="M399" s="7">
        <f>1000+'[2]táj.2'!M399</f>
        <v>1000</v>
      </c>
      <c r="N399" s="7">
        <f>0+'[2]táj.2'!N399</f>
        <v>0</v>
      </c>
      <c r="O399" s="7">
        <f>0+'[2]táj.2'!O399</f>
        <v>0</v>
      </c>
      <c r="P399" s="7">
        <f>0+'[2]táj.2'!P399</f>
        <v>0</v>
      </c>
      <c r="Q399" s="7">
        <f t="shared" si="24"/>
        <v>1000</v>
      </c>
    </row>
    <row r="400" spans="1:17" ht="12.75">
      <c r="A400" s="170"/>
      <c r="B400" s="170"/>
      <c r="C400" s="319" t="s">
        <v>1027</v>
      </c>
      <c r="D400" s="320" t="s">
        <v>1065</v>
      </c>
      <c r="E400" s="643"/>
      <c r="F400" s="7">
        <v>155499</v>
      </c>
      <c r="G400" s="7">
        <f>0+'[2]táj.2'!G400</f>
        <v>0</v>
      </c>
      <c r="H400" s="7">
        <f>0+'[2]táj.2'!H400</f>
        <v>0</v>
      </c>
      <c r="I400" s="7">
        <f>0+'[2]táj.2'!I400</f>
        <v>0</v>
      </c>
      <c r="J400" s="7">
        <f>0+'[2]táj.2'!J400</f>
        <v>0</v>
      </c>
      <c r="K400" s="7">
        <f>0+'[2]táj.2'!K400</f>
        <v>0</v>
      </c>
      <c r="L400" s="7">
        <f>0+'[2]táj.2'!L400</f>
        <v>0</v>
      </c>
      <c r="M400" s="7">
        <f>1226+'[2]táj.2'!M400</f>
        <v>1226</v>
      </c>
      <c r="N400" s="7">
        <f>0+'[2]táj.2'!N400</f>
        <v>0</v>
      </c>
      <c r="O400" s="7">
        <f>0+'[2]táj.2'!O400</f>
        <v>0</v>
      </c>
      <c r="P400" s="7">
        <f>0+'[2]táj.2'!P400</f>
        <v>0</v>
      </c>
      <c r="Q400" s="7">
        <f t="shared" si="24"/>
        <v>1226</v>
      </c>
    </row>
    <row r="401" spans="1:17" ht="12.75">
      <c r="A401" s="170"/>
      <c r="B401" s="170"/>
      <c r="C401" s="319" t="s">
        <v>1029</v>
      </c>
      <c r="D401" s="320" t="s">
        <v>1067</v>
      </c>
      <c r="E401" s="643"/>
      <c r="F401" s="7">
        <v>155404</v>
      </c>
      <c r="G401" s="7">
        <f>0+'[2]táj.2'!G401</f>
        <v>0</v>
      </c>
      <c r="H401" s="7">
        <f>0+'[2]táj.2'!H401</f>
        <v>0</v>
      </c>
      <c r="I401" s="7">
        <f>0+'[2]táj.2'!I401</f>
        <v>0</v>
      </c>
      <c r="J401" s="7">
        <f>0+'[2]táj.2'!J401</f>
        <v>0</v>
      </c>
      <c r="K401" s="7">
        <f>0+'[2]táj.2'!K401</f>
        <v>0</v>
      </c>
      <c r="L401" s="7">
        <f>0+'[2]táj.2'!L401</f>
        <v>0</v>
      </c>
      <c r="M401" s="7">
        <f>300+'[2]táj.2'!M401</f>
        <v>300</v>
      </c>
      <c r="N401" s="7">
        <f>0+'[2]táj.2'!N401</f>
        <v>0</v>
      </c>
      <c r="O401" s="7">
        <f>0+'[2]táj.2'!O401</f>
        <v>0</v>
      </c>
      <c r="P401" s="7">
        <f>0+'[2]táj.2'!P401</f>
        <v>0</v>
      </c>
      <c r="Q401" s="7">
        <f t="shared" si="24"/>
        <v>300</v>
      </c>
    </row>
    <row r="402" spans="1:17" ht="12.75">
      <c r="A402" s="170"/>
      <c r="B402" s="170"/>
      <c r="C402" s="319" t="s">
        <v>1030</v>
      </c>
      <c r="D402" s="823" t="s">
        <v>1069</v>
      </c>
      <c r="E402" s="643"/>
      <c r="F402" s="7">
        <v>155403</v>
      </c>
      <c r="G402" s="7">
        <f>0+'[2]táj.2'!G402</f>
        <v>0</v>
      </c>
      <c r="H402" s="7">
        <f>0+'[2]táj.2'!H402</f>
        <v>0</v>
      </c>
      <c r="I402" s="7">
        <f>0+'[2]táj.2'!I402</f>
        <v>0</v>
      </c>
      <c r="J402" s="7">
        <f>0+'[2]táj.2'!J402</f>
        <v>0</v>
      </c>
      <c r="K402" s="7">
        <f>0+'[2]táj.2'!K402</f>
        <v>0</v>
      </c>
      <c r="L402" s="7">
        <f>0+'[2]táj.2'!L402</f>
        <v>0</v>
      </c>
      <c r="M402" s="7">
        <f>3000+'[2]táj.2'!M402</f>
        <v>3000</v>
      </c>
      <c r="N402" s="7">
        <f>0+'[2]táj.2'!N402</f>
        <v>0</v>
      </c>
      <c r="O402" s="7">
        <f>0+'[2]táj.2'!O402</f>
        <v>0</v>
      </c>
      <c r="P402" s="7">
        <f>0+'[2]táj.2'!P402</f>
        <v>0</v>
      </c>
      <c r="Q402" s="7">
        <f t="shared" si="24"/>
        <v>3000</v>
      </c>
    </row>
    <row r="403" spans="1:17" ht="12.75">
      <c r="A403" s="170"/>
      <c r="B403" s="170"/>
      <c r="C403" s="319" t="s">
        <v>1032</v>
      </c>
      <c r="D403" s="320" t="s">
        <v>1071</v>
      </c>
      <c r="E403" s="643"/>
      <c r="F403" s="7">
        <v>155405</v>
      </c>
      <c r="G403" s="7">
        <f>0+'[2]táj.2'!G403</f>
        <v>0</v>
      </c>
      <c r="H403" s="7">
        <f>0+'[2]táj.2'!H403</f>
        <v>0</v>
      </c>
      <c r="I403" s="7">
        <f>0+'[2]táj.2'!I403</f>
        <v>0</v>
      </c>
      <c r="J403" s="7">
        <f>0+'[2]táj.2'!J403</f>
        <v>0</v>
      </c>
      <c r="K403" s="7">
        <f>0+'[2]táj.2'!K403</f>
        <v>0</v>
      </c>
      <c r="L403" s="7">
        <f>0+'[2]táj.2'!L403</f>
        <v>0</v>
      </c>
      <c r="M403" s="7">
        <f>1500+'[2]táj.2'!M403</f>
        <v>1500</v>
      </c>
      <c r="N403" s="7">
        <f>0+'[2]táj.2'!N403</f>
        <v>0</v>
      </c>
      <c r="O403" s="7">
        <f>0+'[2]táj.2'!O403</f>
        <v>0</v>
      </c>
      <c r="P403" s="7">
        <f>0+'[2]táj.2'!P403</f>
        <v>0</v>
      </c>
      <c r="Q403" s="7">
        <f t="shared" si="24"/>
        <v>1500</v>
      </c>
    </row>
    <row r="404" spans="1:17" ht="25.5">
      <c r="A404" s="170"/>
      <c r="B404" s="170"/>
      <c r="C404" s="319" t="s">
        <v>1034</v>
      </c>
      <c r="D404" s="654" t="s">
        <v>1073</v>
      </c>
      <c r="E404" s="643"/>
      <c r="F404" s="7">
        <v>155406</v>
      </c>
      <c r="G404" s="7">
        <f>0+'[2]táj.2'!G404</f>
        <v>0</v>
      </c>
      <c r="H404" s="7">
        <f>0+'[2]táj.2'!H404</f>
        <v>0</v>
      </c>
      <c r="I404" s="7">
        <f>0+'[2]táj.2'!I404</f>
        <v>0</v>
      </c>
      <c r="J404" s="7">
        <f>0+'[2]táj.2'!J404</f>
        <v>0</v>
      </c>
      <c r="K404" s="7">
        <f>0+'[2]táj.2'!K404</f>
        <v>0</v>
      </c>
      <c r="L404" s="7">
        <f>0+'[2]táj.2'!L404</f>
        <v>0</v>
      </c>
      <c r="M404" s="7">
        <f>4500+'[2]táj.2'!M404</f>
        <v>4500</v>
      </c>
      <c r="N404" s="7">
        <f>0+'[2]táj.2'!N404</f>
        <v>0</v>
      </c>
      <c r="O404" s="7">
        <f>0+'[2]táj.2'!O404</f>
        <v>0</v>
      </c>
      <c r="P404" s="7">
        <f>0+'[2]táj.2'!P404</f>
        <v>0</v>
      </c>
      <c r="Q404" s="7">
        <f t="shared" si="24"/>
        <v>4500</v>
      </c>
    </row>
    <row r="405" spans="1:17" ht="12.75">
      <c r="A405" s="170"/>
      <c r="B405" s="170"/>
      <c r="C405" s="319" t="s">
        <v>1036</v>
      </c>
      <c r="D405" s="236" t="s">
        <v>1075</v>
      </c>
      <c r="E405" s="643"/>
      <c r="F405" s="7">
        <v>154411</v>
      </c>
      <c r="G405" s="7">
        <f>0+'[2]táj.2'!G405</f>
        <v>0</v>
      </c>
      <c r="H405" s="7">
        <f>0+'[2]táj.2'!H405</f>
        <v>0</v>
      </c>
      <c r="I405" s="7">
        <f>0+'[2]táj.2'!I405</f>
        <v>0</v>
      </c>
      <c r="J405" s="7">
        <f>0+'[2]táj.2'!J405</f>
        <v>0</v>
      </c>
      <c r="K405" s="7">
        <f>0+'[2]táj.2'!K405</f>
        <v>0</v>
      </c>
      <c r="L405" s="7">
        <f>0+'[2]táj.2'!L405</f>
        <v>0</v>
      </c>
      <c r="M405" s="7">
        <f>11000+'[2]táj.2'!M405</f>
        <v>11000</v>
      </c>
      <c r="N405" s="7">
        <f>0+'[2]táj.2'!N405</f>
        <v>0</v>
      </c>
      <c r="O405" s="7">
        <f>0+'[2]táj.2'!O405</f>
        <v>0</v>
      </c>
      <c r="P405" s="7">
        <f>0+'[2]táj.2'!P405</f>
        <v>0</v>
      </c>
      <c r="Q405" s="7">
        <f t="shared" si="24"/>
        <v>11000</v>
      </c>
    </row>
    <row r="406" spans="1:17" ht="12.75">
      <c r="A406" s="170"/>
      <c r="B406" s="170"/>
      <c r="C406" s="319" t="s">
        <v>1038</v>
      </c>
      <c r="D406" s="823" t="s">
        <v>1077</v>
      </c>
      <c r="E406" s="643"/>
      <c r="F406" s="7">
        <v>155408</v>
      </c>
      <c r="G406" s="7">
        <f>0+'[2]táj.2'!G406</f>
        <v>0</v>
      </c>
      <c r="H406" s="7">
        <f>0+'[2]táj.2'!H406</f>
        <v>0</v>
      </c>
      <c r="I406" s="7">
        <f>0+'[2]táj.2'!I406</f>
        <v>0</v>
      </c>
      <c r="J406" s="7">
        <f>0+'[2]táj.2'!J406</f>
        <v>0</v>
      </c>
      <c r="K406" s="7">
        <f>0+'[2]táj.2'!K406</f>
        <v>0</v>
      </c>
      <c r="L406" s="7">
        <f>0+'[2]táj.2'!L406</f>
        <v>0</v>
      </c>
      <c r="M406" s="7">
        <f>500+'[2]táj.2'!M406</f>
        <v>500</v>
      </c>
      <c r="N406" s="7">
        <f>0+'[2]táj.2'!N406</f>
        <v>0</v>
      </c>
      <c r="O406" s="7">
        <f>0+'[2]táj.2'!O406</f>
        <v>0</v>
      </c>
      <c r="P406" s="7">
        <f>0+'[2]táj.2'!P406</f>
        <v>0</v>
      </c>
      <c r="Q406" s="7">
        <f t="shared" si="24"/>
        <v>500</v>
      </c>
    </row>
    <row r="407" spans="1:17" ht="12.75">
      <c r="A407" s="170"/>
      <c r="B407" s="170"/>
      <c r="C407" s="319" t="s">
        <v>1040</v>
      </c>
      <c r="D407" s="297" t="s">
        <v>1079</v>
      </c>
      <c r="E407" s="643"/>
      <c r="F407" s="7">
        <v>155409</v>
      </c>
      <c r="G407" s="7">
        <f>0+'[2]táj.2'!G407</f>
        <v>0</v>
      </c>
      <c r="H407" s="7">
        <f>0+'[2]táj.2'!H407</f>
        <v>0</v>
      </c>
      <c r="I407" s="7">
        <f>0+'[2]táj.2'!I407</f>
        <v>0</v>
      </c>
      <c r="J407" s="7">
        <f>0+'[2]táj.2'!J407</f>
        <v>0</v>
      </c>
      <c r="K407" s="7">
        <f>0+'[2]táj.2'!K407</f>
        <v>0</v>
      </c>
      <c r="L407" s="7">
        <f>0+'[2]táj.2'!L407</f>
        <v>0</v>
      </c>
      <c r="M407" s="7">
        <f>3500+'[2]táj.2'!M407</f>
        <v>3500</v>
      </c>
      <c r="N407" s="7">
        <f>0+'[2]táj.2'!N407</f>
        <v>0</v>
      </c>
      <c r="O407" s="7">
        <f>0+'[2]táj.2'!O407</f>
        <v>0</v>
      </c>
      <c r="P407" s="7">
        <f>0+'[2]táj.2'!P407</f>
        <v>0</v>
      </c>
      <c r="Q407" s="7">
        <f t="shared" si="24"/>
        <v>3500</v>
      </c>
    </row>
    <row r="408" spans="1:17" ht="12.75">
      <c r="A408" s="170"/>
      <c r="B408" s="170"/>
      <c r="C408" s="319" t="s">
        <v>1042</v>
      </c>
      <c r="D408" s="823" t="s">
        <v>1081</v>
      </c>
      <c r="E408" s="643"/>
      <c r="F408" s="7">
        <v>155410</v>
      </c>
      <c r="G408" s="7">
        <f>0+'[2]táj.2'!G408</f>
        <v>0</v>
      </c>
      <c r="H408" s="7">
        <f>0+'[2]táj.2'!H408</f>
        <v>0</v>
      </c>
      <c r="I408" s="7">
        <f>0+'[2]táj.2'!I408</f>
        <v>0</v>
      </c>
      <c r="J408" s="7">
        <f>0+'[2]táj.2'!J408</f>
        <v>0</v>
      </c>
      <c r="K408" s="7">
        <f>0+'[2]táj.2'!K408</f>
        <v>0</v>
      </c>
      <c r="L408" s="7">
        <f>0+'[2]táj.2'!L408</f>
        <v>0</v>
      </c>
      <c r="M408" s="7">
        <f>2500+'[2]táj.2'!M408</f>
        <v>2500</v>
      </c>
      <c r="N408" s="7">
        <f>0+'[2]táj.2'!N408</f>
        <v>0</v>
      </c>
      <c r="O408" s="7">
        <f>0+'[2]táj.2'!O408</f>
        <v>0</v>
      </c>
      <c r="P408" s="7">
        <f>0+'[2]táj.2'!P408</f>
        <v>0</v>
      </c>
      <c r="Q408" s="7">
        <f t="shared" si="24"/>
        <v>2500</v>
      </c>
    </row>
    <row r="409" spans="1:17" ht="12.75">
      <c r="A409" s="170"/>
      <c r="B409" s="170"/>
      <c r="C409" s="319" t="s">
        <v>1044</v>
      </c>
      <c r="D409" s="823" t="s">
        <v>1082</v>
      </c>
      <c r="E409" s="643"/>
      <c r="F409" s="7">
        <v>155411</v>
      </c>
      <c r="G409" s="7">
        <f>0+'[2]táj.2'!G409</f>
        <v>0</v>
      </c>
      <c r="H409" s="7">
        <f>0+'[2]táj.2'!H409</f>
        <v>0</v>
      </c>
      <c r="I409" s="7">
        <f>0+'[2]táj.2'!I409</f>
        <v>0</v>
      </c>
      <c r="J409" s="7">
        <f>0+'[2]táj.2'!J409</f>
        <v>0</v>
      </c>
      <c r="K409" s="7">
        <f>0+'[2]táj.2'!K409</f>
        <v>0</v>
      </c>
      <c r="L409" s="7">
        <f>0+'[2]táj.2'!L409</f>
        <v>0</v>
      </c>
      <c r="M409" s="7">
        <f>2500+'[2]táj.2'!M409</f>
        <v>2500</v>
      </c>
      <c r="N409" s="7">
        <f>0+'[2]táj.2'!N409</f>
        <v>0</v>
      </c>
      <c r="O409" s="7">
        <f>0+'[2]táj.2'!O409</f>
        <v>0</v>
      </c>
      <c r="P409" s="7">
        <f>0+'[2]táj.2'!P409</f>
        <v>0</v>
      </c>
      <c r="Q409" s="7">
        <f t="shared" si="24"/>
        <v>2500</v>
      </c>
    </row>
    <row r="410" spans="1:17" ht="12.75">
      <c r="A410" s="170"/>
      <c r="B410" s="170"/>
      <c r="C410" s="319" t="s">
        <v>1046</v>
      </c>
      <c r="D410" s="236" t="s">
        <v>1083</v>
      </c>
      <c r="E410" s="325"/>
      <c r="F410" s="7">
        <v>152411</v>
      </c>
      <c r="G410" s="7">
        <f>0+'[2]táj.2'!G410</f>
        <v>0</v>
      </c>
      <c r="H410" s="7">
        <f>0+'[2]táj.2'!H410</f>
        <v>0</v>
      </c>
      <c r="I410" s="7">
        <f>0+'[2]táj.2'!I410</f>
        <v>0</v>
      </c>
      <c r="J410" s="7">
        <f>0+'[2]táj.2'!J410</f>
        <v>0</v>
      </c>
      <c r="K410" s="7">
        <f>0+'[2]táj.2'!K410</f>
        <v>0</v>
      </c>
      <c r="L410" s="7">
        <f>4000+'[2]táj.2'!L410</f>
        <v>4000</v>
      </c>
      <c r="M410" s="7">
        <f>0+'[2]táj.2'!M410</f>
        <v>0</v>
      </c>
      <c r="N410" s="7">
        <f>0+'[2]táj.2'!N410</f>
        <v>0</v>
      </c>
      <c r="O410" s="7">
        <f>0+'[2]táj.2'!O410</f>
        <v>0</v>
      </c>
      <c r="P410" s="7">
        <f>0+'[2]táj.2'!P410</f>
        <v>0</v>
      </c>
      <c r="Q410" s="7">
        <f t="shared" si="24"/>
        <v>4000</v>
      </c>
    </row>
    <row r="411" spans="1:17" ht="12.75">
      <c r="A411" s="170"/>
      <c r="B411" s="170"/>
      <c r="C411" s="319" t="s">
        <v>1048</v>
      </c>
      <c r="D411" s="236" t="s">
        <v>1084</v>
      </c>
      <c r="E411" s="325"/>
      <c r="F411" s="7">
        <v>154493</v>
      </c>
      <c r="G411" s="7">
        <f>0+'[2]táj.2'!G411</f>
        <v>0</v>
      </c>
      <c r="H411" s="7">
        <f>0+'[2]táj.2'!H411</f>
        <v>0</v>
      </c>
      <c r="I411" s="7">
        <f>0+'[2]táj.2'!I411</f>
        <v>0</v>
      </c>
      <c r="J411" s="7">
        <f>0+'[2]táj.2'!J411</f>
        <v>0</v>
      </c>
      <c r="K411" s="7">
        <f>0+'[2]táj.2'!K411</f>
        <v>0</v>
      </c>
      <c r="L411" s="7">
        <f>0+'[2]táj.2'!L411</f>
        <v>0</v>
      </c>
      <c r="M411" s="7">
        <f>2000+'[2]táj.2'!M411</f>
        <v>2000</v>
      </c>
      <c r="N411" s="7">
        <f>0+'[2]táj.2'!N411</f>
        <v>0</v>
      </c>
      <c r="O411" s="7">
        <f>0+'[2]táj.2'!O411</f>
        <v>0</v>
      </c>
      <c r="P411" s="7">
        <f>0+'[2]táj.2'!P411</f>
        <v>0</v>
      </c>
      <c r="Q411" s="7">
        <f t="shared" si="24"/>
        <v>2000</v>
      </c>
    </row>
    <row r="412" spans="1:17" ht="25.5">
      <c r="A412" s="170"/>
      <c r="B412" s="170"/>
      <c r="C412" s="319" t="s">
        <v>1050</v>
      </c>
      <c r="D412" s="236" t="s">
        <v>1085</v>
      </c>
      <c r="E412" s="325"/>
      <c r="F412" s="7">
        <v>154414</v>
      </c>
      <c r="G412" s="7">
        <f>0+'[2]táj.2'!G412</f>
        <v>0</v>
      </c>
      <c r="H412" s="7">
        <f>0+'[2]táj.2'!H412</f>
        <v>0</v>
      </c>
      <c r="I412" s="7">
        <f>0+'[2]táj.2'!I412</f>
        <v>0</v>
      </c>
      <c r="J412" s="7">
        <f>0+'[2]táj.2'!J412</f>
        <v>0</v>
      </c>
      <c r="K412" s="7">
        <f>0+'[2]táj.2'!K412</f>
        <v>0</v>
      </c>
      <c r="L412" s="7">
        <f>0+'[2]táj.2'!L412</f>
        <v>0</v>
      </c>
      <c r="M412" s="7">
        <f>2282+'[2]táj.2'!M412</f>
        <v>2282</v>
      </c>
      <c r="N412" s="7">
        <f>0+'[2]táj.2'!N412</f>
        <v>0</v>
      </c>
      <c r="O412" s="7">
        <f>0+'[2]táj.2'!O412</f>
        <v>0</v>
      </c>
      <c r="P412" s="7">
        <f>0+'[2]táj.2'!P412</f>
        <v>0</v>
      </c>
      <c r="Q412" s="7">
        <f t="shared" si="24"/>
        <v>2282</v>
      </c>
    </row>
    <row r="413" spans="1:17" ht="12.75">
      <c r="A413" s="170"/>
      <c r="B413" s="170"/>
      <c r="C413" s="319" t="s">
        <v>1052</v>
      </c>
      <c r="D413" s="320" t="s">
        <v>1086</v>
      </c>
      <c r="E413" s="643"/>
      <c r="F413" s="7">
        <v>155412</v>
      </c>
      <c r="G413" s="7">
        <f>0+'[2]táj.2'!G413</f>
        <v>0</v>
      </c>
      <c r="H413" s="7">
        <f>0+'[2]táj.2'!H413</f>
        <v>0</v>
      </c>
      <c r="I413" s="7">
        <f>0+'[2]táj.2'!I413</f>
        <v>0</v>
      </c>
      <c r="J413" s="7">
        <f>0+'[2]táj.2'!J413</f>
        <v>0</v>
      </c>
      <c r="K413" s="7">
        <f>0+'[2]táj.2'!K413</f>
        <v>0</v>
      </c>
      <c r="L413" s="7">
        <f>0+'[2]táj.2'!L413</f>
        <v>0</v>
      </c>
      <c r="M413" s="7">
        <f>2000+'[2]táj.2'!M413</f>
        <v>2000</v>
      </c>
      <c r="N413" s="7">
        <f>0+'[2]táj.2'!N413</f>
        <v>0</v>
      </c>
      <c r="O413" s="7">
        <f>0+'[2]táj.2'!O413</f>
        <v>0</v>
      </c>
      <c r="P413" s="7">
        <f>0+'[2]táj.2'!P413</f>
        <v>0</v>
      </c>
      <c r="Q413" s="7">
        <f t="shared" si="24"/>
        <v>2000</v>
      </c>
    </row>
    <row r="414" spans="1:17" ht="12">
      <c r="A414" s="170"/>
      <c r="B414" s="170"/>
      <c r="C414" s="319" t="s">
        <v>1054</v>
      </c>
      <c r="D414" s="824" t="s">
        <v>1087</v>
      </c>
      <c r="E414" s="643"/>
      <c r="F414" s="7">
        <v>155413</v>
      </c>
      <c r="G414" s="7">
        <f>0+'[2]táj.2'!G414</f>
        <v>0</v>
      </c>
      <c r="H414" s="7">
        <f>0+'[2]táj.2'!H414</f>
        <v>0</v>
      </c>
      <c r="I414" s="7">
        <f>0+'[2]táj.2'!I414</f>
        <v>0</v>
      </c>
      <c r="J414" s="7">
        <f>0+'[2]táj.2'!J414</f>
        <v>0</v>
      </c>
      <c r="K414" s="7">
        <f>0+'[2]táj.2'!K414</f>
        <v>0</v>
      </c>
      <c r="L414" s="7">
        <f>0+'[2]táj.2'!L414</f>
        <v>0</v>
      </c>
      <c r="M414" s="7">
        <f>3000+'[2]táj.2'!M414</f>
        <v>3000</v>
      </c>
      <c r="N414" s="7">
        <f>0+'[2]táj.2'!N414</f>
        <v>0</v>
      </c>
      <c r="O414" s="7">
        <f>0+'[2]táj.2'!O414</f>
        <v>0</v>
      </c>
      <c r="P414" s="7">
        <f>0+'[2]táj.2'!P414</f>
        <v>0</v>
      </c>
      <c r="Q414" s="7">
        <f t="shared" si="24"/>
        <v>3000</v>
      </c>
    </row>
    <row r="415" spans="1:17" ht="12">
      <c r="A415" s="170"/>
      <c r="B415" s="170"/>
      <c r="C415" s="319" t="s">
        <v>1056</v>
      </c>
      <c r="D415" s="499" t="s">
        <v>1499</v>
      </c>
      <c r="E415" s="643"/>
      <c r="F415" s="7">
        <v>155414</v>
      </c>
      <c r="G415" s="7">
        <f>0+'[2]táj.2'!G415</f>
        <v>0</v>
      </c>
      <c r="H415" s="7">
        <f>0+'[2]táj.2'!H415</f>
        <v>0</v>
      </c>
      <c r="I415" s="7">
        <f>0+'[2]táj.2'!I415</f>
        <v>0</v>
      </c>
      <c r="J415" s="7">
        <f>0+'[2]táj.2'!J415</f>
        <v>0</v>
      </c>
      <c r="K415" s="7">
        <f>0+'[2]táj.2'!K415</f>
        <v>0</v>
      </c>
      <c r="L415" s="7">
        <f>0+'[2]táj.2'!L415</f>
        <v>0</v>
      </c>
      <c r="M415" s="7">
        <f>5000+'[2]táj.2'!M415</f>
        <v>5000</v>
      </c>
      <c r="N415" s="7">
        <f>0+'[2]táj.2'!N415</f>
        <v>0</v>
      </c>
      <c r="O415" s="7">
        <f>0+'[2]táj.2'!O415</f>
        <v>0</v>
      </c>
      <c r="P415" s="7">
        <f>0+'[2]táj.2'!P415</f>
        <v>0</v>
      </c>
      <c r="Q415" s="7">
        <f t="shared" si="24"/>
        <v>5000</v>
      </c>
    </row>
    <row r="416" spans="1:17" ht="12">
      <c r="A416" s="170"/>
      <c r="B416" s="170"/>
      <c r="C416" s="319" t="s">
        <v>1058</v>
      </c>
      <c r="D416" s="824" t="s">
        <v>1088</v>
      </c>
      <c r="E416" s="643"/>
      <c r="F416" s="7">
        <v>155415</v>
      </c>
      <c r="G416" s="7">
        <f>0+'[2]táj.2'!G416</f>
        <v>0</v>
      </c>
      <c r="H416" s="7">
        <f>0+'[2]táj.2'!H416</f>
        <v>0</v>
      </c>
      <c r="I416" s="7">
        <f>0+'[2]táj.2'!I416</f>
        <v>0</v>
      </c>
      <c r="J416" s="7">
        <f>0+'[2]táj.2'!J416</f>
        <v>0</v>
      </c>
      <c r="K416" s="7">
        <f>0+'[2]táj.2'!K416</f>
        <v>0</v>
      </c>
      <c r="L416" s="7">
        <f>0+'[2]táj.2'!L416</f>
        <v>0</v>
      </c>
      <c r="M416" s="7">
        <f>1000+'[2]táj.2'!M416</f>
        <v>1000</v>
      </c>
      <c r="N416" s="7">
        <f>0+'[2]táj.2'!N416</f>
        <v>0</v>
      </c>
      <c r="O416" s="7">
        <f>0+'[2]táj.2'!O416</f>
        <v>0</v>
      </c>
      <c r="P416" s="7">
        <f>0+'[2]táj.2'!P416</f>
        <v>0</v>
      </c>
      <c r="Q416" s="7">
        <f t="shared" si="24"/>
        <v>1000</v>
      </c>
    </row>
    <row r="417" spans="1:17" ht="12">
      <c r="A417" s="170"/>
      <c r="B417" s="170"/>
      <c r="C417" s="319" t="s">
        <v>1060</v>
      </c>
      <c r="D417" s="824" t="s">
        <v>1089</v>
      </c>
      <c r="E417" s="643"/>
      <c r="F417" s="7">
        <v>155417</v>
      </c>
      <c r="G417" s="7">
        <f>0+'[2]táj.2'!G417</f>
        <v>0</v>
      </c>
      <c r="H417" s="7">
        <f>0+'[2]táj.2'!H417</f>
        <v>0</v>
      </c>
      <c r="I417" s="7">
        <f>0+'[2]táj.2'!I417</f>
        <v>0</v>
      </c>
      <c r="J417" s="7">
        <f>0+'[2]táj.2'!J417</f>
        <v>0</v>
      </c>
      <c r="K417" s="7">
        <f>0+'[2]táj.2'!K417</f>
        <v>0</v>
      </c>
      <c r="L417" s="7">
        <f>0+'[2]táj.2'!L417</f>
        <v>0</v>
      </c>
      <c r="M417" s="7">
        <f>1000+'[2]táj.2'!M417</f>
        <v>1000</v>
      </c>
      <c r="N417" s="7">
        <f>0+'[2]táj.2'!N417</f>
        <v>0</v>
      </c>
      <c r="O417" s="7">
        <f>0+'[2]táj.2'!O417</f>
        <v>0</v>
      </c>
      <c r="P417" s="7">
        <f>0+'[2]táj.2'!P417</f>
        <v>0</v>
      </c>
      <c r="Q417" s="7">
        <f t="shared" si="24"/>
        <v>1000</v>
      </c>
    </row>
    <row r="418" spans="1:17" ht="12.75">
      <c r="A418" s="170"/>
      <c r="B418" s="170"/>
      <c r="C418" s="319" t="s">
        <v>1062</v>
      </c>
      <c r="D418" s="320" t="s">
        <v>83</v>
      </c>
      <c r="E418" s="643"/>
      <c r="F418" s="7">
        <v>155418</v>
      </c>
      <c r="G418" s="7">
        <f>0+'[2]táj.2'!G418</f>
        <v>0</v>
      </c>
      <c r="H418" s="7">
        <f>0+'[2]táj.2'!H418</f>
        <v>0</v>
      </c>
      <c r="I418" s="7">
        <f>0+'[2]táj.2'!I418</f>
        <v>0</v>
      </c>
      <c r="J418" s="7">
        <f>0+'[2]táj.2'!J418</f>
        <v>0</v>
      </c>
      <c r="K418" s="7">
        <f>0+'[2]táj.2'!K418</f>
        <v>0</v>
      </c>
      <c r="L418" s="7">
        <f>0+'[2]táj.2'!L418</f>
        <v>0</v>
      </c>
      <c r="M418" s="7">
        <f>1500+'[2]táj.2'!M418</f>
        <v>1500</v>
      </c>
      <c r="N418" s="7">
        <f>0+'[2]táj.2'!N418</f>
        <v>0</v>
      </c>
      <c r="O418" s="7">
        <f>0+'[2]táj.2'!O418</f>
        <v>0</v>
      </c>
      <c r="P418" s="7">
        <f>0+'[2]táj.2'!P418</f>
        <v>0</v>
      </c>
      <c r="Q418" s="7">
        <f t="shared" si="24"/>
        <v>1500</v>
      </c>
    </row>
    <row r="419" spans="1:17" ht="12">
      <c r="A419" s="170"/>
      <c r="B419" s="170"/>
      <c r="C419" s="319" t="s">
        <v>1064</v>
      </c>
      <c r="D419" s="326" t="s">
        <v>1090</v>
      </c>
      <c r="E419" s="643"/>
      <c r="F419" s="7">
        <v>155419</v>
      </c>
      <c r="G419" s="7">
        <f>0+'[2]táj.2'!G419</f>
        <v>0</v>
      </c>
      <c r="H419" s="7">
        <f>0+'[2]táj.2'!H419</f>
        <v>0</v>
      </c>
      <c r="I419" s="7">
        <f>0+'[2]táj.2'!I419</f>
        <v>0</v>
      </c>
      <c r="J419" s="7">
        <f>0+'[2]táj.2'!J419</f>
        <v>0</v>
      </c>
      <c r="K419" s="7">
        <f>0+'[2]táj.2'!K419</f>
        <v>0</v>
      </c>
      <c r="L419" s="7">
        <f>0+'[2]táj.2'!L419</f>
        <v>0</v>
      </c>
      <c r="M419" s="7">
        <f>1500+'[2]táj.2'!M419</f>
        <v>1500</v>
      </c>
      <c r="N419" s="7">
        <f>0+'[2]táj.2'!N419</f>
        <v>0</v>
      </c>
      <c r="O419" s="7">
        <f>0+'[2]táj.2'!O419</f>
        <v>0</v>
      </c>
      <c r="P419" s="7">
        <f>0+'[2]táj.2'!P419</f>
        <v>0</v>
      </c>
      <c r="Q419" s="7">
        <f t="shared" si="24"/>
        <v>1500</v>
      </c>
    </row>
    <row r="420" spans="1:17" ht="12">
      <c r="A420" s="170"/>
      <c r="B420" s="170"/>
      <c r="C420" s="319" t="s">
        <v>1066</v>
      </c>
      <c r="D420" s="326" t="s">
        <v>1091</v>
      </c>
      <c r="E420" s="643"/>
      <c r="F420" s="7">
        <v>155421</v>
      </c>
      <c r="G420" s="7">
        <f>0+'[2]táj.2'!G420</f>
        <v>0</v>
      </c>
      <c r="H420" s="7">
        <f>0+'[2]táj.2'!H420</f>
        <v>0</v>
      </c>
      <c r="I420" s="7">
        <f>0+'[2]táj.2'!I420</f>
        <v>0</v>
      </c>
      <c r="J420" s="7">
        <f>0+'[2]táj.2'!J420</f>
        <v>0</v>
      </c>
      <c r="K420" s="7">
        <f>0+'[2]táj.2'!K420</f>
        <v>0</v>
      </c>
      <c r="L420" s="7">
        <f>0+'[2]táj.2'!L420</f>
        <v>0</v>
      </c>
      <c r="M420" s="7">
        <f>2000+'[2]táj.2'!M420</f>
        <v>2000</v>
      </c>
      <c r="N420" s="7">
        <f>0+'[2]táj.2'!N420</f>
        <v>0</v>
      </c>
      <c r="O420" s="7">
        <f>0+'[2]táj.2'!O420</f>
        <v>0</v>
      </c>
      <c r="P420" s="7">
        <f>0+'[2]táj.2'!P420</f>
        <v>0</v>
      </c>
      <c r="Q420" s="7">
        <f t="shared" si="24"/>
        <v>2000</v>
      </c>
    </row>
    <row r="421" spans="1:17" ht="12">
      <c r="A421" s="170"/>
      <c r="B421" s="170"/>
      <c r="C421" s="319" t="s">
        <v>1068</v>
      </c>
      <c r="D421" s="326" t="s">
        <v>1092</v>
      </c>
      <c r="E421" s="643"/>
      <c r="F421" s="7">
        <v>155422</v>
      </c>
      <c r="G421" s="7">
        <f>0+'[2]táj.2'!G421</f>
        <v>0</v>
      </c>
      <c r="H421" s="7">
        <f>0+'[2]táj.2'!H421</f>
        <v>0</v>
      </c>
      <c r="I421" s="7">
        <f>0+'[2]táj.2'!I421</f>
        <v>0</v>
      </c>
      <c r="J421" s="7">
        <f>0+'[2]táj.2'!J421</f>
        <v>0</v>
      </c>
      <c r="K421" s="7">
        <f>0+'[2]táj.2'!K421</f>
        <v>0</v>
      </c>
      <c r="L421" s="7">
        <f>0+'[2]táj.2'!L421</f>
        <v>0</v>
      </c>
      <c r="M421" s="7">
        <f>2000+'[2]táj.2'!M421</f>
        <v>2000</v>
      </c>
      <c r="N421" s="7">
        <f>0+'[2]táj.2'!N421</f>
        <v>0</v>
      </c>
      <c r="O421" s="7">
        <f>0+'[2]táj.2'!O421</f>
        <v>0</v>
      </c>
      <c r="P421" s="7">
        <f>0+'[2]táj.2'!P421</f>
        <v>0</v>
      </c>
      <c r="Q421" s="7">
        <f t="shared" si="24"/>
        <v>2000</v>
      </c>
    </row>
    <row r="422" spans="1:17" ht="24">
      <c r="A422" s="170"/>
      <c r="B422" s="170"/>
      <c r="C422" s="319" t="s">
        <v>1070</v>
      </c>
      <c r="D422" s="326" t="s">
        <v>1093</v>
      </c>
      <c r="E422" s="643"/>
      <c r="F422" s="7">
        <v>155424</v>
      </c>
      <c r="G422" s="7">
        <f>0+'[2]táj.2'!G422</f>
        <v>0</v>
      </c>
      <c r="H422" s="7">
        <f>0+'[2]táj.2'!H422</f>
        <v>0</v>
      </c>
      <c r="I422" s="7">
        <f>0+'[2]táj.2'!I422</f>
        <v>0</v>
      </c>
      <c r="J422" s="7">
        <f>0+'[2]táj.2'!J422</f>
        <v>0</v>
      </c>
      <c r="K422" s="7">
        <f>0+'[2]táj.2'!K422</f>
        <v>0</v>
      </c>
      <c r="L422" s="7">
        <f>0+'[2]táj.2'!L422</f>
        <v>0</v>
      </c>
      <c r="M422" s="7">
        <f>3000+'[2]táj.2'!M422</f>
        <v>3000</v>
      </c>
      <c r="N422" s="7">
        <f>0+'[2]táj.2'!N422</f>
        <v>0</v>
      </c>
      <c r="O422" s="7">
        <f>0+'[2]táj.2'!O422</f>
        <v>0</v>
      </c>
      <c r="P422" s="7">
        <f>0+'[2]táj.2'!P422</f>
        <v>0</v>
      </c>
      <c r="Q422" s="7">
        <f t="shared" si="24"/>
        <v>3000</v>
      </c>
    </row>
    <row r="423" spans="1:17" ht="12">
      <c r="A423" s="170"/>
      <c r="B423" s="170"/>
      <c r="C423" s="319" t="s">
        <v>1072</v>
      </c>
      <c r="D423" s="326" t="s">
        <v>1094</v>
      </c>
      <c r="E423" s="643"/>
      <c r="F423" s="7">
        <v>155426</v>
      </c>
      <c r="G423" s="7">
        <f>0+'[2]táj.2'!G423</f>
        <v>0</v>
      </c>
      <c r="H423" s="7">
        <f>0+'[2]táj.2'!H423</f>
        <v>0</v>
      </c>
      <c r="I423" s="7">
        <f>0+'[2]táj.2'!I423</f>
        <v>0</v>
      </c>
      <c r="J423" s="7">
        <f>0+'[2]táj.2'!J423</f>
        <v>0</v>
      </c>
      <c r="K423" s="7">
        <f>0+'[2]táj.2'!K423</f>
        <v>0</v>
      </c>
      <c r="L423" s="7">
        <f>0+'[2]táj.2'!L423</f>
        <v>0</v>
      </c>
      <c r="M423" s="7">
        <f>4000+'[2]táj.2'!M423</f>
        <v>4000</v>
      </c>
      <c r="N423" s="7">
        <f>0+'[2]táj.2'!N423</f>
        <v>0</v>
      </c>
      <c r="O423" s="7">
        <f>0+'[2]táj.2'!O423</f>
        <v>0</v>
      </c>
      <c r="P423" s="7">
        <f>0+'[2]táj.2'!P423</f>
        <v>0</v>
      </c>
      <c r="Q423" s="7">
        <f t="shared" si="24"/>
        <v>4000</v>
      </c>
    </row>
    <row r="424" spans="1:17" ht="12">
      <c r="A424" s="170"/>
      <c r="B424" s="170"/>
      <c r="C424" s="319" t="s">
        <v>1074</v>
      </c>
      <c r="D424" s="326" t="s">
        <v>1095</v>
      </c>
      <c r="E424" s="643"/>
      <c r="F424" s="7">
        <v>152426</v>
      </c>
      <c r="G424" s="7">
        <f>0+'[2]táj.2'!G424</f>
        <v>0</v>
      </c>
      <c r="H424" s="7">
        <f>0+'[2]táj.2'!H424</f>
        <v>0</v>
      </c>
      <c r="I424" s="7">
        <f>0+'[2]táj.2'!I424</f>
        <v>0</v>
      </c>
      <c r="J424" s="7">
        <f>0+'[2]táj.2'!J424</f>
        <v>0</v>
      </c>
      <c r="K424" s="7">
        <f>0+'[2]táj.2'!K424</f>
        <v>0</v>
      </c>
      <c r="L424" s="7">
        <f>13000+'[2]táj.2'!L424</f>
        <v>13000</v>
      </c>
      <c r="M424" s="7">
        <f>0+'[2]táj.2'!M424</f>
        <v>0</v>
      </c>
      <c r="N424" s="7">
        <f>0+'[2]táj.2'!N424</f>
        <v>0</v>
      </c>
      <c r="O424" s="7">
        <f>0+'[2]táj.2'!O424</f>
        <v>0</v>
      </c>
      <c r="P424" s="7">
        <f>0+'[2]táj.2'!P424</f>
        <v>0</v>
      </c>
      <c r="Q424" s="7">
        <f t="shared" si="24"/>
        <v>13000</v>
      </c>
    </row>
    <row r="425" spans="1:17" ht="24">
      <c r="A425" s="170"/>
      <c r="B425" s="170"/>
      <c r="C425" s="319" t="s">
        <v>1076</v>
      </c>
      <c r="D425" s="326" t="s">
        <v>1096</v>
      </c>
      <c r="E425" s="643"/>
      <c r="F425" s="7">
        <v>155429</v>
      </c>
      <c r="G425" s="7">
        <f>0+'[2]táj.2'!G425</f>
        <v>0</v>
      </c>
      <c r="H425" s="7">
        <f>0+'[2]táj.2'!H425</f>
        <v>0</v>
      </c>
      <c r="I425" s="7">
        <f>0+'[2]táj.2'!I425</f>
        <v>0</v>
      </c>
      <c r="J425" s="7">
        <f>0+'[2]táj.2'!J425</f>
        <v>0</v>
      </c>
      <c r="K425" s="7">
        <f>0+'[2]táj.2'!K425</f>
        <v>0</v>
      </c>
      <c r="L425" s="7">
        <f>0+'[2]táj.2'!L425</f>
        <v>0</v>
      </c>
      <c r="M425" s="7">
        <f>6000+'[2]táj.2'!M425</f>
        <v>6000</v>
      </c>
      <c r="N425" s="7">
        <f>0+'[2]táj.2'!N425</f>
        <v>0</v>
      </c>
      <c r="O425" s="7">
        <f>0+'[2]táj.2'!O425</f>
        <v>0</v>
      </c>
      <c r="P425" s="7">
        <f>0+'[2]táj.2'!P425</f>
        <v>0</v>
      </c>
      <c r="Q425" s="7">
        <f t="shared" si="24"/>
        <v>6000</v>
      </c>
    </row>
    <row r="426" spans="1:17" ht="12">
      <c r="A426" s="170"/>
      <c r="B426" s="170"/>
      <c r="C426" s="319" t="s">
        <v>1078</v>
      </c>
      <c r="D426" s="326" t="s">
        <v>1097</v>
      </c>
      <c r="E426" s="643"/>
      <c r="F426" s="7">
        <v>155430</v>
      </c>
      <c r="G426" s="7">
        <f>0+'[2]táj.2'!G426</f>
        <v>0</v>
      </c>
      <c r="H426" s="7">
        <f>0+'[2]táj.2'!H426</f>
        <v>0</v>
      </c>
      <c r="I426" s="7">
        <f>0+'[2]táj.2'!I426</f>
        <v>0</v>
      </c>
      <c r="J426" s="7">
        <f>0+'[2]táj.2'!J426</f>
        <v>0</v>
      </c>
      <c r="K426" s="7">
        <f>0+'[2]táj.2'!K426</f>
        <v>0</v>
      </c>
      <c r="L426" s="7">
        <f>0+'[2]táj.2'!L426</f>
        <v>0</v>
      </c>
      <c r="M426" s="7">
        <f>2000+'[2]táj.2'!M426</f>
        <v>2000</v>
      </c>
      <c r="N426" s="7">
        <f>0+'[2]táj.2'!N426</f>
        <v>0</v>
      </c>
      <c r="O426" s="7">
        <f>0+'[2]táj.2'!O426</f>
        <v>0</v>
      </c>
      <c r="P426" s="7">
        <f>0+'[2]táj.2'!P426</f>
        <v>0</v>
      </c>
      <c r="Q426" s="7">
        <f t="shared" si="24"/>
        <v>2000</v>
      </c>
    </row>
    <row r="427" spans="1:17" ht="12">
      <c r="A427" s="170"/>
      <c r="B427" s="170"/>
      <c r="C427" s="319" t="s">
        <v>1080</v>
      </c>
      <c r="D427" s="326" t="s">
        <v>1098</v>
      </c>
      <c r="E427" s="643"/>
      <c r="F427" s="7">
        <v>155427</v>
      </c>
      <c r="G427" s="7">
        <f>0+'[2]táj.2'!G427</f>
        <v>0</v>
      </c>
      <c r="H427" s="7">
        <f>0+'[2]táj.2'!H427</f>
        <v>0</v>
      </c>
      <c r="I427" s="7">
        <f>0+'[2]táj.2'!I427</f>
        <v>0</v>
      </c>
      <c r="J427" s="7">
        <f>0+'[2]táj.2'!J427</f>
        <v>0</v>
      </c>
      <c r="K427" s="7">
        <f>0+'[2]táj.2'!K427</f>
        <v>0</v>
      </c>
      <c r="L427" s="7">
        <f>0+'[2]táj.2'!L427</f>
        <v>0</v>
      </c>
      <c r="M427" s="7">
        <f>6000+'[2]táj.2'!M427</f>
        <v>6000</v>
      </c>
      <c r="N427" s="7">
        <f>0+'[2]táj.2'!N427</f>
        <v>0</v>
      </c>
      <c r="O427" s="7">
        <f>0+'[2]táj.2'!O427</f>
        <v>0</v>
      </c>
      <c r="P427" s="7">
        <f>0+'[2]táj.2'!P427</f>
        <v>0</v>
      </c>
      <c r="Q427" s="7">
        <f t="shared" si="24"/>
        <v>6000</v>
      </c>
    </row>
    <row r="428" spans="1:17" ht="12.75">
      <c r="A428" s="170"/>
      <c r="B428" s="170"/>
      <c r="C428" s="327"/>
      <c r="D428" s="283" t="s">
        <v>656</v>
      </c>
      <c r="E428" s="325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>
        <f t="shared" si="24"/>
        <v>0</v>
      </c>
    </row>
    <row r="429" spans="1:17" ht="12.75">
      <c r="A429" s="170"/>
      <c r="B429" s="170"/>
      <c r="C429" s="319" t="s">
        <v>1099</v>
      </c>
      <c r="D429" s="236" t="s">
        <v>1100</v>
      </c>
      <c r="E429" s="223"/>
      <c r="F429" s="7">
        <v>155420</v>
      </c>
      <c r="G429" s="7">
        <f>0+'[2]táj.2'!G429</f>
        <v>0</v>
      </c>
      <c r="H429" s="7">
        <f>0+'[2]táj.2'!H429</f>
        <v>0</v>
      </c>
      <c r="I429" s="7">
        <f>111+'[2]táj.2'!I429</f>
        <v>111</v>
      </c>
      <c r="J429" s="7">
        <f>0+'[2]táj.2'!J429</f>
        <v>0</v>
      </c>
      <c r="K429" s="7">
        <f>0+'[2]táj.2'!K429</f>
        <v>0</v>
      </c>
      <c r="L429" s="7">
        <f>0+'[2]táj.2'!L429</f>
        <v>0</v>
      </c>
      <c r="M429" s="7">
        <f>76+'[2]táj.2'!M429</f>
        <v>76</v>
      </c>
      <c r="N429" s="7">
        <f>0+'[2]táj.2'!N429</f>
        <v>0</v>
      </c>
      <c r="O429" s="7">
        <f>0+'[2]táj.2'!O429</f>
        <v>0</v>
      </c>
      <c r="P429" s="7">
        <f>0+'[2]táj.2'!P429</f>
        <v>0</v>
      </c>
      <c r="Q429" s="7">
        <f t="shared" si="24"/>
        <v>187</v>
      </c>
    </row>
    <row r="430" spans="1:17" ht="25.5">
      <c r="A430" s="170"/>
      <c r="B430" s="170"/>
      <c r="C430" s="319" t="s">
        <v>1101</v>
      </c>
      <c r="D430" s="236" t="s">
        <v>1102</v>
      </c>
      <c r="E430" s="223"/>
      <c r="F430" s="7">
        <v>154433</v>
      </c>
      <c r="G430" s="7">
        <f>0+'[2]táj.2'!G430</f>
        <v>0</v>
      </c>
      <c r="H430" s="7">
        <f>0+'[2]táj.2'!H430</f>
        <v>0</v>
      </c>
      <c r="I430" s="7">
        <f>0+'[2]táj.2'!I430</f>
        <v>0</v>
      </c>
      <c r="J430" s="7">
        <f>0+'[2]táj.2'!J430</f>
        <v>0</v>
      </c>
      <c r="K430" s="7">
        <f>0+'[2]táj.2'!K430</f>
        <v>0</v>
      </c>
      <c r="L430" s="7">
        <f>0+'[2]táj.2'!L430</f>
        <v>0</v>
      </c>
      <c r="M430" s="7">
        <f>2000+'[2]táj.2'!M430</f>
        <v>2000</v>
      </c>
      <c r="N430" s="7">
        <f>0+'[2]táj.2'!N430</f>
        <v>0</v>
      </c>
      <c r="O430" s="7">
        <f>0+'[2]táj.2'!O430</f>
        <v>0</v>
      </c>
      <c r="P430" s="7">
        <f>0+'[2]táj.2'!P430</f>
        <v>0</v>
      </c>
      <c r="Q430" s="7">
        <f t="shared" si="24"/>
        <v>2000</v>
      </c>
    </row>
    <row r="431" spans="1:17" ht="12.75">
      <c r="A431" s="170"/>
      <c r="B431" s="170"/>
      <c r="C431" s="319" t="s">
        <v>1103</v>
      </c>
      <c r="D431" s="236" t="s">
        <v>1104</v>
      </c>
      <c r="E431" s="223"/>
      <c r="F431" s="7">
        <v>154479</v>
      </c>
      <c r="G431" s="7">
        <f>0+'[2]táj.2'!G431</f>
        <v>0</v>
      </c>
      <c r="H431" s="7">
        <f>0+'[2]táj.2'!H431</f>
        <v>0</v>
      </c>
      <c r="I431" s="7">
        <f>0+'[2]táj.2'!I431</f>
        <v>0</v>
      </c>
      <c r="J431" s="7">
        <f>0+'[2]táj.2'!J431</f>
        <v>0</v>
      </c>
      <c r="K431" s="7">
        <f>0+'[2]táj.2'!K431</f>
        <v>0</v>
      </c>
      <c r="L431" s="7">
        <f>0+'[2]táj.2'!L431</f>
        <v>0</v>
      </c>
      <c r="M431" s="7">
        <f>4148+'[2]táj.2'!M431</f>
        <v>4148</v>
      </c>
      <c r="N431" s="7">
        <f>0+'[2]táj.2'!N431</f>
        <v>0</v>
      </c>
      <c r="O431" s="7">
        <f>0+'[2]táj.2'!O431</f>
        <v>0</v>
      </c>
      <c r="P431" s="7">
        <f>0+'[2]táj.2'!P431</f>
        <v>0</v>
      </c>
      <c r="Q431" s="7">
        <f t="shared" si="24"/>
        <v>4148</v>
      </c>
    </row>
    <row r="432" spans="1:17" ht="12.75">
      <c r="A432" s="170"/>
      <c r="B432" s="170"/>
      <c r="C432" s="319" t="s">
        <v>1105</v>
      </c>
      <c r="D432" s="236" t="s">
        <v>1106</v>
      </c>
      <c r="E432" s="223"/>
      <c r="F432" s="7">
        <v>154489</v>
      </c>
      <c r="G432" s="7">
        <f>0+'[2]táj.2'!G432</f>
        <v>0</v>
      </c>
      <c r="H432" s="7">
        <f>0+'[2]táj.2'!H432</f>
        <v>0</v>
      </c>
      <c r="I432" s="7">
        <f>0+'[2]táj.2'!I432</f>
        <v>0</v>
      </c>
      <c r="J432" s="7">
        <f>0+'[2]táj.2'!J432</f>
        <v>0</v>
      </c>
      <c r="K432" s="7">
        <f>0+'[2]táj.2'!K432</f>
        <v>0</v>
      </c>
      <c r="L432" s="7">
        <f>0+'[2]táj.2'!L432</f>
        <v>0</v>
      </c>
      <c r="M432" s="7">
        <f>6948+'[2]táj.2'!M432</f>
        <v>6948</v>
      </c>
      <c r="N432" s="7">
        <f>0+'[2]táj.2'!N432</f>
        <v>0</v>
      </c>
      <c r="O432" s="7">
        <f>0+'[2]táj.2'!O432</f>
        <v>0</v>
      </c>
      <c r="P432" s="7">
        <f>0+'[2]táj.2'!P432</f>
        <v>0</v>
      </c>
      <c r="Q432" s="7">
        <f t="shared" si="24"/>
        <v>6948</v>
      </c>
    </row>
    <row r="433" spans="1:17" ht="12.75">
      <c r="A433" s="170"/>
      <c r="B433" s="170"/>
      <c r="C433" s="319" t="s">
        <v>1107</v>
      </c>
      <c r="D433" s="294" t="s">
        <v>1108</v>
      </c>
      <c r="E433" s="223"/>
      <c r="F433" s="7">
        <v>152414</v>
      </c>
      <c r="G433" s="7">
        <f>0+'[2]táj.2'!G433</f>
        <v>0</v>
      </c>
      <c r="H433" s="7">
        <f>0+'[2]táj.2'!H433</f>
        <v>0</v>
      </c>
      <c r="I433" s="7">
        <f>0+'[2]táj.2'!I433</f>
        <v>0</v>
      </c>
      <c r="J433" s="7">
        <f>0+'[2]táj.2'!J433</f>
        <v>0</v>
      </c>
      <c r="K433" s="7">
        <f>0+'[2]táj.2'!K433</f>
        <v>0</v>
      </c>
      <c r="L433" s="7">
        <f>5500+'[2]táj.2'!L433</f>
        <v>5500</v>
      </c>
      <c r="M433" s="7">
        <f>0+'[2]táj.2'!M433</f>
        <v>0</v>
      </c>
      <c r="N433" s="7">
        <f>0+'[2]táj.2'!N433</f>
        <v>0</v>
      </c>
      <c r="O433" s="7">
        <f>0+'[2]táj.2'!O433</f>
        <v>0</v>
      </c>
      <c r="P433" s="7">
        <f>0+'[2]táj.2'!P433</f>
        <v>0</v>
      </c>
      <c r="Q433" s="7">
        <f t="shared" si="24"/>
        <v>5500</v>
      </c>
    </row>
    <row r="434" spans="1:17" ht="12.75">
      <c r="A434" s="170"/>
      <c r="B434" s="170"/>
      <c r="C434" s="319" t="s">
        <v>1109</v>
      </c>
      <c r="D434" s="174" t="s">
        <v>1112</v>
      </c>
      <c r="E434" s="223"/>
      <c r="F434" s="7">
        <v>164415</v>
      </c>
      <c r="G434" s="7">
        <f>0+'[2]táj.2'!G434</f>
        <v>0</v>
      </c>
      <c r="H434" s="7">
        <f>0+'[2]táj.2'!H434</f>
        <v>0</v>
      </c>
      <c r="I434" s="7">
        <f>0+'[2]táj.2'!I434</f>
        <v>0</v>
      </c>
      <c r="J434" s="7">
        <f>0+'[2]táj.2'!J434</f>
        <v>0</v>
      </c>
      <c r="K434" s="7">
        <f>0+'[2]táj.2'!K434</f>
        <v>0</v>
      </c>
      <c r="L434" s="7">
        <f>0+'[2]táj.2'!L434</f>
        <v>0</v>
      </c>
      <c r="M434" s="7">
        <f>4051+'[2]táj.2'!M434</f>
        <v>4051</v>
      </c>
      <c r="N434" s="7">
        <f>0+'[2]táj.2'!N434</f>
        <v>0</v>
      </c>
      <c r="O434" s="7">
        <f>0+'[2]táj.2'!O434</f>
        <v>0</v>
      </c>
      <c r="P434" s="7">
        <f>0+'[2]táj.2'!P434</f>
        <v>0</v>
      </c>
      <c r="Q434" s="7">
        <f t="shared" si="24"/>
        <v>4051</v>
      </c>
    </row>
    <row r="435" spans="1:17" ht="25.5">
      <c r="A435" s="170"/>
      <c r="B435" s="170"/>
      <c r="C435" s="319" t="s">
        <v>1111</v>
      </c>
      <c r="D435" s="655" t="s">
        <v>1115</v>
      </c>
      <c r="E435" s="223"/>
      <c r="F435" s="7">
        <v>155425</v>
      </c>
      <c r="G435" s="7">
        <f>0+'[2]táj.2'!G435</f>
        <v>0</v>
      </c>
      <c r="H435" s="7">
        <f>0+'[2]táj.2'!H435</f>
        <v>0</v>
      </c>
      <c r="I435" s="7">
        <f>0+'[2]táj.2'!I435</f>
        <v>0</v>
      </c>
      <c r="J435" s="7">
        <f>0+'[2]táj.2'!J435</f>
        <v>0</v>
      </c>
      <c r="K435" s="7">
        <f>0+'[2]táj.2'!K435</f>
        <v>0</v>
      </c>
      <c r="L435" s="7">
        <f>0+'[2]táj.2'!L435</f>
        <v>0</v>
      </c>
      <c r="M435" s="7">
        <f>0+'[2]táj.2'!M435</f>
        <v>0</v>
      </c>
      <c r="N435" s="7">
        <f>0+'[2]táj.2'!N435</f>
        <v>0</v>
      </c>
      <c r="O435" s="7">
        <f>0+'[2]táj.2'!O435</f>
        <v>0</v>
      </c>
      <c r="P435" s="7">
        <f>0+'[2]táj.2'!P435</f>
        <v>0</v>
      </c>
      <c r="Q435" s="7">
        <f>SUM(G435:P435)</f>
        <v>0</v>
      </c>
    </row>
    <row r="436" spans="1:17" ht="25.5">
      <c r="A436" s="170"/>
      <c r="B436" s="170"/>
      <c r="C436" s="319" t="s">
        <v>1113</v>
      </c>
      <c r="D436" s="691" t="s">
        <v>1116</v>
      </c>
      <c r="E436" s="223"/>
      <c r="F436" s="7">
        <v>152405</v>
      </c>
      <c r="G436" s="7">
        <f>0+'[2]táj.2'!G436</f>
        <v>0</v>
      </c>
      <c r="H436" s="7">
        <f>0+'[2]táj.2'!H436</f>
        <v>0</v>
      </c>
      <c r="I436" s="7">
        <f>6308+'[2]táj.2'!I436</f>
        <v>6308</v>
      </c>
      <c r="J436" s="7">
        <f>0+'[2]táj.2'!J436</f>
        <v>0</v>
      </c>
      <c r="K436" s="7">
        <f>0+'[2]táj.2'!K436</f>
        <v>0</v>
      </c>
      <c r="L436" s="7">
        <f>4000+'[2]táj.2'!L436</f>
        <v>4000</v>
      </c>
      <c r="M436" s="7">
        <f>2250+'[2]táj.2'!M436</f>
        <v>2250</v>
      </c>
      <c r="N436" s="7">
        <f>0+'[2]táj.2'!N436</f>
        <v>0</v>
      </c>
      <c r="O436" s="7">
        <f>0+'[2]táj.2'!O436</f>
        <v>0</v>
      </c>
      <c r="P436" s="7">
        <f>0+'[2]táj.2'!P436</f>
        <v>0</v>
      </c>
      <c r="Q436" s="7">
        <f>SUM(G436:P436)</f>
        <v>12558</v>
      </c>
    </row>
    <row r="437" spans="1:17" ht="13.5">
      <c r="A437" s="170"/>
      <c r="B437" s="170"/>
      <c r="C437" s="328" t="s">
        <v>259</v>
      </c>
      <c r="D437" s="329" t="s">
        <v>1118</v>
      </c>
      <c r="E437" s="9"/>
      <c r="F437" s="8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170"/>
      <c r="B438" s="170"/>
      <c r="C438" s="214" t="s">
        <v>1119</v>
      </c>
      <c r="D438" s="320" t="s">
        <v>1120</v>
      </c>
      <c r="E438" s="643"/>
      <c r="F438" s="7">
        <v>152564</v>
      </c>
      <c r="G438" s="7">
        <f>0+'[2]táj.2'!G438</f>
        <v>0</v>
      </c>
      <c r="H438" s="7">
        <f>0+'[2]táj.2'!H438</f>
        <v>0</v>
      </c>
      <c r="I438" s="7">
        <f>0+'[2]táj.2'!I438</f>
        <v>0</v>
      </c>
      <c r="J438" s="7">
        <f>0+'[2]táj.2'!J438</f>
        <v>0</v>
      </c>
      <c r="K438" s="7">
        <f>0+'[2]táj.2'!K438</f>
        <v>0</v>
      </c>
      <c r="L438" s="7">
        <f>2000+'[2]táj.2'!L438</f>
        <v>2000</v>
      </c>
      <c r="M438" s="7">
        <f>0+'[2]táj.2'!M438</f>
        <v>0</v>
      </c>
      <c r="N438" s="7">
        <f>0+'[2]táj.2'!N438</f>
        <v>0</v>
      </c>
      <c r="O438" s="7">
        <f>0+'[2]táj.2'!O438</f>
        <v>0</v>
      </c>
      <c r="P438" s="7">
        <f>0+'[2]táj.2'!P438</f>
        <v>0</v>
      </c>
      <c r="Q438" s="7">
        <f aca="true" t="shared" si="25" ref="Q438:Q451">SUM(G438:P438)</f>
        <v>2000</v>
      </c>
    </row>
    <row r="439" spans="1:17" ht="12.75">
      <c r="A439" s="170"/>
      <c r="B439" s="170"/>
      <c r="C439" s="214" t="s">
        <v>1121</v>
      </c>
      <c r="D439" s="297" t="s">
        <v>1122</v>
      </c>
      <c r="E439" s="643"/>
      <c r="F439" s="7">
        <v>152565</v>
      </c>
      <c r="G439" s="7">
        <f>0+'[2]táj.2'!G439</f>
        <v>0</v>
      </c>
      <c r="H439" s="7">
        <f>0+'[2]táj.2'!H439</f>
        <v>0</v>
      </c>
      <c r="I439" s="7">
        <f>0+'[2]táj.2'!I439</f>
        <v>0</v>
      </c>
      <c r="J439" s="7">
        <f>0+'[2]táj.2'!J439</f>
        <v>0</v>
      </c>
      <c r="K439" s="7">
        <f>0+'[2]táj.2'!K439</f>
        <v>0</v>
      </c>
      <c r="L439" s="7">
        <f>0+'[2]táj.2'!L439</f>
        <v>0</v>
      </c>
      <c r="M439" s="7">
        <f>0+'[2]táj.2'!M439</f>
        <v>0</v>
      </c>
      <c r="N439" s="7">
        <f>300+'[2]táj.2'!N439</f>
        <v>300</v>
      </c>
      <c r="O439" s="7">
        <f>0+'[2]táj.2'!O439</f>
        <v>0</v>
      </c>
      <c r="P439" s="7">
        <f>0+'[2]táj.2'!P439</f>
        <v>0</v>
      </c>
      <c r="Q439" s="7">
        <f t="shared" si="25"/>
        <v>300</v>
      </c>
    </row>
    <row r="440" spans="1:17" ht="12.75">
      <c r="A440" s="170"/>
      <c r="B440" s="170"/>
      <c r="C440" s="214" t="s">
        <v>1123</v>
      </c>
      <c r="D440" s="236" t="s">
        <v>1124</v>
      </c>
      <c r="E440" s="9"/>
      <c r="F440" s="7">
        <v>152504</v>
      </c>
      <c r="G440" s="7">
        <f>0+'[2]táj.2'!G440</f>
        <v>0</v>
      </c>
      <c r="H440" s="7">
        <f>0+'[2]táj.2'!H440</f>
        <v>0</v>
      </c>
      <c r="I440" s="7">
        <f>0+'[2]táj.2'!I440</f>
        <v>0</v>
      </c>
      <c r="J440" s="7">
        <f>0+'[2]táj.2'!J440</f>
        <v>0</v>
      </c>
      <c r="K440" s="7">
        <f>0+'[2]táj.2'!K440</f>
        <v>0</v>
      </c>
      <c r="L440" s="7">
        <f>0+'[2]táj.2'!L440</f>
        <v>0</v>
      </c>
      <c r="M440" s="7">
        <f>2500+'[2]táj.2'!M440</f>
        <v>2500</v>
      </c>
      <c r="N440" s="7">
        <f>0+'[2]táj.2'!N440</f>
        <v>0</v>
      </c>
      <c r="O440" s="7">
        <f>0+'[2]táj.2'!O440</f>
        <v>0</v>
      </c>
      <c r="P440" s="7">
        <f>0+'[2]táj.2'!P440</f>
        <v>0</v>
      </c>
      <c r="Q440" s="7">
        <f t="shared" si="25"/>
        <v>2500</v>
      </c>
    </row>
    <row r="441" spans="1:17" ht="12.75">
      <c r="A441" s="170"/>
      <c r="B441" s="170"/>
      <c r="C441" s="214" t="s">
        <v>1125</v>
      </c>
      <c r="D441" s="320" t="s">
        <v>1126</v>
      </c>
      <c r="E441" s="9"/>
      <c r="F441" s="7">
        <v>152566</v>
      </c>
      <c r="G441" s="7">
        <f>0+'[2]táj.2'!G441</f>
        <v>0</v>
      </c>
      <c r="H441" s="7">
        <f>0+'[2]táj.2'!H441</f>
        <v>0</v>
      </c>
      <c r="I441" s="7">
        <f>0+'[2]táj.2'!I441</f>
        <v>0</v>
      </c>
      <c r="J441" s="7">
        <f>0+'[2]táj.2'!J441</f>
        <v>0</v>
      </c>
      <c r="K441" s="7">
        <f>0+'[2]táj.2'!K441</f>
        <v>0</v>
      </c>
      <c r="L441" s="7">
        <f>3000+'[2]táj.2'!L441</f>
        <v>3000</v>
      </c>
      <c r="M441" s="7">
        <f>0+'[2]táj.2'!M441</f>
        <v>0</v>
      </c>
      <c r="N441" s="7">
        <f>0+'[2]táj.2'!N441</f>
        <v>0</v>
      </c>
      <c r="O441" s="7">
        <f>0+'[2]táj.2'!O441</f>
        <v>0</v>
      </c>
      <c r="P441" s="7">
        <f>0+'[2]táj.2'!P441</f>
        <v>0</v>
      </c>
      <c r="Q441" s="7">
        <f t="shared" si="25"/>
        <v>3000</v>
      </c>
    </row>
    <row r="442" spans="1:17" ht="12.75">
      <c r="A442" s="170"/>
      <c r="B442" s="170"/>
      <c r="C442" s="214" t="s">
        <v>1127</v>
      </c>
      <c r="D442" s="236" t="s">
        <v>1128</v>
      </c>
      <c r="E442" s="9"/>
      <c r="F442" s="7">
        <v>152567</v>
      </c>
      <c r="G442" s="7">
        <f>0+'[2]táj.2'!G442</f>
        <v>0</v>
      </c>
      <c r="H442" s="7">
        <f>0+'[2]táj.2'!H442</f>
        <v>0</v>
      </c>
      <c r="I442" s="7">
        <f>0+'[2]táj.2'!I442</f>
        <v>0</v>
      </c>
      <c r="J442" s="7">
        <f>0+'[2]táj.2'!J442</f>
        <v>0</v>
      </c>
      <c r="K442" s="7">
        <f>0+'[2]táj.2'!K442</f>
        <v>0</v>
      </c>
      <c r="L442" s="7">
        <f>2500+'[2]táj.2'!L442</f>
        <v>2500</v>
      </c>
      <c r="M442" s="7">
        <f>0+'[2]táj.2'!M442</f>
        <v>0</v>
      </c>
      <c r="N442" s="7">
        <f>0+'[2]táj.2'!N442</f>
        <v>0</v>
      </c>
      <c r="O442" s="7">
        <f>0+'[2]táj.2'!O442</f>
        <v>0</v>
      </c>
      <c r="P442" s="7">
        <f>0+'[2]táj.2'!P442</f>
        <v>0</v>
      </c>
      <c r="Q442" s="7">
        <f t="shared" si="25"/>
        <v>2500</v>
      </c>
    </row>
    <row r="443" spans="1:17" ht="12.75">
      <c r="A443" s="170"/>
      <c r="B443" s="170"/>
      <c r="C443" s="214" t="s">
        <v>1129</v>
      </c>
      <c r="D443" s="236" t="s">
        <v>1130</v>
      </c>
      <c r="E443" s="9"/>
      <c r="F443" s="7">
        <v>152568</v>
      </c>
      <c r="G443" s="7">
        <f>0+'[2]táj.2'!G443</f>
        <v>0</v>
      </c>
      <c r="H443" s="7">
        <f>0+'[2]táj.2'!H443</f>
        <v>0</v>
      </c>
      <c r="I443" s="7">
        <f>0+'[2]táj.2'!I443</f>
        <v>0</v>
      </c>
      <c r="J443" s="7">
        <f>0+'[2]táj.2'!J443</f>
        <v>0</v>
      </c>
      <c r="K443" s="7">
        <f>0+'[2]táj.2'!K443</f>
        <v>0</v>
      </c>
      <c r="L443" s="7">
        <f>500+'[2]táj.2'!L443</f>
        <v>500</v>
      </c>
      <c r="M443" s="7">
        <f>0+'[2]táj.2'!M443</f>
        <v>0</v>
      </c>
      <c r="N443" s="7">
        <f>0+'[2]táj.2'!N443</f>
        <v>0</v>
      </c>
      <c r="O443" s="7">
        <f>0+'[2]táj.2'!O443</f>
        <v>0</v>
      </c>
      <c r="P443" s="7">
        <f>0+'[2]táj.2'!P443</f>
        <v>0</v>
      </c>
      <c r="Q443" s="7">
        <f t="shared" si="25"/>
        <v>500</v>
      </c>
    </row>
    <row r="444" spans="1:17" ht="12.75">
      <c r="A444" s="170"/>
      <c r="B444" s="170"/>
      <c r="C444" s="214" t="s">
        <v>1131</v>
      </c>
      <c r="D444" s="498" t="s">
        <v>1132</v>
      </c>
      <c r="E444" s="9"/>
      <c r="F444" s="7">
        <v>152569</v>
      </c>
      <c r="G444" s="7">
        <f>0+'[2]táj.2'!G444</f>
        <v>0</v>
      </c>
      <c r="H444" s="7">
        <f>0+'[2]táj.2'!H444</f>
        <v>0</v>
      </c>
      <c r="I444" s="7">
        <f>0+'[2]táj.2'!I444</f>
        <v>0</v>
      </c>
      <c r="J444" s="7">
        <f>0+'[2]táj.2'!J444</f>
        <v>0</v>
      </c>
      <c r="K444" s="7">
        <f>0+'[2]táj.2'!K444</f>
        <v>0</v>
      </c>
      <c r="L444" s="7">
        <f>1000+'[2]táj.2'!L444</f>
        <v>1000</v>
      </c>
      <c r="M444" s="7">
        <f>0+'[2]táj.2'!M444</f>
        <v>0</v>
      </c>
      <c r="N444" s="7">
        <f>0+'[2]táj.2'!N444</f>
        <v>0</v>
      </c>
      <c r="O444" s="7">
        <f>0+'[2]táj.2'!O444</f>
        <v>0</v>
      </c>
      <c r="P444" s="7">
        <f>0+'[2]táj.2'!P444</f>
        <v>0</v>
      </c>
      <c r="Q444" s="7">
        <f t="shared" si="25"/>
        <v>1000</v>
      </c>
    </row>
    <row r="445" spans="1:17" ht="12.75">
      <c r="A445" s="170"/>
      <c r="B445" s="170"/>
      <c r="C445" s="214" t="s">
        <v>1133</v>
      </c>
      <c r="D445" s="498" t="s">
        <v>1134</v>
      </c>
      <c r="E445" s="643"/>
      <c r="F445" s="7">
        <v>152570</v>
      </c>
      <c r="G445" s="7">
        <f>0+'[2]táj.2'!G445</f>
        <v>0</v>
      </c>
      <c r="H445" s="7">
        <f>0+'[2]táj.2'!H445</f>
        <v>0</v>
      </c>
      <c r="I445" s="7">
        <f>0+'[2]táj.2'!I445</f>
        <v>0</v>
      </c>
      <c r="J445" s="7">
        <f>0+'[2]táj.2'!J445</f>
        <v>0</v>
      </c>
      <c r="K445" s="7">
        <f>0+'[2]táj.2'!K445</f>
        <v>0</v>
      </c>
      <c r="L445" s="7">
        <f>750+'[2]táj.2'!L445</f>
        <v>750</v>
      </c>
      <c r="M445" s="7">
        <f>0+'[2]táj.2'!M445</f>
        <v>0</v>
      </c>
      <c r="N445" s="7">
        <f>0+'[2]táj.2'!N445</f>
        <v>0</v>
      </c>
      <c r="O445" s="7">
        <f>0+'[2]táj.2'!O445</f>
        <v>0</v>
      </c>
      <c r="P445" s="7">
        <f>0+'[2]táj.2'!P445</f>
        <v>0</v>
      </c>
      <c r="Q445" s="7">
        <f t="shared" si="25"/>
        <v>750</v>
      </c>
    </row>
    <row r="446" spans="1:17" ht="12.75">
      <c r="A446" s="170"/>
      <c r="B446" s="170"/>
      <c r="C446" s="214" t="s">
        <v>1135</v>
      </c>
      <c r="D446" s="320" t="s">
        <v>1136</v>
      </c>
      <c r="E446" s="643"/>
      <c r="F446" s="7">
        <v>154541</v>
      </c>
      <c r="G446" s="7">
        <f>0+'[2]táj.2'!G446</f>
        <v>0</v>
      </c>
      <c r="H446" s="7">
        <f>0+'[2]táj.2'!H446</f>
        <v>0</v>
      </c>
      <c r="I446" s="7">
        <f>0+'[2]táj.2'!I446</f>
        <v>0</v>
      </c>
      <c r="J446" s="7">
        <f>0+'[2]táj.2'!J446</f>
        <v>0</v>
      </c>
      <c r="K446" s="7">
        <f>0+'[2]táj.2'!K446</f>
        <v>0</v>
      </c>
      <c r="L446" s="7">
        <f>3000+'[2]táj.2'!L446</f>
        <v>3000</v>
      </c>
      <c r="M446" s="7">
        <f>0+'[2]táj.2'!M446</f>
        <v>0</v>
      </c>
      <c r="N446" s="7">
        <f>0+'[2]táj.2'!N446</f>
        <v>0</v>
      </c>
      <c r="O446" s="7">
        <f>0+'[2]táj.2'!O446</f>
        <v>0</v>
      </c>
      <c r="P446" s="7">
        <f>0+'[2]táj.2'!P446</f>
        <v>0</v>
      </c>
      <c r="Q446" s="7">
        <f t="shared" si="25"/>
        <v>3000</v>
      </c>
    </row>
    <row r="447" spans="1:17" ht="12.75">
      <c r="A447" s="170"/>
      <c r="B447" s="170"/>
      <c r="C447" s="214" t="s">
        <v>1137</v>
      </c>
      <c r="D447" s="320" t="s">
        <v>1138</v>
      </c>
      <c r="E447" s="643"/>
      <c r="F447" s="7">
        <v>154544</v>
      </c>
      <c r="G447" s="7">
        <f>0+'[2]táj.2'!G447</f>
        <v>0</v>
      </c>
      <c r="H447" s="7">
        <f>0+'[2]táj.2'!H447</f>
        <v>0</v>
      </c>
      <c r="I447" s="7">
        <f>0+'[2]táj.2'!I447</f>
        <v>0</v>
      </c>
      <c r="J447" s="7">
        <f>0+'[2]táj.2'!J447</f>
        <v>0</v>
      </c>
      <c r="K447" s="7">
        <f>0+'[2]táj.2'!K447</f>
        <v>0</v>
      </c>
      <c r="L447" s="7">
        <f>0+'[2]táj.2'!L447</f>
        <v>0</v>
      </c>
      <c r="M447" s="7">
        <f>3000+'[2]táj.2'!M447</f>
        <v>3000</v>
      </c>
      <c r="N447" s="7">
        <f>0+'[2]táj.2'!N447</f>
        <v>0</v>
      </c>
      <c r="O447" s="7">
        <f>0+'[2]táj.2'!O447</f>
        <v>0</v>
      </c>
      <c r="P447" s="7">
        <f>0+'[2]táj.2'!P447</f>
        <v>0</v>
      </c>
      <c r="Q447" s="7">
        <f t="shared" si="25"/>
        <v>3000</v>
      </c>
    </row>
    <row r="448" spans="1:17" ht="12">
      <c r="A448" s="170"/>
      <c r="B448" s="170"/>
      <c r="C448" s="214" t="s">
        <v>1139</v>
      </c>
      <c r="D448" s="326" t="s">
        <v>1140</v>
      </c>
      <c r="E448" s="643"/>
      <c r="F448" s="7">
        <v>152571</v>
      </c>
      <c r="G448" s="7">
        <f>0+'[2]táj.2'!G448</f>
        <v>0</v>
      </c>
      <c r="H448" s="7">
        <f>0+'[2]táj.2'!H448</f>
        <v>0</v>
      </c>
      <c r="I448" s="7">
        <f>0+'[2]táj.2'!I448</f>
        <v>0</v>
      </c>
      <c r="J448" s="7">
        <f>0+'[2]táj.2'!J448</f>
        <v>0</v>
      </c>
      <c r="K448" s="7">
        <f>0+'[2]táj.2'!K448</f>
        <v>0</v>
      </c>
      <c r="L448" s="7">
        <f>9000+'[2]táj.2'!L448</f>
        <v>9000</v>
      </c>
      <c r="M448" s="7">
        <f>0+'[2]táj.2'!M448</f>
        <v>0</v>
      </c>
      <c r="N448" s="7">
        <f>0+'[2]táj.2'!N448</f>
        <v>0</v>
      </c>
      <c r="O448" s="7">
        <f>0+'[2]táj.2'!O448</f>
        <v>0</v>
      </c>
      <c r="P448" s="7">
        <f>0+'[2]táj.2'!P448</f>
        <v>0</v>
      </c>
      <c r="Q448" s="7">
        <f t="shared" si="25"/>
        <v>9000</v>
      </c>
    </row>
    <row r="449" spans="1:17" ht="24">
      <c r="A449" s="170"/>
      <c r="B449" s="170"/>
      <c r="C449" s="214" t="s">
        <v>1141</v>
      </c>
      <c r="D449" s="326" t="s">
        <v>1142</v>
      </c>
      <c r="E449" s="643"/>
      <c r="F449" s="7">
        <v>152572</v>
      </c>
      <c r="G449" s="7">
        <f>0+'[2]táj.2'!G449</f>
        <v>0</v>
      </c>
      <c r="H449" s="7">
        <f>0+'[2]táj.2'!H449</f>
        <v>0</v>
      </c>
      <c r="I449" s="7">
        <f>0+'[2]táj.2'!I449</f>
        <v>0</v>
      </c>
      <c r="J449" s="7">
        <f>0+'[2]táj.2'!J449</f>
        <v>0</v>
      </c>
      <c r="K449" s="7">
        <f>0+'[2]táj.2'!K449</f>
        <v>0</v>
      </c>
      <c r="L449" s="7">
        <f>18000+'[2]táj.2'!L449</f>
        <v>18000</v>
      </c>
      <c r="M449" s="7">
        <f>0+'[2]táj.2'!M449</f>
        <v>0</v>
      </c>
      <c r="N449" s="7">
        <f>0+'[2]táj.2'!N449</f>
        <v>0</v>
      </c>
      <c r="O449" s="7">
        <f>0+'[2]táj.2'!O449</f>
        <v>0</v>
      </c>
      <c r="P449" s="7">
        <f>0+'[2]táj.2'!P449</f>
        <v>0</v>
      </c>
      <c r="Q449" s="7">
        <f t="shared" si="25"/>
        <v>18000</v>
      </c>
    </row>
    <row r="450" spans="1:17" ht="24">
      <c r="A450" s="170"/>
      <c r="B450" s="170"/>
      <c r="C450" s="214" t="s">
        <v>1143</v>
      </c>
      <c r="D450" s="326" t="s">
        <v>84</v>
      </c>
      <c r="E450" s="643"/>
      <c r="F450" s="7">
        <v>152573</v>
      </c>
      <c r="G450" s="7">
        <f>0+'[2]táj.2'!G450</f>
        <v>0</v>
      </c>
      <c r="H450" s="7">
        <f>0+'[2]táj.2'!H450</f>
        <v>0</v>
      </c>
      <c r="I450" s="7">
        <f>0+'[2]táj.2'!I450</f>
        <v>0</v>
      </c>
      <c r="J450" s="7">
        <f>0+'[2]táj.2'!J450</f>
        <v>0</v>
      </c>
      <c r="K450" s="7">
        <f>0+'[2]táj.2'!K450</f>
        <v>0</v>
      </c>
      <c r="L450" s="7">
        <f>2000+'[2]táj.2'!L450</f>
        <v>2000</v>
      </c>
      <c r="M450" s="7">
        <f>0+'[2]táj.2'!M450</f>
        <v>0</v>
      </c>
      <c r="N450" s="7">
        <f>0+'[2]táj.2'!N450</f>
        <v>0</v>
      </c>
      <c r="O450" s="7">
        <f>0+'[2]táj.2'!O450</f>
        <v>0</v>
      </c>
      <c r="P450" s="7">
        <f>0+'[2]táj.2'!P450</f>
        <v>0</v>
      </c>
      <c r="Q450" s="7">
        <f t="shared" si="25"/>
        <v>2000</v>
      </c>
    </row>
    <row r="451" spans="1:17" ht="12">
      <c r="A451" s="170"/>
      <c r="B451" s="170"/>
      <c r="C451" s="214" t="s">
        <v>1144</v>
      </c>
      <c r="D451" s="326" t="s">
        <v>1145</v>
      </c>
      <c r="E451" s="643"/>
      <c r="F451" s="7">
        <v>152948</v>
      </c>
      <c r="G451" s="7">
        <f>0+'[2]táj.2'!G451</f>
        <v>0</v>
      </c>
      <c r="H451" s="7">
        <f>0+'[2]táj.2'!H451</f>
        <v>0</v>
      </c>
      <c r="I451" s="7">
        <f>0+'[2]táj.2'!I451</f>
        <v>0</v>
      </c>
      <c r="J451" s="7">
        <f>0+'[2]táj.2'!J451</f>
        <v>0</v>
      </c>
      <c r="K451" s="7">
        <f>0+'[2]táj.2'!K451</f>
        <v>0</v>
      </c>
      <c r="L451" s="7">
        <f>500+'[2]táj.2'!L451</f>
        <v>500</v>
      </c>
      <c r="M451" s="7">
        <f>0+'[2]táj.2'!M451</f>
        <v>0</v>
      </c>
      <c r="N451" s="7">
        <f>0+'[2]táj.2'!N451</f>
        <v>0</v>
      </c>
      <c r="O451" s="7">
        <f>0+'[2]táj.2'!O451</f>
        <v>0</v>
      </c>
      <c r="P451" s="7">
        <f>0+'[2]táj.2'!P451</f>
        <v>0</v>
      </c>
      <c r="Q451" s="7">
        <f t="shared" si="25"/>
        <v>500</v>
      </c>
    </row>
    <row r="452" spans="1:17" ht="12.75">
      <c r="A452" s="170"/>
      <c r="B452" s="170"/>
      <c r="C452" s="170"/>
      <c r="D452" s="283" t="s">
        <v>656</v>
      </c>
      <c r="E452" s="9"/>
      <c r="F452" s="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170"/>
      <c r="B453" s="170"/>
      <c r="C453" s="330" t="s">
        <v>1146</v>
      </c>
      <c r="D453" s="656" t="s">
        <v>1147</v>
      </c>
      <c r="E453" s="325"/>
      <c r="F453" s="7">
        <v>154511</v>
      </c>
      <c r="G453" s="7">
        <f>0+'[2]táj.2'!G453</f>
        <v>0</v>
      </c>
      <c r="H453" s="7">
        <f>0+'[2]táj.2'!H453</f>
        <v>0</v>
      </c>
      <c r="I453" s="7">
        <f>514+'[2]táj.2'!I453</f>
        <v>514</v>
      </c>
      <c r="J453" s="7">
        <f>0+'[2]táj.2'!J453</f>
        <v>0</v>
      </c>
      <c r="K453" s="7">
        <f>0+'[2]táj.2'!K453</f>
        <v>0</v>
      </c>
      <c r="L453" s="7">
        <f>0+'[2]táj.2'!L453</f>
        <v>0</v>
      </c>
      <c r="M453" s="7">
        <f>853+'[2]táj.2'!M453</f>
        <v>853</v>
      </c>
      <c r="N453" s="7">
        <f>0+'[2]táj.2'!N453</f>
        <v>0</v>
      </c>
      <c r="O453" s="7">
        <f>0+'[2]táj.2'!O453</f>
        <v>0</v>
      </c>
      <c r="P453" s="7">
        <f>0+'[2]táj.2'!P453</f>
        <v>0</v>
      </c>
      <c r="Q453" s="7">
        <f>SUM(G453:P453)</f>
        <v>1367</v>
      </c>
    </row>
    <row r="454" spans="1:17" ht="25.5">
      <c r="A454" s="170"/>
      <c r="B454" s="170"/>
      <c r="C454" s="330" t="s">
        <v>1148</v>
      </c>
      <c r="D454" s="174" t="s">
        <v>1149</v>
      </c>
      <c r="E454" s="9"/>
      <c r="F454" s="7">
        <v>152555</v>
      </c>
      <c r="G454" s="7">
        <f>0+'[2]táj.2'!G454</f>
        <v>0</v>
      </c>
      <c r="H454" s="7">
        <f>0+'[2]táj.2'!H454</f>
        <v>0</v>
      </c>
      <c r="I454" s="7">
        <f>0+'[2]táj.2'!I454</f>
        <v>0</v>
      </c>
      <c r="J454" s="7">
        <f>0+'[2]táj.2'!J454</f>
        <v>0</v>
      </c>
      <c r="K454" s="7">
        <f>0+'[2]táj.2'!K454</f>
        <v>0</v>
      </c>
      <c r="L454" s="7">
        <f>3304+'[2]táj.2'!L454</f>
        <v>3304</v>
      </c>
      <c r="M454" s="7">
        <f>0+'[2]táj.2'!M454</f>
        <v>0</v>
      </c>
      <c r="N454" s="7">
        <f>0+'[2]táj.2'!N454</f>
        <v>0</v>
      </c>
      <c r="O454" s="7">
        <f>0+'[2]táj.2'!O454</f>
        <v>0</v>
      </c>
      <c r="P454" s="7">
        <f>0+'[2]táj.2'!P454</f>
        <v>0</v>
      </c>
      <c r="Q454" s="7">
        <f>SUM(G454:P454)</f>
        <v>3304</v>
      </c>
    </row>
    <row r="455" spans="1:17" ht="12.75">
      <c r="A455" s="170"/>
      <c r="B455" s="170"/>
      <c r="C455" s="330" t="s">
        <v>1150</v>
      </c>
      <c r="D455" s="236" t="s">
        <v>1151</v>
      </c>
      <c r="E455" s="825"/>
      <c r="F455" s="7">
        <v>152507</v>
      </c>
      <c r="G455" s="7">
        <f>0+'[2]táj.2'!G455</f>
        <v>0</v>
      </c>
      <c r="H455" s="7">
        <f>0+'[2]táj.2'!H455</f>
        <v>0</v>
      </c>
      <c r="I455" s="7">
        <f>0+'[2]táj.2'!I455</f>
        <v>0</v>
      </c>
      <c r="J455" s="7">
        <f>0+'[2]táj.2'!J455</f>
        <v>0</v>
      </c>
      <c r="K455" s="7">
        <f>0+'[2]táj.2'!K455</f>
        <v>0</v>
      </c>
      <c r="L455" s="7">
        <f>1000+'[2]táj.2'!L455</f>
        <v>1000</v>
      </c>
      <c r="M455" s="7">
        <f>0+'[2]táj.2'!M455</f>
        <v>0</v>
      </c>
      <c r="N455" s="7">
        <f>0+'[2]táj.2'!N455</f>
        <v>0</v>
      </c>
      <c r="O455" s="7">
        <f>0+'[2]táj.2'!O455</f>
        <v>0</v>
      </c>
      <c r="P455" s="7">
        <f>0+'[2]táj.2'!P455</f>
        <v>0</v>
      </c>
      <c r="Q455" s="7">
        <f>SUM(G455:P455)</f>
        <v>1000</v>
      </c>
    </row>
    <row r="456" spans="1:17" ht="25.5">
      <c r="A456" s="170"/>
      <c r="B456" s="170"/>
      <c r="C456" s="330" t="s">
        <v>1152</v>
      </c>
      <c r="D456" s="236" t="s">
        <v>1153</v>
      </c>
      <c r="E456" s="825"/>
      <c r="F456" s="7">
        <v>152561</v>
      </c>
      <c r="G456" s="7">
        <f>0+'[2]táj.2'!G456</f>
        <v>0</v>
      </c>
      <c r="H456" s="7">
        <f>0+'[2]táj.2'!H456</f>
        <v>0</v>
      </c>
      <c r="I456" s="7">
        <f>0+'[2]táj.2'!I456</f>
        <v>0</v>
      </c>
      <c r="J456" s="7">
        <f>0+'[2]táj.2'!J456</f>
        <v>0</v>
      </c>
      <c r="K456" s="7">
        <f>0+'[2]táj.2'!K456</f>
        <v>0</v>
      </c>
      <c r="L456" s="7">
        <f>0+'[2]táj.2'!L456</f>
        <v>0</v>
      </c>
      <c r="M456" s="7">
        <f>0+'[2]táj.2'!M456</f>
        <v>0</v>
      </c>
      <c r="N456" s="7">
        <f>300+'[2]táj.2'!N456</f>
        <v>300</v>
      </c>
      <c r="O456" s="7">
        <f>0+'[2]táj.2'!O456</f>
        <v>0</v>
      </c>
      <c r="P456" s="7">
        <f>0+'[2]táj.2'!P456</f>
        <v>0</v>
      </c>
      <c r="Q456" s="7">
        <f>SUM(G456:P456)</f>
        <v>300</v>
      </c>
    </row>
    <row r="457" spans="1:17" ht="25.5">
      <c r="A457" s="170"/>
      <c r="B457" s="170"/>
      <c r="C457" s="330" t="s">
        <v>1154</v>
      </c>
      <c r="D457" s="236" t="s">
        <v>1155</v>
      </c>
      <c r="E457" s="825"/>
      <c r="F457" s="7">
        <v>152562</v>
      </c>
      <c r="G457" s="7">
        <f>0+'[2]táj.2'!G457</f>
        <v>0</v>
      </c>
      <c r="H457" s="7">
        <f>0+'[2]táj.2'!H457</f>
        <v>0</v>
      </c>
      <c r="I457" s="7">
        <f>0+'[2]táj.2'!I457</f>
        <v>0</v>
      </c>
      <c r="J457" s="7">
        <f>0+'[2]táj.2'!J457</f>
        <v>0</v>
      </c>
      <c r="K457" s="7">
        <f>0+'[2]táj.2'!K457</f>
        <v>0</v>
      </c>
      <c r="L457" s="7">
        <f>12300+'[2]táj.2'!L457</f>
        <v>12300</v>
      </c>
      <c r="M457" s="7">
        <f>0+'[2]táj.2'!M457</f>
        <v>0</v>
      </c>
      <c r="N457" s="7">
        <f>0+'[2]táj.2'!N457</f>
        <v>0</v>
      </c>
      <c r="O457" s="7">
        <f>0+'[2]táj.2'!O457</f>
        <v>0</v>
      </c>
      <c r="P457" s="7">
        <f>0+'[2]táj.2'!P457</f>
        <v>0</v>
      </c>
      <c r="Q457" s="7">
        <f>SUM(G457:P457)</f>
        <v>12300</v>
      </c>
    </row>
    <row r="458" spans="1:17" ht="13.5">
      <c r="A458" s="170"/>
      <c r="B458" s="170"/>
      <c r="C458" s="331" t="s">
        <v>260</v>
      </c>
      <c r="D458" s="317" t="s">
        <v>1156</v>
      </c>
      <c r="E458" s="9"/>
      <c r="F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3.5">
      <c r="A459" s="170"/>
      <c r="B459" s="170"/>
      <c r="C459" s="327" t="s">
        <v>261</v>
      </c>
      <c r="D459" s="826" t="s">
        <v>1157</v>
      </c>
      <c r="E459" s="9"/>
      <c r="F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170"/>
      <c r="B460" s="170"/>
      <c r="C460" s="319" t="s">
        <v>1158</v>
      </c>
      <c r="D460" s="332" t="s">
        <v>1159</v>
      </c>
      <c r="E460" s="9"/>
      <c r="F460" s="7">
        <v>152801</v>
      </c>
      <c r="G460" s="7">
        <f>0+'[2]táj.2'!G460</f>
        <v>0</v>
      </c>
      <c r="H460" s="7">
        <f>0+'[2]táj.2'!H460</f>
        <v>0</v>
      </c>
      <c r="I460" s="7">
        <f>0+'[2]táj.2'!I460</f>
        <v>0</v>
      </c>
      <c r="J460" s="7">
        <f>0+'[2]táj.2'!J460</f>
        <v>0</v>
      </c>
      <c r="K460" s="7">
        <f>0+'[2]táj.2'!K460</f>
        <v>0</v>
      </c>
      <c r="L460" s="7">
        <f>5000+'[2]táj.2'!L460</f>
        <v>5000</v>
      </c>
      <c r="M460" s="7">
        <f>0+'[2]táj.2'!M460</f>
        <v>0</v>
      </c>
      <c r="N460" s="7">
        <f>0+'[2]táj.2'!N460</f>
        <v>0</v>
      </c>
      <c r="O460" s="7">
        <f>0+'[2]táj.2'!O460</f>
        <v>0</v>
      </c>
      <c r="P460" s="7">
        <f>0+'[2]táj.2'!P460</f>
        <v>0</v>
      </c>
      <c r="Q460" s="7">
        <f>SUM(G460:P460)</f>
        <v>5000</v>
      </c>
    </row>
    <row r="461" spans="1:17" ht="13.5">
      <c r="A461" s="170"/>
      <c r="B461" s="170"/>
      <c r="C461" s="333" t="s">
        <v>262</v>
      </c>
      <c r="D461" s="657" t="s">
        <v>1160</v>
      </c>
      <c r="E461" s="325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170"/>
      <c r="B462" s="170"/>
      <c r="C462" s="334" t="s">
        <v>1161</v>
      </c>
      <c r="D462" s="297" t="s">
        <v>1162</v>
      </c>
      <c r="E462" s="325"/>
      <c r="F462" s="7">
        <v>154921</v>
      </c>
      <c r="G462" s="7">
        <f>0+'[2]táj.2'!G462</f>
        <v>0</v>
      </c>
      <c r="H462" s="7">
        <f>0+'[2]táj.2'!H462</f>
        <v>0</v>
      </c>
      <c r="I462" s="7">
        <f>0+'[2]táj.2'!I462</f>
        <v>0</v>
      </c>
      <c r="J462" s="7">
        <f>0+'[2]táj.2'!J462</f>
        <v>0</v>
      </c>
      <c r="K462" s="7">
        <f>0+'[2]táj.2'!K462</f>
        <v>0</v>
      </c>
      <c r="L462" s="7">
        <f>0+'[2]táj.2'!L462</f>
        <v>0</v>
      </c>
      <c r="M462" s="7">
        <f>0+'[2]táj.2'!M462</f>
        <v>0</v>
      </c>
      <c r="N462" s="7">
        <f>700+'[2]táj.2'!N462</f>
        <v>700</v>
      </c>
      <c r="O462" s="7">
        <f>0+'[2]táj.2'!O462</f>
        <v>0</v>
      </c>
      <c r="P462" s="7">
        <f>0+'[2]táj.2'!P462</f>
        <v>0</v>
      </c>
      <c r="Q462" s="7">
        <f aca="true" t="shared" si="26" ref="Q462:Q470">SUM(G462:P462)</f>
        <v>700</v>
      </c>
    </row>
    <row r="463" spans="1:17" ht="12.75">
      <c r="A463" s="170"/>
      <c r="B463" s="170"/>
      <c r="C463" s="334" t="s">
        <v>1163</v>
      </c>
      <c r="D463" s="297" t="s">
        <v>1164</v>
      </c>
      <c r="E463" s="325"/>
      <c r="F463" s="7">
        <v>152947</v>
      </c>
      <c r="G463" s="7">
        <f>0+'[2]táj.2'!G463</f>
        <v>0</v>
      </c>
      <c r="H463" s="7">
        <f>0+'[2]táj.2'!H463</f>
        <v>0</v>
      </c>
      <c r="I463" s="7">
        <f>0+'[2]táj.2'!I463</f>
        <v>0</v>
      </c>
      <c r="J463" s="7">
        <f>0+'[2]táj.2'!J463</f>
        <v>0</v>
      </c>
      <c r="K463" s="7">
        <f>0+'[2]táj.2'!K463</f>
        <v>0</v>
      </c>
      <c r="L463" s="7">
        <f>4000+'[2]táj.2'!L463</f>
        <v>4000</v>
      </c>
      <c r="M463" s="7">
        <f>0+'[2]táj.2'!M463</f>
        <v>0</v>
      </c>
      <c r="N463" s="7">
        <f>0+'[2]táj.2'!N463</f>
        <v>0</v>
      </c>
      <c r="O463" s="7">
        <f>0+'[2]táj.2'!O463</f>
        <v>0</v>
      </c>
      <c r="P463" s="7">
        <f>0+'[2]táj.2'!P463</f>
        <v>0</v>
      </c>
      <c r="Q463" s="7">
        <f t="shared" si="26"/>
        <v>4000</v>
      </c>
    </row>
    <row r="464" spans="1:17" ht="12.75">
      <c r="A464" s="170"/>
      <c r="B464" s="170"/>
      <c r="C464" s="256"/>
      <c r="D464" s="283" t="s">
        <v>656</v>
      </c>
      <c r="E464" s="325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170"/>
      <c r="B465" s="170"/>
      <c r="C465" s="214" t="s">
        <v>1165</v>
      </c>
      <c r="D465" s="335" t="s">
        <v>1168</v>
      </c>
      <c r="E465" s="223"/>
      <c r="F465" s="7">
        <v>152937</v>
      </c>
      <c r="G465" s="7">
        <f>0+'[2]táj.2'!G465</f>
        <v>0</v>
      </c>
      <c r="H465" s="7">
        <f>0+'[2]táj.2'!H465</f>
        <v>0</v>
      </c>
      <c r="I465" s="7">
        <f>145+'[2]táj.2'!I465</f>
        <v>145</v>
      </c>
      <c r="J465" s="7">
        <f>0+'[2]táj.2'!J465</f>
        <v>0</v>
      </c>
      <c r="K465" s="7">
        <f>0+'[2]táj.2'!K465</f>
        <v>0</v>
      </c>
      <c r="L465" s="7">
        <f>26256+'[2]táj.2'!L465</f>
        <v>26256</v>
      </c>
      <c r="M465" s="7">
        <f>0+'[2]táj.2'!M465</f>
        <v>0</v>
      </c>
      <c r="N465" s="7">
        <f>0+'[2]táj.2'!N465</f>
        <v>0</v>
      </c>
      <c r="O465" s="7">
        <f>0+'[2]táj.2'!O465</f>
        <v>0</v>
      </c>
      <c r="P465" s="7">
        <f>0+'[2]táj.2'!P465</f>
        <v>0</v>
      </c>
      <c r="Q465" s="7">
        <f t="shared" si="26"/>
        <v>26401</v>
      </c>
    </row>
    <row r="466" spans="1:17" ht="12.75">
      <c r="A466" s="170"/>
      <c r="B466" s="170"/>
      <c r="C466" s="214" t="s">
        <v>1167</v>
      </c>
      <c r="D466" s="236" t="s">
        <v>1170</v>
      </c>
      <c r="E466" s="643"/>
      <c r="F466" s="7">
        <v>152942</v>
      </c>
      <c r="G466" s="7">
        <f>0+'[2]táj.2'!G466</f>
        <v>0</v>
      </c>
      <c r="H466" s="7">
        <f>0+'[2]táj.2'!H466</f>
        <v>0</v>
      </c>
      <c r="I466" s="7">
        <f>7460+'[2]táj.2'!I466</f>
        <v>7460</v>
      </c>
      <c r="J466" s="7">
        <f>0+'[2]táj.2'!J466</f>
        <v>0</v>
      </c>
      <c r="K466" s="7">
        <f>0+'[2]táj.2'!K466</f>
        <v>0</v>
      </c>
      <c r="L466" s="7">
        <f>10000+'[2]táj.2'!L466</f>
        <v>10000</v>
      </c>
      <c r="M466" s="7">
        <f>0+'[2]táj.2'!M466</f>
        <v>0</v>
      </c>
      <c r="N466" s="7">
        <f>0+'[2]táj.2'!N466</f>
        <v>0</v>
      </c>
      <c r="O466" s="7">
        <f>0+'[2]táj.2'!O466</f>
        <v>0</v>
      </c>
      <c r="P466" s="7">
        <f>0+'[2]táj.2'!P466</f>
        <v>0</v>
      </c>
      <c r="Q466" s="7">
        <f t="shared" si="26"/>
        <v>17460</v>
      </c>
    </row>
    <row r="467" spans="1:17" ht="25.5">
      <c r="A467" s="170"/>
      <c r="B467" s="170"/>
      <c r="C467" s="214" t="s">
        <v>1169</v>
      </c>
      <c r="D467" s="236" t="s">
        <v>1172</v>
      </c>
      <c r="E467" s="643"/>
      <c r="F467" s="7">
        <v>152940</v>
      </c>
      <c r="G467" s="7">
        <f>0+'[2]táj.2'!G467</f>
        <v>0</v>
      </c>
      <c r="H467" s="7">
        <f>0+'[2]táj.2'!H467</f>
        <v>0</v>
      </c>
      <c r="I467" s="7">
        <f>0+'[2]táj.2'!I467</f>
        <v>0</v>
      </c>
      <c r="J467" s="7">
        <f>0+'[2]táj.2'!J467</f>
        <v>0</v>
      </c>
      <c r="K467" s="7">
        <f>0+'[2]táj.2'!K467</f>
        <v>0</v>
      </c>
      <c r="L467" s="7">
        <f>600+'[2]táj.2'!L467</f>
        <v>600</v>
      </c>
      <c r="M467" s="7">
        <f>0+'[2]táj.2'!M467</f>
        <v>0</v>
      </c>
      <c r="N467" s="7">
        <f>0+'[2]táj.2'!N467</f>
        <v>0</v>
      </c>
      <c r="O467" s="7">
        <f>0+'[2]táj.2'!O467</f>
        <v>0</v>
      </c>
      <c r="P467" s="7">
        <f>0+'[2]táj.2'!P467</f>
        <v>0</v>
      </c>
      <c r="Q467" s="7">
        <f t="shared" si="26"/>
        <v>600</v>
      </c>
    </row>
    <row r="468" spans="1:17" ht="12.75">
      <c r="A468" s="170"/>
      <c r="B468" s="170"/>
      <c r="C468" s="214" t="s">
        <v>1171</v>
      </c>
      <c r="D468" s="236" t="s">
        <v>1174</v>
      </c>
      <c r="E468" s="643"/>
      <c r="F468" s="7">
        <v>152944</v>
      </c>
      <c r="G468" s="7">
        <f>0+'[2]táj.2'!G468</f>
        <v>0</v>
      </c>
      <c r="H468" s="7">
        <f>0+'[2]táj.2'!H468</f>
        <v>0</v>
      </c>
      <c r="I468" s="7">
        <f>0+'[2]táj.2'!I468</f>
        <v>0</v>
      </c>
      <c r="J468" s="7">
        <f>0+'[2]táj.2'!J468</f>
        <v>0</v>
      </c>
      <c r="K468" s="7">
        <f>0+'[2]táj.2'!K468</f>
        <v>0</v>
      </c>
      <c r="L468" s="7">
        <f>4333+'[2]táj.2'!L468</f>
        <v>4333</v>
      </c>
      <c r="M468" s="7">
        <f>0+'[2]táj.2'!M468</f>
        <v>0</v>
      </c>
      <c r="N468" s="7">
        <f>0+'[2]táj.2'!N468</f>
        <v>0</v>
      </c>
      <c r="O468" s="7">
        <f>0+'[2]táj.2'!O468</f>
        <v>0</v>
      </c>
      <c r="P468" s="7">
        <f>0+'[2]táj.2'!P468</f>
        <v>0</v>
      </c>
      <c r="Q468" s="7">
        <f t="shared" si="26"/>
        <v>4333</v>
      </c>
    </row>
    <row r="469" spans="1:17" ht="12.75">
      <c r="A469" s="170"/>
      <c r="B469" s="170"/>
      <c r="C469" s="214" t="s">
        <v>1173</v>
      </c>
      <c r="D469" s="236" t="s">
        <v>1176</v>
      </c>
      <c r="E469" s="643"/>
      <c r="F469" s="7">
        <v>154918</v>
      </c>
      <c r="G469" s="7">
        <f>0+'[2]táj.2'!G469</f>
        <v>0</v>
      </c>
      <c r="H469" s="7">
        <f>0+'[2]táj.2'!H469</f>
        <v>0</v>
      </c>
      <c r="I469" s="7">
        <f>0+'[2]táj.2'!I469</f>
        <v>0</v>
      </c>
      <c r="J469" s="7">
        <f>0+'[2]táj.2'!J469</f>
        <v>0</v>
      </c>
      <c r="K469" s="7">
        <f>0+'[2]táj.2'!K469</f>
        <v>0</v>
      </c>
      <c r="L469" s="7">
        <f>0+'[2]táj.2'!L469</f>
        <v>0</v>
      </c>
      <c r="M469" s="7">
        <f>0+'[2]táj.2'!M469</f>
        <v>0</v>
      </c>
      <c r="N469" s="7">
        <f>0+'[2]táj.2'!N469</f>
        <v>0</v>
      </c>
      <c r="O469" s="7">
        <f>0+'[2]táj.2'!O469</f>
        <v>0</v>
      </c>
      <c r="P469" s="7">
        <f>0+'[2]táj.2'!P469</f>
        <v>0</v>
      </c>
      <c r="Q469" s="7">
        <f t="shared" si="26"/>
        <v>0</v>
      </c>
    </row>
    <row r="470" spans="1:17" ht="12.75">
      <c r="A470" s="170"/>
      <c r="B470" s="170"/>
      <c r="C470" s="214" t="s">
        <v>1175</v>
      </c>
      <c r="D470" s="236" t="s">
        <v>1178</v>
      </c>
      <c r="E470" s="643"/>
      <c r="F470" s="7">
        <v>152946</v>
      </c>
      <c r="G470" s="7">
        <f>0+'[2]táj.2'!G470</f>
        <v>0</v>
      </c>
      <c r="H470" s="7">
        <f>0+'[2]táj.2'!H470</f>
        <v>0</v>
      </c>
      <c r="I470" s="7">
        <f>0+'[2]táj.2'!I470</f>
        <v>0</v>
      </c>
      <c r="J470" s="7">
        <f>0+'[2]táj.2'!J470</f>
        <v>0</v>
      </c>
      <c r="K470" s="7">
        <f>0+'[2]táj.2'!K470</f>
        <v>0</v>
      </c>
      <c r="L470" s="7">
        <f>9998+'[2]táj.2'!L470</f>
        <v>9998</v>
      </c>
      <c r="M470" s="7">
        <f>0+'[2]táj.2'!M470</f>
        <v>0</v>
      </c>
      <c r="N470" s="7">
        <f>0+'[2]táj.2'!N470</f>
        <v>0</v>
      </c>
      <c r="O470" s="7">
        <f>0+'[2]táj.2'!O470</f>
        <v>0</v>
      </c>
      <c r="P470" s="7">
        <f>0+'[2]táj.2'!P470</f>
        <v>0</v>
      </c>
      <c r="Q470" s="7">
        <f t="shared" si="26"/>
        <v>9998</v>
      </c>
    </row>
    <row r="471" spans="1:17" ht="13.5">
      <c r="A471" s="218"/>
      <c r="B471" s="218"/>
      <c r="C471" s="219"/>
      <c r="D471" s="183" t="s">
        <v>1179</v>
      </c>
      <c r="E471" s="61"/>
      <c r="F471" s="61"/>
      <c r="G471" s="61">
        <f aca="true" t="shared" si="27" ref="G471:Q471">SUM(G345:G470)</f>
        <v>7800</v>
      </c>
      <c r="H471" s="61">
        <f t="shared" si="27"/>
        <v>1350</v>
      </c>
      <c r="I471" s="61">
        <f t="shared" si="27"/>
        <v>1840801</v>
      </c>
      <c r="J471" s="61">
        <f t="shared" si="27"/>
        <v>0</v>
      </c>
      <c r="K471" s="61">
        <f t="shared" si="27"/>
        <v>446848</v>
      </c>
      <c r="L471" s="61">
        <f t="shared" si="27"/>
        <v>238165</v>
      </c>
      <c r="M471" s="61">
        <f t="shared" si="27"/>
        <v>148809</v>
      </c>
      <c r="N471" s="61">
        <f t="shared" si="27"/>
        <v>1300</v>
      </c>
      <c r="O471" s="61">
        <f t="shared" si="27"/>
        <v>0</v>
      </c>
      <c r="P471" s="61">
        <f t="shared" si="27"/>
        <v>0</v>
      </c>
      <c r="Q471" s="61">
        <f t="shared" si="27"/>
        <v>2685073</v>
      </c>
    </row>
    <row r="472" spans="1:17" ht="13.5">
      <c r="A472" s="198">
        <v>1</v>
      </c>
      <c r="B472" s="198">
        <v>16</v>
      </c>
      <c r="C472" s="214"/>
      <c r="D472" s="277" t="s">
        <v>1180</v>
      </c>
      <c r="E472" s="223"/>
      <c r="F472" s="7"/>
      <c r="G472" s="7"/>
      <c r="H472" s="3"/>
      <c r="I472" s="3"/>
      <c r="J472" s="3"/>
      <c r="K472" s="3"/>
      <c r="L472" s="3"/>
      <c r="M472" s="7"/>
      <c r="N472" s="7"/>
      <c r="O472" s="7"/>
      <c r="P472" s="7"/>
      <c r="Q472" s="7"/>
    </row>
    <row r="473" spans="1:17" ht="12.75">
      <c r="A473" s="198"/>
      <c r="B473" s="198"/>
      <c r="C473" s="214"/>
      <c r="D473" s="178" t="s">
        <v>496</v>
      </c>
      <c r="E473" s="223"/>
      <c r="F473" s="7"/>
      <c r="G473" s="7"/>
      <c r="H473" s="3"/>
      <c r="I473" s="3"/>
      <c r="J473" s="3"/>
      <c r="K473" s="3"/>
      <c r="L473" s="3"/>
      <c r="M473" s="7"/>
      <c r="N473" s="7"/>
      <c r="O473" s="7"/>
      <c r="P473" s="7"/>
      <c r="Q473" s="7"/>
    </row>
    <row r="474" spans="1:17" ht="12.75">
      <c r="A474" s="198"/>
      <c r="B474" s="198"/>
      <c r="C474" s="214"/>
      <c r="D474" s="283" t="s">
        <v>1181</v>
      </c>
      <c r="E474" s="7">
        <v>2</v>
      </c>
      <c r="F474" s="7">
        <v>161910</v>
      </c>
      <c r="G474" s="7">
        <f>0+'[2]táj.2'!G474</f>
        <v>0</v>
      </c>
      <c r="H474" s="7">
        <f>0+'[2]táj.2'!H474</f>
        <v>0</v>
      </c>
      <c r="I474" s="7">
        <f>2250+'[2]táj.2'!I474</f>
        <v>2250</v>
      </c>
      <c r="J474" s="7">
        <f>0+'[2]táj.2'!J474</f>
        <v>0</v>
      </c>
      <c r="K474" s="7">
        <f>0+'[2]táj.2'!K474</f>
        <v>0</v>
      </c>
      <c r="L474" s="7">
        <f>0+'[2]táj.2'!L474</f>
        <v>0</v>
      </c>
      <c r="M474" s="7">
        <f>0+'[2]táj.2'!M474</f>
        <v>0</v>
      </c>
      <c r="N474" s="7">
        <f>0+'[2]táj.2'!N474</f>
        <v>0</v>
      </c>
      <c r="O474" s="7">
        <f>0+'[2]táj.2'!O474</f>
        <v>0</v>
      </c>
      <c r="P474" s="7">
        <f>0+'[2]táj.2'!P474</f>
        <v>0</v>
      </c>
      <c r="Q474" s="7">
        <f aca="true" t="shared" si="28" ref="Q474:Q479">SUM(G474:P474)</f>
        <v>2250</v>
      </c>
    </row>
    <row r="475" spans="1:17" ht="12.75">
      <c r="A475" s="198"/>
      <c r="B475" s="198"/>
      <c r="C475" s="214"/>
      <c r="D475" s="283" t="s">
        <v>1182</v>
      </c>
      <c r="E475" s="7">
        <v>1</v>
      </c>
      <c r="F475" s="7">
        <v>161908</v>
      </c>
      <c r="G475" s="7">
        <f>0+'[2]táj.2'!G475</f>
        <v>0</v>
      </c>
      <c r="H475" s="7">
        <f>0+'[2]táj.2'!H475</f>
        <v>0</v>
      </c>
      <c r="I475" s="7">
        <f>6873+'[2]táj.2'!I475</f>
        <v>6873</v>
      </c>
      <c r="J475" s="7">
        <f>0+'[2]táj.2'!J475</f>
        <v>0</v>
      </c>
      <c r="K475" s="7">
        <f>0+'[2]táj.2'!K475</f>
        <v>0</v>
      </c>
      <c r="L475" s="7">
        <f>0+'[2]táj.2'!L475</f>
        <v>0</v>
      </c>
      <c r="M475" s="7">
        <f>0+'[2]táj.2'!M475</f>
        <v>0</v>
      </c>
      <c r="N475" s="7">
        <f>0+'[2]táj.2'!N475</f>
        <v>0</v>
      </c>
      <c r="O475" s="7">
        <f>0+'[2]táj.2'!O475</f>
        <v>0</v>
      </c>
      <c r="P475" s="7">
        <f>0+'[2]táj.2'!P475</f>
        <v>0</v>
      </c>
      <c r="Q475" s="7">
        <f t="shared" si="28"/>
        <v>6873</v>
      </c>
    </row>
    <row r="476" spans="1:17" ht="25.5">
      <c r="A476" s="198"/>
      <c r="B476" s="198"/>
      <c r="C476" s="214"/>
      <c r="D476" s="176" t="s">
        <v>1183</v>
      </c>
      <c r="E476" s="7">
        <v>2</v>
      </c>
      <c r="F476" s="7">
        <v>161911</v>
      </c>
      <c r="G476" s="7">
        <f>0+'[2]táj.2'!G476</f>
        <v>0</v>
      </c>
      <c r="H476" s="7">
        <f>0+'[2]táj.2'!H476</f>
        <v>0</v>
      </c>
      <c r="I476" s="7">
        <f>6217+'[2]táj.2'!I476</f>
        <v>6217</v>
      </c>
      <c r="J476" s="7">
        <f>0+'[2]táj.2'!J476</f>
        <v>0</v>
      </c>
      <c r="K476" s="7">
        <f>0+'[2]táj.2'!K476</f>
        <v>0</v>
      </c>
      <c r="L476" s="7">
        <f>0+'[2]táj.2'!L476</f>
        <v>0</v>
      </c>
      <c r="M476" s="7">
        <f>300+'[2]táj.2'!M476</f>
        <v>300</v>
      </c>
      <c r="N476" s="7">
        <f>0+'[2]táj.2'!N476</f>
        <v>0</v>
      </c>
      <c r="O476" s="7">
        <f>0+'[2]táj.2'!O476</f>
        <v>0</v>
      </c>
      <c r="P476" s="7">
        <f>0+'[2]táj.2'!P476</f>
        <v>0</v>
      </c>
      <c r="Q476" s="7">
        <f t="shared" si="28"/>
        <v>6517</v>
      </c>
    </row>
    <row r="477" spans="1:17" ht="25.5">
      <c r="A477" s="198"/>
      <c r="B477" s="198"/>
      <c r="C477" s="214"/>
      <c r="D477" s="174" t="s">
        <v>1184</v>
      </c>
      <c r="E477" s="7">
        <v>2</v>
      </c>
      <c r="F477" s="7">
        <v>161904</v>
      </c>
      <c r="G477" s="7">
        <f>0+'[2]táj.2'!G477</f>
        <v>0</v>
      </c>
      <c r="H477" s="7">
        <f>0+'[2]táj.2'!H477</f>
        <v>0</v>
      </c>
      <c r="I477" s="7">
        <f>4572+'[2]táj.2'!I477</f>
        <v>4572</v>
      </c>
      <c r="J477" s="7">
        <f>0+'[2]táj.2'!J477</f>
        <v>0</v>
      </c>
      <c r="K477" s="7">
        <f>0+'[2]táj.2'!K477</f>
        <v>0</v>
      </c>
      <c r="L477" s="7">
        <f>0+'[2]táj.2'!L477</f>
        <v>0</v>
      </c>
      <c r="M477" s="7">
        <f>0+'[2]táj.2'!M477</f>
        <v>0</v>
      </c>
      <c r="N477" s="7">
        <f>0+'[2]táj.2'!N477</f>
        <v>0</v>
      </c>
      <c r="O477" s="7">
        <f>0+'[2]táj.2'!O477</f>
        <v>0</v>
      </c>
      <c r="P477" s="7">
        <f>0+'[2]táj.2'!P477</f>
        <v>0</v>
      </c>
      <c r="Q477" s="7">
        <f t="shared" si="28"/>
        <v>4572</v>
      </c>
    </row>
    <row r="478" spans="1:17" ht="25.5">
      <c r="A478" s="198"/>
      <c r="B478" s="198"/>
      <c r="C478" s="214"/>
      <c r="D478" s="176" t="s">
        <v>1185</v>
      </c>
      <c r="E478" s="211">
        <v>2</v>
      </c>
      <c r="F478" s="7">
        <v>161903</v>
      </c>
      <c r="G478" s="7">
        <f>0+'[2]táj.2'!G478</f>
        <v>0</v>
      </c>
      <c r="H478" s="7">
        <f>0+'[2]táj.2'!H478</f>
        <v>0</v>
      </c>
      <c r="I478" s="7">
        <f>765+'[2]táj.2'!I478</f>
        <v>765</v>
      </c>
      <c r="J478" s="7">
        <f>0+'[2]táj.2'!J478</f>
        <v>0</v>
      </c>
      <c r="K478" s="7">
        <f>0+'[2]táj.2'!K478</f>
        <v>0</v>
      </c>
      <c r="L478" s="7">
        <f>0+'[2]táj.2'!L478</f>
        <v>0</v>
      </c>
      <c r="M478" s="7">
        <f>0+'[2]táj.2'!M478</f>
        <v>0</v>
      </c>
      <c r="N478" s="7">
        <f>0+'[2]táj.2'!N478</f>
        <v>0</v>
      </c>
      <c r="O478" s="7">
        <f>0+'[2]táj.2'!O478</f>
        <v>0</v>
      </c>
      <c r="P478" s="7">
        <f>0+'[2]táj.2'!P478</f>
        <v>0</v>
      </c>
      <c r="Q478" s="7">
        <f t="shared" si="28"/>
        <v>765</v>
      </c>
    </row>
    <row r="479" spans="1:17" ht="25.5">
      <c r="A479" s="198"/>
      <c r="B479" s="198"/>
      <c r="C479" s="214"/>
      <c r="D479" s="176" t="s">
        <v>1186</v>
      </c>
      <c r="E479" s="7">
        <v>1</v>
      </c>
      <c r="F479" s="7">
        <v>161912</v>
      </c>
      <c r="G479" s="7">
        <f>0+'[2]táj.2'!G479</f>
        <v>0</v>
      </c>
      <c r="H479" s="7">
        <f>0+'[2]táj.2'!H479</f>
        <v>0</v>
      </c>
      <c r="I479" s="7">
        <f>3000+'[2]táj.2'!I479</f>
        <v>3000</v>
      </c>
      <c r="J479" s="7">
        <f>0+'[2]táj.2'!J479</f>
        <v>0</v>
      </c>
      <c r="K479" s="7">
        <f>0+'[2]táj.2'!K479</f>
        <v>0</v>
      </c>
      <c r="L479" s="7">
        <f>0+'[2]táj.2'!L479</f>
        <v>0</v>
      </c>
      <c r="M479" s="7">
        <f>0+'[2]táj.2'!M479</f>
        <v>0</v>
      </c>
      <c r="N479" s="7">
        <f>0+'[2]táj.2'!N479</f>
        <v>0</v>
      </c>
      <c r="O479" s="7">
        <f>0+'[2]táj.2'!O479</f>
        <v>0</v>
      </c>
      <c r="P479" s="7">
        <f>0+'[2]táj.2'!P479</f>
        <v>0</v>
      </c>
      <c r="Q479" s="7">
        <f t="shared" si="28"/>
        <v>3000</v>
      </c>
    </row>
    <row r="480" spans="1:17" ht="25.5">
      <c r="A480" s="198"/>
      <c r="B480" s="198"/>
      <c r="C480" s="214"/>
      <c r="D480" s="301" t="s">
        <v>896</v>
      </c>
      <c r="E480" s="302">
        <v>1</v>
      </c>
      <c r="F480" s="29">
        <v>151919</v>
      </c>
      <c r="G480" s="7">
        <f>0+'[2]táj.2'!G480</f>
        <v>0</v>
      </c>
      <c r="H480" s="7">
        <f>0+'[2]táj.2'!H480</f>
        <v>0</v>
      </c>
      <c r="I480" s="7">
        <f>1410+'[2]táj.2'!I480</f>
        <v>1410</v>
      </c>
      <c r="J480" s="7">
        <f>0+'[2]táj.2'!J480</f>
        <v>0</v>
      </c>
      <c r="K480" s="7">
        <f>0+'[2]táj.2'!K480</f>
        <v>0</v>
      </c>
      <c r="L480" s="7">
        <f>0+'[2]táj.2'!L480</f>
        <v>0</v>
      </c>
      <c r="M480" s="7">
        <f>0+'[2]táj.2'!M480</f>
        <v>0</v>
      </c>
      <c r="N480" s="7">
        <f>0+'[2]táj.2'!N480</f>
        <v>0</v>
      </c>
      <c r="O480" s="7">
        <f>0+'[2]táj.2'!O480</f>
        <v>0</v>
      </c>
      <c r="P480" s="7">
        <f>0+'[2]táj.2'!P480</f>
        <v>0</v>
      </c>
      <c r="Q480" s="7">
        <f>SUM(G480:P480)</f>
        <v>1410</v>
      </c>
    </row>
    <row r="481" spans="1:17" ht="12.75">
      <c r="A481" s="198"/>
      <c r="B481" s="198"/>
      <c r="C481" s="214"/>
      <c r="D481" s="294" t="s">
        <v>510</v>
      </c>
      <c r="E481" s="337"/>
      <c r="F481" s="7"/>
      <c r="G481" s="7"/>
      <c r="H481" s="3"/>
      <c r="I481" s="3"/>
      <c r="J481" s="3"/>
      <c r="K481" s="3"/>
      <c r="L481" s="3"/>
      <c r="M481" s="7"/>
      <c r="N481" s="7"/>
      <c r="O481" s="7"/>
      <c r="P481" s="7"/>
      <c r="Q481" s="7"/>
    </row>
    <row r="482" spans="1:17" ht="12.75">
      <c r="A482" s="198"/>
      <c r="B482" s="198"/>
      <c r="C482" s="214"/>
      <c r="D482" s="338" t="s">
        <v>1187</v>
      </c>
      <c r="E482" s="7">
        <v>2</v>
      </c>
      <c r="F482" s="7">
        <v>151606</v>
      </c>
      <c r="G482" s="7">
        <f>0+'[2]táj.2'!G482</f>
        <v>0</v>
      </c>
      <c r="H482" s="7">
        <f>0+'[2]táj.2'!H482</f>
        <v>0</v>
      </c>
      <c r="I482" s="7">
        <f>0+'[2]táj.2'!I482</f>
        <v>0</v>
      </c>
      <c r="J482" s="7">
        <f>0+'[2]táj.2'!J482</f>
        <v>0</v>
      </c>
      <c r="K482" s="7">
        <f>1955+'[2]táj.2'!K482</f>
        <v>1955</v>
      </c>
      <c r="L482" s="7">
        <f>0+'[2]táj.2'!L482</f>
        <v>0</v>
      </c>
      <c r="M482" s="7">
        <f>0+'[2]táj.2'!M482</f>
        <v>0</v>
      </c>
      <c r="N482" s="7">
        <f>0+'[2]táj.2'!N482</f>
        <v>0</v>
      </c>
      <c r="O482" s="7">
        <f>0+'[2]táj.2'!O482</f>
        <v>0</v>
      </c>
      <c r="P482" s="7">
        <f>0+'[2]táj.2'!P482</f>
        <v>0</v>
      </c>
      <c r="Q482" s="7">
        <f>SUM(G482:P482)</f>
        <v>1955</v>
      </c>
    </row>
    <row r="483" spans="1:17" ht="12.75">
      <c r="A483" s="198"/>
      <c r="B483" s="198"/>
      <c r="C483" s="214"/>
      <c r="D483" s="294" t="s">
        <v>924</v>
      </c>
      <c r="E483" s="339"/>
      <c r="F483" s="7"/>
      <c r="G483" s="7"/>
      <c r="H483" s="3"/>
      <c r="I483" s="3"/>
      <c r="J483" s="3"/>
      <c r="K483" s="3"/>
      <c r="L483" s="3"/>
      <c r="M483" s="7"/>
      <c r="N483" s="7"/>
      <c r="O483" s="7"/>
      <c r="P483" s="7"/>
      <c r="Q483" s="7"/>
    </row>
    <row r="484" spans="1:17" ht="12.75">
      <c r="A484" s="198"/>
      <c r="B484" s="198"/>
      <c r="C484" s="214"/>
      <c r="D484" s="294" t="s">
        <v>1188</v>
      </c>
      <c r="E484" s="7">
        <v>2</v>
      </c>
      <c r="F484" s="7">
        <v>151203</v>
      </c>
      <c r="G484" s="7">
        <f>0+'[2]táj.2'!G484</f>
        <v>0</v>
      </c>
      <c r="H484" s="7">
        <f>0+'[2]táj.2'!H484</f>
        <v>0</v>
      </c>
      <c r="I484" s="7">
        <f>8785+'[2]táj.2'!I484</f>
        <v>8785</v>
      </c>
      <c r="J484" s="7">
        <f>0+'[2]táj.2'!J484</f>
        <v>0</v>
      </c>
      <c r="K484" s="7">
        <f>0+'[2]táj.2'!K484</f>
        <v>0</v>
      </c>
      <c r="L484" s="7">
        <f>0+'[2]táj.2'!L484</f>
        <v>0</v>
      </c>
      <c r="M484" s="7">
        <f>0+'[2]táj.2'!M484</f>
        <v>0</v>
      </c>
      <c r="N484" s="7">
        <f>0+'[2]táj.2'!N484</f>
        <v>0</v>
      </c>
      <c r="O484" s="7">
        <f>0+'[2]táj.2'!O484</f>
        <v>0</v>
      </c>
      <c r="P484" s="7">
        <f>0+'[2]táj.2'!P484</f>
        <v>0</v>
      </c>
      <c r="Q484" s="7">
        <f>SUM(G484:P484)</f>
        <v>8785</v>
      </c>
    </row>
    <row r="485" spans="1:17" ht="13.5">
      <c r="A485" s="340"/>
      <c r="B485" s="340"/>
      <c r="C485" s="341"/>
      <c r="D485" s="307" t="s">
        <v>1189</v>
      </c>
      <c r="E485" s="284"/>
      <c r="F485" s="286"/>
      <c r="G485" s="286">
        <f aca="true" t="shared" si="29" ref="G485:Q485">SUM(G474:G484)</f>
        <v>0</v>
      </c>
      <c r="H485" s="286">
        <f t="shared" si="29"/>
        <v>0</v>
      </c>
      <c r="I485" s="286">
        <f t="shared" si="29"/>
        <v>33872</v>
      </c>
      <c r="J485" s="286">
        <f t="shared" si="29"/>
        <v>0</v>
      </c>
      <c r="K485" s="286">
        <f t="shared" si="29"/>
        <v>1955</v>
      </c>
      <c r="L485" s="286">
        <f t="shared" si="29"/>
        <v>0</v>
      </c>
      <c r="M485" s="286">
        <f t="shared" si="29"/>
        <v>300</v>
      </c>
      <c r="N485" s="286">
        <f t="shared" si="29"/>
        <v>0</v>
      </c>
      <c r="O485" s="286">
        <f t="shared" si="29"/>
        <v>0</v>
      </c>
      <c r="P485" s="286">
        <f t="shared" si="29"/>
        <v>0</v>
      </c>
      <c r="Q485" s="286">
        <f t="shared" si="29"/>
        <v>36127</v>
      </c>
    </row>
    <row r="486" spans="1:17" ht="12.75">
      <c r="A486" s="198"/>
      <c r="B486" s="198"/>
      <c r="C486" s="214"/>
      <c r="D486" s="287" t="s">
        <v>1190</v>
      </c>
      <c r="E486" s="223"/>
      <c r="F486" s="7"/>
      <c r="G486" s="3"/>
      <c r="H486" s="3"/>
      <c r="I486" s="3"/>
      <c r="J486" s="7"/>
      <c r="K486" s="7"/>
      <c r="L486" s="7"/>
      <c r="M486" s="7"/>
      <c r="N486" s="7"/>
      <c r="O486" s="7"/>
      <c r="P486" s="7"/>
      <c r="Q486" s="7"/>
    </row>
    <row r="487" spans="1:17" ht="13.5">
      <c r="A487" s="198"/>
      <c r="B487" s="198"/>
      <c r="C487" s="342" t="s">
        <v>269</v>
      </c>
      <c r="D487" s="343" t="s">
        <v>937</v>
      </c>
      <c r="E487" s="223"/>
      <c r="F487" s="7"/>
      <c r="G487" s="3"/>
      <c r="H487" s="3"/>
      <c r="I487" s="3"/>
      <c r="J487" s="7"/>
      <c r="K487" s="7"/>
      <c r="L487" s="7"/>
      <c r="M487" s="7"/>
      <c r="N487" s="7"/>
      <c r="O487" s="7"/>
      <c r="P487" s="7"/>
      <c r="Q487" s="7"/>
    </row>
    <row r="488" spans="1:17" ht="13.5">
      <c r="A488" s="198"/>
      <c r="B488" s="198"/>
      <c r="C488" s="317" t="s">
        <v>654</v>
      </c>
      <c r="D488" s="344" t="s">
        <v>1191</v>
      </c>
      <c r="E488" s="223"/>
      <c r="F488" s="223">
        <v>164106</v>
      </c>
      <c r="G488" s="3">
        <f>0+'[2]táj.2'!G488</f>
        <v>0</v>
      </c>
      <c r="H488" s="3">
        <f>0+'[2]táj.2'!H488</f>
        <v>0</v>
      </c>
      <c r="I488" s="3">
        <f>105275+'[2]táj.2'!I488</f>
        <v>105275</v>
      </c>
      <c r="J488" s="3">
        <f>0+'[2]táj.2'!J488</f>
        <v>0</v>
      </c>
      <c r="K488" s="3">
        <f>0+'[2]táj.2'!K488</f>
        <v>0</v>
      </c>
      <c r="L488" s="3">
        <f>0+'[2]táj.2'!L488</f>
        <v>0</v>
      </c>
      <c r="M488" s="3">
        <f>505572+'[2]táj.2'!M488</f>
        <v>505572</v>
      </c>
      <c r="N488" s="3">
        <f>0+'[2]táj.2'!N488</f>
        <v>0</v>
      </c>
      <c r="O488" s="3">
        <f>0+'[2]táj.2'!O488</f>
        <v>0</v>
      </c>
      <c r="P488" s="3">
        <f>0+'[2]táj.2'!P488</f>
        <v>0</v>
      </c>
      <c r="Q488" s="7">
        <f>SUM(G488:P488)</f>
        <v>610847</v>
      </c>
    </row>
    <row r="489" spans="1:17" ht="13.5">
      <c r="A489" s="198"/>
      <c r="B489" s="198"/>
      <c r="C489" s="317" t="s">
        <v>939</v>
      </c>
      <c r="D489" s="344" t="s">
        <v>85</v>
      </c>
      <c r="E489" s="223"/>
      <c r="F489" s="223">
        <v>161909</v>
      </c>
      <c r="G489" s="3">
        <f>0+'[2]táj.2'!G489</f>
        <v>0</v>
      </c>
      <c r="H489" s="3">
        <f>0+'[2]táj.2'!H489</f>
        <v>0</v>
      </c>
      <c r="I489" s="3">
        <f>0+'[2]táj.2'!I489</f>
        <v>0</v>
      </c>
      <c r="J489" s="3">
        <f>0+'[2]táj.2'!J489</f>
        <v>0</v>
      </c>
      <c r="K489" s="3">
        <f>0+'[2]táj.2'!K489</f>
        <v>0</v>
      </c>
      <c r="L489" s="3">
        <f>14766+'[2]táj.2'!L489</f>
        <v>14766</v>
      </c>
      <c r="M489" s="3">
        <f>12700+'[2]táj.2'!M489</f>
        <v>12700</v>
      </c>
      <c r="N489" s="3">
        <f>0+'[2]táj.2'!N489</f>
        <v>0</v>
      </c>
      <c r="O489" s="3">
        <f>0+'[2]táj.2'!O489</f>
        <v>0</v>
      </c>
      <c r="P489" s="3">
        <f>0+'[2]táj.2'!P489</f>
        <v>0</v>
      </c>
      <c r="Q489" s="7">
        <f>SUM(G489:P489)</f>
        <v>27466</v>
      </c>
    </row>
    <row r="490" spans="1:17" ht="12.75">
      <c r="A490" s="198"/>
      <c r="B490" s="198"/>
      <c r="C490" s="214"/>
      <c r="D490" s="283" t="s">
        <v>656</v>
      </c>
      <c r="E490" s="223"/>
      <c r="F490" s="22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</row>
    <row r="491" spans="1:17" ht="12.75">
      <c r="A491" s="198"/>
      <c r="B491" s="198"/>
      <c r="C491" s="214" t="s">
        <v>657</v>
      </c>
      <c r="D491" s="345" t="s">
        <v>1192</v>
      </c>
      <c r="E491" s="325"/>
      <c r="F491" s="223">
        <v>162126</v>
      </c>
      <c r="G491" s="3">
        <f>0+'[2]táj.2'!G491</f>
        <v>0</v>
      </c>
      <c r="H491" s="3">
        <f>0+'[2]táj.2'!H491</f>
        <v>0</v>
      </c>
      <c r="I491" s="3">
        <f>0+'[2]táj.2'!I491</f>
        <v>0</v>
      </c>
      <c r="J491" s="3">
        <f>0+'[2]táj.2'!J491</f>
        <v>0</v>
      </c>
      <c r="K491" s="3">
        <f>0+'[2]táj.2'!K491</f>
        <v>0</v>
      </c>
      <c r="L491" s="3">
        <f>800+'[2]táj.2'!L491</f>
        <v>800</v>
      </c>
      <c r="M491" s="3">
        <f>0+'[2]táj.2'!M491</f>
        <v>0</v>
      </c>
      <c r="N491" s="3">
        <f>0+'[2]táj.2'!N491</f>
        <v>0</v>
      </c>
      <c r="O491" s="3">
        <f>0+'[2]táj.2'!O491</f>
        <v>0</v>
      </c>
      <c r="P491" s="3">
        <f>0+'[2]táj.2'!P491</f>
        <v>0</v>
      </c>
      <c r="Q491" s="7">
        <f>SUM(G491:P491)</f>
        <v>800</v>
      </c>
    </row>
    <row r="492" spans="1:17" ht="25.5">
      <c r="A492" s="198"/>
      <c r="B492" s="198"/>
      <c r="C492" s="214" t="s">
        <v>659</v>
      </c>
      <c r="D492" s="346" t="s">
        <v>1193</v>
      </c>
      <c r="E492" s="325"/>
      <c r="F492" s="223">
        <v>162112</v>
      </c>
      <c r="G492" s="3">
        <f>0+'[2]táj.2'!G492</f>
        <v>0</v>
      </c>
      <c r="H492" s="3">
        <f>0+'[2]táj.2'!H492</f>
        <v>0</v>
      </c>
      <c r="I492" s="3">
        <f>0+'[2]táj.2'!I492</f>
        <v>0</v>
      </c>
      <c r="J492" s="3">
        <f>0+'[2]táj.2'!J492</f>
        <v>0</v>
      </c>
      <c r="K492" s="3">
        <f>0+'[2]táj.2'!K492</f>
        <v>0</v>
      </c>
      <c r="L492" s="3">
        <f>6002+'[2]táj.2'!L492</f>
        <v>6002</v>
      </c>
      <c r="M492" s="3">
        <f>0+'[2]táj.2'!M492</f>
        <v>0</v>
      </c>
      <c r="N492" s="3">
        <f>0+'[2]táj.2'!N492</f>
        <v>0</v>
      </c>
      <c r="O492" s="3">
        <f>0+'[2]táj.2'!O492</f>
        <v>0</v>
      </c>
      <c r="P492" s="3">
        <f>0+'[2]táj.2'!P492</f>
        <v>0</v>
      </c>
      <c r="Q492" s="7">
        <f>SUM(G492:P492)</f>
        <v>6002</v>
      </c>
    </row>
    <row r="493" spans="1:17" ht="12.75">
      <c r="A493" s="198"/>
      <c r="B493" s="198"/>
      <c r="C493" s="214" t="s">
        <v>954</v>
      </c>
      <c r="D493" s="346" t="s">
        <v>1194</v>
      </c>
      <c r="E493" s="325"/>
      <c r="F493" s="223">
        <v>162107</v>
      </c>
      <c r="G493" s="3">
        <f>0+'[2]táj.2'!G493</f>
        <v>0</v>
      </c>
      <c r="H493" s="3">
        <f>0+'[2]táj.2'!H493</f>
        <v>0</v>
      </c>
      <c r="I493" s="3">
        <f>0+'[2]táj.2'!I493</f>
        <v>0</v>
      </c>
      <c r="J493" s="3">
        <f>0+'[2]táj.2'!J493</f>
        <v>0</v>
      </c>
      <c r="K493" s="3">
        <f>0+'[2]táj.2'!K493</f>
        <v>0</v>
      </c>
      <c r="L493" s="3">
        <f>3179+'[2]táj.2'!L493</f>
        <v>3179</v>
      </c>
      <c r="M493" s="3">
        <f>0+'[2]táj.2'!M493</f>
        <v>0</v>
      </c>
      <c r="N493" s="3">
        <f>0+'[2]táj.2'!N493</f>
        <v>0</v>
      </c>
      <c r="O493" s="3">
        <f>0+'[2]táj.2'!O493</f>
        <v>0</v>
      </c>
      <c r="P493" s="3">
        <f>0+'[2]táj.2'!P493</f>
        <v>0</v>
      </c>
      <c r="Q493" s="7">
        <f>SUM(G493:P493)</f>
        <v>3179</v>
      </c>
    </row>
    <row r="494" spans="1:17" ht="25.5">
      <c r="A494" s="198"/>
      <c r="B494" s="198"/>
      <c r="C494" s="214" t="s">
        <v>956</v>
      </c>
      <c r="D494" s="174" t="s">
        <v>1195</v>
      </c>
      <c r="E494" s="223"/>
      <c r="F494" s="223">
        <v>162166</v>
      </c>
      <c r="G494" s="3">
        <f>0+'[2]táj.2'!G494</f>
        <v>0</v>
      </c>
      <c r="H494" s="3">
        <f>0+'[2]táj.2'!H494</f>
        <v>0</v>
      </c>
      <c r="I494" s="3">
        <f>0+'[2]táj.2'!I494</f>
        <v>0</v>
      </c>
      <c r="J494" s="3">
        <f>0+'[2]táj.2'!J494</f>
        <v>0</v>
      </c>
      <c r="K494" s="3">
        <f>0+'[2]táj.2'!K494</f>
        <v>0</v>
      </c>
      <c r="L494" s="3">
        <f>0+'[2]táj.2'!L494</f>
        <v>0</v>
      </c>
      <c r="M494" s="3">
        <f>75+'[2]táj.2'!M494</f>
        <v>75</v>
      </c>
      <c r="N494" s="3">
        <f>0+'[2]táj.2'!N494</f>
        <v>0</v>
      </c>
      <c r="O494" s="3">
        <f>0+'[2]táj.2'!O494</f>
        <v>0</v>
      </c>
      <c r="P494" s="3">
        <f>0+'[2]táj.2'!P494</f>
        <v>0</v>
      </c>
      <c r="Q494" s="7">
        <f>SUM(G494:P494)</f>
        <v>75</v>
      </c>
    </row>
    <row r="495" spans="1:17" ht="12.75">
      <c r="A495" s="198"/>
      <c r="B495" s="198"/>
      <c r="C495" s="214" t="s">
        <v>958</v>
      </c>
      <c r="D495" s="344" t="s">
        <v>1196</v>
      </c>
      <c r="E495" s="223"/>
      <c r="F495" s="223">
        <v>162168</v>
      </c>
      <c r="G495" s="3">
        <f>0+'[2]táj.2'!G495</f>
        <v>0</v>
      </c>
      <c r="H495" s="3">
        <f>0+'[2]táj.2'!H495</f>
        <v>0</v>
      </c>
      <c r="I495" s="3">
        <f>0+'[2]táj.2'!I495</f>
        <v>0</v>
      </c>
      <c r="J495" s="3">
        <f>0+'[2]táj.2'!J495</f>
        <v>0</v>
      </c>
      <c r="K495" s="3">
        <f>0+'[2]táj.2'!K495</f>
        <v>0</v>
      </c>
      <c r="L495" s="3">
        <f>1489+'[2]táj.2'!L495</f>
        <v>1489</v>
      </c>
      <c r="M495" s="3">
        <f>0+'[2]táj.2'!M495</f>
        <v>0</v>
      </c>
      <c r="N495" s="3">
        <f>0+'[2]táj.2'!N495</f>
        <v>0</v>
      </c>
      <c r="O495" s="3">
        <f>0+'[2]táj.2'!O495</f>
        <v>0</v>
      </c>
      <c r="P495" s="3">
        <f>0+'[2]táj.2'!P495</f>
        <v>0</v>
      </c>
      <c r="Q495" s="7">
        <f>SUM(G495:P495)</f>
        <v>1489</v>
      </c>
    </row>
    <row r="496" spans="1:17" ht="13.5">
      <c r="A496" s="198"/>
      <c r="B496" s="198"/>
      <c r="C496" s="658" t="s">
        <v>268</v>
      </c>
      <c r="D496" s="317" t="s">
        <v>960</v>
      </c>
      <c r="E496" s="223"/>
      <c r="F496" s="22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</row>
    <row r="497" spans="1:17" ht="12.75">
      <c r="A497" s="198"/>
      <c r="B497" s="198"/>
      <c r="C497" s="658" t="s">
        <v>1197</v>
      </c>
      <c r="D497" s="347" t="s">
        <v>1198</v>
      </c>
      <c r="E497" s="223"/>
      <c r="F497" s="223">
        <v>164204</v>
      </c>
      <c r="G497" s="3">
        <f>0+'[2]táj.2'!G497</f>
        <v>0</v>
      </c>
      <c r="H497" s="3">
        <f>0+'[2]táj.2'!H497</f>
        <v>0</v>
      </c>
      <c r="I497" s="3">
        <f>46213+'[2]táj.2'!I497</f>
        <v>46213</v>
      </c>
      <c r="J497" s="3">
        <f>0+'[2]táj.2'!J497</f>
        <v>0</v>
      </c>
      <c r="K497" s="3">
        <f>0+'[2]táj.2'!K497</f>
        <v>0</v>
      </c>
      <c r="L497" s="3">
        <f>2400+'[2]táj.2'!L497</f>
        <v>2400</v>
      </c>
      <c r="M497" s="3">
        <f>254692+'[2]táj.2'!M497</f>
        <v>254692</v>
      </c>
      <c r="N497" s="3">
        <f>0+'[2]táj.2'!N497</f>
        <v>0</v>
      </c>
      <c r="O497" s="3">
        <f>0+'[2]táj.2'!O497</f>
        <v>0</v>
      </c>
      <c r="P497" s="3">
        <f>0+'[2]táj.2'!P497</f>
        <v>0</v>
      </c>
      <c r="Q497" s="7">
        <f>SUM(G497:P497)</f>
        <v>303305</v>
      </c>
    </row>
    <row r="498" spans="1:17" ht="12.75">
      <c r="A498" s="198"/>
      <c r="B498" s="198"/>
      <c r="C498" s="214"/>
      <c r="D498" s="283" t="s">
        <v>656</v>
      </c>
      <c r="E498" s="223"/>
      <c r="F498" s="22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</row>
    <row r="499" spans="1:17" ht="25.5">
      <c r="A499" s="198"/>
      <c r="B499" s="198"/>
      <c r="C499" s="214" t="s">
        <v>1199</v>
      </c>
      <c r="D499" s="236" t="s">
        <v>1200</v>
      </c>
      <c r="E499" s="223"/>
      <c r="F499" s="223">
        <v>164205</v>
      </c>
      <c r="G499" s="3">
        <f>0+'[2]táj.2'!G499</f>
        <v>0</v>
      </c>
      <c r="H499" s="3">
        <f>0+'[2]táj.2'!H499</f>
        <v>0</v>
      </c>
      <c r="I499" s="3">
        <f>537799+'[2]táj.2'!I499</f>
        <v>537799</v>
      </c>
      <c r="J499" s="3">
        <f>0+'[2]táj.2'!J499</f>
        <v>0</v>
      </c>
      <c r="K499" s="3">
        <f>0+'[2]táj.2'!K499</f>
        <v>0</v>
      </c>
      <c r="L499" s="3">
        <f>1933428+'[2]táj.2'!L499</f>
        <v>1933428</v>
      </c>
      <c r="M499" s="3">
        <f>0+'[2]táj.2'!M499</f>
        <v>0</v>
      </c>
      <c r="N499" s="3">
        <f>0+'[2]táj.2'!N499</f>
        <v>0</v>
      </c>
      <c r="O499" s="3">
        <f>0+'[2]táj.2'!O499</f>
        <v>0</v>
      </c>
      <c r="P499" s="3">
        <f>0+'[2]táj.2'!P499</f>
        <v>0</v>
      </c>
      <c r="Q499" s="7">
        <f>SUM(G499:P499)</f>
        <v>2471227</v>
      </c>
    </row>
    <row r="500" spans="1:17" ht="25.5">
      <c r="A500" s="198"/>
      <c r="B500" s="198"/>
      <c r="C500" s="214" t="s">
        <v>1201</v>
      </c>
      <c r="D500" s="236" t="s">
        <v>1202</v>
      </c>
      <c r="E500" s="223"/>
      <c r="F500" s="223">
        <v>164206</v>
      </c>
      <c r="G500" s="3">
        <f>0+'[2]táj.2'!G500</f>
        <v>0</v>
      </c>
      <c r="H500" s="3">
        <f>0+'[2]táj.2'!H500</f>
        <v>0</v>
      </c>
      <c r="I500" s="3">
        <f>42040+'[2]táj.2'!I500</f>
        <v>42040</v>
      </c>
      <c r="J500" s="3">
        <f>0+'[2]táj.2'!J500</f>
        <v>0</v>
      </c>
      <c r="K500" s="3">
        <f>0+'[2]táj.2'!K500</f>
        <v>0</v>
      </c>
      <c r="L500" s="3">
        <f>153940+'[2]táj.2'!L500</f>
        <v>153940</v>
      </c>
      <c r="M500" s="3">
        <f>0+'[2]táj.2'!M500</f>
        <v>0</v>
      </c>
      <c r="N500" s="3">
        <f>0+'[2]táj.2'!N500</f>
        <v>0</v>
      </c>
      <c r="O500" s="3">
        <f>0+'[2]táj.2'!O500</f>
        <v>0</v>
      </c>
      <c r="P500" s="3">
        <f>0+'[2]táj.2'!P500</f>
        <v>0</v>
      </c>
      <c r="Q500" s="7">
        <f>SUM(G500:P500)</f>
        <v>195980</v>
      </c>
    </row>
    <row r="501" spans="1:17" ht="13.5">
      <c r="A501" s="198"/>
      <c r="B501" s="198"/>
      <c r="C501" s="659" t="s">
        <v>270</v>
      </c>
      <c r="D501" s="317" t="s">
        <v>1203</v>
      </c>
      <c r="E501" s="223"/>
      <c r="F501" s="22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</row>
    <row r="502" spans="1:17" ht="12.75">
      <c r="A502" s="198"/>
      <c r="B502" s="348"/>
      <c r="C502" s="660" t="s">
        <v>800</v>
      </c>
      <c r="D502" s="642" t="s">
        <v>1204</v>
      </c>
      <c r="E502" s="223"/>
      <c r="F502" s="223">
        <v>162302</v>
      </c>
      <c r="G502" s="3">
        <f>0+'[2]táj.2'!G502</f>
        <v>0</v>
      </c>
      <c r="H502" s="3">
        <f>0+'[2]táj.2'!H502</f>
        <v>0</v>
      </c>
      <c r="I502" s="3">
        <f>0+'[2]táj.2'!I502</f>
        <v>0</v>
      </c>
      <c r="J502" s="3">
        <f>0+'[2]táj.2'!J502</f>
        <v>0</v>
      </c>
      <c r="K502" s="3">
        <f>0+'[2]táj.2'!K502</f>
        <v>0</v>
      </c>
      <c r="L502" s="3">
        <f>1000+'[2]táj.2'!L502</f>
        <v>1000</v>
      </c>
      <c r="M502" s="3">
        <f>0+'[2]táj.2'!M502</f>
        <v>0</v>
      </c>
      <c r="N502" s="3">
        <f>0+'[2]táj.2'!N502</f>
        <v>0</v>
      </c>
      <c r="O502" s="3">
        <f>0+'[2]táj.2'!O502</f>
        <v>0</v>
      </c>
      <c r="P502" s="3">
        <f>0+'[2]táj.2'!P502</f>
        <v>0</v>
      </c>
      <c r="Q502" s="7">
        <f>SUM(G502:P502)</f>
        <v>1000</v>
      </c>
    </row>
    <row r="503" spans="1:17" ht="12.75">
      <c r="A503" s="198"/>
      <c r="B503" s="348"/>
      <c r="C503" s="660" t="s">
        <v>801</v>
      </c>
      <c r="D503" s="416" t="s">
        <v>1205</v>
      </c>
      <c r="E503" s="223"/>
      <c r="F503" s="223">
        <v>162307</v>
      </c>
      <c r="G503" s="3">
        <f>0+'[2]táj.2'!G503</f>
        <v>0</v>
      </c>
      <c r="H503" s="3">
        <f>0+'[2]táj.2'!H503</f>
        <v>0</v>
      </c>
      <c r="I503" s="3">
        <f>0+'[2]táj.2'!I503</f>
        <v>0</v>
      </c>
      <c r="J503" s="3">
        <f>0+'[2]táj.2'!J503</f>
        <v>0</v>
      </c>
      <c r="K503" s="3">
        <f>0+'[2]táj.2'!K503</f>
        <v>0</v>
      </c>
      <c r="L503" s="3">
        <f>2000+'[2]táj.2'!L503</f>
        <v>2000</v>
      </c>
      <c r="M503" s="3">
        <f>0+'[2]táj.2'!M503</f>
        <v>0</v>
      </c>
      <c r="N503" s="3">
        <f>0+'[2]táj.2'!N503</f>
        <v>0</v>
      </c>
      <c r="O503" s="3">
        <f>0+'[2]táj.2'!O503</f>
        <v>0</v>
      </c>
      <c r="P503" s="3">
        <f>0+'[2]táj.2'!P503</f>
        <v>0</v>
      </c>
      <c r="Q503" s="7">
        <f>SUM(G503:P503)</f>
        <v>2000</v>
      </c>
    </row>
    <row r="504" spans="1:17" ht="25.5">
      <c r="A504" s="198"/>
      <c r="B504" s="348"/>
      <c r="C504" s="660" t="s">
        <v>964</v>
      </c>
      <c r="D504" s="416" t="s">
        <v>1490</v>
      </c>
      <c r="E504" s="223"/>
      <c r="F504" s="223">
        <v>164301</v>
      </c>
      <c r="G504" s="3">
        <f>0+'[2]táj.2'!G504</f>
        <v>0</v>
      </c>
      <c r="H504" s="3">
        <f>0+'[2]táj.2'!H504</f>
        <v>0</v>
      </c>
      <c r="I504" s="3">
        <f>0+'[2]táj.2'!I504</f>
        <v>0</v>
      </c>
      <c r="J504" s="3">
        <f>0+'[2]táj.2'!J504</f>
        <v>0</v>
      </c>
      <c r="K504" s="3">
        <f>0+'[2]táj.2'!K504</f>
        <v>0</v>
      </c>
      <c r="L504" s="3">
        <f>0+'[2]táj.2'!L504</f>
        <v>0</v>
      </c>
      <c r="M504" s="3">
        <f>1000+'[2]táj.2'!M504</f>
        <v>1000</v>
      </c>
      <c r="N504" s="3">
        <f>0+'[2]táj.2'!N504</f>
        <v>0</v>
      </c>
      <c r="O504" s="3">
        <f>0+'[2]táj.2'!O504</f>
        <v>0</v>
      </c>
      <c r="P504" s="3">
        <f>0+'[2]táj.2'!P504</f>
        <v>0</v>
      </c>
      <c r="Q504" s="7">
        <f>SUM(G504:P504)</f>
        <v>1000</v>
      </c>
    </row>
    <row r="505" spans="1:17" ht="13.5">
      <c r="A505" s="198"/>
      <c r="B505" s="348"/>
      <c r="C505" s="661" t="s">
        <v>271</v>
      </c>
      <c r="D505" s="317" t="s">
        <v>1206</v>
      </c>
      <c r="E505" s="223"/>
      <c r="F505" s="22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</row>
    <row r="506" spans="1:17" ht="12.75">
      <c r="A506" s="198"/>
      <c r="B506" s="348"/>
      <c r="C506" s="661" t="s">
        <v>981</v>
      </c>
      <c r="D506" s="320" t="s">
        <v>1207</v>
      </c>
      <c r="E506" s="643"/>
      <c r="F506" s="223">
        <v>164417</v>
      </c>
      <c r="G506" s="3">
        <f>0+'[2]táj.2'!G506</f>
        <v>0</v>
      </c>
      <c r="H506" s="3">
        <f>0+'[2]táj.2'!H506</f>
        <v>0</v>
      </c>
      <c r="I506" s="3">
        <f>0+'[2]táj.2'!I506</f>
        <v>0</v>
      </c>
      <c r="J506" s="3">
        <f>0+'[2]táj.2'!J506</f>
        <v>0</v>
      </c>
      <c r="K506" s="3">
        <f>0+'[2]táj.2'!K506</f>
        <v>0</v>
      </c>
      <c r="L506" s="3">
        <f>0+'[2]táj.2'!L506</f>
        <v>0</v>
      </c>
      <c r="M506" s="3">
        <f>20100+'[2]táj.2'!M506</f>
        <v>20100</v>
      </c>
      <c r="N506" s="3">
        <f>0+'[2]táj.2'!N506</f>
        <v>0</v>
      </c>
      <c r="O506" s="3">
        <f>0+'[2]táj.2'!O506</f>
        <v>0</v>
      </c>
      <c r="P506" s="3">
        <f>0+'[2]táj.2'!P506</f>
        <v>0</v>
      </c>
      <c r="Q506" s="7">
        <f aca="true" t="shared" si="30" ref="Q506:Q533">SUM(G506:P506)</f>
        <v>20100</v>
      </c>
    </row>
    <row r="507" spans="1:17" ht="12.75">
      <c r="A507" s="198"/>
      <c r="B507" s="348"/>
      <c r="C507" s="661" t="s">
        <v>983</v>
      </c>
      <c r="D507" s="320" t="s">
        <v>1208</v>
      </c>
      <c r="E507" s="643"/>
      <c r="F507" s="223">
        <v>162420</v>
      </c>
      <c r="G507" s="3">
        <f>0+'[2]táj.2'!G507</f>
        <v>0</v>
      </c>
      <c r="H507" s="3">
        <f>0+'[2]táj.2'!H507</f>
        <v>0</v>
      </c>
      <c r="I507" s="3">
        <f>0+'[2]táj.2'!I507</f>
        <v>0</v>
      </c>
      <c r="J507" s="3">
        <f>0+'[2]táj.2'!J507</f>
        <v>0</v>
      </c>
      <c r="K507" s="3">
        <f>0+'[2]táj.2'!K507</f>
        <v>0</v>
      </c>
      <c r="L507" s="3">
        <f>5000+'[2]táj.2'!L507</f>
        <v>5000</v>
      </c>
      <c r="M507" s="3">
        <f>0+'[2]táj.2'!M507</f>
        <v>0</v>
      </c>
      <c r="N507" s="3">
        <f>0+'[2]táj.2'!N507</f>
        <v>0</v>
      </c>
      <c r="O507" s="3">
        <f>0+'[2]táj.2'!O507</f>
        <v>0</v>
      </c>
      <c r="P507" s="3">
        <f>0+'[2]táj.2'!P507</f>
        <v>0</v>
      </c>
      <c r="Q507" s="7">
        <f t="shared" si="30"/>
        <v>5000</v>
      </c>
    </row>
    <row r="508" spans="1:17" ht="25.5">
      <c r="A508" s="198"/>
      <c r="B508" s="348"/>
      <c r="C508" s="661" t="s">
        <v>985</v>
      </c>
      <c r="D508" s="823" t="s">
        <v>1209</v>
      </c>
      <c r="E508" s="643"/>
      <c r="F508" s="223">
        <v>162425</v>
      </c>
      <c r="G508" s="3">
        <f>0+'[2]táj.2'!G508</f>
        <v>0</v>
      </c>
      <c r="H508" s="3">
        <f>0+'[2]táj.2'!H508</f>
        <v>0</v>
      </c>
      <c r="I508" s="3">
        <f>0+'[2]táj.2'!I508</f>
        <v>0</v>
      </c>
      <c r="J508" s="3">
        <f>0+'[2]táj.2'!J508</f>
        <v>0</v>
      </c>
      <c r="K508" s="3">
        <f>0+'[2]táj.2'!K508</f>
        <v>0</v>
      </c>
      <c r="L508" s="3">
        <f>12000+'[2]táj.2'!L508</f>
        <v>12000</v>
      </c>
      <c r="M508" s="3">
        <f>0+'[2]táj.2'!M508</f>
        <v>0</v>
      </c>
      <c r="N508" s="3">
        <f>0+'[2]táj.2'!N508</f>
        <v>0</v>
      </c>
      <c r="O508" s="3">
        <f>0+'[2]táj.2'!O508</f>
        <v>0</v>
      </c>
      <c r="P508" s="3">
        <f>0+'[2]táj.2'!P508</f>
        <v>0</v>
      </c>
      <c r="Q508" s="7">
        <f t="shared" si="30"/>
        <v>12000</v>
      </c>
    </row>
    <row r="509" spans="1:17" ht="12">
      <c r="A509" s="198"/>
      <c r="B509" s="348"/>
      <c r="C509" s="661" t="s">
        <v>987</v>
      </c>
      <c r="D509" s="326" t="s">
        <v>1210</v>
      </c>
      <c r="E509" s="643"/>
      <c r="F509" s="223">
        <v>162426</v>
      </c>
      <c r="G509" s="3">
        <f>0+'[2]táj.2'!G509</f>
        <v>0</v>
      </c>
      <c r="H509" s="3">
        <f>0+'[2]táj.2'!H509</f>
        <v>0</v>
      </c>
      <c r="I509" s="3">
        <f>0+'[2]táj.2'!I509</f>
        <v>0</v>
      </c>
      <c r="J509" s="3">
        <f>0+'[2]táj.2'!J509</f>
        <v>0</v>
      </c>
      <c r="K509" s="3">
        <f>0+'[2]táj.2'!K509</f>
        <v>0</v>
      </c>
      <c r="L509" s="3">
        <f>2000+'[2]táj.2'!L509</f>
        <v>2000</v>
      </c>
      <c r="M509" s="3">
        <f>0+'[2]táj.2'!M509</f>
        <v>0</v>
      </c>
      <c r="N509" s="3">
        <f>0+'[2]táj.2'!N509</f>
        <v>0</v>
      </c>
      <c r="O509" s="3">
        <f>0+'[2]táj.2'!O509</f>
        <v>0</v>
      </c>
      <c r="P509" s="3">
        <f>0+'[2]táj.2'!P509</f>
        <v>0</v>
      </c>
      <c r="Q509" s="7">
        <f t="shared" si="30"/>
        <v>2000</v>
      </c>
    </row>
    <row r="510" spans="1:17" ht="12">
      <c r="A510" s="198"/>
      <c r="B510" s="348"/>
      <c r="C510" s="661" t="s">
        <v>989</v>
      </c>
      <c r="D510" s="326" t="s">
        <v>1211</v>
      </c>
      <c r="E510" s="643"/>
      <c r="F510" s="223">
        <v>162966</v>
      </c>
      <c r="G510" s="3">
        <f>0+'[2]táj.2'!G510</f>
        <v>0</v>
      </c>
      <c r="H510" s="3">
        <f>0+'[2]táj.2'!H510</f>
        <v>0</v>
      </c>
      <c r="I510" s="3">
        <f>0+'[2]táj.2'!I510</f>
        <v>0</v>
      </c>
      <c r="J510" s="3">
        <f>0+'[2]táj.2'!J510</f>
        <v>0</v>
      </c>
      <c r="K510" s="3">
        <f>0+'[2]táj.2'!K510</f>
        <v>0</v>
      </c>
      <c r="L510" s="3">
        <f>1000+'[2]táj.2'!L510</f>
        <v>1000</v>
      </c>
      <c r="M510" s="3">
        <f>0+'[2]táj.2'!M510</f>
        <v>0</v>
      </c>
      <c r="N510" s="3">
        <f>0+'[2]táj.2'!N510</f>
        <v>0</v>
      </c>
      <c r="O510" s="3">
        <f>0+'[2]táj.2'!O510</f>
        <v>0</v>
      </c>
      <c r="P510" s="3">
        <f>0+'[2]táj.2'!P510</f>
        <v>0</v>
      </c>
      <c r="Q510" s="7">
        <f t="shared" si="30"/>
        <v>1000</v>
      </c>
    </row>
    <row r="511" spans="1:17" ht="24">
      <c r="A511" s="198"/>
      <c r="B511" s="348"/>
      <c r="C511" s="661" t="s">
        <v>991</v>
      </c>
      <c r="D511" s="326" t="s">
        <v>1212</v>
      </c>
      <c r="E511" s="643"/>
      <c r="F511" s="223">
        <v>162427</v>
      </c>
      <c r="G511" s="3">
        <f>0+'[2]táj.2'!G511</f>
        <v>0</v>
      </c>
      <c r="H511" s="3">
        <f>0+'[2]táj.2'!H511</f>
        <v>0</v>
      </c>
      <c r="I511" s="3">
        <f>0+'[2]táj.2'!I511</f>
        <v>0</v>
      </c>
      <c r="J511" s="3">
        <f>0+'[2]táj.2'!J511</f>
        <v>0</v>
      </c>
      <c r="K511" s="3">
        <f>0+'[2]táj.2'!K511</f>
        <v>0</v>
      </c>
      <c r="L511" s="3">
        <f>3000+'[2]táj.2'!L511</f>
        <v>3000</v>
      </c>
      <c r="M511" s="3">
        <f>0+'[2]táj.2'!M511</f>
        <v>0</v>
      </c>
      <c r="N511" s="3">
        <f>0+'[2]táj.2'!N511</f>
        <v>0</v>
      </c>
      <c r="O511" s="3">
        <f>0+'[2]táj.2'!O511</f>
        <v>0</v>
      </c>
      <c r="P511" s="3">
        <f>0+'[2]táj.2'!P511</f>
        <v>0</v>
      </c>
      <c r="Q511" s="7">
        <f t="shared" si="30"/>
        <v>3000</v>
      </c>
    </row>
    <row r="512" spans="1:17" ht="12">
      <c r="A512" s="198"/>
      <c r="B512" s="348"/>
      <c r="C512" s="661" t="s">
        <v>993</v>
      </c>
      <c r="D512" s="211" t="s">
        <v>1213</v>
      </c>
      <c r="E512" s="643"/>
      <c r="F512" s="223">
        <v>162428</v>
      </c>
      <c r="G512" s="3">
        <f>0+'[2]táj.2'!G512</f>
        <v>0</v>
      </c>
      <c r="H512" s="3">
        <f>0+'[2]táj.2'!H512</f>
        <v>0</v>
      </c>
      <c r="I512" s="3">
        <f>0+'[2]táj.2'!I512</f>
        <v>0</v>
      </c>
      <c r="J512" s="3">
        <f>0+'[2]táj.2'!J512</f>
        <v>0</v>
      </c>
      <c r="K512" s="3">
        <f>0+'[2]táj.2'!K512</f>
        <v>0</v>
      </c>
      <c r="L512" s="3">
        <f>18000+'[2]táj.2'!L512</f>
        <v>18000</v>
      </c>
      <c r="M512" s="3">
        <f>0+'[2]táj.2'!M512</f>
        <v>0</v>
      </c>
      <c r="N512" s="3">
        <f>0+'[2]táj.2'!N512</f>
        <v>0</v>
      </c>
      <c r="O512" s="3">
        <f>0+'[2]táj.2'!O512</f>
        <v>0</v>
      </c>
      <c r="P512" s="3">
        <f>0+'[2]táj.2'!P512</f>
        <v>0</v>
      </c>
      <c r="Q512" s="7">
        <f t="shared" si="30"/>
        <v>18000</v>
      </c>
    </row>
    <row r="513" spans="1:17" ht="12">
      <c r="A513" s="198"/>
      <c r="B513" s="348"/>
      <c r="C513" s="661" t="s">
        <v>995</v>
      </c>
      <c r="D513" s="211" t="s">
        <v>1214</v>
      </c>
      <c r="E513" s="643"/>
      <c r="F513" s="223">
        <v>162429</v>
      </c>
      <c r="G513" s="3">
        <f>0+'[2]táj.2'!G513</f>
        <v>0</v>
      </c>
      <c r="H513" s="3">
        <f>0+'[2]táj.2'!H513</f>
        <v>0</v>
      </c>
      <c r="I513" s="3">
        <f>0+'[2]táj.2'!I513</f>
        <v>0</v>
      </c>
      <c r="J513" s="3">
        <f>0+'[2]táj.2'!J513</f>
        <v>0</v>
      </c>
      <c r="K513" s="3">
        <f>0+'[2]táj.2'!K513</f>
        <v>0</v>
      </c>
      <c r="L513" s="3">
        <f>12000+'[2]táj.2'!L513</f>
        <v>12000</v>
      </c>
      <c r="M513" s="3">
        <f>0+'[2]táj.2'!M513</f>
        <v>0</v>
      </c>
      <c r="N513" s="3">
        <f>0+'[2]táj.2'!N513</f>
        <v>0</v>
      </c>
      <c r="O513" s="3">
        <f>0+'[2]táj.2'!O513</f>
        <v>0</v>
      </c>
      <c r="P513" s="3">
        <f>0+'[2]táj.2'!P513</f>
        <v>0</v>
      </c>
      <c r="Q513" s="7">
        <f t="shared" si="30"/>
        <v>12000</v>
      </c>
    </row>
    <row r="514" spans="1:17" ht="12.75">
      <c r="A514" s="198"/>
      <c r="B514" s="348"/>
      <c r="C514" s="661" t="s">
        <v>997</v>
      </c>
      <c r="D514" s="823" t="s">
        <v>1215</v>
      </c>
      <c r="E514" s="643"/>
      <c r="F514" s="223">
        <v>162430</v>
      </c>
      <c r="G514" s="3">
        <f>0+'[2]táj.2'!G514</f>
        <v>0</v>
      </c>
      <c r="H514" s="3">
        <f>0+'[2]táj.2'!H514</f>
        <v>0</v>
      </c>
      <c r="I514" s="3">
        <f>0+'[2]táj.2'!I514</f>
        <v>0</v>
      </c>
      <c r="J514" s="3">
        <f>0+'[2]táj.2'!J514</f>
        <v>0</v>
      </c>
      <c r="K514" s="3">
        <f>0+'[2]táj.2'!K514</f>
        <v>0</v>
      </c>
      <c r="L514" s="3">
        <f>1000+'[2]táj.2'!L514</f>
        <v>1000</v>
      </c>
      <c r="M514" s="3">
        <f>0+'[2]táj.2'!M514</f>
        <v>0</v>
      </c>
      <c r="N514" s="3">
        <f>0+'[2]táj.2'!N514</f>
        <v>0</v>
      </c>
      <c r="O514" s="3">
        <f>0+'[2]táj.2'!O514</f>
        <v>0</v>
      </c>
      <c r="P514" s="3">
        <f>0+'[2]táj.2'!P514</f>
        <v>0</v>
      </c>
      <c r="Q514" s="7">
        <f t="shared" si="30"/>
        <v>1000</v>
      </c>
    </row>
    <row r="515" spans="1:17" ht="12.75">
      <c r="A515" s="198"/>
      <c r="B515" s="348"/>
      <c r="C515" s="661" t="s">
        <v>999</v>
      </c>
      <c r="D515" s="823" t="s">
        <v>1489</v>
      </c>
      <c r="E515" s="643"/>
      <c r="F515" s="223">
        <v>162431</v>
      </c>
      <c r="G515" s="3">
        <f>0+'[2]táj.2'!G515</f>
        <v>0</v>
      </c>
      <c r="H515" s="3">
        <f>0+'[2]táj.2'!H515</f>
        <v>0</v>
      </c>
      <c r="I515" s="3">
        <f>0+'[2]táj.2'!I515</f>
        <v>0</v>
      </c>
      <c r="J515" s="3">
        <f>0+'[2]táj.2'!J515</f>
        <v>0</v>
      </c>
      <c r="K515" s="3">
        <f>0+'[2]táj.2'!K515</f>
        <v>0</v>
      </c>
      <c r="L515" s="3">
        <f>4000+'[2]táj.2'!L515</f>
        <v>4000</v>
      </c>
      <c r="M515" s="3">
        <f>0+'[2]táj.2'!M515</f>
        <v>0</v>
      </c>
      <c r="N515" s="3">
        <f>0+'[2]táj.2'!N515</f>
        <v>0</v>
      </c>
      <c r="O515" s="3">
        <f>0+'[2]táj.2'!O515</f>
        <v>0</v>
      </c>
      <c r="P515" s="3">
        <f>0+'[2]táj.2'!P515</f>
        <v>0</v>
      </c>
      <c r="Q515" s="7">
        <f t="shared" si="30"/>
        <v>4000</v>
      </c>
    </row>
    <row r="516" spans="1:17" ht="38.25">
      <c r="A516" s="198"/>
      <c r="B516" s="348"/>
      <c r="C516" s="661" t="s">
        <v>1000</v>
      </c>
      <c r="D516" s="267" t="s">
        <v>982</v>
      </c>
      <c r="E516" s="643"/>
      <c r="F516" s="223">
        <v>152417</v>
      </c>
      <c r="G516" s="3">
        <f>0+'[2]táj.2'!G516</f>
        <v>0</v>
      </c>
      <c r="H516" s="3">
        <f>0+'[2]táj.2'!H516</f>
        <v>0</v>
      </c>
      <c r="I516" s="3">
        <f>0+'[2]táj.2'!I516</f>
        <v>0</v>
      </c>
      <c r="J516" s="3">
        <f>0+'[2]táj.2'!J516</f>
        <v>0</v>
      </c>
      <c r="K516" s="3">
        <f>0+'[2]táj.2'!K516</f>
        <v>0</v>
      </c>
      <c r="L516" s="3">
        <f>921+'[2]táj.2'!L516</f>
        <v>921</v>
      </c>
      <c r="M516" s="3">
        <f>0+'[2]táj.2'!M516</f>
        <v>0</v>
      </c>
      <c r="N516" s="3">
        <f>0+'[2]táj.2'!N516</f>
        <v>0</v>
      </c>
      <c r="O516" s="3">
        <f>0+'[2]táj.2'!O516</f>
        <v>0</v>
      </c>
      <c r="P516" s="3">
        <f>0+'[2]táj.2'!P516</f>
        <v>0</v>
      </c>
      <c r="Q516" s="7">
        <f t="shared" si="30"/>
        <v>921</v>
      </c>
    </row>
    <row r="517" spans="1:17" ht="12.75">
      <c r="A517" s="198"/>
      <c r="B517" s="348"/>
      <c r="C517" s="661" t="s">
        <v>1002</v>
      </c>
      <c r="D517" s="320" t="s">
        <v>984</v>
      </c>
      <c r="E517" s="325"/>
      <c r="F517" s="223">
        <v>152418</v>
      </c>
      <c r="G517" s="3">
        <f>0+'[2]táj.2'!G517</f>
        <v>0</v>
      </c>
      <c r="H517" s="3">
        <f>0+'[2]táj.2'!H517</f>
        <v>0</v>
      </c>
      <c r="I517" s="3">
        <f>0+'[2]táj.2'!I517</f>
        <v>0</v>
      </c>
      <c r="J517" s="3">
        <f>0+'[2]táj.2'!J517</f>
        <v>0</v>
      </c>
      <c r="K517" s="3">
        <f>0+'[2]táj.2'!K517</f>
        <v>0</v>
      </c>
      <c r="L517" s="3">
        <f>1361+'[2]táj.2'!L517</f>
        <v>1361</v>
      </c>
      <c r="M517" s="3">
        <f>0+'[2]táj.2'!M517</f>
        <v>0</v>
      </c>
      <c r="N517" s="3">
        <f>0+'[2]táj.2'!N517</f>
        <v>0</v>
      </c>
      <c r="O517" s="3">
        <f>0+'[2]táj.2'!O517</f>
        <v>0</v>
      </c>
      <c r="P517" s="3">
        <f>0+'[2]táj.2'!P517</f>
        <v>0</v>
      </c>
      <c r="Q517" s="7">
        <f t="shared" si="30"/>
        <v>1361</v>
      </c>
    </row>
    <row r="518" spans="1:17" ht="25.5">
      <c r="A518" s="198"/>
      <c r="B518" s="348"/>
      <c r="C518" s="661" t="s">
        <v>1004</v>
      </c>
      <c r="D518" s="320" t="s">
        <v>990</v>
      </c>
      <c r="E518" s="643"/>
      <c r="F518" s="223">
        <v>152413</v>
      </c>
      <c r="G518" s="3">
        <f>0+'[2]táj.2'!G518</f>
        <v>0</v>
      </c>
      <c r="H518" s="3">
        <f>0+'[2]táj.2'!H518</f>
        <v>0</v>
      </c>
      <c r="I518" s="3">
        <f>0+'[2]táj.2'!I518</f>
        <v>0</v>
      </c>
      <c r="J518" s="3">
        <f>0+'[2]táj.2'!J518</f>
        <v>0</v>
      </c>
      <c r="K518" s="3">
        <f>0+'[2]táj.2'!K518</f>
        <v>0</v>
      </c>
      <c r="L518" s="3">
        <f>7500+'[2]táj.2'!L518</f>
        <v>7500</v>
      </c>
      <c r="M518" s="3">
        <f>0+'[2]táj.2'!M518</f>
        <v>0</v>
      </c>
      <c r="N518" s="3">
        <f>0+'[2]táj.2'!N518</f>
        <v>0</v>
      </c>
      <c r="O518" s="3">
        <f>0+'[2]táj.2'!O518</f>
        <v>0</v>
      </c>
      <c r="P518" s="3">
        <f>0+'[2]táj.2'!P518</f>
        <v>0</v>
      </c>
      <c r="Q518" s="7">
        <f t="shared" si="30"/>
        <v>7500</v>
      </c>
    </row>
    <row r="519" spans="1:17" ht="12.75">
      <c r="A519" s="198"/>
      <c r="B519" s="348"/>
      <c r="C519" s="661" t="s">
        <v>1006</v>
      </c>
      <c r="D519" s="320" t="s">
        <v>1007</v>
      </c>
      <c r="E519" s="643"/>
      <c r="F519" s="223">
        <v>155486</v>
      </c>
      <c r="G519" s="3">
        <f>0+'[2]táj.2'!G519</f>
        <v>0</v>
      </c>
      <c r="H519" s="3">
        <f>0+'[2]táj.2'!H519</f>
        <v>0</v>
      </c>
      <c r="I519" s="3">
        <f>0+'[2]táj.2'!I519</f>
        <v>0</v>
      </c>
      <c r="J519" s="3">
        <f>0+'[2]táj.2'!J519</f>
        <v>0</v>
      </c>
      <c r="K519" s="3">
        <f>0+'[2]táj.2'!K519</f>
        <v>0</v>
      </c>
      <c r="L519" s="3">
        <f>0+'[2]táj.2'!L519</f>
        <v>0</v>
      </c>
      <c r="M519" s="3">
        <f>9500+'[2]táj.2'!M519</f>
        <v>9500</v>
      </c>
      <c r="N519" s="3">
        <f>0+'[2]táj.2'!N519</f>
        <v>0</v>
      </c>
      <c r="O519" s="3">
        <f>0+'[2]táj.2'!O519</f>
        <v>0</v>
      </c>
      <c r="P519" s="3">
        <f>0+'[2]táj.2'!P519</f>
        <v>0</v>
      </c>
      <c r="Q519" s="7">
        <f t="shared" si="30"/>
        <v>9500</v>
      </c>
    </row>
    <row r="520" spans="1:17" ht="12.75">
      <c r="A520" s="198"/>
      <c r="B520" s="348"/>
      <c r="C520" s="661" t="s">
        <v>1008</v>
      </c>
      <c r="D520" s="320" t="s">
        <v>1009</v>
      </c>
      <c r="E520" s="643"/>
      <c r="F520" s="223">
        <v>155487</v>
      </c>
      <c r="G520" s="3">
        <f>0+'[2]táj.2'!G520</f>
        <v>0</v>
      </c>
      <c r="H520" s="3">
        <f>0+'[2]táj.2'!H520</f>
        <v>0</v>
      </c>
      <c r="I520" s="3">
        <f>0+'[2]táj.2'!I520</f>
        <v>0</v>
      </c>
      <c r="J520" s="3">
        <f>0+'[2]táj.2'!J520</f>
        <v>0</v>
      </c>
      <c r="K520" s="3">
        <f>0+'[2]táj.2'!K520</f>
        <v>0</v>
      </c>
      <c r="L520" s="3">
        <f>0+'[2]táj.2'!L520</f>
        <v>0</v>
      </c>
      <c r="M520" s="3">
        <f>9500+'[2]táj.2'!M520</f>
        <v>9500</v>
      </c>
      <c r="N520" s="3">
        <f>0+'[2]táj.2'!N520</f>
        <v>0</v>
      </c>
      <c r="O520" s="3">
        <f>0+'[2]táj.2'!O520</f>
        <v>0</v>
      </c>
      <c r="P520" s="3">
        <f>0+'[2]táj.2'!P520</f>
        <v>0</v>
      </c>
      <c r="Q520" s="7">
        <f t="shared" si="30"/>
        <v>9500</v>
      </c>
    </row>
    <row r="521" spans="1:17" ht="12.75">
      <c r="A521" s="198"/>
      <c r="B521" s="348"/>
      <c r="C521" s="661" t="s">
        <v>1010</v>
      </c>
      <c r="D521" s="320" t="s">
        <v>1011</v>
      </c>
      <c r="E521" s="643"/>
      <c r="F521" s="223">
        <v>155488</v>
      </c>
      <c r="G521" s="3">
        <f>0+'[2]táj.2'!G521</f>
        <v>0</v>
      </c>
      <c r="H521" s="3">
        <f>0+'[2]táj.2'!H521</f>
        <v>0</v>
      </c>
      <c r="I521" s="3">
        <f>0+'[2]táj.2'!I521</f>
        <v>0</v>
      </c>
      <c r="J521" s="3">
        <f>0+'[2]táj.2'!J521</f>
        <v>0</v>
      </c>
      <c r="K521" s="3">
        <f>0+'[2]táj.2'!K521</f>
        <v>0</v>
      </c>
      <c r="L521" s="3">
        <f>0+'[2]táj.2'!L521</f>
        <v>0</v>
      </c>
      <c r="M521" s="3">
        <f>0+'[2]táj.2'!M521</f>
        <v>0</v>
      </c>
      <c r="N521" s="3">
        <f>2000+'[2]táj.2'!N521</f>
        <v>2000</v>
      </c>
      <c r="O521" s="3">
        <f>0+'[2]táj.2'!O521</f>
        <v>0</v>
      </c>
      <c r="P521" s="3">
        <f>0+'[2]táj.2'!P521</f>
        <v>0</v>
      </c>
      <c r="Q521" s="7">
        <f t="shared" si="30"/>
        <v>2000</v>
      </c>
    </row>
    <row r="522" spans="1:17" ht="12.75">
      <c r="A522" s="198"/>
      <c r="B522" s="348"/>
      <c r="C522" s="661" t="s">
        <v>1012</v>
      </c>
      <c r="D522" s="823" t="s">
        <v>1013</v>
      </c>
      <c r="E522" s="223"/>
      <c r="F522" s="223">
        <v>152491</v>
      </c>
      <c r="G522" s="3">
        <f>0+'[2]táj.2'!G522</f>
        <v>0</v>
      </c>
      <c r="H522" s="3">
        <f>0+'[2]táj.2'!H522</f>
        <v>0</v>
      </c>
      <c r="I522" s="3">
        <f>0+'[2]táj.2'!I522</f>
        <v>0</v>
      </c>
      <c r="J522" s="3">
        <f>0+'[2]táj.2'!J522</f>
        <v>0</v>
      </c>
      <c r="K522" s="3">
        <f>0+'[2]táj.2'!K522</f>
        <v>0</v>
      </c>
      <c r="L522" s="3">
        <f>0+'[2]táj.2'!L522</f>
        <v>0</v>
      </c>
      <c r="M522" s="3">
        <f>0+'[2]táj.2'!M522</f>
        <v>0</v>
      </c>
      <c r="N522" s="3">
        <f>0+'[2]táj.2'!N522</f>
        <v>0</v>
      </c>
      <c r="O522" s="3">
        <f>0+'[2]táj.2'!O522</f>
        <v>0</v>
      </c>
      <c r="P522" s="3">
        <f>0+'[2]táj.2'!P522</f>
        <v>0</v>
      </c>
      <c r="Q522" s="7">
        <f t="shared" si="30"/>
        <v>0</v>
      </c>
    </row>
    <row r="523" spans="1:17" ht="12.75">
      <c r="A523" s="198"/>
      <c r="B523" s="348"/>
      <c r="C523" s="661" t="s">
        <v>1014</v>
      </c>
      <c r="D523" s="320" t="s">
        <v>1017</v>
      </c>
      <c r="E523" s="643"/>
      <c r="F523" s="223">
        <v>152492</v>
      </c>
      <c r="G523" s="3">
        <f>0+'[2]táj.2'!G523</f>
        <v>0</v>
      </c>
      <c r="H523" s="3">
        <f>0+'[2]táj.2'!H523</f>
        <v>0</v>
      </c>
      <c r="I523" s="3">
        <f>0+'[2]táj.2'!I523</f>
        <v>0</v>
      </c>
      <c r="J523" s="3">
        <f>0+'[2]táj.2'!J523</f>
        <v>0</v>
      </c>
      <c r="K523" s="3">
        <f>0+'[2]táj.2'!K523</f>
        <v>0</v>
      </c>
      <c r="L523" s="3">
        <f>7000+'[2]táj.2'!L523</f>
        <v>7000</v>
      </c>
      <c r="M523" s="3">
        <f>0+'[2]táj.2'!M523</f>
        <v>0</v>
      </c>
      <c r="N523" s="3">
        <f>0+'[2]táj.2'!N523</f>
        <v>0</v>
      </c>
      <c r="O523" s="3">
        <f>0+'[2]táj.2'!O523</f>
        <v>0</v>
      </c>
      <c r="P523" s="3">
        <f>0+'[2]táj.2'!P523</f>
        <v>0</v>
      </c>
      <c r="Q523" s="7">
        <f t="shared" si="30"/>
        <v>7000</v>
      </c>
    </row>
    <row r="524" spans="1:17" ht="12.75">
      <c r="A524" s="198"/>
      <c r="B524" s="348"/>
      <c r="C524" s="661" t="s">
        <v>1016</v>
      </c>
      <c r="D524" s="498" t="s">
        <v>1026</v>
      </c>
      <c r="E524" s="643"/>
      <c r="F524" s="223">
        <v>152493</v>
      </c>
      <c r="G524" s="3">
        <f>0+'[2]táj.2'!G524</f>
        <v>0</v>
      </c>
      <c r="H524" s="3">
        <f>0+'[2]táj.2'!H524</f>
        <v>0</v>
      </c>
      <c r="I524" s="3">
        <f>0+'[2]táj.2'!I524</f>
        <v>0</v>
      </c>
      <c r="J524" s="3">
        <f>0+'[2]táj.2'!J524</f>
        <v>0</v>
      </c>
      <c r="K524" s="3">
        <f>0+'[2]táj.2'!K524</f>
        <v>0</v>
      </c>
      <c r="L524" s="3">
        <f>2000+'[2]táj.2'!L524</f>
        <v>2000</v>
      </c>
      <c r="M524" s="3">
        <f>0+'[2]táj.2'!M524</f>
        <v>0</v>
      </c>
      <c r="N524" s="3">
        <f>0+'[2]táj.2'!N524</f>
        <v>0</v>
      </c>
      <c r="O524" s="3">
        <f>0+'[2]táj.2'!O524</f>
        <v>0</v>
      </c>
      <c r="P524" s="3">
        <f>0+'[2]táj.2'!P524</f>
        <v>0</v>
      </c>
      <c r="Q524" s="7">
        <f t="shared" si="30"/>
        <v>2000</v>
      </c>
    </row>
    <row r="525" spans="1:17" ht="12.75">
      <c r="A525" s="198"/>
      <c r="B525" s="348"/>
      <c r="C525" s="661" t="s">
        <v>1018</v>
      </c>
      <c r="D525" s="823" t="s">
        <v>1501</v>
      </c>
      <c r="E525" s="643"/>
      <c r="F525" s="223">
        <v>155493</v>
      </c>
      <c r="G525" s="3">
        <f>0+'[2]táj.2'!G525</f>
        <v>0</v>
      </c>
      <c r="H525" s="3">
        <f>0+'[2]táj.2'!H525</f>
        <v>0</v>
      </c>
      <c r="I525" s="3">
        <f>0+'[2]táj.2'!I525</f>
        <v>0</v>
      </c>
      <c r="J525" s="3">
        <f>0+'[2]táj.2'!J525</f>
        <v>0</v>
      </c>
      <c r="K525" s="3">
        <f>0+'[2]táj.2'!K525</f>
        <v>0</v>
      </c>
      <c r="L525" s="3">
        <f>0+'[2]táj.2'!L525</f>
        <v>0</v>
      </c>
      <c r="M525" s="3">
        <f>6000+'[2]táj.2'!M525</f>
        <v>6000</v>
      </c>
      <c r="N525" s="3">
        <f>0+'[2]táj.2'!N525</f>
        <v>0</v>
      </c>
      <c r="O525" s="3">
        <f>0+'[2]táj.2'!O525</f>
        <v>0</v>
      </c>
      <c r="P525" s="3">
        <f>0+'[2]táj.2'!P525</f>
        <v>0</v>
      </c>
      <c r="Q525" s="7">
        <f t="shared" si="30"/>
        <v>6000</v>
      </c>
    </row>
    <row r="526" spans="1:17" ht="12.75">
      <c r="A526" s="198"/>
      <c r="B526" s="348"/>
      <c r="C526" s="661" t="s">
        <v>1019</v>
      </c>
      <c r="D526" s="320" t="s">
        <v>1035</v>
      </c>
      <c r="E526" s="643"/>
      <c r="F526" s="223">
        <v>152494</v>
      </c>
      <c r="G526" s="3">
        <f>0+'[2]táj.2'!G526</f>
        <v>0</v>
      </c>
      <c r="H526" s="3">
        <f>0+'[2]táj.2'!H526</f>
        <v>0</v>
      </c>
      <c r="I526" s="3">
        <f>0+'[2]táj.2'!I526</f>
        <v>0</v>
      </c>
      <c r="J526" s="3">
        <f>0+'[2]táj.2'!J526</f>
        <v>0</v>
      </c>
      <c r="K526" s="3">
        <f>0+'[2]táj.2'!K526</f>
        <v>0</v>
      </c>
      <c r="L526" s="3">
        <f>2000+'[2]táj.2'!L526</f>
        <v>2000</v>
      </c>
      <c r="M526" s="3">
        <f>0+'[2]táj.2'!M526</f>
        <v>0</v>
      </c>
      <c r="N526" s="3">
        <f>0+'[2]táj.2'!N526</f>
        <v>0</v>
      </c>
      <c r="O526" s="3">
        <f>0+'[2]táj.2'!O526</f>
        <v>0</v>
      </c>
      <c r="P526" s="3">
        <f>0+'[2]táj.2'!P526</f>
        <v>0</v>
      </c>
      <c r="Q526" s="7">
        <f t="shared" si="30"/>
        <v>2000</v>
      </c>
    </row>
    <row r="527" spans="1:17" ht="12.75">
      <c r="A527" s="198"/>
      <c r="B527" s="348"/>
      <c r="C527" s="661" t="s">
        <v>1021</v>
      </c>
      <c r="D527" s="823" t="s">
        <v>1041</v>
      </c>
      <c r="E527" s="643"/>
      <c r="F527" s="223">
        <v>152497</v>
      </c>
      <c r="G527" s="3">
        <f>0+'[2]táj.2'!G527</f>
        <v>0</v>
      </c>
      <c r="H527" s="3">
        <f>0+'[2]táj.2'!H527</f>
        <v>0</v>
      </c>
      <c r="I527" s="3">
        <f>0+'[2]táj.2'!I527</f>
        <v>0</v>
      </c>
      <c r="J527" s="3">
        <f>0+'[2]táj.2'!J527</f>
        <v>0</v>
      </c>
      <c r="K527" s="3">
        <f>0+'[2]táj.2'!K527</f>
        <v>0</v>
      </c>
      <c r="L527" s="3">
        <f>2000+'[2]táj.2'!L527</f>
        <v>2000</v>
      </c>
      <c r="M527" s="3">
        <f>0+'[2]táj.2'!M527</f>
        <v>0</v>
      </c>
      <c r="N527" s="3">
        <f>0+'[2]táj.2'!N527</f>
        <v>0</v>
      </c>
      <c r="O527" s="3">
        <f>0+'[2]táj.2'!O527</f>
        <v>0</v>
      </c>
      <c r="P527" s="3">
        <f>0+'[2]táj.2'!P527</f>
        <v>0</v>
      </c>
      <c r="Q527" s="7">
        <f t="shared" si="30"/>
        <v>2000</v>
      </c>
    </row>
    <row r="528" spans="1:17" ht="12.75">
      <c r="A528" s="198"/>
      <c r="B528" s="348"/>
      <c r="C528" s="661" t="s">
        <v>1023</v>
      </c>
      <c r="D528" s="320" t="s">
        <v>1043</v>
      </c>
      <c r="E528" s="643"/>
      <c r="F528" s="223">
        <v>152498</v>
      </c>
      <c r="G528" s="3">
        <f>0+'[2]táj.2'!G528</f>
        <v>0</v>
      </c>
      <c r="H528" s="3">
        <f>0+'[2]táj.2'!H528</f>
        <v>0</v>
      </c>
      <c r="I528" s="3">
        <f>0+'[2]táj.2'!I528</f>
        <v>0</v>
      </c>
      <c r="J528" s="3">
        <f>0+'[2]táj.2'!J528</f>
        <v>0</v>
      </c>
      <c r="K528" s="3">
        <f>0+'[2]táj.2'!K528</f>
        <v>0</v>
      </c>
      <c r="L528" s="3">
        <f>2000+'[2]táj.2'!L528</f>
        <v>2000</v>
      </c>
      <c r="M528" s="3">
        <f>0+'[2]táj.2'!M528</f>
        <v>0</v>
      </c>
      <c r="N528" s="3">
        <f>0+'[2]táj.2'!N528</f>
        <v>0</v>
      </c>
      <c r="O528" s="3">
        <f>0+'[2]táj.2'!O528</f>
        <v>0</v>
      </c>
      <c r="P528" s="3">
        <f>0+'[2]táj.2'!P528</f>
        <v>0</v>
      </c>
      <c r="Q528" s="7">
        <f t="shared" si="30"/>
        <v>2000</v>
      </c>
    </row>
    <row r="529" spans="1:17" ht="12.75">
      <c r="A529" s="198"/>
      <c r="B529" s="348"/>
      <c r="C529" s="661" t="s">
        <v>1025</v>
      </c>
      <c r="D529" s="320" t="s">
        <v>1045</v>
      </c>
      <c r="E529" s="643"/>
      <c r="F529" s="223">
        <v>155495</v>
      </c>
      <c r="G529" s="3">
        <f>0+'[2]táj.2'!G529</f>
        <v>0</v>
      </c>
      <c r="H529" s="3">
        <f>0+'[2]táj.2'!H529</f>
        <v>0</v>
      </c>
      <c r="I529" s="3">
        <f>0+'[2]táj.2'!I529</f>
        <v>0</v>
      </c>
      <c r="J529" s="3">
        <f>0+'[2]táj.2'!J529</f>
        <v>0</v>
      </c>
      <c r="K529" s="3">
        <f>0+'[2]táj.2'!K529</f>
        <v>0</v>
      </c>
      <c r="L529" s="3">
        <f>0+'[2]táj.2'!L529</f>
        <v>0</v>
      </c>
      <c r="M529" s="3">
        <f>500+'[2]táj.2'!M529</f>
        <v>500</v>
      </c>
      <c r="N529" s="3">
        <f>0+'[2]táj.2'!N529</f>
        <v>0</v>
      </c>
      <c r="O529" s="3">
        <f>0+'[2]táj.2'!O529</f>
        <v>0</v>
      </c>
      <c r="P529" s="3">
        <f>0+'[2]táj.2'!P529</f>
        <v>0</v>
      </c>
      <c r="Q529" s="7">
        <f t="shared" si="30"/>
        <v>500</v>
      </c>
    </row>
    <row r="530" spans="1:17" ht="12.75">
      <c r="A530" s="198"/>
      <c r="B530" s="348"/>
      <c r="C530" s="661" t="s">
        <v>1027</v>
      </c>
      <c r="D530" s="823" t="s">
        <v>1051</v>
      </c>
      <c r="E530" s="643"/>
      <c r="F530" s="223">
        <v>152421</v>
      </c>
      <c r="G530" s="3">
        <f>0+'[2]táj.2'!G530</f>
        <v>0</v>
      </c>
      <c r="H530" s="3">
        <f>0+'[2]táj.2'!H530</f>
        <v>0</v>
      </c>
      <c r="I530" s="3">
        <f>0+'[2]táj.2'!I530</f>
        <v>0</v>
      </c>
      <c r="J530" s="3">
        <f>0+'[2]táj.2'!J530</f>
        <v>0</v>
      </c>
      <c r="K530" s="3">
        <f>0+'[2]táj.2'!K530</f>
        <v>0</v>
      </c>
      <c r="L530" s="3">
        <f>2000+'[2]táj.2'!L530</f>
        <v>2000</v>
      </c>
      <c r="M530" s="3">
        <f>0+'[2]táj.2'!M530</f>
        <v>0</v>
      </c>
      <c r="N530" s="3">
        <f>0+'[2]táj.2'!N530</f>
        <v>0</v>
      </c>
      <c r="O530" s="3">
        <f>0+'[2]táj.2'!O530</f>
        <v>0</v>
      </c>
      <c r="P530" s="3">
        <f>0+'[2]táj.2'!P530</f>
        <v>0</v>
      </c>
      <c r="Q530" s="7">
        <f t="shared" si="30"/>
        <v>2000</v>
      </c>
    </row>
    <row r="531" spans="1:17" ht="12.75">
      <c r="A531" s="198"/>
      <c r="B531" s="348"/>
      <c r="C531" s="661" t="s">
        <v>1029</v>
      </c>
      <c r="D531" s="320" t="s">
        <v>1053</v>
      </c>
      <c r="E531" s="643"/>
      <c r="F531" s="223">
        <v>152422</v>
      </c>
      <c r="G531" s="3">
        <f>0+'[2]táj.2'!G531</f>
        <v>0</v>
      </c>
      <c r="H531" s="3">
        <f>0+'[2]táj.2'!H531</f>
        <v>0</v>
      </c>
      <c r="I531" s="3">
        <f>0+'[2]táj.2'!I531</f>
        <v>0</v>
      </c>
      <c r="J531" s="3">
        <f>0+'[2]táj.2'!J531</f>
        <v>0</v>
      </c>
      <c r="K531" s="3">
        <f>0+'[2]táj.2'!K531</f>
        <v>0</v>
      </c>
      <c r="L531" s="3">
        <f>3000+'[2]táj.2'!L531</f>
        <v>3000</v>
      </c>
      <c r="M531" s="3">
        <f>0+'[2]táj.2'!M531</f>
        <v>0</v>
      </c>
      <c r="N531" s="3">
        <f>0+'[2]táj.2'!N531</f>
        <v>0</v>
      </c>
      <c r="O531" s="3">
        <f>0+'[2]táj.2'!O531</f>
        <v>0</v>
      </c>
      <c r="P531" s="3">
        <f>0+'[2]táj.2'!P531</f>
        <v>0</v>
      </c>
      <c r="Q531" s="7">
        <f t="shared" si="30"/>
        <v>3000</v>
      </c>
    </row>
    <row r="532" spans="1:17" ht="12.75">
      <c r="A532" s="198"/>
      <c r="B532" s="348"/>
      <c r="C532" s="661" t="s">
        <v>1030</v>
      </c>
      <c r="D532" s="320" t="s">
        <v>1057</v>
      </c>
      <c r="E532" s="643"/>
      <c r="F532" s="223">
        <v>152423</v>
      </c>
      <c r="G532" s="3">
        <f>0+'[2]táj.2'!G532</f>
        <v>0</v>
      </c>
      <c r="H532" s="3">
        <f>0+'[2]táj.2'!H532</f>
        <v>0</v>
      </c>
      <c r="I532" s="3">
        <f>0+'[2]táj.2'!I532</f>
        <v>0</v>
      </c>
      <c r="J532" s="3">
        <f>0+'[2]táj.2'!J532</f>
        <v>0</v>
      </c>
      <c r="K532" s="3">
        <f>0+'[2]táj.2'!K532</f>
        <v>0</v>
      </c>
      <c r="L532" s="3">
        <f>8000+'[2]táj.2'!L532</f>
        <v>8000</v>
      </c>
      <c r="M532" s="3">
        <f>0+'[2]táj.2'!M532</f>
        <v>0</v>
      </c>
      <c r="N532" s="3">
        <f>0+'[2]táj.2'!N532</f>
        <v>0</v>
      </c>
      <c r="O532" s="3">
        <f>0+'[2]táj.2'!O532</f>
        <v>0</v>
      </c>
      <c r="P532" s="3">
        <f>0+'[2]táj.2'!P532</f>
        <v>0</v>
      </c>
      <c r="Q532" s="7">
        <f t="shared" si="30"/>
        <v>8000</v>
      </c>
    </row>
    <row r="533" spans="1:17" ht="12.75">
      <c r="A533" s="198"/>
      <c r="B533" s="348"/>
      <c r="C533" s="661" t="s">
        <v>1032</v>
      </c>
      <c r="D533" s="320" t="s">
        <v>1059</v>
      </c>
      <c r="E533" s="643"/>
      <c r="F533" s="223">
        <v>152424</v>
      </c>
      <c r="G533" s="3">
        <f>0+'[2]táj.2'!G533</f>
        <v>0</v>
      </c>
      <c r="H533" s="3">
        <f>0+'[2]táj.2'!H533</f>
        <v>0</v>
      </c>
      <c r="I533" s="3">
        <f>0+'[2]táj.2'!I533</f>
        <v>0</v>
      </c>
      <c r="J533" s="3">
        <f>0+'[2]táj.2'!J533</f>
        <v>0</v>
      </c>
      <c r="K533" s="3">
        <f>0+'[2]táj.2'!K533</f>
        <v>0</v>
      </c>
      <c r="L533" s="3">
        <f>2500+'[2]táj.2'!L533</f>
        <v>2500</v>
      </c>
      <c r="M533" s="3">
        <f>0+'[2]táj.2'!M533</f>
        <v>0</v>
      </c>
      <c r="N533" s="3">
        <f>0+'[2]táj.2'!N533</f>
        <v>0</v>
      </c>
      <c r="O533" s="3">
        <f>0+'[2]táj.2'!O533</f>
        <v>0</v>
      </c>
      <c r="P533" s="3">
        <f>0+'[2]táj.2'!P533</f>
        <v>0</v>
      </c>
      <c r="Q533" s="7">
        <f t="shared" si="30"/>
        <v>2500</v>
      </c>
    </row>
    <row r="534" spans="1:17" ht="12.75">
      <c r="A534" s="198"/>
      <c r="B534" s="198"/>
      <c r="C534" s="661"/>
      <c r="D534" s="283" t="s">
        <v>656</v>
      </c>
      <c r="E534" s="223"/>
      <c r="F534" s="22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</row>
    <row r="535" spans="1:17" ht="12.75">
      <c r="A535" s="198"/>
      <c r="B535" s="198"/>
      <c r="C535" s="661" t="s">
        <v>1099</v>
      </c>
      <c r="D535" s="349" t="s">
        <v>1216</v>
      </c>
      <c r="E535" s="223"/>
      <c r="F535" s="223">
        <v>162424</v>
      </c>
      <c r="G535" s="3">
        <f>0+'[2]táj.2'!G535</f>
        <v>0</v>
      </c>
      <c r="H535" s="3">
        <f>0+'[2]táj.2'!H535</f>
        <v>0</v>
      </c>
      <c r="I535" s="3">
        <f>252+'[2]táj.2'!I535</f>
        <v>252</v>
      </c>
      <c r="J535" s="3">
        <f>0+'[2]táj.2'!J535</f>
        <v>0</v>
      </c>
      <c r="K535" s="3">
        <f>0+'[2]táj.2'!K535</f>
        <v>0</v>
      </c>
      <c r="L535" s="3">
        <f>0+'[2]táj.2'!L535</f>
        <v>0</v>
      </c>
      <c r="M535" s="3">
        <f>0+'[2]táj.2'!M535</f>
        <v>0</v>
      </c>
      <c r="N535" s="3">
        <f>0+'[2]táj.2'!N535</f>
        <v>0</v>
      </c>
      <c r="O535" s="3">
        <f>0+'[2]táj.2'!O535</f>
        <v>0</v>
      </c>
      <c r="P535" s="3">
        <f>0+'[2]táj.2'!P535</f>
        <v>0</v>
      </c>
      <c r="Q535" s="7">
        <f>SUM(G535:P535)</f>
        <v>252</v>
      </c>
    </row>
    <row r="536" spans="1:17" ht="12.75">
      <c r="A536" s="198"/>
      <c r="B536" s="198"/>
      <c r="C536" s="661" t="s">
        <v>1101</v>
      </c>
      <c r="D536" s="294" t="s">
        <v>1217</v>
      </c>
      <c r="E536" s="223"/>
      <c r="F536" s="223">
        <v>154416</v>
      </c>
      <c r="G536" s="3">
        <f>0+'[2]táj.2'!G536</f>
        <v>0</v>
      </c>
      <c r="H536" s="3">
        <f>0+'[2]táj.2'!H536</f>
        <v>0</v>
      </c>
      <c r="I536" s="3">
        <f>0+'[2]táj.2'!I536</f>
        <v>0</v>
      </c>
      <c r="J536" s="3">
        <f>0+'[2]táj.2'!J536</f>
        <v>0</v>
      </c>
      <c r="K536" s="3">
        <f>0+'[2]táj.2'!K536</f>
        <v>0</v>
      </c>
      <c r="L536" s="3">
        <f>0+'[2]táj.2'!L536</f>
        <v>0</v>
      </c>
      <c r="M536" s="3">
        <f>8649+'[2]táj.2'!M536</f>
        <v>8649</v>
      </c>
      <c r="N536" s="3">
        <f>0+'[2]táj.2'!N536</f>
        <v>0</v>
      </c>
      <c r="O536" s="3">
        <f>0+'[2]táj.2'!O536</f>
        <v>0</v>
      </c>
      <c r="P536" s="3">
        <f>0+'[2]táj.2'!P536</f>
        <v>0</v>
      </c>
      <c r="Q536" s="7">
        <f>SUM(G536:P536)</f>
        <v>8649</v>
      </c>
    </row>
    <row r="537" spans="1:17" ht="12.75">
      <c r="A537" s="198"/>
      <c r="B537" s="198"/>
      <c r="C537" s="661" t="s">
        <v>1103</v>
      </c>
      <c r="D537" s="294" t="s">
        <v>1110</v>
      </c>
      <c r="E537" s="223"/>
      <c r="F537" s="223">
        <v>152415</v>
      </c>
      <c r="G537" s="3">
        <f>0+'[2]táj.2'!G537</f>
        <v>0</v>
      </c>
      <c r="H537" s="3">
        <f>0+'[2]táj.2'!H537</f>
        <v>0</v>
      </c>
      <c r="I537" s="3">
        <f>0+'[2]táj.2'!I537</f>
        <v>0</v>
      </c>
      <c r="J537" s="3">
        <f>0+'[2]táj.2'!J537</f>
        <v>0</v>
      </c>
      <c r="K537" s="3">
        <f>0+'[2]táj.2'!K537</f>
        <v>0</v>
      </c>
      <c r="L537" s="3">
        <f>2171+'[2]táj.2'!L537</f>
        <v>2171</v>
      </c>
      <c r="M537" s="3">
        <f>0+'[2]táj.2'!M537</f>
        <v>0</v>
      </c>
      <c r="N537" s="3">
        <f>0+'[2]táj.2'!N537</f>
        <v>0</v>
      </c>
      <c r="O537" s="3">
        <f>0+'[2]táj.2'!O537</f>
        <v>0</v>
      </c>
      <c r="P537" s="3">
        <f>0+'[2]táj.2'!P537</f>
        <v>0</v>
      </c>
      <c r="Q537" s="7">
        <f>SUM(G537:P537)</f>
        <v>2171</v>
      </c>
    </row>
    <row r="538" spans="1:17" ht="12.75">
      <c r="A538" s="198"/>
      <c r="B538" s="198"/>
      <c r="C538" s="661" t="s">
        <v>1105</v>
      </c>
      <c r="D538" s="174" t="s">
        <v>1114</v>
      </c>
      <c r="E538" s="223"/>
      <c r="F538" s="223">
        <v>164416</v>
      </c>
      <c r="G538" s="3">
        <f>0+'[2]táj.2'!G538</f>
        <v>0</v>
      </c>
      <c r="H538" s="3">
        <f>0+'[2]táj.2'!H538</f>
        <v>0</v>
      </c>
      <c r="I538" s="3">
        <f>0+'[2]táj.2'!I538</f>
        <v>0</v>
      </c>
      <c r="J538" s="3">
        <f>0+'[2]táj.2'!J538</f>
        <v>0</v>
      </c>
      <c r="K538" s="3">
        <f>0+'[2]táj.2'!K538</f>
        <v>0</v>
      </c>
      <c r="L538" s="3">
        <f>0+'[2]táj.2'!L538</f>
        <v>0</v>
      </c>
      <c r="M538" s="3">
        <f>7968+'[2]táj.2'!M538</f>
        <v>7968</v>
      </c>
      <c r="N538" s="3">
        <f>0+'[2]táj.2'!N538</f>
        <v>0</v>
      </c>
      <c r="O538" s="3">
        <f>0+'[2]táj.2'!O538</f>
        <v>0</v>
      </c>
      <c r="P538" s="3">
        <f>0+'[2]táj.2'!P538</f>
        <v>0</v>
      </c>
      <c r="Q538" s="7">
        <f>SUM(G538:P538)</f>
        <v>7968</v>
      </c>
    </row>
    <row r="539" spans="1:17" ht="12.75">
      <c r="A539" s="198"/>
      <c r="B539" s="198"/>
      <c r="C539" s="661" t="s">
        <v>1107</v>
      </c>
      <c r="D539" s="236" t="s">
        <v>1117</v>
      </c>
      <c r="E539" s="223"/>
      <c r="F539" s="223">
        <v>152408</v>
      </c>
      <c r="G539" s="3">
        <f>0+'[2]táj.2'!G539</f>
        <v>0</v>
      </c>
      <c r="H539" s="3">
        <f>0+'[2]táj.2'!H539</f>
        <v>0</v>
      </c>
      <c r="I539" s="3">
        <f>0+'[2]táj.2'!I539</f>
        <v>0</v>
      </c>
      <c r="J539" s="3">
        <f>0+'[2]táj.2'!J539</f>
        <v>0</v>
      </c>
      <c r="K539" s="3">
        <f>0+'[2]táj.2'!K539</f>
        <v>0</v>
      </c>
      <c r="L539" s="3">
        <f>1654+'[2]táj.2'!L539</f>
        <v>1654</v>
      </c>
      <c r="M539" s="3">
        <f>0+'[2]táj.2'!M539</f>
        <v>0</v>
      </c>
      <c r="N539" s="3">
        <f>0+'[2]táj.2'!N539</f>
        <v>0</v>
      </c>
      <c r="O539" s="3">
        <f>0+'[2]táj.2'!O539</f>
        <v>0</v>
      </c>
      <c r="P539" s="3">
        <f>0+'[2]táj.2'!P539</f>
        <v>0</v>
      </c>
      <c r="Q539" s="7">
        <f>SUM(G539:P539)</f>
        <v>1654</v>
      </c>
    </row>
    <row r="540" spans="1:17" ht="13.5">
      <c r="A540" s="198"/>
      <c r="B540" s="198"/>
      <c r="C540" s="662" t="s">
        <v>259</v>
      </c>
      <c r="D540" s="259" t="s">
        <v>1118</v>
      </c>
      <c r="E540" s="223"/>
      <c r="F540" s="22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</row>
    <row r="541" spans="1:17" ht="12.75">
      <c r="A541" s="198"/>
      <c r="B541" s="198"/>
      <c r="C541" s="662" t="s">
        <v>1119</v>
      </c>
      <c r="D541" s="642" t="s">
        <v>1218</v>
      </c>
      <c r="E541" s="223"/>
      <c r="F541" s="223">
        <v>162505</v>
      </c>
      <c r="G541" s="3">
        <f>0+'[2]táj.2'!G541</f>
        <v>0</v>
      </c>
      <c r="H541" s="3">
        <f>0+'[2]táj.2'!H541</f>
        <v>0</v>
      </c>
      <c r="I541" s="3">
        <f>0+'[2]táj.2'!I541</f>
        <v>0</v>
      </c>
      <c r="J541" s="3">
        <f>0+'[2]táj.2'!J541</f>
        <v>0</v>
      </c>
      <c r="K541" s="3">
        <f>0+'[2]táj.2'!K541</f>
        <v>0</v>
      </c>
      <c r="L541" s="3">
        <f>500+'[2]táj.2'!L541</f>
        <v>500</v>
      </c>
      <c r="M541" s="3">
        <f>0+'[2]táj.2'!M541</f>
        <v>0</v>
      </c>
      <c r="N541" s="3">
        <f>0+'[2]táj.2'!N541</f>
        <v>0</v>
      </c>
      <c r="O541" s="3">
        <f>0+'[2]táj.2'!O541</f>
        <v>0</v>
      </c>
      <c r="P541" s="3">
        <f>0+'[2]táj.2'!P541</f>
        <v>0</v>
      </c>
      <c r="Q541" s="7">
        <f>SUM(G541:P541)</f>
        <v>500</v>
      </c>
    </row>
    <row r="542" spans="1:17" ht="12.75">
      <c r="A542" s="198"/>
      <c r="B542" s="198"/>
      <c r="C542" s="659"/>
      <c r="D542" s="283" t="s">
        <v>656</v>
      </c>
      <c r="E542" s="223"/>
      <c r="F542" s="22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</row>
    <row r="543" spans="1:17" ht="12.75">
      <c r="A543" s="198"/>
      <c r="B543" s="198"/>
      <c r="C543" s="663" t="s">
        <v>1146</v>
      </c>
      <c r="D543" s="283" t="s">
        <v>1219</v>
      </c>
      <c r="E543" s="223"/>
      <c r="F543" s="223">
        <v>154513</v>
      </c>
      <c r="G543" s="3">
        <f>0+'[2]táj.2'!G543</f>
        <v>0</v>
      </c>
      <c r="H543" s="3">
        <f>0+'[2]táj.2'!H543</f>
        <v>0</v>
      </c>
      <c r="I543" s="3">
        <f>0+'[2]táj.2'!I543</f>
        <v>0</v>
      </c>
      <c r="J543" s="3">
        <f>0+'[2]táj.2'!J543</f>
        <v>0</v>
      </c>
      <c r="K543" s="3">
        <f>0+'[2]táj.2'!K543</f>
        <v>0</v>
      </c>
      <c r="L543" s="3">
        <f>68+'[2]táj.2'!L543</f>
        <v>68</v>
      </c>
      <c r="M543" s="3">
        <f>0+'[2]táj.2'!M543</f>
        <v>0</v>
      </c>
      <c r="N543" s="3">
        <f>0+'[2]táj.2'!N543</f>
        <v>0</v>
      </c>
      <c r="O543" s="3">
        <f>0+'[2]táj.2'!O543</f>
        <v>0</v>
      </c>
      <c r="P543" s="3">
        <f>0+'[2]táj.2'!P543</f>
        <v>0</v>
      </c>
      <c r="Q543" s="7">
        <f>SUM(G543:P543)</f>
        <v>68</v>
      </c>
    </row>
    <row r="544" spans="1:17" ht="12.75">
      <c r="A544" s="198"/>
      <c r="B544" s="198"/>
      <c r="C544" s="663" t="s">
        <v>1148</v>
      </c>
      <c r="D544" s="283" t="s">
        <v>1220</v>
      </c>
      <c r="E544" s="223"/>
      <c r="F544" s="223">
        <v>154518</v>
      </c>
      <c r="G544" s="3">
        <f>0+'[2]táj.2'!G544</f>
        <v>0</v>
      </c>
      <c r="H544" s="3">
        <f>0+'[2]táj.2'!H544</f>
        <v>0</v>
      </c>
      <c r="I544" s="3">
        <f>0+'[2]táj.2'!I544</f>
        <v>0</v>
      </c>
      <c r="J544" s="3">
        <f>0+'[2]táj.2'!J544</f>
        <v>0</v>
      </c>
      <c r="K544" s="3">
        <f>0+'[2]táj.2'!K544</f>
        <v>0</v>
      </c>
      <c r="L544" s="3">
        <f>187+'[2]táj.2'!L544</f>
        <v>187</v>
      </c>
      <c r="M544" s="3">
        <f>0+'[2]táj.2'!M544</f>
        <v>0</v>
      </c>
      <c r="N544" s="3">
        <f>0+'[2]táj.2'!N544</f>
        <v>0</v>
      </c>
      <c r="O544" s="3">
        <f>0+'[2]táj.2'!O544</f>
        <v>0</v>
      </c>
      <c r="P544" s="3">
        <f>0+'[2]táj.2'!P544</f>
        <v>0</v>
      </c>
      <c r="Q544" s="7">
        <f>SUM(G544:P544)</f>
        <v>187</v>
      </c>
    </row>
    <row r="545" spans="1:17" ht="13.5">
      <c r="A545" s="198"/>
      <c r="B545" s="198"/>
      <c r="C545" s="659" t="s">
        <v>258</v>
      </c>
      <c r="D545" s="324" t="s">
        <v>1221</v>
      </c>
      <c r="E545" s="223"/>
      <c r="F545" s="22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</row>
    <row r="546" spans="1:17" ht="12.75">
      <c r="A546" s="198"/>
      <c r="B546" s="198"/>
      <c r="C546" s="659"/>
      <c r="D546" s="283" t="s">
        <v>656</v>
      </c>
      <c r="E546" s="223"/>
      <c r="F546" s="22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</row>
    <row r="547" spans="1:17" ht="12.75">
      <c r="A547" s="198"/>
      <c r="B547" s="198"/>
      <c r="C547" s="664" t="s">
        <v>804</v>
      </c>
      <c r="D547" s="350" t="s">
        <v>1222</v>
      </c>
      <c r="E547" s="351"/>
      <c r="F547" s="351">
        <v>162601</v>
      </c>
      <c r="G547" s="3">
        <f>0+'[2]táj.2'!G547</f>
        <v>0</v>
      </c>
      <c r="H547" s="3">
        <f>0+'[2]táj.2'!H547</f>
        <v>0</v>
      </c>
      <c r="I547" s="3">
        <f>0+'[2]táj.2'!I547</f>
        <v>0</v>
      </c>
      <c r="J547" s="3">
        <f>0+'[2]táj.2'!J547</f>
        <v>0</v>
      </c>
      <c r="K547" s="3">
        <f>0+'[2]táj.2'!K547</f>
        <v>0</v>
      </c>
      <c r="L547" s="3">
        <f>1791+'[2]táj.2'!L547</f>
        <v>1791</v>
      </c>
      <c r="M547" s="3">
        <f>0+'[2]táj.2'!M547</f>
        <v>0</v>
      </c>
      <c r="N547" s="3">
        <f>0+'[2]táj.2'!N547</f>
        <v>0</v>
      </c>
      <c r="O547" s="3">
        <f>0+'[2]táj.2'!O547</f>
        <v>0</v>
      </c>
      <c r="P547" s="3">
        <f>0+'[2]táj.2'!P547</f>
        <v>0</v>
      </c>
      <c r="Q547" s="7">
        <f>SUM(G547:P547)</f>
        <v>1791</v>
      </c>
    </row>
    <row r="548" spans="1:17" ht="12.75">
      <c r="A548" s="198"/>
      <c r="B548" s="198"/>
      <c r="C548" s="664" t="s">
        <v>806</v>
      </c>
      <c r="D548" s="350" t="s">
        <v>1223</v>
      </c>
      <c r="E548" s="351"/>
      <c r="F548" s="351">
        <v>162636</v>
      </c>
      <c r="G548" s="3">
        <f>0+'[2]táj.2'!G548</f>
        <v>0</v>
      </c>
      <c r="H548" s="3">
        <f>0+'[2]táj.2'!H548</f>
        <v>0</v>
      </c>
      <c r="I548" s="3">
        <f>0+'[2]táj.2'!I548</f>
        <v>0</v>
      </c>
      <c r="J548" s="3">
        <f>0+'[2]táj.2'!J548</f>
        <v>0</v>
      </c>
      <c r="K548" s="3">
        <f>0+'[2]táj.2'!K548</f>
        <v>0</v>
      </c>
      <c r="L548" s="3">
        <f>7510+'[2]táj.2'!L548</f>
        <v>7510</v>
      </c>
      <c r="M548" s="3">
        <f>0+'[2]táj.2'!M548</f>
        <v>0</v>
      </c>
      <c r="N548" s="3">
        <f>0+'[2]táj.2'!N548</f>
        <v>0</v>
      </c>
      <c r="O548" s="3">
        <f>0+'[2]táj.2'!O548</f>
        <v>0</v>
      </c>
      <c r="P548" s="3">
        <f>0+'[2]táj.2'!P548</f>
        <v>0</v>
      </c>
      <c r="Q548" s="7">
        <f>SUM(G548:P548)</f>
        <v>7510</v>
      </c>
    </row>
    <row r="549" spans="1:17" ht="12.75">
      <c r="A549" s="198"/>
      <c r="B549" s="198"/>
      <c r="C549" s="664" t="s">
        <v>808</v>
      </c>
      <c r="D549" s="350" t="s">
        <v>1224</v>
      </c>
      <c r="E549" s="351"/>
      <c r="F549" s="351">
        <v>162637</v>
      </c>
      <c r="G549" s="3">
        <f>0+'[2]táj.2'!G549</f>
        <v>0</v>
      </c>
      <c r="H549" s="3">
        <f>0+'[2]táj.2'!H549</f>
        <v>0</v>
      </c>
      <c r="I549" s="3">
        <f>0+'[2]táj.2'!I549</f>
        <v>0</v>
      </c>
      <c r="J549" s="3">
        <f>0+'[2]táj.2'!J549</f>
        <v>0</v>
      </c>
      <c r="K549" s="3">
        <f>0+'[2]táj.2'!K549</f>
        <v>0</v>
      </c>
      <c r="L549" s="3">
        <f>7079+'[2]táj.2'!L549</f>
        <v>7079</v>
      </c>
      <c r="M549" s="3">
        <f>0+'[2]táj.2'!M549</f>
        <v>0</v>
      </c>
      <c r="N549" s="3">
        <f>0+'[2]táj.2'!N549</f>
        <v>0</v>
      </c>
      <c r="O549" s="3">
        <f>0+'[2]táj.2'!O549</f>
        <v>0</v>
      </c>
      <c r="P549" s="3">
        <f>0+'[2]táj.2'!P549</f>
        <v>0</v>
      </c>
      <c r="Q549" s="7">
        <f>SUM(G549:P549)</f>
        <v>7079</v>
      </c>
    </row>
    <row r="550" spans="1:17" ht="13.5">
      <c r="A550" s="198"/>
      <c r="B550" s="198"/>
      <c r="C550" s="659" t="s">
        <v>260</v>
      </c>
      <c r="D550" s="352" t="s">
        <v>1156</v>
      </c>
      <c r="E550" s="325"/>
      <c r="F550" s="22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</row>
    <row r="551" spans="1:17" ht="12.75">
      <c r="A551" s="198"/>
      <c r="B551" s="198"/>
      <c r="C551" s="664"/>
      <c r="D551" s="283" t="s">
        <v>656</v>
      </c>
      <c r="E551" s="325"/>
      <c r="F551" s="22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7"/>
    </row>
    <row r="552" spans="1:17" ht="25.5">
      <c r="A552" s="198"/>
      <c r="B552" s="198"/>
      <c r="C552" s="664" t="s">
        <v>1225</v>
      </c>
      <c r="D552" s="353" t="s">
        <v>1226</v>
      </c>
      <c r="E552" s="325"/>
      <c r="F552" s="223">
        <v>162701</v>
      </c>
      <c r="G552" s="3">
        <f>0+'[2]táj.2'!G552</f>
        <v>0</v>
      </c>
      <c r="H552" s="3">
        <f>0+'[2]táj.2'!H552</f>
        <v>0</v>
      </c>
      <c r="I552" s="3">
        <f>6777+'[2]táj.2'!I552</f>
        <v>6777</v>
      </c>
      <c r="J552" s="3">
        <f>0+'[2]táj.2'!J552</f>
        <v>0</v>
      </c>
      <c r="K552" s="3">
        <f>0+'[2]táj.2'!K552</f>
        <v>0</v>
      </c>
      <c r="L552" s="3">
        <f>0+'[2]táj.2'!L552</f>
        <v>0</v>
      </c>
      <c r="M552" s="3">
        <f>0+'[2]táj.2'!M552</f>
        <v>0</v>
      </c>
      <c r="N552" s="3">
        <f>0+'[2]táj.2'!N552</f>
        <v>0</v>
      </c>
      <c r="O552" s="3">
        <f>0+'[2]táj.2'!O552</f>
        <v>0</v>
      </c>
      <c r="P552" s="3">
        <f>0+'[2]táj.2'!P552</f>
        <v>0</v>
      </c>
      <c r="Q552" s="7">
        <f>SUM(G552:P552)</f>
        <v>6777</v>
      </c>
    </row>
    <row r="553" spans="1:17" ht="13.5">
      <c r="A553" s="198"/>
      <c r="B553" s="198"/>
      <c r="C553" s="659" t="s">
        <v>261</v>
      </c>
      <c r="D553" s="354" t="s">
        <v>1157</v>
      </c>
      <c r="E553" s="325"/>
      <c r="F553" s="22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7"/>
    </row>
    <row r="554" spans="1:17" ht="13.5">
      <c r="A554" s="198"/>
      <c r="B554" s="198"/>
      <c r="C554" s="659" t="s">
        <v>262</v>
      </c>
      <c r="D554" s="354" t="s">
        <v>1160</v>
      </c>
      <c r="E554" s="325"/>
      <c r="F554" s="22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7"/>
    </row>
    <row r="555" spans="1:17" ht="12.75">
      <c r="A555" s="198"/>
      <c r="B555" s="198"/>
      <c r="C555" s="663" t="s">
        <v>1227</v>
      </c>
      <c r="D555" s="349" t="s">
        <v>1228</v>
      </c>
      <c r="E555" s="325"/>
      <c r="F555" s="223">
        <v>164921</v>
      </c>
      <c r="G555" s="3">
        <f>0+'[2]táj.2'!G555</f>
        <v>0</v>
      </c>
      <c r="H555" s="3">
        <f>0+'[2]táj.2'!H555</f>
        <v>0</v>
      </c>
      <c r="I555" s="3">
        <f>0+'[2]táj.2'!I555</f>
        <v>0</v>
      </c>
      <c r="J555" s="3">
        <f>0+'[2]táj.2'!J555</f>
        <v>0</v>
      </c>
      <c r="K555" s="3">
        <f>0+'[2]táj.2'!K555</f>
        <v>0</v>
      </c>
      <c r="L555" s="3">
        <f>0+'[2]táj.2'!L555</f>
        <v>0</v>
      </c>
      <c r="M555" s="3">
        <f>25590+'[2]táj.2'!M555</f>
        <v>25590</v>
      </c>
      <c r="N555" s="3">
        <f>0+'[2]táj.2'!N555</f>
        <v>0</v>
      </c>
      <c r="O555" s="3">
        <f>0+'[2]táj.2'!O555</f>
        <v>0</v>
      </c>
      <c r="P555" s="3">
        <f>0+'[2]táj.2'!P555</f>
        <v>0</v>
      </c>
      <c r="Q555" s="7">
        <f aca="true" t="shared" si="31" ref="Q555:Q561">SUM(G555:P555)</f>
        <v>25590</v>
      </c>
    </row>
    <row r="556" spans="1:17" ht="12.75">
      <c r="A556" s="198"/>
      <c r="B556" s="198"/>
      <c r="C556" s="663" t="s">
        <v>1163</v>
      </c>
      <c r="D556" s="236" t="s">
        <v>1229</v>
      </c>
      <c r="E556" s="643"/>
      <c r="F556" s="223">
        <v>162929</v>
      </c>
      <c r="G556" s="3">
        <f>0+'[2]táj.2'!G556</f>
        <v>0</v>
      </c>
      <c r="H556" s="3">
        <f>0+'[2]táj.2'!H556</f>
        <v>0</v>
      </c>
      <c r="I556" s="3">
        <f>0+'[2]táj.2'!I556</f>
        <v>0</v>
      </c>
      <c r="J556" s="3">
        <f>0+'[2]táj.2'!J556</f>
        <v>0</v>
      </c>
      <c r="K556" s="3">
        <f>0+'[2]táj.2'!K556</f>
        <v>0</v>
      </c>
      <c r="L556" s="3">
        <f>840+'[2]táj.2'!L556</f>
        <v>840</v>
      </c>
      <c r="M556" s="3">
        <f>0+'[2]táj.2'!M556</f>
        <v>0</v>
      </c>
      <c r="N556" s="3">
        <f>0+'[2]táj.2'!N556</f>
        <v>0</v>
      </c>
      <c r="O556" s="3">
        <f>0+'[2]táj.2'!O556</f>
        <v>0</v>
      </c>
      <c r="P556" s="3">
        <f>0+'[2]táj.2'!P556</f>
        <v>0</v>
      </c>
      <c r="Q556" s="7">
        <f t="shared" si="31"/>
        <v>840</v>
      </c>
    </row>
    <row r="557" spans="1:17" ht="12.75">
      <c r="A557" s="198"/>
      <c r="B557" s="198"/>
      <c r="C557" s="663" t="s">
        <v>1230</v>
      </c>
      <c r="D557" s="823" t="s">
        <v>1231</v>
      </c>
      <c r="E557" s="223"/>
      <c r="F557" s="223">
        <v>162956</v>
      </c>
      <c r="G557" s="3">
        <f>0+'[2]táj.2'!G557</f>
        <v>0</v>
      </c>
      <c r="H557" s="3">
        <f>0+'[2]táj.2'!H557</f>
        <v>0</v>
      </c>
      <c r="I557" s="3">
        <f>0+'[2]táj.2'!I557</f>
        <v>0</v>
      </c>
      <c r="J557" s="3">
        <f>0+'[2]táj.2'!J557</f>
        <v>0</v>
      </c>
      <c r="K557" s="3">
        <f>0+'[2]táj.2'!K557</f>
        <v>0</v>
      </c>
      <c r="L557" s="3">
        <f>500+'[2]táj.2'!L557</f>
        <v>500</v>
      </c>
      <c r="M557" s="3">
        <f>0+'[2]táj.2'!M557</f>
        <v>0</v>
      </c>
      <c r="N557" s="3">
        <f>0+'[2]táj.2'!N557</f>
        <v>0</v>
      </c>
      <c r="O557" s="3">
        <f>0+'[2]táj.2'!O557</f>
        <v>0</v>
      </c>
      <c r="P557" s="3">
        <f>0+'[2]táj.2'!P557</f>
        <v>0</v>
      </c>
      <c r="Q557" s="7">
        <f t="shared" si="31"/>
        <v>500</v>
      </c>
    </row>
    <row r="558" spans="1:17" ht="38.25">
      <c r="A558" s="198"/>
      <c r="B558" s="198"/>
      <c r="C558" s="663" t="s">
        <v>1232</v>
      </c>
      <c r="D558" s="180" t="s">
        <v>86</v>
      </c>
      <c r="E558" s="325"/>
      <c r="F558" s="223">
        <v>164928</v>
      </c>
      <c r="G558" s="3">
        <f>0+'[2]táj.2'!G558</f>
        <v>0</v>
      </c>
      <c r="H558" s="3">
        <f>0+'[2]táj.2'!H558</f>
        <v>0</v>
      </c>
      <c r="I558" s="3">
        <f>0+'[2]táj.2'!I558</f>
        <v>0</v>
      </c>
      <c r="J558" s="3">
        <f>0+'[2]táj.2'!J558</f>
        <v>0</v>
      </c>
      <c r="K558" s="3">
        <f>0+'[2]táj.2'!K558</f>
        <v>0</v>
      </c>
      <c r="L558" s="3">
        <f>0+'[2]táj.2'!L558</f>
        <v>0</v>
      </c>
      <c r="M558" s="3">
        <f>0+'[2]táj.2'!M558</f>
        <v>0</v>
      </c>
      <c r="N558" s="3">
        <f>1000+'[2]táj.2'!N558</f>
        <v>1000</v>
      </c>
      <c r="O558" s="3">
        <f>0+'[2]táj.2'!O558</f>
        <v>0</v>
      </c>
      <c r="P558" s="3">
        <f>0+'[2]táj.2'!P558</f>
        <v>0</v>
      </c>
      <c r="Q558" s="7">
        <f t="shared" si="31"/>
        <v>1000</v>
      </c>
    </row>
    <row r="559" spans="1:17" ht="12.75">
      <c r="A559" s="198"/>
      <c r="B559" s="198"/>
      <c r="C559" s="663" t="s">
        <v>1233</v>
      </c>
      <c r="D559" s="642" t="s">
        <v>1502</v>
      </c>
      <c r="E559" s="643"/>
      <c r="F559" s="674">
        <v>164930</v>
      </c>
      <c r="G559" s="3">
        <f>0+'[2]táj.2'!G559</f>
        <v>0</v>
      </c>
      <c r="H559" s="3">
        <f>0+'[2]táj.2'!H559</f>
        <v>0</v>
      </c>
      <c r="I559" s="3">
        <f>0+'[2]táj.2'!I559</f>
        <v>0</v>
      </c>
      <c r="J559" s="3">
        <f>0+'[2]táj.2'!J559</f>
        <v>0</v>
      </c>
      <c r="K559" s="3">
        <f>0+'[2]táj.2'!K559</f>
        <v>0</v>
      </c>
      <c r="L559" s="3">
        <f>0+'[2]táj.2'!L559</f>
        <v>0</v>
      </c>
      <c r="M559" s="3">
        <f>500+'[2]táj.2'!M559</f>
        <v>500</v>
      </c>
      <c r="N559" s="3">
        <f>0+'[2]táj.2'!N559</f>
        <v>0</v>
      </c>
      <c r="O559" s="3">
        <f>0+'[2]táj.2'!O559</f>
        <v>0</v>
      </c>
      <c r="P559" s="3">
        <f>0+'[2]táj.2'!P559</f>
        <v>0</v>
      </c>
      <c r="Q559" s="7">
        <f t="shared" si="31"/>
        <v>500</v>
      </c>
    </row>
    <row r="560" spans="1:17" ht="12.75">
      <c r="A560" s="198"/>
      <c r="B560" s="198"/>
      <c r="C560" s="663" t="s">
        <v>1234</v>
      </c>
      <c r="D560" s="827" t="s">
        <v>1235</v>
      </c>
      <c r="E560" s="643"/>
      <c r="F560" s="674">
        <v>162964</v>
      </c>
      <c r="G560" s="3">
        <f>0+'[2]táj.2'!G560</f>
        <v>0</v>
      </c>
      <c r="H560" s="3">
        <f>0+'[2]táj.2'!H560</f>
        <v>0</v>
      </c>
      <c r="I560" s="3">
        <f>0+'[2]táj.2'!I560</f>
        <v>0</v>
      </c>
      <c r="J560" s="3">
        <f>0+'[2]táj.2'!J560</f>
        <v>0</v>
      </c>
      <c r="K560" s="3">
        <f>0+'[2]táj.2'!K560</f>
        <v>0</v>
      </c>
      <c r="L560" s="3">
        <f>4000+'[2]táj.2'!L560</f>
        <v>4000</v>
      </c>
      <c r="M560" s="3">
        <f>0+'[2]táj.2'!M560</f>
        <v>0</v>
      </c>
      <c r="N560" s="3">
        <f>0+'[2]táj.2'!N560</f>
        <v>0</v>
      </c>
      <c r="O560" s="3">
        <f>0+'[2]táj.2'!O560</f>
        <v>0</v>
      </c>
      <c r="P560" s="3">
        <f>0+'[2]táj.2'!P560</f>
        <v>0</v>
      </c>
      <c r="Q560" s="7">
        <f t="shared" si="31"/>
        <v>4000</v>
      </c>
    </row>
    <row r="561" spans="1:17" ht="12.75">
      <c r="A561" s="198"/>
      <c r="B561" s="198"/>
      <c r="C561" s="663" t="s">
        <v>1488</v>
      </c>
      <c r="D561" s="827" t="s">
        <v>104</v>
      </c>
      <c r="E561" s="643"/>
      <c r="F561" s="674">
        <v>162965</v>
      </c>
      <c r="G561" s="3">
        <f>0+'[2]táj.2'!G561</f>
        <v>0</v>
      </c>
      <c r="H561" s="3">
        <f>0+'[2]táj.2'!H561</f>
        <v>0</v>
      </c>
      <c r="I561" s="3">
        <f>0+'[2]táj.2'!I561</f>
        <v>0</v>
      </c>
      <c r="J561" s="3">
        <f>0+'[2]táj.2'!J561</f>
        <v>0</v>
      </c>
      <c r="K561" s="3">
        <f>0+'[2]táj.2'!K561</f>
        <v>0</v>
      </c>
      <c r="L561" s="3">
        <f>18500+'[2]táj.2'!L561</f>
        <v>18500</v>
      </c>
      <c r="M561" s="3">
        <f>0+'[2]táj.2'!M561</f>
        <v>0</v>
      </c>
      <c r="N561" s="3">
        <f>0+'[2]táj.2'!N561</f>
        <v>0</v>
      </c>
      <c r="O561" s="3">
        <f>0+'[2]táj.2'!O561</f>
        <v>0</v>
      </c>
      <c r="P561" s="3">
        <f>0+'[2]táj.2'!P561</f>
        <v>0</v>
      </c>
      <c r="Q561" s="7">
        <f t="shared" si="31"/>
        <v>18500</v>
      </c>
    </row>
    <row r="562" spans="1:17" ht="12.75">
      <c r="A562" s="198"/>
      <c r="B562" s="198"/>
      <c r="C562" s="663" t="s">
        <v>1494</v>
      </c>
      <c r="D562" s="320" t="s">
        <v>1236</v>
      </c>
      <c r="E562" s="325"/>
      <c r="F562" s="223">
        <v>164929</v>
      </c>
      <c r="G562" s="3">
        <f>0+'[2]táj.2'!G562</f>
        <v>0</v>
      </c>
      <c r="H562" s="3">
        <f>0+'[2]táj.2'!H562</f>
        <v>0</v>
      </c>
      <c r="I562" s="3">
        <f>0+'[2]táj.2'!I562</f>
        <v>0</v>
      </c>
      <c r="J562" s="3">
        <f>0+'[2]táj.2'!J562</f>
        <v>0</v>
      </c>
      <c r="K562" s="3">
        <f>0+'[2]táj.2'!K562</f>
        <v>0</v>
      </c>
      <c r="L562" s="3">
        <f>0+'[2]táj.2'!L562</f>
        <v>0</v>
      </c>
      <c r="M562" s="3">
        <f>2291+'[2]táj.2'!M562</f>
        <v>2291</v>
      </c>
      <c r="N562" s="3">
        <f>0+'[2]táj.2'!N562</f>
        <v>0</v>
      </c>
      <c r="O562" s="3">
        <f>0+'[2]táj.2'!O562</f>
        <v>0</v>
      </c>
      <c r="P562" s="3">
        <f>0+'[2]táj.2'!P562</f>
        <v>0</v>
      </c>
      <c r="Q562" s="7">
        <f>SUM(G562:P562)</f>
        <v>2291</v>
      </c>
    </row>
    <row r="563" spans="1:17" ht="12.75">
      <c r="A563" s="198"/>
      <c r="B563" s="198"/>
      <c r="C563" s="659"/>
      <c r="D563" s="283" t="s">
        <v>656</v>
      </c>
      <c r="E563" s="325"/>
      <c r="F563" s="22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7"/>
    </row>
    <row r="564" spans="1:17" ht="38.25">
      <c r="A564" s="198"/>
      <c r="B564" s="198"/>
      <c r="C564" s="214" t="s">
        <v>1165</v>
      </c>
      <c r="D564" s="416" t="s">
        <v>1237</v>
      </c>
      <c r="E564" s="223"/>
      <c r="F564" s="223">
        <v>174902</v>
      </c>
      <c r="G564" s="3">
        <f>0+'[2]táj.2'!G564</f>
        <v>0</v>
      </c>
      <c r="H564" s="3">
        <f>0+'[2]táj.2'!H564</f>
        <v>0</v>
      </c>
      <c r="I564" s="3">
        <f>0+'[2]táj.2'!I564</f>
        <v>0</v>
      </c>
      <c r="J564" s="3">
        <f>0+'[2]táj.2'!J564</f>
        <v>0</v>
      </c>
      <c r="K564" s="3">
        <f>0+'[2]táj.2'!K564</f>
        <v>0</v>
      </c>
      <c r="L564" s="3">
        <f>0+'[2]táj.2'!L564</f>
        <v>0</v>
      </c>
      <c r="M564" s="3">
        <f>81019+'[2]táj.2'!M564</f>
        <v>81019</v>
      </c>
      <c r="N564" s="3">
        <f>0+'[2]táj.2'!N564</f>
        <v>0</v>
      </c>
      <c r="O564" s="3">
        <f>0+'[2]táj.2'!O564</f>
        <v>0</v>
      </c>
      <c r="P564" s="3">
        <f>0+'[2]táj.2'!P564</f>
        <v>0</v>
      </c>
      <c r="Q564" s="7">
        <f aca="true" t="shared" si="32" ref="Q564:Q573">SUM(G564:P564)</f>
        <v>81019</v>
      </c>
    </row>
    <row r="565" spans="1:17" ht="25.5">
      <c r="A565" s="198"/>
      <c r="B565" s="198"/>
      <c r="C565" s="214" t="s">
        <v>1167</v>
      </c>
      <c r="D565" s="828" t="s">
        <v>1238</v>
      </c>
      <c r="E565" s="325"/>
      <c r="F565" s="223">
        <v>164914</v>
      </c>
      <c r="G565" s="3">
        <f>0+'[2]táj.2'!G565</f>
        <v>0</v>
      </c>
      <c r="H565" s="3">
        <f>0+'[2]táj.2'!H565</f>
        <v>0</v>
      </c>
      <c r="I565" s="3">
        <f>0+'[2]táj.2'!I565</f>
        <v>0</v>
      </c>
      <c r="J565" s="3">
        <f>0+'[2]táj.2'!J565</f>
        <v>0</v>
      </c>
      <c r="K565" s="3">
        <f>0+'[2]táj.2'!K565</f>
        <v>0</v>
      </c>
      <c r="L565" s="3">
        <f>0+'[2]táj.2'!L565</f>
        <v>0</v>
      </c>
      <c r="M565" s="3">
        <f>4955+'[2]táj.2'!M565</f>
        <v>4955</v>
      </c>
      <c r="N565" s="3">
        <f>0+'[2]táj.2'!N565</f>
        <v>0</v>
      </c>
      <c r="O565" s="3">
        <f>0+'[2]táj.2'!O565</f>
        <v>0</v>
      </c>
      <c r="P565" s="3">
        <f>0+'[2]táj.2'!P565</f>
        <v>0</v>
      </c>
      <c r="Q565" s="7">
        <f t="shared" si="32"/>
        <v>4955</v>
      </c>
    </row>
    <row r="566" spans="1:17" ht="12.75">
      <c r="A566" s="198"/>
      <c r="B566" s="198"/>
      <c r="C566" s="214" t="s">
        <v>1171</v>
      </c>
      <c r="D566" s="355" t="s">
        <v>1239</v>
      </c>
      <c r="E566" s="351"/>
      <c r="F566" s="223">
        <v>162942</v>
      </c>
      <c r="G566" s="3">
        <f>0+'[2]táj.2'!G566</f>
        <v>0</v>
      </c>
      <c r="H566" s="3">
        <f>0+'[2]táj.2'!H566</f>
        <v>0</v>
      </c>
      <c r="I566" s="3">
        <f>0+'[2]táj.2'!I566</f>
        <v>0</v>
      </c>
      <c r="J566" s="3">
        <f>0+'[2]táj.2'!J566</f>
        <v>0</v>
      </c>
      <c r="K566" s="3">
        <f>0+'[2]táj.2'!K566</f>
        <v>0</v>
      </c>
      <c r="L566" s="3">
        <f>0+'[2]táj.2'!L566</f>
        <v>0</v>
      </c>
      <c r="M566" s="3">
        <f>1652+'[2]táj.2'!M566</f>
        <v>1652</v>
      </c>
      <c r="N566" s="3">
        <f>0+'[2]táj.2'!N566</f>
        <v>0</v>
      </c>
      <c r="O566" s="3">
        <f>0+'[2]táj.2'!O566</f>
        <v>0</v>
      </c>
      <c r="P566" s="3">
        <f>0+'[2]táj.2'!P566</f>
        <v>0</v>
      </c>
      <c r="Q566" s="7">
        <f t="shared" si="32"/>
        <v>1652</v>
      </c>
    </row>
    <row r="567" spans="1:17" ht="12.75">
      <c r="A567" s="198"/>
      <c r="B567" s="198"/>
      <c r="C567" s="214" t="s">
        <v>1173</v>
      </c>
      <c r="D567" s="356" t="s">
        <v>1240</v>
      </c>
      <c r="E567" s="351"/>
      <c r="F567" s="223">
        <v>162929</v>
      </c>
      <c r="G567" s="3">
        <f>0+'[2]táj.2'!G567</f>
        <v>0</v>
      </c>
      <c r="H567" s="3">
        <f>0+'[2]táj.2'!H567</f>
        <v>0</v>
      </c>
      <c r="I567" s="3">
        <f>0+'[2]táj.2'!I567</f>
        <v>0</v>
      </c>
      <c r="J567" s="3">
        <f>0+'[2]táj.2'!J567</f>
        <v>0</v>
      </c>
      <c r="K567" s="3">
        <f>0+'[2]táj.2'!K567</f>
        <v>0</v>
      </c>
      <c r="L567" s="3">
        <f>0+'[2]táj.2'!L567</f>
        <v>0</v>
      </c>
      <c r="M567" s="3">
        <f>0+'[2]táj.2'!M567</f>
        <v>0</v>
      </c>
      <c r="N567" s="3">
        <f>0+'[2]táj.2'!N567</f>
        <v>0</v>
      </c>
      <c r="O567" s="3">
        <f>0+'[2]táj.2'!O567</f>
        <v>0</v>
      </c>
      <c r="P567" s="3">
        <f>0+'[2]táj.2'!P567</f>
        <v>0</v>
      </c>
      <c r="Q567" s="7">
        <f t="shared" si="32"/>
        <v>0</v>
      </c>
    </row>
    <row r="568" spans="1:17" ht="12.75">
      <c r="A568" s="198"/>
      <c r="B568" s="198"/>
      <c r="C568" s="214" t="s">
        <v>1175</v>
      </c>
      <c r="D568" s="356" t="s">
        <v>1241</v>
      </c>
      <c r="E568" s="351"/>
      <c r="F568" s="223">
        <v>162931</v>
      </c>
      <c r="G568" s="3">
        <f>0+'[2]táj.2'!G568</f>
        <v>0</v>
      </c>
      <c r="H568" s="3">
        <f>0+'[2]táj.2'!H568</f>
        <v>0</v>
      </c>
      <c r="I568" s="3">
        <f>0+'[2]táj.2'!I568</f>
        <v>0</v>
      </c>
      <c r="J568" s="3">
        <f>0+'[2]táj.2'!J568</f>
        <v>0</v>
      </c>
      <c r="K568" s="3">
        <f>0+'[2]táj.2'!K568</f>
        <v>0</v>
      </c>
      <c r="L568" s="3">
        <f>871+'[2]táj.2'!L568</f>
        <v>871</v>
      </c>
      <c r="M568" s="3">
        <f>0+'[2]táj.2'!M568</f>
        <v>0</v>
      </c>
      <c r="N568" s="3">
        <f>0+'[2]táj.2'!N568</f>
        <v>0</v>
      </c>
      <c r="O568" s="3">
        <f>0+'[2]táj.2'!O568</f>
        <v>0</v>
      </c>
      <c r="P568" s="3">
        <f>0+'[2]táj.2'!P568</f>
        <v>0</v>
      </c>
      <c r="Q568" s="7">
        <f t="shared" si="32"/>
        <v>871</v>
      </c>
    </row>
    <row r="569" spans="1:17" ht="12.75">
      <c r="A569" s="198"/>
      <c r="B569" s="198"/>
      <c r="C569" s="214" t="s">
        <v>1177</v>
      </c>
      <c r="D569" s="356" t="s">
        <v>1242</v>
      </c>
      <c r="E569" s="351"/>
      <c r="F569" s="223">
        <v>162903</v>
      </c>
      <c r="G569" s="3">
        <f>0+'[2]táj.2'!G569</f>
        <v>0</v>
      </c>
      <c r="H569" s="3">
        <f>0+'[2]táj.2'!H569</f>
        <v>0</v>
      </c>
      <c r="I569" s="3">
        <f>1510+'[2]táj.2'!I569</f>
        <v>1510</v>
      </c>
      <c r="J569" s="3">
        <f>0+'[2]táj.2'!J569</f>
        <v>0</v>
      </c>
      <c r="K569" s="3">
        <f>0+'[2]táj.2'!K569</f>
        <v>0</v>
      </c>
      <c r="L569" s="3">
        <f>1879+'[2]táj.2'!L569</f>
        <v>1879</v>
      </c>
      <c r="M569" s="3">
        <f>16407+'[2]táj.2'!M569</f>
        <v>16407</v>
      </c>
      <c r="N569" s="3">
        <f>0+'[2]táj.2'!N569</f>
        <v>0</v>
      </c>
      <c r="O569" s="3">
        <f>0+'[2]táj.2'!O569</f>
        <v>0</v>
      </c>
      <c r="P569" s="3">
        <f>0+'[2]táj.2'!P569</f>
        <v>0</v>
      </c>
      <c r="Q569" s="7">
        <f t="shared" si="32"/>
        <v>19796</v>
      </c>
    </row>
    <row r="570" spans="1:17" ht="25.5">
      <c r="A570" s="198"/>
      <c r="B570" s="198"/>
      <c r="C570" s="214" t="s">
        <v>1243</v>
      </c>
      <c r="D570" s="356" t="s">
        <v>1244</v>
      </c>
      <c r="E570" s="351"/>
      <c r="F570" s="223">
        <v>164925</v>
      </c>
      <c r="G570" s="3">
        <f>0+'[2]táj.2'!G570</f>
        <v>0</v>
      </c>
      <c r="H570" s="3">
        <f>0+'[2]táj.2'!H570</f>
        <v>0</v>
      </c>
      <c r="I570" s="3">
        <f>0+'[2]táj.2'!I570</f>
        <v>0</v>
      </c>
      <c r="J570" s="3">
        <f>0+'[2]táj.2'!J570</f>
        <v>0</v>
      </c>
      <c r="K570" s="3">
        <f>0+'[2]táj.2'!K570</f>
        <v>0</v>
      </c>
      <c r="L570" s="3">
        <f>0+'[2]táj.2'!L570</f>
        <v>0</v>
      </c>
      <c r="M570" s="3">
        <f>2016+'[2]táj.2'!M570</f>
        <v>2016</v>
      </c>
      <c r="N570" s="3">
        <f>0+'[2]táj.2'!N570</f>
        <v>0</v>
      </c>
      <c r="O570" s="3">
        <f>0+'[2]táj.2'!O570</f>
        <v>0</v>
      </c>
      <c r="P570" s="3">
        <f>0+'[2]táj.2'!P570</f>
        <v>0</v>
      </c>
      <c r="Q570" s="7">
        <f t="shared" si="32"/>
        <v>2016</v>
      </c>
    </row>
    <row r="571" spans="1:17" ht="12.75">
      <c r="A571" s="198"/>
      <c r="B571" s="198"/>
      <c r="C571" s="214" t="s">
        <v>1245</v>
      </c>
      <c r="D571" s="356" t="s">
        <v>1246</v>
      </c>
      <c r="E571" s="351"/>
      <c r="F571" s="223">
        <v>162958</v>
      </c>
      <c r="G571" s="3">
        <f>0+'[2]táj.2'!G571</f>
        <v>0</v>
      </c>
      <c r="H571" s="3">
        <f>0+'[2]táj.2'!H571</f>
        <v>0</v>
      </c>
      <c r="I571" s="3">
        <f>0+'[2]táj.2'!I571</f>
        <v>0</v>
      </c>
      <c r="J571" s="3">
        <f>0+'[2]táj.2'!J571</f>
        <v>0</v>
      </c>
      <c r="K571" s="3">
        <f>0+'[2]táj.2'!K571</f>
        <v>0</v>
      </c>
      <c r="L571" s="3">
        <f>2000+'[2]táj.2'!L571</f>
        <v>2000</v>
      </c>
      <c r="M571" s="3">
        <f>0+'[2]táj.2'!M571</f>
        <v>0</v>
      </c>
      <c r="N571" s="3">
        <f>0+'[2]táj.2'!N571</f>
        <v>0</v>
      </c>
      <c r="O571" s="3">
        <f>0+'[2]táj.2'!O571</f>
        <v>0</v>
      </c>
      <c r="P571" s="3">
        <f>0+'[2]táj.2'!P571</f>
        <v>0</v>
      </c>
      <c r="Q571" s="7">
        <f t="shared" si="32"/>
        <v>2000</v>
      </c>
    </row>
    <row r="572" spans="1:17" ht="12.75">
      <c r="A572" s="198"/>
      <c r="B572" s="198"/>
      <c r="C572" s="214" t="s">
        <v>1247</v>
      </c>
      <c r="D572" s="356" t="s">
        <v>1248</v>
      </c>
      <c r="E572" s="351"/>
      <c r="F572" s="223">
        <v>162959</v>
      </c>
      <c r="G572" s="3">
        <f>0+'[2]táj.2'!G572</f>
        <v>0</v>
      </c>
      <c r="H572" s="3">
        <f>0+'[2]táj.2'!H572</f>
        <v>0</v>
      </c>
      <c r="I572" s="3">
        <f>139+'[2]táj.2'!I572</f>
        <v>139</v>
      </c>
      <c r="J572" s="3">
        <f>0+'[2]táj.2'!J572</f>
        <v>0</v>
      </c>
      <c r="K572" s="3">
        <f>0+'[2]táj.2'!K572</f>
        <v>0</v>
      </c>
      <c r="L572" s="3">
        <f>5320+'[2]táj.2'!L572</f>
        <v>5320</v>
      </c>
      <c r="M572" s="3">
        <f>0+'[2]táj.2'!M572</f>
        <v>0</v>
      </c>
      <c r="N572" s="3">
        <f>0+'[2]táj.2'!N572</f>
        <v>0</v>
      </c>
      <c r="O572" s="3">
        <f>0+'[2]táj.2'!O572</f>
        <v>0</v>
      </c>
      <c r="P572" s="3">
        <f>0+'[2]táj.2'!P572</f>
        <v>0</v>
      </c>
      <c r="Q572" s="7">
        <f t="shared" si="32"/>
        <v>5459</v>
      </c>
    </row>
    <row r="573" spans="1:17" ht="25.5">
      <c r="A573" s="198"/>
      <c r="B573" s="198"/>
      <c r="C573" s="214" t="s">
        <v>1249</v>
      </c>
      <c r="D573" s="176" t="s">
        <v>1250</v>
      </c>
      <c r="E573" s="9"/>
      <c r="F573" s="223">
        <v>182906</v>
      </c>
      <c r="G573" s="3">
        <f>0+'[2]táj.2'!G573</f>
        <v>0</v>
      </c>
      <c r="H573" s="3">
        <f>0+'[2]táj.2'!H573</f>
        <v>0</v>
      </c>
      <c r="I573" s="3">
        <f>100+'[2]táj.2'!I573</f>
        <v>100</v>
      </c>
      <c r="J573" s="3">
        <f>0+'[2]táj.2'!J573</f>
        <v>0</v>
      </c>
      <c r="K573" s="3">
        <f>0+'[2]táj.2'!K573</f>
        <v>0</v>
      </c>
      <c r="L573" s="3">
        <f>29860+'[2]táj.2'!L573</f>
        <v>29860</v>
      </c>
      <c r="M573" s="3">
        <f>0+'[2]táj.2'!M573</f>
        <v>0</v>
      </c>
      <c r="N573" s="3">
        <f>0+'[2]táj.2'!N573</f>
        <v>0</v>
      </c>
      <c r="O573" s="3">
        <f>0+'[2]táj.2'!O573</f>
        <v>0</v>
      </c>
      <c r="P573" s="3">
        <f>0+'[2]táj.2'!P573</f>
        <v>0</v>
      </c>
      <c r="Q573" s="7">
        <f t="shared" si="32"/>
        <v>29960</v>
      </c>
    </row>
    <row r="574" spans="1:17" ht="12.75">
      <c r="A574" s="198"/>
      <c r="B574" s="198"/>
      <c r="C574" s="214" t="s">
        <v>103</v>
      </c>
      <c r="D574" s="174" t="s">
        <v>1166</v>
      </c>
      <c r="E574" s="223"/>
      <c r="F574" s="223">
        <v>134964</v>
      </c>
      <c r="G574" s="3">
        <f>0+'[2]táj.2'!G574</f>
        <v>0</v>
      </c>
      <c r="H574" s="3">
        <f>0+'[2]táj.2'!H574</f>
        <v>0</v>
      </c>
      <c r="I574" s="3">
        <f>0+'[2]táj.2'!I574</f>
        <v>0</v>
      </c>
      <c r="J574" s="3">
        <f>0+'[2]táj.2'!J574</f>
        <v>0</v>
      </c>
      <c r="K574" s="3">
        <f>0+'[2]táj.2'!K574</f>
        <v>0</v>
      </c>
      <c r="L574" s="3">
        <f>0+'[2]táj.2'!L574</f>
        <v>0</v>
      </c>
      <c r="M574" s="3">
        <f>904+'[2]táj.2'!M574</f>
        <v>904</v>
      </c>
      <c r="N574" s="3">
        <f>0+'[2]táj.2'!N574</f>
        <v>0</v>
      </c>
      <c r="O574" s="3">
        <f>0+'[2]táj.2'!O574</f>
        <v>0</v>
      </c>
      <c r="P574" s="3">
        <f>0+'[2]táj.2'!P574</f>
        <v>0</v>
      </c>
      <c r="Q574" s="7">
        <f>SUM(G574:P574)</f>
        <v>904</v>
      </c>
    </row>
    <row r="575" spans="1:17" ht="13.5">
      <c r="A575" s="198"/>
      <c r="B575" s="198"/>
      <c r="C575" s="214" t="s">
        <v>158</v>
      </c>
      <c r="D575" s="277" t="s">
        <v>1251</v>
      </c>
      <c r="E575" s="325"/>
      <c r="F575" s="22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7"/>
    </row>
    <row r="576" spans="1:17" ht="12.75">
      <c r="A576" s="198"/>
      <c r="B576" s="198"/>
      <c r="C576" s="275" t="s">
        <v>1252</v>
      </c>
      <c r="D576" s="287" t="s">
        <v>1253</v>
      </c>
      <c r="E576" s="325"/>
      <c r="F576" s="22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7"/>
    </row>
    <row r="577" spans="1:17" ht="12.75">
      <c r="A577" s="198"/>
      <c r="B577" s="198"/>
      <c r="C577" s="275"/>
      <c r="D577" s="283" t="s">
        <v>656</v>
      </c>
      <c r="E577" s="325"/>
      <c r="F577" s="22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7"/>
    </row>
    <row r="578" spans="1:17" ht="25.5">
      <c r="A578" s="198"/>
      <c r="B578" s="198"/>
      <c r="C578" s="290" t="s">
        <v>1254</v>
      </c>
      <c r="D578" s="667" t="s">
        <v>1255</v>
      </c>
      <c r="E578" s="325"/>
      <c r="F578" s="223">
        <v>163601</v>
      </c>
      <c r="G578" s="3">
        <f>1990+'[2]táj.2'!G578</f>
        <v>1990</v>
      </c>
      <c r="H578" s="3">
        <f>442+'[2]táj.2'!H578</f>
        <v>442</v>
      </c>
      <c r="I578" s="3">
        <f>165+'[2]táj.2'!I578</f>
        <v>165</v>
      </c>
      <c r="J578" s="3">
        <f>0+'[2]táj.2'!J578</f>
        <v>0</v>
      </c>
      <c r="K578" s="3">
        <f>0+'[2]táj.2'!K578</f>
        <v>0</v>
      </c>
      <c r="L578" s="3">
        <f>0+'[2]táj.2'!L578</f>
        <v>0</v>
      </c>
      <c r="M578" s="3">
        <f>0+'[2]táj.2'!M578</f>
        <v>0</v>
      </c>
      <c r="N578" s="3">
        <f>0+'[2]táj.2'!N578</f>
        <v>0</v>
      </c>
      <c r="O578" s="3">
        <f>0+'[2]táj.2'!O578</f>
        <v>0</v>
      </c>
      <c r="P578" s="3">
        <f>0+'[2]táj.2'!P578</f>
        <v>0</v>
      </c>
      <c r="Q578" s="7">
        <f aca="true" t="shared" si="33" ref="Q578:Q606">SUM(G578:P578)</f>
        <v>2597</v>
      </c>
    </row>
    <row r="579" spans="1:17" ht="38.25">
      <c r="A579" s="198"/>
      <c r="B579" s="198"/>
      <c r="C579" s="290" t="s">
        <v>1256</v>
      </c>
      <c r="D579" s="667" t="s">
        <v>363</v>
      </c>
      <c r="E579" s="325"/>
      <c r="F579" s="223">
        <v>163603</v>
      </c>
      <c r="G579" s="3">
        <f>4618+'[2]táj.2'!G579</f>
        <v>4618</v>
      </c>
      <c r="H579" s="3">
        <f>982+'[2]táj.2'!H579</f>
        <v>982</v>
      </c>
      <c r="I579" s="3">
        <f>212+'[2]táj.2'!I579</f>
        <v>212</v>
      </c>
      <c r="J579" s="3">
        <f>0+'[2]táj.2'!J579</f>
        <v>0</v>
      </c>
      <c r="K579" s="3">
        <f>0+'[2]táj.2'!K579</f>
        <v>0</v>
      </c>
      <c r="L579" s="3">
        <f>1265+'[2]táj.2'!L579</f>
        <v>1265</v>
      </c>
      <c r="M579" s="3">
        <f>3036+'[2]táj.2'!M579</f>
        <v>3036</v>
      </c>
      <c r="N579" s="3">
        <f>0+'[2]táj.2'!N579</f>
        <v>0</v>
      </c>
      <c r="O579" s="3">
        <f>0+'[2]táj.2'!O579</f>
        <v>0</v>
      </c>
      <c r="P579" s="3">
        <f>0+'[2]táj.2'!P579</f>
        <v>0</v>
      </c>
      <c r="Q579" s="7">
        <f t="shared" si="33"/>
        <v>10113</v>
      </c>
    </row>
    <row r="580" spans="1:17" ht="25.5">
      <c r="A580" s="198"/>
      <c r="B580" s="198"/>
      <c r="C580" s="290" t="s">
        <v>1257</v>
      </c>
      <c r="D580" s="668" t="s">
        <v>362</v>
      </c>
      <c r="E580" s="325"/>
      <c r="F580" s="223">
        <v>163604</v>
      </c>
      <c r="G580" s="3">
        <f>2896+'[2]táj.2'!G580</f>
        <v>2896</v>
      </c>
      <c r="H580" s="3">
        <f>604+'[2]táj.2'!H580</f>
        <v>604</v>
      </c>
      <c r="I580" s="3">
        <f>14+'[2]táj.2'!I580</f>
        <v>14</v>
      </c>
      <c r="J580" s="3">
        <f>0+'[2]táj.2'!J580</f>
        <v>0</v>
      </c>
      <c r="K580" s="3">
        <f>0+'[2]táj.2'!K580</f>
        <v>0</v>
      </c>
      <c r="L580" s="3">
        <f>0+'[2]táj.2'!L580</f>
        <v>0</v>
      </c>
      <c r="M580" s="3">
        <f>592+'[2]táj.2'!M580</f>
        <v>592</v>
      </c>
      <c r="N580" s="3">
        <f>0+'[2]táj.2'!N580</f>
        <v>0</v>
      </c>
      <c r="O580" s="3">
        <f>0+'[2]táj.2'!O580</f>
        <v>0</v>
      </c>
      <c r="P580" s="3">
        <f>0+'[2]táj.2'!P580</f>
        <v>0</v>
      </c>
      <c r="Q580" s="7">
        <f t="shared" si="33"/>
        <v>4106</v>
      </c>
    </row>
    <row r="581" spans="1:17" ht="25.5">
      <c r="A581" s="198"/>
      <c r="B581" s="198"/>
      <c r="C581" s="290" t="s">
        <v>1258</v>
      </c>
      <c r="D581" s="668" t="s">
        <v>364</v>
      </c>
      <c r="E581" s="325"/>
      <c r="F581" s="223">
        <v>163606</v>
      </c>
      <c r="G581" s="3">
        <f>2393+'[2]táj.2'!G581</f>
        <v>2393</v>
      </c>
      <c r="H581" s="3">
        <f>647+'[2]táj.2'!H581</f>
        <v>647</v>
      </c>
      <c r="I581" s="3">
        <f>30246+'[2]táj.2'!I581</f>
        <v>30246</v>
      </c>
      <c r="J581" s="3">
        <f>0+'[2]táj.2'!J581</f>
        <v>0</v>
      </c>
      <c r="K581" s="3">
        <f>0+'[2]táj.2'!K581</f>
        <v>0</v>
      </c>
      <c r="L581" s="3">
        <f>42037+'[2]táj.2'!L581</f>
        <v>42037</v>
      </c>
      <c r="M581" s="3">
        <f>70811+'[2]táj.2'!M581</f>
        <v>70811</v>
      </c>
      <c r="N581" s="3">
        <f>0+'[2]táj.2'!N581</f>
        <v>0</v>
      </c>
      <c r="O581" s="3">
        <f>0+'[2]táj.2'!O581</f>
        <v>0</v>
      </c>
      <c r="P581" s="3">
        <f>0+'[2]táj.2'!P581</f>
        <v>0</v>
      </c>
      <c r="Q581" s="7">
        <f t="shared" si="33"/>
        <v>146134</v>
      </c>
    </row>
    <row r="582" spans="1:17" ht="63.75">
      <c r="A582" s="198"/>
      <c r="B582" s="198"/>
      <c r="C582" s="290" t="s">
        <v>1259</v>
      </c>
      <c r="D582" s="667" t="s">
        <v>368</v>
      </c>
      <c r="E582" s="325"/>
      <c r="F582" s="223">
        <v>163607</v>
      </c>
      <c r="G582" s="3">
        <f>0+'[2]táj.2'!G582</f>
        <v>0</v>
      </c>
      <c r="H582" s="3">
        <f>0+'[2]táj.2'!H582</f>
        <v>0</v>
      </c>
      <c r="I582" s="3">
        <f>42550+'[2]táj.2'!I582</f>
        <v>42550</v>
      </c>
      <c r="J582" s="3">
        <f>0+'[2]táj.2'!J582</f>
        <v>0</v>
      </c>
      <c r="K582" s="3">
        <f>0+'[2]táj.2'!K582</f>
        <v>0</v>
      </c>
      <c r="L582" s="3">
        <f>906292+'[2]táj.2'!L582</f>
        <v>906292</v>
      </c>
      <c r="M582" s="3">
        <f>0+'[2]táj.2'!M582</f>
        <v>0</v>
      </c>
      <c r="N582" s="3">
        <f>0+'[2]táj.2'!N582</f>
        <v>0</v>
      </c>
      <c r="O582" s="3">
        <f>0+'[2]táj.2'!O582</f>
        <v>0</v>
      </c>
      <c r="P582" s="3">
        <f>0+'[2]táj.2'!P582</f>
        <v>0</v>
      </c>
      <c r="Q582" s="7">
        <f t="shared" si="33"/>
        <v>948842</v>
      </c>
    </row>
    <row r="583" spans="1:17" ht="38.25">
      <c r="A583" s="198"/>
      <c r="B583" s="198"/>
      <c r="C583" s="290" t="s">
        <v>1260</v>
      </c>
      <c r="D583" s="667" t="s">
        <v>358</v>
      </c>
      <c r="E583" s="325"/>
      <c r="F583" s="223">
        <v>163608</v>
      </c>
      <c r="G583" s="3">
        <f>5948+'[2]táj.2'!G583</f>
        <v>5948</v>
      </c>
      <c r="H583" s="3">
        <f>1556+'[2]táj.2'!H583</f>
        <v>1556</v>
      </c>
      <c r="I583" s="3">
        <f>129466+'[2]táj.2'!I583</f>
        <v>129466</v>
      </c>
      <c r="J583" s="3">
        <f>0+'[2]táj.2'!J583</f>
        <v>0</v>
      </c>
      <c r="K583" s="3">
        <f>0+'[2]táj.2'!K583</f>
        <v>0</v>
      </c>
      <c r="L583" s="3">
        <f>351356+'[2]táj.2'!L583</f>
        <v>351356</v>
      </c>
      <c r="M583" s="3">
        <f>0+'[2]táj.2'!M583</f>
        <v>0</v>
      </c>
      <c r="N583" s="3">
        <f>0+'[2]táj.2'!N583</f>
        <v>0</v>
      </c>
      <c r="O583" s="3">
        <f>0+'[2]táj.2'!O583</f>
        <v>0</v>
      </c>
      <c r="P583" s="3">
        <f>0+'[2]táj.2'!P583</f>
        <v>0</v>
      </c>
      <c r="Q583" s="7">
        <f t="shared" si="33"/>
        <v>488326</v>
      </c>
    </row>
    <row r="584" spans="1:17" ht="25.5">
      <c r="A584" s="198"/>
      <c r="B584" s="198"/>
      <c r="C584" s="290" t="s">
        <v>1261</v>
      </c>
      <c r="D584" s="667" t="s">
        <v>371</v>
      </c>
      <c r="E584" s="325"/>
      <c r="F584" s="223">
        <v>163609</v>
      </c>
      <c r="G584" s="3">
        <f>0+'[2]táj.2'!G584</f>
        <v>0</v>
      </c>
      <c r="H584" s="3">
        <f>0+'[2]táj.2'!H584</f>
        <v>0</v>
      </c>
      <c r="I584" s="3">
        <f>42617+'[2]táj.2'!I584</f>
        <v>42617</v>
      </c>
      <c r="J584" s="3">
        <f>0+'[2]táj.2'!J584</f>
        <v>0</v>
      </c>
      <c r="K584" s="3">
        <f>0+'[2]táj.2'!K584</f>
        <v>0</v>
      </c>
      <c r="L584" s="3">
        <f>348299+'[2]táj.2'!L584</f>
        <v>348299</v>
      </c>
      <c r="M584" s="3">
        <f>0+'[2]táj.2'!M584</f>
        <v>0</v>
      </c>
      <c r="N584" s="3">
        <f>0+'[2]táj.2'!N584</f>
        <v>0</v>
      </c>
      <c r="O584" s="3">
        <f>0+'[2]táj.2'!O584</f>
        <v>0</v>
      </c>
      <c r="P584" s="3">
        <f>0+'[2]táj.2'!P584</f>
        <v>0</v>
      </c>
      <c r="Q584" s="7">
        <f t="shared" si="33"/>
        <v>390916</v>
      </c>
    </row>
    <row r="585" spans="1:17" ht="38.25">
      <c r="A585" s="198"/>
      <c r="B585" s="198"/>
      <c r="C585" s="290" t="s">
        <v>1262</v>
      </c>
      <c r="D585" s="669" t="s">
        <v>365</v>
      </c>
      <c r="E585" s="325"/>
      <c r="F585" s="223">
        <v>163611</v>
      </c>
      <c r="G585" s="3">
        <f>2000+'[2]táj.2'!G585</f>
        <v>2000</v>
      </c>
      <c r="H585" s="3">
        <f>540+'[2]táj.2'!H585</f>
        <v>540</v>
      </c>
      <c r="I585" s="3">
        <f>8171+'[2]táj.2'!I585</f>
        <v>8171</v>
      </c>
      <c r="J585" s="3">
        <f>0+'[2]táj.2'!J585</f>
        <v>0</v>
      </c>
      <c r="K585" s="3">
        <f>0+'[2]táj.2'!K585</f>
        <v>0</v>
      </c>
      <c r="L585" s="3">
        <f>348279+'[2]táj.2'!L585</f>
        <v>348279</v>
      </c>
      <c r="M585" s="3">
        <f>6350+'[2]táj.2'!M585</f>
        <v>6350</v>
      </c>
      <c r="N585" s="3">
        <f>0+'[2]táj.2'!N585</f>
        <v>0</v>
      </c>
      <c r="O585" s="3">
        <f>0+'[2]táj.2'!O585</f>
        <v>0</v>
      </c>
      <c r="P585" s="3">
        <f>0+'[2]táj.2'!P585</f>
        <v>0</v>
      </c>
      <c r="Q585" s="7">
        <f t="shared" si="33"/>
        <v>365340</v>
      </c>
    </row>
    <row r="586" spans="1:17" ht="38.25">
      <c r="A586" s="198"/>
      <c r="B586" s="198"/>
      <c r="C586" s="290" t="s">
        <v>1263</v>
      </c>
      <c r="D586" s="670" t="s">
        <v>318</v>
      </c>
      <c r="E586" s="325"/>
      <c r="F586" s="223">
        <v>163612</v>
      </c>
      <c r="G586" s="3">
        <f>0+'[2]táj.2'!G586</f>
        <v>0</v>
      </c>
      <c r="H586" s="3">
        <f>0+'[2]táj.2'!H586</f>
        <v>0</v>
      </c>
      <c r="I586" s="3">
        <f>148422+'[2]táj.2'!I586</f>
        <v>148422</v>
      </c>
      <c r="J586" s="3">
        <f>0+'[2]táj.2'!J586</f>
        <v>0</v>
      </c>
      <c r="K586" s="3">
        <f>0+'[2]táj.2'!K586</f>
        <v>0</v>
      </c>
      <c r="L586" s="3">
        <f>332689+'[2]táj.2'!L586</f>
        <v>332689</v>
      </c>
      <c r="M586" s="3">
        <f>0+'[2]táj.2'!M586</f>
        <v>0</v>
      </c>
      <c r="N586" s="3">
        <f>0+'[2]táj.2'!N586</f>
        <v>0</v>
      </c>
      <c r="O586" s="3">
        <f>0+'[2]táj.2'!O586</f>
        <v>0</v>
      </c>
      <c r="P586" s="3">
        <f>0+'[2]táj.2'!P586</f>
        <v>0</v>
      </c>
      <c r="Q586" s="7">
        <f t="shared" si="33"/>
        <v>481111</v>
      </c>
    </row>
    <row r="587" spans="1:17" ht="25.5">
      <c r="A587" s="198"/>
      <c r="B587" s="198"/>
      <c r="C587" s="290" t="s">
        <v>1264</v>
      </c>
      <c r="D587" s="670" t="s">
        <v>1265</v>
      </c>
      <c r="E587" s="325"/>
      <c r="F587" s="223">
        <v>163613</v>
      </c>
      <c r="G587" s="3">
        <f>0+'[2]táj.2'!G587</f>
        <v>0</v>
      </c>
      <c r="H587" s="3">
        <f>0+'[2]táj.2'!H587</f>
        <v>0</v>
      </c>
      <c r="I587" s="3">
        <f>74333+'[2]táj.2'!I587</f>
        <v>74333</v>
      </c>
      <c r="J587" s="3">
        <f>0+'[2]táj.2'!J587</f>
        <v>0</v>
      </c>
      <c r="K587" s="3">
        <f>0+'[2]táj.2'!K587</f>
        <v>0</v>
      </c>
      <c r="L587" s="3">
        <f>151627+'[2]táj.2'!L587</f>
        <v>151627</v>
      </c>
      <c r="M587" s="3">
        <f>0+'[2]táj.2'!M587</f>
        <v>0</v>
      </c>
      <c r="N587" s="3">
        <f>0+'[2]táj.2'!N587</f>
        <v>0</v>
      </c>
      <c r="O587" s="3">
        <f>0+'[2]táj.2'!O587</f>
        <v>0</v>
      </c>
      <c r="P587" s="3">
        <f>0+'[2]táj.2'!P587</f>
        <v>0</v>
      </c>
      <c r="Q587" s="7">
        <f t="shared" si="33"/>
        <v>225960</v>
      </c>
    </row>
    <row r="588" spans="1:17" ht="38.25">
      <c r="A588" s="198"/>
      <c r="B588" s="198"/>
      <c r="C588" s="290" t="s">
        <v>1266</v>
      </c>
      <c r="D588" s="670" t="s">
        <v>359</v>
      </c>
      <c r="E588" s="325"/>
      <c r="F588" s="223">
        <v>163614</v>
      </c>
      <c r="G588" s="3">
        <f>1000+'[2]táj.2'!G588</f>
        <v>1000</v>
      </c>
      <c r="H588" s="3">
        <f>270+'[2]táj.2'!H588</f>
        <v>270</v>
      </c>
      <c r="I588" s="3">
        <f>8340+'[2]táj.2'!I588</f>
        <v>8340</v>
      </c>
      <c r="J588" s="3">
        <f>0+'[2]táj.2'!J588</f>
        <v>0</v>
      </c>
      <c r="K588" s="3">
        <f>0+'[2]táj.2'!K588</f>
        <v>0</v>
      </c>
      <c r="L588" s="3">
        <f>78838+'[2]táj.2'!L588</f>
        <v>78838</v>
      </c>
      <c r="M588" s="3">
        <f>0+'[2]táj.2'!M588</f>
        <v>0</v>
      </c>
      <c r="N588" s="3">
        <f>0+'[2]táj.2'!N588</f>
        <v>0</v>
      </c>
      <c r="O588" s="3">
        <f>0+'[2]táj.2'!O588</f>
        <v>0</v>
      </c>
      <c r="P588" s="3">
        <f>0+'[2]táj.2'!P588</f>
        <v>0</v>
      </c>
      <c r="Q588" s="7">
        <f t="shared" si="33"/>
        <v>88448</v>
      </c>
    </row>
    <row r="589" spans="1:17" ht="51">
      <c r="A589" s="198"/>
      <c r="B589" s="198"/>
      <c r="C589" s="290" t="s">
        <v>1267</v>
      </c>
      <c r="D589" s="670" t="s">
        <v>370</v>
      </c>
      <c r="E589" s="325"/>
      <c r="F589" s="223">
        <v>163615</v>
      </c>
      <c r="G589" s="3">
        <f>0+'[2]táj.2'!G589</f>
        <v>0</v>
      </c>
      <c r="H589" s="3">
        <f>0+'[2]táj.2'!H589</f>
        <v>0</v>
      </c>
      <c r="I589" s="3">
        <f>8987+'[2]táj.2'!I589</f>
        <v>8987</v>
      </c>
      <c r="J589" s="3">
        <f>0+'[2]táj.2'!J589</f>
        <v>0</v>
      </c>
      <c r="K589" s="3">
        <f>0+'[2]táj.2'!K589</f>
        <v>0</v>
      </c>
      <c r="L589" s="3">
        <f>0+'[2]táj.2'!L589</f>
        <v>0</v>
      </c>
      <c r="M589" s="3">
        <f>0+'[2]táj.2'!M589</f>
        <v>0</v>
      </c>
      <c r="N589" s="3">
        <f>0+'[2]táj.2'!N589</f>
        <v>0</v>
      </c>
      <c r="O589" s="3">
        <f>0+'[2]táj.2'!O589</f>
        <v>0</v>
      </c>
      <c r="P589" s="3">
        <f>0+'[2]táj.2'!P589</f>
        <v>0</v>
      </c>
      <c r="Q589" s="7">
        <f t="shared" si="33"/>
        <v>8987</v>
      </c>
    </row>
    <row r="590" spans="1:17" ht="25.5">
      <c r="A590" s="198"/>
      <c r="B590" s="198"/>
      <c r="C590" s="290" t="s">
        <v>1268</v>
      </c>
      <c r="D590" s="670" t="s">
        <v>366</v>
      </c>
      <c r="E590" s="325"/>
      <c r="F590" s="223">
        <v>163616</v>
      </c>
      <c r="G590" s="3">
        <f>2000+'[2]táj.2'!G590</f>
        <v>2000</v>
      </c>
      <c r="H590" s="3">
        <f>540+'[2]táj.2'!H590</f>
        <v>540</v>
      </c>
      <c r="I590" s="3">
        <f>14934+'[2]táj.2'!I590</f>
        <v>14934</v>
      </c>
      <c r="J590" s="3">
        <f>0+'[2]táj.2'!J590</f>
        <v>0</v>
      </c>
      <c r="K590" s="3">
        <f>0+'[2]táj.2'!K590</f>
        <v>0</v>
      </c>
      <c r="L590" s="3">
        <f>13825+'[2]táj.2'!L590</f>
        <v>13825</v>
      </c>
      <c r="M590" s="3">
        <f>0+'[2]táj.2'!M590</f>
        <v>0</v>
      </c>
      <c r="N590" s="3">
        <f>0+'[2]táj.2'!N590</f>
        <v>0</v>
      </c>
      <c r="O590" s="3">
        <f>0+'[2]táj.2'!O590</f>
        <v>0</v>
      </c>
      <c r="P590" s="3">
        <f>0+'[2]táj.2'!P590</f>
        <v>0</v>
      </c>
      <c r="Q590" s="7">
        <f t="shared" si="33"/>
        <v>31299</v>
      </c>
    </row>
    <row r="591" spans="1:17" ht="51">
      <c r="A591" s="198"/>
      <c r="B591" s="198"/>
      <c r="C591" s="290" t="s">
        <v>1269</v>
      </c>
      <c r="D591" s="670" t="s">
        <v>367</v>
      </c>
      <c r="E591" s="325"/>
      <c r="F591" s="223">
        <v>163617</v>
      </c>
      <c r="G591" s="3">
        <f>900+'[2]táj.2'!G591</f>
        <v>900</v>
      </c>
      <c r="H591" s="3">
        <f>199+'[2]táj.2'!H591</f>
        <v>199</v>
      </c>
      <c r="I591" s="3">
        <f>0+'[2]táj.2'!I591</f>
        <v>0</v>
      </c>
      <c r="J591" s="3">
        <f>0+'[2]táj.2'!J591</f>
        <v>0</v>
      </c>
      <c r="K591" s="3">
        <f>0+'[2]táj.2'!K591</f>
        <v>0</v>
      </c>
      <c r="L591" s="3">
        <f>0+'[2]táj.2'!L591</f>
        <v>0</v>
      </c>
      <c r="M591" s="3">
        <f>0+'[2]táj.2'!M591</f>
        <v>0</v>
      </c>
      <c r="N591" s="3">
        <f>0+'[2]táj.2'!N591</f>
        <v>0</v>
      </c>
      <c r="O591" s="3">
        <f>0+'[2]táj.2'!O591</f>
        <v>0</v>
      </c>
      <c r="P591" s="3">
        <f>0+'[2]táj.2'!P591</f>
        <v>0</v>
      </c>
      <c r="Q591" s="7">
        <f t="shared" si="33"/>
        <v>1099</v>
      </c>
    </row>
    <row r="592" spans="1:17" ht="38.25">
      <c r="A592" s="198"/>
      <c r="B592" s="198"/>
      <c r="C592" s="290" t="s">
        <v>1270</v>
      </c>
      <c r="D592" s="670" t="s">
        <v>361</v>
      </c>
      <c r="E592" s="325"/>
      <c r="F592" s="223">
        <v>163622</v>
      </c>
      <c r="G592" s="3">
        <f>2431+'[2]táj.2'!G592</f>
        <v>2431</v>
      </c>
      <c r="H592" s="3">
        <f>477+'[2]táj.2'!H592</f>
        <v>477</v>
      </c>
      <c r="I592" s="3">
        <f>0+'[2]táj.2'!I592</f>
        <v>0</v>
      </c>
      <c r="J592" s="3">
        <f>0+'[2]táj.2'!J592</f>
        <v>0</v>
      </c>
      <c r="K592" s="3">
        <f>0+'[2]táj.2'!K592</f>
        <v>0</v>
      </c>
      <c r="L592" s="3">
        <f>0+'[2]táj.2'!L592</f>
        <v>0</v>
      </c>
      <c r="M592" s="3">
        <f>0+'[2]táj.2'!M592</f>
        <v>0</v>
      </c>
      <c r="N592" s="3">
        <f>0+'[2]táj.2'!N592</f>
        <v>0</v>
      </c>
      <c r="O592" s="3">
        <f>0+'[2]táj.2'!O592</f>
        <v>0</v>
      </c>
      <c r="P592" s="3">
        <f>0+'[2]táj.2'!P592</f>
        <v>0</v>
      </c>
      <c r="Q592" s="7">
        <f t="shared" si="33"/>
        <v>2908</v>
      </c>
    </row>
    <row r="593" spans="1:17" ht="38.25">
      <c r="A593" s="198"/>
      <c r="B593" s="198"/>
      <c r="C593" s="290" t="s">
        <v>1271</v>
      </c>
      <c r="D593" s="670" t="s">
        <v>360</v>
      </c>
      <c r="E593" s="325"/>
      <c r="F593" s="223">
        <v>163623</v>
      </c>
      <c r="G593" s="3">
        <f>2431+'[2]táj.2'!G593</f>
        <v>2431</v>
      </c>
      <c r="H593" s="3">
        <f>477+'[2]táj.2'!H593</f>
        <v>477</v>
      </c>
      <c r="I593" s="3">
        <f>100+'[2]táj.2'!I593</f>
        <v>100</v>
      </c>
      <c r="J593" s="3">
        <f>0+'[2]táj.2'!J593</f>
        <v>0</v>
      </c>
      <c r="K593" s="3">
        <f>0+'[2]táj.2'!K593</f>
        <v>0</v>
      </c>
      <c r="L593" s="3">
        <f>0+'[2]táj.2'!L593</f>
        <v>0</v>
      </c>
      <c r="M593" s="3">
        <f>0+'[2]táj.2'!M593</f>
        <v>0</v>
      </c>
      <c r="N593" s="3">
        <f>0+'[2]táj.2'!N593</f>
        <v>0</v>
      </c>
      <c r="O593" s="3">
        <f>0+'[2]táj.2'!O593</f>
        <v>0</v>
      </c>
      <c r="P593" s="3">
        <f>0+'[2]táj.2'!P593</f>
        <v>0</v>
      </c>
      <c r="Q593" s="7">
        <f t="shared" si="33"/>
        <v>3008</v>
      </c>
    </row>
    <row r="594" spans="1:17" ht="25.5">
      <c r="A594" s="198"/>
      <c r="B594" s="198"/>
      <c r="C594" s="290" t="s">
        <v>1272</v>
      </c>
      <c r="D594" s="176" t="s">
        <v>343</v>
      </c>
      <c r="E594" s="325"/>
      <c r="F594" s="223">
        <v>163625</v>
      </c>
      <c r="G594" s="3">
        <f>0+'[2]táj.2'!G594</f>
        <v>0</v>
      </c>
      <c r="H594" s="3">
        <f>0+'[2]táj.2'!H594</f>
        <v>0</v>
      </c>
      <c r="I594" s="3">
        <f>87000+'[2]táj.2'!I594</f>
        <v>87000</v>
      </c>
      <c r="J594" s="3">
        <f>0+'[2]táj.2'!J594</f>
        <v>0</v>
      </c>
      <c r="K594" s="3">
        <f>0+'[2]táj.2'!K594</f>
        <v>0</v>
      </c>
      <c r="L594" s="3">
        <f>1001000+'[2]táj.2'!L594</f>
        <v>1001000</v>
      </c>
      <c r="M594" s="3">
        <f>0+'[2]táj.2'!M594</f>
        <v>0</v>
      </c>
      <c r="N594" s="3">
        <f>0+'[2]táj.2'!N594</f>
        <v>0</v>
      </c>
      <c r="O594" s="3">
        <f>0+'[2]táj.2'!O594</f>
        <v>0</v>
      </c>
      <c r="P594" s="3">
        <f>0+'[2]táj.2'!P594</f>
        <v>0</v>
      </c>
      <c r="Q594" s="7">
        <f t="shared" si="33"/>
        <v>1088000</v>
      </c>
    </row>
    <row r="595" spans="1:17" ht="25.5">
      <c r="A595" s="198"/>
      <c r="B595" s="198"/>
      <c r="C595" s="290" t="s">
        <v>1273</v>
      </c>
      <c r="D595" s="172" t="s">
        <v>345</v>
      </c>
      <c r="E595" s="325"/>
      <c r="F595" s="223">
        <v>163626</v>
      </c>
      <c r="G595" s="3">
        <f>0+'[2]táj.2'!G595</f>
        <v>0</v>
      </c>
      <c r="H595" s="3">
        <f>0+'[2]táj.2'!H595</f>
        <v>0</v>
      </c>
      <c r="I595" s="3">
        <f>62864+'[2]táj.2'!I595</f>
        <v>62864</v>
      </c>
      <c r="J595" s="3">
        <f>0+'[2]táj.2'!J595</f>
        <v>0</v>
      </c>
      <c r="K595" s="3">
        <f>0+'[2]táj.2'!K595</f>
        <v>0</v>
      </c>
      <c r="L595" s="3">
        <f>151234+'[2]táj.2'!L595</f>
        <v>151234</v>
      </c>
      <c r="M595" s="3">
        <f>0+'[2]táj.2'!M595</f>
        <v>0</v>
      </c>
      <c r="N595" s="3">
        <f>0+'[2]táj.2'!N595</f>
        <v>0</v>
      </c>
      <c r="O595" s="3">
        <f>0+'[2]táj.2'!O595</f>
        <v>0</v>
      </c>
      <c r="P595" s="3">
        <f>0+'[2]táj.2'!P595</f>
        <v>0</v>
      </c>
      <c r="Q595" s="7">
        <f t="shared" si="33"/>
        <v>214098</v>
      </c>
    </row>
    <row r="596" spans="1:17" ht="25.5">
      <c r="A596" s="198"/>
      <c r="B596" s="198"/>
      <c r="C596" s="290" t="s">
        <v>1274</v>
      </c>
      <c r="D596" s="671" t="s">
        <v>369</v>
      </c>
      <c r="E596" s="325"/>
      <c r="F596" s="223">
        <v>163627</v>
      </c>
      <c r="G596" s="3">
        <f>2535+'[2]táj.2'!G596</f>
        <v>2535</v>
      </c>
      <c r="H596" s="3">
        <f>975+'[2]táj.2'!H596</f>
        <v>975</v>
      </c>
      <c r="I596" s="3">
        <f>267175+'[2]táj.2'!I596</f>
        <v>267175</v>
      </c>
      <c r="J596" s="3">
        <f>0+'[2]táj.2'!J596</f>
        <v>0</v>
      </c>
      <c r="K596" s="3">
        <f>0+'[2]táj.2'!K596</f>
        <v>0</v>
      </c>
      <c r="L596" s="3">
        <f>191453+'[2]táj.2'!L596</f>
        <v>191453</v>
      </c>
      <c r="M596" s="3">
        <f>804625+'[2]táj.2'!M596</f>
        <v>804625</v>
      </c>
      <c r="N596" s="3">
        <f>0+'[2]táj.2'!N596</f>
        <v>0</v>
      </c>
      <c r="O596" s="3">
        <f>0+'[2]táj.2'!O596</f>
        <v>0</v>
      </c>
      <c r="P596" s="3">
        <f>0+'[2]táj.2'!P596</f>
        <v>0</v>
      </c>
      <c r="Q596" s="7">
        <f t="shared" si="33"/>
        <v>1266763</v>
      </c>
    </row>
    <row r="597" spans="1:17" ht="25.5">
      <c r="A597" s="198"/>
      <c r="B597" s="198"/>
      <c r="C597" s="290" t="s">
        <v>1275</v>
      </c>
      <c r="D597" s="671" t="s">
        <v>1276</v>
      </c>
      <c r="E597" s="325"/>
      <c r="F597" s="223">
        <v>163629</v>
      </c>
      <c r="G597" s="3">
        <f>0+'[2]táj.2'!G597</f>
        <v>0</v>
      </c>
      <c r="H597" s="3">
        <f>0+'[2]táj.2'!H597</f>
        <v>0</v>
      </c>
      <c r="I597" s="3">
        <f>297638+'[2]táj.2'!I597</f>
        <v>297638</v>
      </c>
      <c r="J597" s="3">
        <f>0+'[2]táj.2'!J597</f>
        <v>0</v>
      </c>
      <c r="K597" s="3">
        <f>0+'[2]táj.2'!K597</f>
        <v>0</v>
      </c>
      <c r="L597" s="3">
        <f>889462+'[2]táj.2'!L597</f>
        <v>889462</v>
      </c>
      <c r="M597" s="3">
        <f>0+'[2]táj.2'!M597</f>
        <v>0</v>
      </c>
      <c r="N597" s="3">
        <f>0+'[2]táj.2'!N597</f>
        <v>0</v>
      </c>
      <c r="O597" s="3">
        <f>0+'[2]táj.2'!O597</f>
        <v>0</v>
      </c>
      <c r="P597" s="3">
        <f>0+'[2]táj.2'!P597</f>
        <v>0</v>
      </c>
      <c r="Q597" s="7">
        <f t="shared" si="33"/>
        <v>1187100</v>
      </c>
    </row>
    <row r="598" spans="1:17" ht="25.5">
      <c r="A598" s="198"/>
      <c r="B598" s="198"/>
      <c r="C598" s="290" t="s">
        <v>1277</v>
      </c>
      <c r="D598" s="172" t="s">
        <v>1278</v>
      </c>
      <c r="E598" s="325"/>
      <c r="F598" s="223">
        <v>163628</v>
      </c>
      <c r="G598" s="3">
        <f>0+'[2]táj.2'!G598</f>
        <v>0</v>
      </c>
      <c r="H598" s="3">
        <f>0+'[2]táj.2'!H598</f>
        <v>0</v>
      </c>
      <c r="I598" s="3">
        <f>170476+'[2]táj.2'!I598</f>
        <v>170476</v>
      </c>
      <c r="J598" s="3">
        <f>0+'[2]táj.2'!J598</f>
        <v>0</v>
      </c>
      <c r="K598" s="3">
        <f>0+'[2]táj.2'!K598</f>
        <v>0</v>
      </c>
      <c r="L598" s="3">
        <f>593176+'[2]táj.2'!L598</f>
        <v>593176</v>
      </c>
      <c r="M598" s="3">
        <f>0+'[2]táj.2'!M598</f>
        <v>0</v>
      </c>
      <c r="N598" s="3">
        <f>0+'[2]táj.2'!N598</f>
        <v>0</v>
      </c>
      <c r="O598" s="3">
        <f>0+'[2]táj.2'!O598</f>
        <v>0</v>
      </c>
      <c r="P598" s="3">
        <f>0+'[2]táj.2'!P598</f>
        <v>0</v>
      </c>
      <c r="Q598" s="7">
        <f t="shared" si="33"/>
        <v>763652</v>
      </c>
    </row>
    <row r="599" spans="1:17" ht="25.5">
      <c r="A599" s="198"/>
      <c r="B599" s="198"/>
      <c r="C599" s="290" t="s">
        <v>1279</v>
      </c>
      <c r="D599" s="174" t="s">
        <v>297</v>
      </c>
      <c r="E599" s="325"/>
      <c r="F599" s="223">
        <v>163633</v>
      </c>
      <c r="G599" s="3">
        <f>0+'[2]táj.2'!G599</f>
        <v>0</v>
      </c>
      <c r="H599" s="3">
        <f>0+'[2]táj.2'!H599</f>
        <v>0</v>
      </c>
      <c r="I599" s="3">
        <f>148420+'[2]táj.2'!I599</f>
        <v>148420</v>
      </c>
      <c r="J599" s="3">
        <f>0+'[2]táj.2'!J599</f>
        <v>0</v>
      </c>
      <c r="K599" s="3">
        <f>0+'[2]táj.2'!K599</f>
        <v>0</v>
      </c>
      <c r="L599" s="3">
        <f>30750+'[2]táj.2'!L599</f>
        <v>30750</v>
      </c>
      <c r="M599" s="3">
        <f>0+'[2]táj.2'!M599</f>
        <v>0</v>
      </c>
      <c r="N599" s="3">
        <f>0+'[2]táj.2'!N599</f>
        <v>0</v>
      </c>
      <c r="O599" s="3">
        <f>0+'[2]táj.2'!O599</f>
        <v>0</v>
      </c>
      <c r="P599" s="3">
        <f>0+'[2]táj.2'!P599</f>
        <v>0</v>
      </c>
      <c r="Q599" s="7">
        <f t="shared" si="33"/>
        <v>179170</v>
      </c>
    </row>
    <row r="600" spans="1:17" ht="38.25">
      <c r="A600" s="198"/>
      <c r="B600" s="198"/>
      <c r="C600" s="290" t="s">
        <v>1280</v>
      </c>
      <c r="D600" s="172" t="s">
        <v>198</v>
      </c>
      <c r="E600" s="325"/>
      <c r="F600" s="223">
        <v>163637</v>
      </c>
      <c r="G600" s="3">
        <f>0+'[2]táj.2'!G600</f>
        <v>0</v>
      </c>
      <c r="H600" s="3">
        <f>0+'[2]táj.2'!H600</f>
        <v>0</v>
      </c>
      <c r="I600" s="3">
        <f>78468+'[2]táj.2'!I600</f>
        <v>78468</v>
      </c>
      <c r="J600" s="3">
        <f>0+'[2]táj.2'!J600</f>
        <v>0</v>
      </c>
      <c r="K600" s="3">
        <f>0+'[2]táj.2'!K600</f>
        <v>0</v>
      </c>
      <c r="L600" s="3">
        <f>257145+'[2]táj.2'!L600</f>
        <v>257145</v>
      </c>
      <c r="M600" s="3">
        <f>0+'[2]táj.2'!M600</f>
        <v>0</v>
      </c>
      <c r="N600" s="3">
        <f>0+'[2]táj.2'!N600</f>
        <v>0</v>
      </c>
      <c r="O600" s="3">
        <f>0+'[2]táj.2'!O600</f>
        <v>0</v>
      </c>
      <c r="P600" s="3">
        <f>0+'[2]táj.2'!P600</f>
        <v>0</v>
      </c>
      <c r="Q600" s="7">
        <f t="shared" si="33"/>
        <v>335613</v>
      </c>
    </row>
    <row r="601" spans="1:17" ht="25.5">
      <c r="A601" s="198"/>
      <c r="B601" s="198"/>
      <c r="C601" s="290" t="s">
        <v>1281</v>
      </c>
      <c r="D601" s="174" t="s">
        <v>199</v>
      </c>
      <c r="E601" s="325"/>
      <c r="F601" s="223">
        <v>163638</v>
      </c>
      <c r="G601" s="3">
        <f>2322+'[2]táj.2'!G601</f>
        <v>2322</v>
      </c>
      <c r="H601" s="3">
        <f>453+'[2]táj.2'!H601</f>
        <v>453</v>
      </c>
      <c r="I601" s="3">
        <f>1636+'[2]táj.2'!I601</f>
        <v>1636</v>
      </c>
      <c r="J601" s="3">
        <f>0+'[2]táj.2'!J601</f>
        <v>0</v>
      </c>
      <c r="K601" s="3">
        <f>0+'[2]táj.2'!K601</f>
        <v>0</v>
      </c>
      <c r="L601" s="3">
        <f>0+'[2]táj.2'!L601</f>
        <v>0</v>
      </c>
      <c r="M601" s="3">
        <f>318631+'[2]táj.2'!M601</f>
        <v>318631</v>
      </c>
      <c r="N601" s="3">
        <f>0+'[2]táj.2'!N601</f>
        <v>0</v>
      </c>
      <c r="O601" s="3">
        <f>0+'[2]táj.2'!O601</f>
        <v>0</v>
      </c>
      <c r="P601" s="3">
        <f>0+'[2]táj.2'!P601</f>
        <v>0</v>
      </c>
      <c r="Q601" s="7">
        <f t="shared" si="33"/>
        <v>323042</v>
      </c>
    </row>
    <row r="602" spans="1:17" ht="25.5">
      <c r="A602" s="198"/>
      <c r="B602" s="198"/>
      <c r="C602" s="290" t="s">
        <v>1282</v>
      </c>
      <c r="D602" s="174" t="s">
        <v>200</v>
      </c>
      <c r="E602" s="325"/>
      <c r="F602" s="223">
        <v>163639</v>
      </c>
      <c r="G602" s="3">
        <f>2459+'[2]táj.2'!G602</f>
        <v>2459</v>
      </c>
      <c r="H602" s="3">
        <f>541+'[2]táj.2'!H602</f>
        <v>541</v>
      </c>
      <c r="I602" s="3">
        <f>3662+'[2]táj.2'!I602</f>
        <v>3662</v>
      </c>
      <c r="J602" s="3">
        <f>0+'[2]táj.2'!J602</f>
        <v>0</v>
      </c>
      <c r="K602" s="3">
        <f>0+'[2]táj.2'!K602</f>
        <v>0</v>
      </c>
      <c r="L602" s="3">
        <f>0+'[2]táj.2'!L602</f>
        <v>0</v>
      </c>
      <c r="M602" s="3">
        <f>292367+'[2]táj.2'!M602</f>
        <v>292367</v>
      </c>
      <c r="N602" s="3">
        <f>0+'[2]táj.2'!N602</f>
        <v>0</v>
      </c>
      <c r="O602" s="3">
        <f>0+'[2]táj.2'!O602</f>
        <v>0</v>
      </c>
      <c r="P602" s="3">
        <f>0+'[2]táj.2'!P602</f>
        <v>0</v>
      </c>
      <c r="Q602" s="7">
        <f t="shared" si="33"/>
        <v>299029</v>
      </c>
    </row>
    <row r="603" spans="1:17" ht="25.5">
      <c r="A603" s="198"/>
      <c r="B603" s="198"/>
      <c r="C603" s="290" t="s">
        <v>1283</v>
      </c>
      <c r="D603" s="174" t="s">
        <v>201</v>
      </c>
      <c r="E603" s="325"/>
      <c r="F603" s="223">
        <v>163640</v>
      </c>
      <c r="G603" s="3">
        <f>0+'[2]táj.2'!G603</f>
        <v>0</v>
      </c>
      <c r="H603" s="3">
        <f>0+'[2]táj.2'!H603</f>
        <v>0</v>
      </c>
      <c r="I603" s="3">
        <f>1874+'[2]táj.2'!I603</f>
        <v>1874</v>
      </c>
      <c r="J603" s="3">
        <f>0+'[2]táj.2'!J603</f>
        <v>0</v>
      </c>
      <c r="K603" s="3">
        <f>0+'[2]táj.2'!K603</f>
        <v>0</v>
      </c>
      <c r="L603" s="3">
        <f>0+'[2]táj.2'!L603</f>
        <v>0</v>
      </c>
      <c r="M603" s="3">
        <f>127612+'[2]táj.2'!M603</f>
        <v>127612</v>
      </c>
      <c r="N603" s="3">
        <f>0+'[2]táj.2'!N603</f>
        <v>0</v>
      </c>
      <c r="O603" s="3">
        <f>0+'[2]táj.2'!O603</f>
        <v>0</v>
      </c>
      <c r="P603" s="3">
        <f>0+'[2]táj.2'!P603</f>
        <v>0</v>
      </c>
      <c r="Q603" s="7">
        <f t="shared" si="33"/>
        <v>129486</v>
      </c>
    </row>
    <row r="604" spans="1:17" ht="24">
      <c r="A604" s="198"/>
      <c r="B604" s="198"/>
      <c r="C604" s="290" t="s">
        <v>1284</v>
      </c>
      <c r="D604" s="227" t="s">
        <v>1285</v>
      </c>
      <c r="E604" s="325"/>
      <c r="F604" s="223">
        <v>163646</v>
      </c>
      <c r="G604" s="3">
        <f>0+'[2]táj.2'!G604</f>
        <v>0</v>
      </c>
      <c r="H604" s="3">
        <f>0+'[2]táj.2'!H604</f>
        <v>0</v>
      </c>
      <c r="I604" s="3">
        <f>30+'[2]táj.2'!I604</f>
        <v>30</v>
      </c>
      <c r="J604" s="3">
        <f>0+'[2]táj.2'!J604</f>
        <v>0</v>
      </c>
      <c r="K604" s="3">
        <f>0+'[2]táj.2'!K604</f>
        <v>0</v>
      </c>
      <c r="L604" s="3">
        <f>8637+'[2]táj.2'!L604</f>
        <v>8637</v>
      </c>
      <c r="M604" s="3">
        <f>0+'[2]táj.2'!M604</f>
        <v>0</v>
      </c>
      <c r="N604" s="3">
        <f>0+'[2]táj.2'!N604</f>
        <v>0</v>
      </c>
      <c r="O604" s="3">
        <f>0+'[2]táj.2'!O604</f>
        <v>0</v>
      </c>
      <c r="P604" s="3">
        <f>0+'[2]táj.2'!P604</f>
        <v>0</v>
      </c>
      <c r="Q604" s="7">
        <f t="shared" si="33"/>
        <v>8667</v>
      </c>
    </row>
    <row r="605" spans="1:17" ht="25.5">
      <c r="A605" s="198"/>
      <c r="B605" s="198"/>
      <c r="C605" s="290" t="s">
        <v>1286</v>
      </c>
      <c r="D605" s="172" t="s">
        <v>1287</v>
      </c>
      <c r="E605" s="643"/>
      <c r="F605" s="223">
        <v>163636</v>
      </c>
      <c r="G605" s="3">
        <f>0+'[2]táj.2'!G605</f>
        <v>0</v>
      </c>
      <c r="H605" s="3">
        <f>0+'[2]táj.2'!H605</f>
        <v>0</v>
      </c>
      <c r="I605" s="3">
        <f>2730+'[2]táj.2'!I605</f>
        <v>2730</v>
      </c>
      <c r="J605" s="3">
        <f>0+'[2]táj.2'!J605</f>
        <v>0</v>
      </c>
      <c r="K605" s="3">
        <f>0+'[2]táj.2'!K605</f>
        <v>0</v>
      </c>
      <c r="L605" s="3">
        <f>0+'[2]táj.2'!L605</f>
        <v>0</v>
      </c>
      <c r="M605" s="3">
        <f>122670+'[2]táj.2'!M605</f>
        <v>122670</v>
      </c>
      <c r="N605" s="3">
        <f>0+'[2]táj.2'!N605</f>
        <v>0</v>
      </c>
      <c r="O605" s="3">
        <f>0+'[2]táj.2'!O605</f>
        <v>0</v>
      </c>
      <c r="P605" s="3">
        <f>0+'[2]táj.2'!P605</f>
        <v>0</v>
      </c>
      <c r="Q605" s="7">
        <f>SUM(G605:P605)</f>
        <v>125400</v>
      </c>
    </row>
    <row r="606" spans="1:17" ht="12.75">
      <c r="A606" s="198"/>
      <c r="B606" s="198"/>
      <c r="C606" s="273" t="s">
        <v>1288</v>
      </c>
      <c r="D606" s="349" t="s">
        <v>1289</v>
      </c>
      <c r="E606" s="223"/>
      <c r="F606" s="223">
        <v>162630</v>
      </c>
      <c r="G606" s="3">
        <f>0+'[2]táj.2'!G606</f>
        <v>0</v>
      </c>
      <c r="H606" s="3">
        <f>0+'[2]táj.2'!H606</f>
        <v>0</v>
      </c>
      <c r="I606" s="3">
        <f>1854+'[2]táj.2'!I606</f>
        <v>1854</v>
      </c>
      <c r="J606" s="3">
        <f>0+'[2]táj.2'!J606</f>
        <v>0</v>
      </c>
      <c r="K606" s="3">
        <f>0+'[2]táj.2'!K606</f>
        <v>0</v>
      </c>
      <c r="L606" s="3">
        <f>233194+'[2]táj.2'!L606</f>
        <v>233194</v>
      </c>
      <c r="M606" s="3">
        <f>503+'[2]táj.2'!M606</f>
        <v>503</v>
      </c>
      <c r="N606" s="3">
        <f>0+'[2]táj.2'!N606</f>
        <v>0</v>
      </c>
      <c r="O606" s="3">
        <f>0+'[2]táj.2'!O606</f>
        <v>0</v>
      </c>
      <c r="P606" s="3">
        <f>0+'[2]táj.2'!P606</f>
        <v>0</v>
      </c>
      <c r="Q606" s="7">
        <f t="shared" si="33"/>
        <v>235551</v>
      </c>
    </row>
    <row r="607" spans="1:17" ht="12.75">
      <c r="A607" s="198"/>
      <c r="B607" s="198"/>
      <c r="C607" s="290"/>
      <c r="D607" s="357" t="s">
        <v>1290</v>
      </c>
      <c r="E607" s="223"/>
      <c r="F607" s="223"/>
      <c r="G607" s="3">
        <f>0+'[2]táj.2'!G607</f>
        <v>0</v>
      </c>
      <c r="H607" s="3">
        <f>0+'[2]táj.2'!H607</f>
        <v>0</v>
      </c>
      <c r="I607" s="3">
        <f>0+'[2]táj.2'!I607</f>
        <v>0</v>
      </c>
      <c r="J607" s="3">
        <f>0+'[2]táj.2'!J607</f>
        <v>0</v>
      </c>
      <c r="K607" s="3">
        <f>0+'[2]táj.2'!K607</f>
        <v>0</v>
      </c>
      <c r="L607" s="3">
        <f>0+'[2]táj.2'!L607</f>
        <v>0</v>
      </c>
      <c r="M607" s="3">
        <f>0+'[2]táj.2'!M607</f>
        <v>0</v>
      </c>
      <c r="N607" s="3">
        <f>0+'[2]táj.2'!N607</f>
        <v>0</v>
      </c>
      <c r="O607" s="3">
        <f>0+'[2]táj.2'!O607</f>
        <v>0</v>
      </c>
      <c r="P607" s="3">
        <f>0+'[2]táj.2'!P607</f>
        <v>0</v>
      </c>
      <c r="Q607" s="7"/>
    </row>
    <row r="608" spans="1:17" ht="25.5">
      <c r="A608" s="198"/>
      <c r="B608" s="198"/>
      <c r="C608" s="290"/>
      <c r="D608" s="692" t="s">
        <v>1291</v>
      </c>
      <c r="E608" s="223"/>
      <c r="F608" s="223"/>
      <c r="G608" s="3">
        <f>0+'[2]táj.2'!G608</f>
        <v>0</v>
      </c>
      <c r="H608" s="3">
        <f>0+'[2]táj.2'!H608</f>
        <v>0</v>
      </c>
      <c r="I608" s="3">
        <f>0+'[2]táj.2'!I608</f>
        <v>0</v>
      </c>
      <c r="J608" s="3">
        <f>0+'[2]táj.2'!J608</f>
        <v>0</v>
      </c>
      <c r="K608" s="3">
        <f>0+'[2]táj.2'!K608</f>
        <v>0</v>
      </c>
      <c r="L608" s="3">
        <f>0+'[2]táj.2'!L608</f>
        <v>0</v>
      </c>
      <c r="M608" s="3">
        <f>0+'[2]táj.2'!M608</f>
        <v>0</v>
      </c>
      <c r="N608" s="3">
        <f>0+'[2]táj.2'!N608</f>
        <v>0</v>
      </c>
      <c r="O608" s="3">
        <f>0+'[2]táj.2'!O608</f>
        <v>0</v>
      </c>
      <c r="P608" s="3">
        <f>0+'[2]táj.2'!P608</f>
        <v>0</v>
      </c>
      <c r="Q608" s="7"/>
    </row>
    <row r="609" spans="1:17" ht="12.75">
      <c r="A609" s="198"/>
      <c r="B609" s="198"/>
      <c r="C609" s="290"/>
      <c r="D609" s="692" t="s">
        <v>1292</v>
      </c>
      <c r="E609" s="223"/>
      <c r="F609" s="223"/>
      <c r="G609" s="3">
        <f>0+'[2]táj.2'!G609</f>
        <v>0</v>
      </c>
      <c r="H609" s="3">
        <f>0+'[2]táj.2'!H609</f>
        <v>0</v>
      </c>
      <c r="I609" s="3">
        <f>0+'[2]táj.2'!I609</f>
        <v>0</v>
      </c>
      <c r="J609" s="3">
        <f>0+'[2]táj.2'!J609</f>
        <v>0</v>
      </c>
      <c r="K609" s="3">
        <f>0+'[2]táj.2'!K609</f>
        <v>0</v>
      </c>
      <c r="L609" s="3">
        <f>0+'[2]táj.2'!L609</f>
        <v>0</v>
      </c>
      <c r="M609" s="3">
        <f>0+'[2]táj.2'!M609</f>
        <v>0</v>
      </c>
      <c r="N609" s="3">
        <f>0+'[2]táj.2'!N609</f>
        <v>0</v>
      </c>
      <c r="O609" s="3">
        <f>0+'[2]táj.2'!O609</f>
        <v>0</v>
      </c>
      <c r="P609" s="3">
        <f>0+'[2]táj.2'!P609</f>
        <v>0</v>
      </c>
      <c r="Q609" s="7"/>
    </row>
    <row r="610" spans="1:17" ht="25.5">
      <c r="A610" s="198"/>
      <c r="B610" s="198"/>
      <c r="C610" s="290"/>
      <c r="D610" s="177" t="s">
        <v>1293</v>
      </c>
      <c r="E610" s="223"/>
      <c r="F610" s="223"/>
      <c r="G610" s="3">
        <f>0+'[2]táj.2'!G610</f>
        <v>0</v>
      </c>
      <c r="H610" s="3">
        <f>0+'[2]táj.2'!H610</f>
        <v>0</v>
      </c>
      <c r="I610" s="3">
        <f>0+'[2]táj.2'!I610</f>
        <v>0</v>
      </c>
      <c r="J610" s="3">
        <f>0+'[2]táj.2'!J610</f>
        <v>0</v>
      </c>
      <c r="K610" s="3">
        <f>0+'[2]táj.2'!K610</f>
        <v>0</v>
      </c>
      <c r="L610" s="3">
        <f>0+'[2]táj.2'!L610</f>
        <v>0</v>
      </c>
      <c r="M610" s="3">
        <f>0+'[2]táj.2'!M610</f>
        <v>0</v>
      </c>
      <c r="N610" s="3">
        <f>0+'[2]táj.2'!N610</f>
        <v>0</v>
      </c>
      <c r="O610" s="3">
        <f>0+'[2]táj.2'!O610</f>
        <v>0</v>
      </c>
      <c r="P610" s="3">
        <f>0+'[2]táj.2'!P610</f>
        <v>0</v>
      </c>
      <c r="Q610" s="7"/>
    </row>
    <row r="611" spans="1:17" ht="25.5">
      <c r="A611" s="198"/>
      <c r="B611" s="198"/>
      <c r="C611" s="290"/>
      <c r="D611" s="693" t="s">
        <v>1294</v>
      </c>
      <c r="E611" s="223"/>
      <c r="F611" s="223"/>
      <c r="G611" s="3">
        <f>0+'[2]táj.2'!G611</f>
        <v>0</v>
      </c>
      <c r="H611" s="3">
        <f>0+'[2]táj.2'!H611</f>
        <v>0</v>
      </c>
      <c r="I611" s="3">
        <f>0+'[2]táj.2'!I611</f>
        <v>0</v>
      </c>
      <c r="J611" s="3">
        <f>0+'[2]táj.2'!J611</f>
        <v>0</v>
      </c>
      <c r="K611" s="3">
        <f>0+'[2]táj.2'!K611</f>
        <v>0</v>
      </c>
      <c r="L611" s="3">
        <f>0+'[2]táj.2'!L611</f>
        <v>0</v>
      </c>
      <c r="M611" s="3">
        <f>0+'[2]táj.2'!M611</f>
        <v>0</v>
      </c>
      <c r="N611" s="3">
        <f>0+'[2]táj.2'!N611</f>
        <v>0</v>
      </c>
      <c r="O611" s="3">
        <f>0+'[2]táj.2'!O611</f>
        <v>0</v>
      </c>
      <c r="P611" s="3">
        <f>0+'[2]táj.2'!P611</f>
        <v>0</v>
      </c>
      <c r="Q611" s="7"/>
    </row>
    <row r="612" spans="1:17" ht="25.5">
      <c r="A612" s="198"/>
      <c r="B612" s="198"/>
      <c r="C612" s="290"/>
      <c r="D612" s="177" t="s">
        <v>1295</v>
      </c>
      <c r="E612" s="223"/>
      <c r="F612" s="223"/>
      <c r="G612" s="3">
        <f>0+'[2]táj.2'!G612</f>
        <v>0</v>
      </c>
      <c r="H612" s="3">
        <f>0+'[2]táj.2'!H612</f>
        <v>0</v>
      </c>
      <c r="I612" s="3">
        <f>0+'[2]táj.2'!I612</f>
        <v>0</v>
      </c>
      <c r="J612" s="3">
        <f>0+'[2]táj.2'!J612</f>
        <v>0</v>
      </c>
      <c r="K612" s="3">
        <f>0+'[2]táj.2'!K612</f>
        <v>0</v>
      </c>
      <c r="L612" s="3">
        <f>0+'[2]táj.2'!L612</f>
        <v>0</v>
      </c>
      <c r="M612" s="3">
        <f>0+'[2]táj.2'!M612</f>
        <v>0</v>
      </c>
      <c r="N612" s="3">
        <f>0+'[2]táj.2'!N612</f>
        <v>0</v>
      </c>
      <c r="O612" s="3">
        <f>0+'[2]táj.2'!O612</f>
        <v>0</v>
      </c>
      <c r="P612" s="3">
        <f>0+'[2]táj.2'!P612</f>
        <v>0</v>
      </c>
      <c r="Q612" s="7"/>
    </row>
    <row r="613" spans="1:17" ht="12.75">
      <c r="A613" s="198"/>
      <c r="B613" s="198"/>
      <c r="C613" s="290"/>
      <c r="D613" s="694" t="s">
        <v>1296</v>
      </c>
      <c r="E613" s="223"/>
      <c r="F613" s="223"/>
      <c r="G613" s="3">
        <f>0+'[2]táj.2'!G613</f>
        <v>0</v>
      </c>
      <c r="H613" s="3">
        <f>0+'[2]táj.2'!H613</f>
        <v>0</v>
      </c>
      <c r="I613" s="3">
        <f>0+'[2]táj.2'!I613</f>
        <v>0</v>
      </c>
      <c r="J613" s="3">
        <f>0+'[2]táj.2'!J613</f>
        <v>0</v>
      </c>
      <c r="K613" s="3">
        <f>0+'[2]táj.2'!K613</f>
        <v>0</v>
      </c>
      <c r="L613" s="3">
        <f>0+'[2]táj.2'!L613</f>
        <v>0</v>
      </c>
      <c r="M613" s="3">
        <f>0+'[2]táj.2'!M613</f>
        <v>0</v>
      </c>
      <c r="N613" s="3">
        <f>0+'[2]táj.2'!N613</f>
        <v>0</v>
      </c>
      <c r="O613" s="3">
        <f>0+'[2]táj.2'!O613</f>
        <v>0</v>
      </c>
      <c r="P613" s="3">
        <f>0+'[2]táj.2'!P613</f>
        <v>0</v>
      </c>
      <c r="Q613" s="7"/>
    </row>
    <row r="614" spans="1:17" ht="12.75">
      <c r="A614" s="198"/>
      <c r="B614" s="198"/>
      <c r="C614" s="290"/>
      <c r="D614" s="694" t="s">
        <v>1297</v>
      </c>
      <c r="E614" s="223"/>
      <c r="F614" s="223"/>
      <c r="G614" s="3">
        <f>0+'[2]táj.2'!G614</f>
        <v>0</v>
      </c>
      <c r="H614" s="3">
        <f>0+'[2]táj.2'!H614</f>
        <v>0</v>
      </c>
      <c r="I614" s="3">
        <f>0+'[2]táj.2'!I614</f>
        <v>0</v>
      </c>
      <c r="J614" s="3">
        <f>0+'[2]táj.2'!J614</f>
        <v>0</v>
      </c>
      <c r="K614" s="3">
        <f>0+'[2]táj.2'!K614</f>
        <v>0</v>
      </c>
      <c r="L614" s="3">
        <f>0+'[2]táj.2'!L614</f>
        <v>0</v>
      </c>
      <c r="M614" s="3">
        <f>0+'[2]táj.2'!M614</f>
        <v>0</v>
      </c>
      <c r="N614" s="3">
        <f>0+'[2]táj.2'!N614</f>
        <v>0</v>
      </c>
      <c r="O614" s="3">
        <f>0+'[2]táj.2'!O614</f>
        <v>0</v>
      </c>
      <c r="P614" s="3">
        <f>0+'[2]táj.2'!P614</f>
        <v>0</v>
      </c>
      <c r="Q614" s="7"/>
    </row>
    <row r="615" spans="1:17" ht="12.75">
      <c r="A615" s="198"/>
      <c r="B615" s="198"/>
      <c r="C615" s="290"/>
      <c r="D615" s="694" t="s">
        <v>1298</v>
      </c>
      <c r="E615" s="223"/>
      <c r="F615" s="223"/>
      <c r="G615" s="3">
        <f>0+'[2]táj.2'!G615</f>
        <v>0</v>
      </c>
      <c r="H615" s="3">
        <f>0+'[2]táj.2'!H615</f>
        <v>0</v>
      </c>
      <c r="I615" s="3">
        <f>0+'[2]táj.2'!I615</f>
        <v>0</v>
      </c>
      <c r="J615" s="3">
        <f>0+'[2]táj.2'!J615</f>
        <v>0</v>
      </c>
      <c r="K615" s="3">
        <f>0+'[2]táj.2'!K615</f>
        <v>0</v>
      </c>
      <c r="L615" s="3">
        <f>0+'[2]táj.2'!L615</f>
        <v>0</v>
      </c>
      <c r="M615" s="3">
        <f>0+'[2]táj.2'!M615</f>
        <v>0</v>
      </c>
      <c r="N615" s="3">
        <f>0+'[2]táj.2'!N615</f>
        <v>0</v>
      </c>
      <c r="O615" s="3">
        <f>0+'[2]táj.2'!O615</f>
        <v>0</v>
      </c>
      <c r="P615" s="3">
        <f>0+'[2]táj.2'!P615</f>
        <v>0</v>
      </c>
      <c r="Q615" s="7"/>
    </row>
    <row r="616" spans="1:17" ht="12.75">
      <c r="A616" s="198"/>
      <c r="B616" s="198"/>
      <c r="C616" s="290"/>
      <c r="D616" s="694" t="s">
        <v>1299</v>
      </c>
      <c r="E616" s="223"/>
      <c r="F616" s="223"/>
      <c r="G616" s="3">
        <f>0+'[2]táj.2'!G616</f>
        <v>0</v>
      </c>
      <c r="H616" s="3">
        <f>0+'[2]táj.2'!H616</f>
        <v>0</v>
      </c>
      <c r="I616" s="3">
        <f>0+'[2]táj.2'!I616</f>
        <v>0</v>
      </c>
      <c r="J616" s="3">
        <f>0+'[2]táj.2'!J616</f>
        <v>0</v>
      </c>
      <c r="K616" s="3">
        <f>0+'[2]táj.2'!K616</f>
        <v>0</v>
      </c>
      <c r="L616" s="3">
        <f>0+'[2]táj.2'!L616</f>
        <v>0</v>
      </c>
      <c r="M616" s="3">
        <f>0+'[2]táj.2'!M616</f>
        <v>0</v>
      </c>
      <c r="N616" s="3">
        <f>0+'[2]táj.2'!N616</f>
        <v>0</v>
      </c>
      <c r="O616" s="3">
        <f>0+'[2]táj.2'!O616</f>
        <v>0</v>
      </c>
      <c r="P616" s="3">
        <f>0+'[2]táj.2'!P616</f>
        <v>0</v>
      </c>
      <c r="Q616" s="7"/>
    </row>
    <row r="617" spans="1:17" ht="25.5">
      <c r="A617" s="198"/>
      <c r="B617" s="198"/>
      <c r="C617" s="290"/>
      <c r="D617" s="694" t="s">
        <v>1300</v>
      </c>
      <c r="E617" s="223"/>
      <c r="F617" s="223"/>
      <c r="G617" s="3">
        <f>0+'[2]táj.2'!G617</f>
        <v>0</v>
      </c>
      <c r="H617" s="3">
        <f>0+'[2]táj.2'!H617</f>
        <v>0</v>
      </c>
      <c r="I617" s="3">
        <f>0+'[2]táj.2'!I617</f>
        <v>0</v>
      </c>
      <c r="J617" s="3">
        <f>0+'[2]táj.2'!J617</f>
        <v>0</v>
      </c>
      <c r="K617" s="3">
        <f>0+'[2]táj.2'!K617</f>
        <v>0</v>
      </c>
      <c r="L617" s="3">
        <f>0+'[2]táj.2'!L617</f>
        <v>0</v>
      </c>
      <c r="M617" s="3">
        <f>0+'[2]táj.2'!M617</f>
        <v>0</v>
      </c>
      <c r="N617" s="3">
        <f>0+'[2]táj.2'!N617</f>
        <v>0</v>
      </c>
      <c r="O617" s="3">
        <f>0+'[2]táj.2'!O617</f>
        <v>0</v>
      </c>
      <c r="P617" s="3">
        <f>0+'[2]táj.2'!P617</f>
        <v>0</v>
      </c>
      <c r="Q617" s="7"/>
    </row>
    <row r="618" spans="1:17" ht="12.75">
      <c r="A618" s="198"/>
      <c r="B618" s="198"/>
      <c r="C618" s="290"/>
      <c r="D618" s="694" t="s">
        <v>1301</v>
      </c>
      <c r="E618" s="223"/>
      <c r="F618" s="223"/>
      <c r="G618" s="3">
        <f>0+'[2]táj.2'!G618</f>
        <v>0</v>
      </c>
      <c r="H618" s="3">
        <f>0+'[2]táj.2'!H618</f>
        <v>0</v>
      </c>
      <c r="I618" s="3">
        <f>0+'[2]táj.2'!I618</f>
        <v>0</v>
      </c>
      <c r="J618" s="3">
        <f>0+'[2]táj.2'!J618</f>
        <v>0</v>
      </c>
      <c r="K618" s="3">
        <f>0+'[2]táj.2'!K618</f>
        <v>0</v>
      </c>
      <c r="L618" s="3">
        <f>0+'[2]táj.2'!L618</f>
        <v>0</v>
      </c>
      <c r="M618" s="3">
        <f>0+'[2]táj.2'!M618</f>
        <v>0</v>
      </c>
      <c r="N618" s="3">
        <f>0+'[2]táj.2'!N618</f>
        <v>0</v>
      </c>
      <c r="O618" s="3">
        <f>0+'[2]táj.2'!O618</f>
        <v>0</v>
      </c>
      <c r="P618" s="3">
        <f>0+'[2]táj.2'!P618</f>
        <v>0</v>
      </c>
      <c r="Q618" s="7"/>
    </row>
    <row r="619" spans="1:17" ht="25.5">
      <c r="A619" s="198"/>
      <c r="B619" s="198"/>
      <c r="C619" s="290"/>
      <c r="D619" s="694" t="s">
        <v>1302</v>
      </c>
      <c r="E619" s="223"/>
      <c r="F619" s="223"/>
      <c r="G619" s="3">
        <f>0+'[2]táj.2'!G619</f>
        <v>0</v>
      </c>
      <c r="H619" s="3">
        <f>0+'[2]táj.2'!H619</f>
        <v>0</v>
      </c>
      <c r="I619" s="3">
        <f>0+'[2]táj.2'!I619</f>
        <v>0</v>
      </c>
      <c r="J619" s="3">
        <f>0+'[2]táj.2'!J619</f>
        <v>0</v>
      </c>
      <c r="K619" s="3">
        <f>0+'[2]táj.2'!K619</f>
        <v>0</v>
      </c>
      <c r="L619" s="3">
        <f>0+'[2]táj.2'!L619</f>
        <v>0</v>
      </c>
      <c r="M619" s="3">
        <f>0+'[2]táj.2'!M619</f>
        <v>0</v>
      </c>
      <c r="N619" s="3">
        <f>0+'[2]táj.2'!N619</f>
        <v>0</v>
      </c>
      <c r="O619" s="3">
        <f>0+'[2]táj.2'!O619</f>
        <v>0</v>
      </c>
      <c r="P619" s="3">
        <f>0+'[2]táj.2'!P619</f>
        <v>0</v>
      </c>
      <c r="Q619" s="7"/>
    </row>
    <row r="620" spans="1:17" ht="12.75">
      <c r="A620" s="198"/>
      <c r="B620" s="198"/>
      <c r="C620" s="290"/>
      <c r="D620" s="694" t="s">
        <v>1303</v>
      </c>
      <c r="E620" s="223"/>
      <c r="F620" s="223"/>
      <c r="G620" s="3">
        <f>0+'[2]táj.2'!G620</f>
        <v>0</v>
      </c>
      <c r="H620" s="3">
        <f>0+'[2]táj.2'!H620</f>
        <v>0</v>
      </c>
      <c r="I620" s="3">
        <f>0+'[2]táj.2'!I620</f>
        <v>0</v>
      </c>
      <c r="J620" s="3">
        <f>0+'[2]táj.2'!J620</f>
        <v>0</v>
      </c>
      <c r="K620" s="3">
        <f>0+'[2]táj.2'!K620</f>
        <v>0</v>
      </c>
      <c r="L620" s="3">
        <f>0+'[2]táj.2'!L620</f>
        <v>0</v>
      </c>
      <c r="M620" s="3">
        <f>0+'[2]táj.2'!M620</f>
        <v>0</v>
      </c>
      <c r="N620" s="3">
        <f>0+'[2]táj.2'!N620</f>
        <v>0</v>
      </c>
      <c r="O620" s="3">
        <f>0+'[2]táj.2'!O620</f>
        <v>0</v>
      </c>
      <c r="P620" s="3">
        <f>0+'[2]táj.2'!P620</f>
        <v>0</v>
      </c>
      <c r="Q620" s="7"/>
    </row>
    <row r="621" spans="1:17" ht="12.75">
      <c r="A621" s="198"/>
      <c r="B621" s="198"/>
      <c r="C621" s="290"/>
      <c r="D621" s="694" t="s">
        <v>1304</v>
      </c>
      <c r="E621" s="223"/>
      <c r="F621" s="223"/>
      <c r="G621" s="3">
        <f>0+'[2]táj.2'!G621</f>
        <v>0</v>
      </c>
      <c r="H621" s="3">
        <f>0+'[2]táj.2'!H621</f>
        <v>0</v>
      </c>
      <c r="I621" s="3">
        <f>0+'[2]táj.2'!I621</f>
        <v>0</v>
      </c>
      <c r="J621" s="3">
        <f>0+'[2]táj.2'!J621</f>
        <v>0</v>
      </c>
      <c r="K621" s="3">
        <f>0+'[2]táj.2'!K621</f>
        <v>0</v>
      </c>
      <c r="L621" s="3">
        <f>0+'[2]táj.2'!L621</f>
        <v>0</v>
      </c>
      <c r="M621" s="3">
        <f>0+'[2]táj.2'!M621</f>
        <v>0</v>
      </c>
      <c r="N621" s="3">
        <f>0+'[2]táj.2'!N621</f>
        <v>0</v>
      </c>
      <c r="O621" s="3">
        <f>0+'[2]táj.2'!O621</f>
        <v>0</v>
      </c>
      <c r="P621" s="3">
        <f>0+'[2]táj.2'!P621</f>
        <v>0</v>
      </c>
      <c r="Q621" s="7"/>
    </row>
    <row r="622" spans="1:17" ht="12.75">
      <c r="A622" s="198"/>
      <c r="B622" s="198"/>
      <c r="C622" s="290"/>
      <c r="D622" s="694" t="s">
        <v>1305</v>
      </c>
      <c r="E622" s="223"/>
      <c r="F622" s="223"/>
      <c r="G622" s="3">
        <f>0+'[2]táj.2'!G622</f>
        <v>0</v>
      </c>
      <c r="H622" s="3">
        <f>0+'[2]táj.2'!H622</f>
        <v>0</v>
      </c>
      <c r="I622" s="3">
        <f>0+'[2]táj.2'!I622</f>
        <v>0</v>
      </c>
      <c r="J622" s="3">
        <f>0+'[2]táj.2'!J622</f>
        <v>0</v>
      </c>
      <c r="K622" s="3">
        <f>0+'[2]táj.2'!K622</f>
        <v>0</v>
      </c>
      <c r="L622" s="3">
        <f>0+'[2]táj.2'!L622</f>
        <v>0</v>
      </c>
      <c r="M622" s="3">
        <f>0+'[2]táj.2'!M622</f>
        <v>0</v>
      </c>
      <c r="N622" s="3">
        <f>0+'[2]táj.2'!N622</f>
        <v>0</v>
      </c>
      <c r="O622" s="3">
        <f>0+'[2]táj.2'!O622</f>
        <v>0</v>
      </c>
      <c r="P622" s="3">
        <f>0+'[2]táj.2'!P622</f>
        <v>0</v>
      </c>
      <c r="Q622" s="7"/>
    </row>
    <row r="623" spans="1:17" ht="12.75">
      <c r="A623" s="198"/>
      <c r="B623" s="198"/>
      <c r="C623" s="290"/>
      <c r="D623" s="694" t="s">
        <v>1306</v>
      </c>
      <c r="E623" s="223"/>
      <c r="F623" s="223"/>
      <c r="G623" s="3">
        <f>0+'[2]táj.2'!G623</f>
        <v>0</v>
      </c>
      <c r="H623" s="3">
        <f>0+'[2]táj.2'!H623</f>
        <v>0</v>
      </c>
      <c r="I623" s="3">
        <f>0+'[2]táj.2'!I623</f>
        <v>0</v>
      </c>
      <c r="J623" s="3">
        <f>0+'[2]táj.2'!J623</f>
        <v>0</v>
      </c>
      <c r="K623" s="3">
        <f>0+'[2]táj.2'!K623</f>
        <v>0</v>
      </c>
      <c r="L623" s="3">
        <f>0+'[2]táj.2'!L623</f>
        <v>0</v>
      </c>
      <c r="M623" s="3">
        <f>0+'[2]táj.2'!M623</f>
        <v>0</v>
      </c>
      <c r="N623" s="3">
        <f>0+'[2]táj.2'!N623</f>
        <v>0</v>
      </c>
      <c r="O623" s="3">
        <f>0+'[2]táj.2'!O623</f>
        <v>0</v>
      </c>
      <c r="P623" s="3">
        <f>0+'[2]táj.2'!P623</f>
        <v>0</v>
      </c>
      <c r="Q623" s="7"/>
    </row>
    <row r="624" spans="1:17" ht="12.75">
      <c r="A624" s="198"/>
      <c r="B624" s="198"/>
      <c r="C624" s="290"/>
      <c r="D624" s="694" t="s">
        <v>1307</v>
      </c>
      <c r="E624" s="223"/>
      <c r="F624" s="223"/>
      <c r="G624" s="3">
        <f>0+'[2]táj.2'!G624</f>
        <v>0</v>
      </c>
      <c r="H624" s="3">
        <f>0+'[2]táj.2'!H624</f>
        <v>0</v>
      </c>
      <c r="I624" s="3">
        <f>0+'[2]táj.2'!I624</f>
        <v>0</v>
      </c>
      <c r="J624" s="3">
        <f>0+'[2]táj.2'!J624</f>
        <v>0</v>
      </c>
      <c r="K624" s="3">
        <f>0+'[2]táj.2'!K624</f>
        <v>0</v>
      </c>
      <c r="L624" s="3">
        <f>0+'[2]táj.2'!L624</f>
        <v>0</v>
      </c>
      <c r="M624" s="3">
        <f>0+'[2]táj.2'!M624</f>
        <v>0</v>
      </c>
      <c r="N624" s="3">
        <f>0+'[2]táj.2'!N624</f>
        <v>0</v>
      </c>
      <c r="O624" s="3">
        <f>0+'[2]táj.2'!O624</f>
        <v>0</v>
      </c>
      <c r="P624" s="3">
        <f>0+'[2]táj.2'!P624</f>
        <v>0</v>
      </c>
      <c r="Q624" s="7"/>
    </row>
    <row r="625" spans="1:17" ht="12.75">
      <c r="A625" s="198"/>
      <c r="B625" s="198"/>
      <c r="C625" s="290"/>
      <c r="D625" s="694" t="s">
        <v>1308</v>
      </c>
      <c r="E625" s="223"/>
      <c r="F625" s="223"/>
      <c r="G625" s="3">
        <f>0+'[2]táj.2'!G625</f>
        <v>0</v>
      </c>
      <c r="H625" s="3">
        <f>0+'[2]táj.2'!H625</f>
        <v>0</v>
      </c>
      <c r="I625" s="3">
        <f>0+'[2]táj.2'!I625</f>
        <v>0</v>
      </c>
      <c r="J625" s="3">
        <f>0+'[2]táj.2'!J625</f>
        <v>0</v>
      </c>
      <c r="K625" s="3">
        <f>0+'[2]táj.2'!K625</f>
        <v>0</v>
      </c>
      <c r="L625" s="3">
        <f>0+'[2]táj.2'!L625</f>
        <v>0</v>
      </c>
      <c r="M625" s="3">
        <f>0+'[2]táj.2'!M625</f>
        <v>0</v>
      </c>
      <c r="N625" s="3">
        <f>0+'[2]táj.2'!N625</f>
        <v>0</v>
      </c>
      <c r="O625" s="3">
        <f>0+'[2]táj.2'!O625</f>
        <v>0</v>
      </c>
      <c r="P625" s="3">
        <f>0+'[2]táj.2'!P625</f>
        <v>0</v>
      </c>
      <c r="Q625" s="7"/>
    </row>
    <row r="626" spans="1:17" ht="12.75">
      <c r="A626" s="198"/>
      <c r="B626" s="198"/>
      <c r="C626" s="290"/>
      <c r="D626" s="694" t="s">
        <v>1309</v>
      </c>
      <c r="E626" s="223"/>
      <c r="F626" s="223"/>
      <c r="G626" s="3">
        <f>0+'[2]táj.2'!G626</f>
        <v>0</v>
      </c>
      <c r="H626" s="3">
        <f>0+'[2]táj.2'!H626</f>
        <v>0</v>
      </c>
      <c r="I626" s="3">
        <f>0+'[2]táj.2'!I626</f>
        <v>0</v>
      </c>
      <c r="J626" s="3">
        <f>0+'[2]táj.2'!J626</f>
        <v>0</v>
      </c>
      <c r="K626" s="3">
        <f>0+'[2]táj.2'!K626</f>
        <v>0</v>
      </c>
      <c r="L626" s="3">
        <f>0+'[2]táj.2'!L626</f>
        <v>0</v>
      </c>
      <c r="M626" s="3">
        <f>0+'[2]táj.2'!M626</f>
        <v>0</v>
      </c>
      <c r="N626" s="3">
        <f>0+'[2]táj.2'!N626</f>
        <v>0</v>
      </c>
      <c r="O626" s="3">
        <f>0+'[2]táj.2'!O626</f>
        <v>0</v>
      </c>
      <c r="P626" s="3">
        <f>0+'[2]táj.2'!P626</f>
        <v>0</v>
      </c>
      <c r="Q626" s="7"/>
    </row>
    <row r="627" spans="1:17" ht="12.75">
      <c r="A627" s="198"/>
      <c r="B627" s="198"/>
      <c r="C627" s="290"/>
      <c r="D627" s="694" t="s">
        <v>1310</v>
      </c>
      <c r="E627" s="223"/>
      <c r="F627" s="223"/>
      <c r="G627" s="3">
        <f>0+'[2]táj.2'!G627</f>
        <v>0</v>
      </c>
      <c r="H627" s="3">
        <f>0+'[2]táj.2'!H627</f>
        <v>0</v>
      </c>
      <c r="I627" s="3">
        <f>0+'[2]táj.2'!I627</f>
        <v>0</v>
      </c>
      <c r="J627" s="3">
        <f>0+'[2]táj.2'!J627</f>
        <v>0</v>
      </c>
      <c r="K627" s="3">
        <f>0+'[2]táj.2'!K627</f>
        <v>0</v>
      </c>
      <c r="L627" s="3">
        <f>0+'[2]táj.2'!L627</f>
        <v>0</v>
      </c>
      <c r="M627" s="3">
        <f>0+'[2]táj.2'!M627</f>
        <v>0</v>
      </c>
      <c r="N627" s="3">
        <f>0+'[2]táj.2'!N627</f>
        <v>0</v>
      </c>
      <c r="O627" s="3">
        <f>0+'[2]táj.2'!O627</f>
        <v>0</v>
      </c>
      <c r="P627" s="3">
        <f>0+'[2]táj.2'!P627</f>
        <v>0</v>
      </c>
      <c r="Q627" s="7"/>
    </row>
    <row r="628" spans="1:17" ht="12.75">
      <c r="A628" s="198"/>
      <c r="B628" s="198"/>
      <c r="C628" s="290"/>
      <c r="D628" s="694" t="s">
        <v>1311</v>
      </c>
      <c r="E628" s="223"/>
      <c r="F628" s="223"/>
      <c r="G628" s="3">
        <f>0+'[2]táj.2'!G628</f>
        <v>0</v>
      </c>
      <c r="H628" s="3">
        <f>0+'[2]táj.2'!H628</f>
        <v>0</v>
      </c>
      <c r="I628" s="3">
        <f>0+'[2]táj.2'!I628</f>
        <v>0</v>
      </c>
      <c r="J628" s="3">
        <f>0+'[2]táj.2'!J628</f>
        <v>0</v>
      </c>
      <c r="K628" s="3">
        <f>0+'[2]táj.2'!K628</f>
        <v>0</v>
      </c>
      <c r="L628" s="3">
        <f>0+'[2]táj.2'!L628</f>
        <v>0</v>
      </c>
      <c r="M628" s="3">
        <f>0+'[2]táj.2'!M628</f>
        <v>0</v>
      </c>
      <c r="N628" s="3">
        <f>0+'[2]táj.2'!N628</f>
        <v>0</v>
      </c>
      <c r="O628" s="3">
        <f>0+'[2]táj.2'!O628</f>
        <v>0</v>
      </c>
      <c r="P628" s="3">
        <f>0+'[2]táj.2'!P628</f>
        <v>0</v>
      </c>
      <c r="Q628" s="7"/>
    </row>
    <row r="629" spans="1:17" ht="12.75">
      <c r="A629" s="198"/>
      <c r="B629" s="198"/>
      <c r="C629" s="290"/>
      <c r="D629" s="694" t="s">
        <v>1312</v>
      </c>
      <c r="E629" s="223"/>
      <c r="F629" s="223"/>
      <c r="G629" s="3">
        <f>0+'[2]táj.2'!G629</f>
        <v>0</v>
      </c>
      <c r="H629" s="3">
        <f>0+'[2]táj.2'!H629</f>
        <v>0</v>
      </c>
      <c r="I629" s="3">
        <f>0+'[2]táj.2'!I629</f>
        <v>0</v>
      </c>
      <c r="J629" s="3">
        <f>0+'[2]táj.2'!J629</f>
        <v>0</v>
      </c>
      <c r="K629" s="3">
        <f>0+'[2]táj.2'!K629</f>
        <v>0</v>
      </c>
      <c r="L629" s="3">
        <f>0+'[2]táj.2'!L629</f>
        <v>0</v>
      </c>
      <c r="M629" s="3">
        <f>0+'[2]táj.2'!M629</f>
        <v>0</v>
      </c>
      <c r="N629" s="3">
        <f>0+'[2]táj.2'!N629</f>
        <v>0</v>
      </c>
      <c r="O629" s="3">
        <f>0+'[2]táj.2'!O629</f>
        <v>0</v>
      </c>
      <c r="P629" s="3">
        <f>0+'[2]táj.2'!P629</f>
        <v>0</v>
      </c>
      <c r="Q629" s="7"/>
    </row>
    <row r="630" spans="1:17" ht="12.75">
      <c r="A630" s="198"/>
      <c r="B630" s="198"/>
      <c r="C630" s="290"/>
      <c r="D630" s="694" t="s">
        <v>1313</v>
      </c>
      <c r="E630" s="223"/>
      <c r="F630" s="223"/>
      <c r="G630" s="3">
        <f>0+'[2]táj.2'!G630</f>
        <v>0</v>
      </c>
      <c r="H630" s="3">
        <f>0+'[2]táj.2'!H630</f>
        <v>0</v>
      </c>
      <c r="I630" s="3">
        <f>0+'[2]táj.2'!I630</f>
        <v>0</v>
      </c>
      <c r="J630" s="3">
        <f>0+'[2]táj.2'!J630</f>
        <v>0</v>
      </c>
      <c r="K630" s="3">
        <f>0+'[2]táj.2'!K630</f>
        <v>0</v>
      </c>
      <c r="L630" s="3">
        <f>0+'[2]táj.2'!L630</f>
        <v>0</v>
      </c>
      <c r="M630" s="3">
        <f>0+'[2]táj.2'!M630</f>
        <v>0</v>
      </c>
      <c r="N630" s="3">
        <f>0+'[2]táj.2'!N630</f>
        <v>0</v>
      </c>
      <c r="O630" s="3">
        <f>0+'[2]táj.2'!O630</f>
        <v>0</v>
      </c>
      <c r="P630" s="3">
        <f>0+'[2]táj.2'!P630</f>
        <v>0</v>
      </c>
      <c r="Q630" s="7"/>
    </row>
    <row r="631" spans="1:17" ht="12.75">
      <c r="A631" s="198"/>
      <c r="B631" s="198"/>
      <c r="C631" s="290"/>
      <c r="D631" s="694" t="s">
        <v>1314</v>
      </c>
      <c r="E631" s="223"/>
      <c r="F631" s="223"/>
      <c r="G631" s="3">
        <f>0+'[2]táj.2'!G631</f>
        <v>0</v>
      </c>
      <c r="H631" s="3">
        <f>0+'[2]táj.2'!H631</f>
        <v>0</v>
      </c>
      <c r="I631" s="3">
        <f>0+'[2]táj.2'!I631</f>
        <v>0</v>
      </c>
      <c r="J631" s="3">
        <f>0+'[2]táj.2'!J631</f>
        <v>0</v>
      </c>
      <c r="K631" s="3">
        <f>0+'[2]táj.2'!K631</f>
        <v>0</v>
      </c>
      <c r="L631" s="3">
        <f>0+'[2]táj.2'!L631</f>
        <v>0</v>
      </c>
      <c r="M631" s="3">
        <f>0+'[2]táj.2'!M631</f>
        <v>0</v>
      </c>
      <c r="N631" s="3">
        <f>0+'[2]táj.2'!N631</f>
        <v>0</v>
      </c>
      <c r="O631" s="3">
        <f>0+'[2]táj.2'!O631</f>
        <v>0</v>
      </c>
      <c r="P631" s="3">
        <f>0+'[2]táj.2'!P631</f>
        <v>0</v>
      </c>
      <c r="Q631" s="7"/>
    </row>
    <row r="632" spans="1:17" ht="12.75">
      <c r="A632" s="198"/>
      <c r="B632" s="198"/>
      <c r="C632" s="290"/>
      <c r="D632" s="694" t="s">
        <v>1315</v>
      </c>
      <c r="E632" s="223"/>
      <c r="F632" s="223"/>
      <c r="G632" s="3">
        <f>0+'[2]táj.2'!G632</f>
        <v>0</v>
      </c>
      <c r="H632" s="3">
        <f>0+'[2]táj.2'!H632</f>
        <v>0</v>
      </c>
      <c r="I632" s="3">
        <f>0+'[2]táj.2'!I632</f>
        <v>0</v>
      </c>
      <c r="J632" s="3">
        <f>0+'[2]táj.2'!J632</f>
        <v>0</v>
      </c>
      <c r="K632" s="3">
        <f>0+'[2]táj.2'!K632</f>
        <v>0</v>
      </c>
      <c r="L632" s="3">
        <f>0+'[2]táj.2'!L632</f>
        <v>0</v>
      </c>
      <c r="M632" s="3">
        <f>0+'[2]táj.2'!M632</f>
        <v>0</v>
      </c>
      <c r="N632" s="3">
        <f>0+'[2]táj.2'!N632</f>
        <v>0</v>
      </c>
      <c r="O632" s="3">
        <f>0+'[2]táj.2'!O632</f>
        <v>0</v>
      </c>
      <c r="P632" s="3">
        <f>0+'[2]táj.2'!P632</f>
        <v>0</v>
      </c>
      <c r="Q632" s="7"/>
    </row>
    <row r="633" spans="1:17" ht="25.5">
      <c r="A633" s="198"/>
      <c r="B633" s="198"/>
      <c r="C633" s="290"/>
      <c r="D633" s="694" t="s">
        <v>1316</v>
      </c>
      <c r="E633" s="223"/>
      <c r="F633" s="223"/>
      <c r="G633" s="3">
        <f>0+'[2]táj.2'!G633</f>
        <v>0</v>
      </c>
      <c r="H633" s="3">
        <f>0+'[2]táj.2'!H633</f>
        <v>0</v>
      </c>
      <c r="I633" s="3">
        <f>0+'[2]táj.2'!I633</f>
        <v>0</v>
      </c>
      <c r="J633" s="3">
        <f>0+'[2]táj.2'!J633</f>
        <v>0</v>
      </c>
      <c r="K633" s="3">
        <f>0+'[2]táj.2'!K633</f>
        <v>0</v>
      </c>
      <c r="L633" s="3">
        <f>0+'[2]táj.2'!L633</f>
        <v>0</v>
      </c>
      <c r="M633" s="3">
        <f>0+'[2]táj.2'!M633</f>
        <v>0</v>
      </c>
      <c r="N633" s="3">
        <f>0+'[2]táj.2'!N633</f>
        <v>0</v>
      </c>
      <c r="O633" s="3">
        <f>0+'[2]táj.2'!O633</f>
        <v>0</v>
      </c>
      <c r="P633" s="3">
        <f>0+'[2]táj.2'!P633</f>
        <v>0</v>
      </c>
      <c r="Q633" s="7"/>
    </row>
    <row r="634" spans="1:17" ht="25.5">
      <c r="A634" s="198"/>
      <c r="B634" s="198"/>
      <c r="C634" s="290"/>
      <c r="D634" s="694" t="s">
        <v>1317</v>
      </c>
      <c r="E634" s="223"/>
      <c r="F634" s="223"/>
      <c r="G634" s="3">
        <f>0+'[2]táj.2'!G634</f>
        <v>0</v>
      </c>
      <c r="H634" s="3">
        <f>0+'[2]táj.2'!H634</f>
        <v>0</v>
      </c>
      <c r="I634" s="3">
        <f>0+'[2]táj.2'!I634</f>
        <v>0</v>
      </c>
      <c r="J634" s="3">
        <f>0+'[2]táj.2'!J634</f>
        <v>0</v>
      </c>
      <c r="K634" s="3">
        <f>0+'[2]táj.2'!K634</f>
        <v>0</v>
      </c>
      <c r="L634" s="3">
        <f>0+'[2]táj.2'!L634</f>
        <v>0</v>
      </c>
      <c r="M634" s="3">
        <f>0+'[2]táj.2'!M634</f>
        <v>0</v>
      </c>
      <c r="N634" s="3">
        <f>0+'[2]táj.2'!N634</f>
        <v>0</v>
      </c>
      <c r="O634" s="3">
        <f>0+'[2]táj.2'!O634</f>
        <v>0</v>
      </c>
      <c r="P634" s="3">
        <f>0+'[2]táj.2'!P634</f>
        <v>0</v>
      </c>
      <c r="Q634" s="7"/>
    </row>
    <row r="635" spans="1:17" ht="25.5">
      <c r="A635" s="198"/>
      <c r="B635" s="198"/>
      <c r="C635" s="290"/>
      <c r="D635" s="694" t="s">
        <v>1318</v>
      </c>
      <c r="E635" s="223"/>
      <c r="F635" s="223"/>
      <c r="G635" s="3">
        <f>0+'[2]táj.2'!G635</f>
        <v>0</v>
      </c>
      <c r="H635" s="3">
        <f>0+'[2]táj.2'!H635</f>
        <v>0</v>
      </c>
      <c r="I635" s="3">
        <f>0+'[2]táj.2'!I635</f>
        <v>0</v>
      </c>
      <c r="J635" s="3">
        <f>0+'[2]táj.2'!J635</f>
        <v>0</v>
      </c>
      <c r="K635" s="3">
        <f>0+'[2]táj.2'!K635</f>
        <v>0</v>
      </c>
      <c r="L635" s="3">
        <f>0+'[2]táj.2'!L635</f>
        <v>0</v>
      </c>
      <c r="M635" s="3">
        <f>0+'[2]táj.2'!M635</f>
        <v>0</v>
      </c>
      <c r="N635" s="3">
        <f>0+'[2]táj.2'!N635</f>
        <v>0</v>
      </c>
      <c r="O635" s="3">
        <f>0+'[2]táj.2'!O635</f>
        <v>0</v>
      </c>
      <c r="P635" s="3">
        <f>0+'[2]táj.2'!P635</f>
        <v>0</v>
      </c>
      <c r="Q635" s="7"/>
    </row>
    <row r="636" spans="1:17" ht="12.75">
      <c r="A636" s="198"/>
      <c r="B636" s="198"/>
      <c r="C636" s="290"/>
      <c r="D636" s="694" t="s">
        <v>1319</v>
      </c>
      <c r="E636" s="223"/>
      <c r="F636" s="223"/>
      <c r="G636" s="3">
        <f>0+'[2]táj.2'!G636</f>
        <v>0</v>
      </c>
      <c r="H636" s="3">
        <f>0+'[2]táj.2'!H636</f>
        <v>0</v>
      </c>
      <c r="I636" s="3">
        <f>0+'[2]táj.2'!I636</f>
        <v>0</v>
      </c>
      <c r="J636" s="3">
        <f>0+'[2]táj.2'!J636</f>
        <v>0</v>
      </c>
      <c r="K636" s="3">
        <f>0+'[2]táj.2'!K636</f>
        <v>0</v>
      </c>
      <c r="L636" s="3">
        <f>0+'[2]táj.2'!L636</f>
        <v>0</v>
      </c>
      <c r="M636" s="3">
        <f>0+'[2]táj.2'!M636</f>
        <v>0</v>
      </c>
      <c r="N636" s="3">
        <f>0+'[2]táj.2'!N636</f>
        <v>0</v>
      </c>
      <c r="O636" s="3">
        <f>0+'[2]táj.2'!O636</f>
        <v>0</v>
      </c>
      <c r="P636" s="3">
        <f>0+'[2]táj.2'!P636</f>
        <v>0</v>
      </c>
      <c r="Q636" s="7"/>
    </row>
    <row r="637" spans="1:17" ht="25.5">
      <c r="A637" s="198"/>
      <c r="B637" s="198"/>
      <c r="C637" s="290"/>
      <c r="D637" s="694" t="s">
        <v>1320</v>
      </c>
      <c r="E637" s="223"/>
      <c r="F637" s="223"/>
      <c r="G637" s="3">
        <f>0+'[2]táj.2'!G637</f>
        <v>0</v>
      </c>
      <c r="H637" s="3">
        <f>0+'[2]táj.2'!H637</f>
        <v>0</v>
      </c>
      <c r="I637" s="3">
        <f>0+'[2]táj.2'!I637</f>
        <v>0</v>
      </c>
      <c r="J637" s="3">
        <f>0+'[2]táj.2'!J637</f>
        <v>0</v>
      </c>
      <c r="K637" s="3">
        <f>0+'[2]táj.2'!K637</f>
        <v>0</v>
      </c>
      <c r="L637" s="3">
        <f>0+'[2]táj.2'!L637</f>
        <v>0</v>
      </c>
      <c r="M637" s="3">
        <f>0+'[2]táj.2'!M637</f>
        <v>0</v>
      </c>
      <c r="N637" s="3">
        <f>0+'[2]táj.2'!N637</f>
        <v>0</v>
      </c>
      <c r="O637" s="3">
        <f>0+'[2]táj.2'!O637</f>
        <v>0</v>
      </c>
      <c r="P637" s="3">
        <f>0+'[2]táj.2'!P637</f>
        <v>0</v>
      </c>
      <c r="Q637" s="7"/>
    </row>
    <row r="638" spans="1:17" ht="12.75">
      <c r="A638" s="198"/>
      <c r="B638" s="198"/>
      <c r="C638" s="665" t="s">
        <v>1321</v>
      </c>
      <c r="D638" s="672" t="s">
        <v>1322</v>
      </c>
      <c r="E638" s="325"/>
      <c r="F638" s="22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7"/>
    </row>
    <row r="639" spans="1:17" ht="38.25">
      <c r="A639" s="198"/>
      <c r="B639" s="198"/>
      <c r="C639" s="290" t="s">
        <v>1323</v>
      </c>
      <c r="D639" s="172" t="s">
        <v>1324</v>
      </c>
      <c r="E639" s="325"/>
      <c r="F639" s="223">
        <v>163621</v>
      </c>
      <c r="G639" s="3">
        <f>514+'[2]táj.2'!G639</f>
        <v>514</v>
      </c>
      <c r="H639" s="3">
        <f>121+'[2]táj.2'!H639</f>
        <v>121</v>
      </c>
      <c r="I639" s="3">
        <f>880697+'[2]táj.2'!I639</f>
        <v>880697</v>
      </c>
      <c r="J639" s="3">
        <f>0+'[2]táj.2'!J639</f>
        <v>0</v>
      </c>
      <c r="K639" s="3">
        <f>0+'[2]táj.2'!K639</f>
        <v>0</v>
      </c>
      <c r="L639" s="3">
        <f>8492048+'[2]táj.2'!L639</f>
        <v>8492048</v>
      </c>
      <c r="M639" s="3">
        <f>1735794+'[2]táj.2'!M639</f>
        <v>1735794</v>
      </c>
      <c r="N639" s="3">
        <f>0+'[2]táj.2'!N639</f>
        <v>0</v>
      </c>
      <c r="O639" s="3">
        <f>0+'[2]táj.2'!O639</f>
        <v>0</v>
      </c>
      <c r="P639" s="3">
        <f>0+'[2]táj.2'!P639</f>
        <v>0</v>
      </c>
      <c r="Q639" s="7">
        <f aca="true" t="shared" si="34" ref="Q639:Q644">SUM(G639:P639)</f>
        <v>11109174</v>
      </c>
    </row>
    <row r="640" spans="1:17" ht="12.75">
      <c r="A640" s="198"/>
      <c r="B640" s="198"/>
      <c r="C640" s="290" t="s">
        <v>1325</v>
      </c>
      <c r="D640" s="294" t="s">
        <v>1326</v>
      </c>
      <c r="E640" s="325"/>
      <c r="F640" s="223">
        <v>162687</v>
      </c>
      <c r="G640" s="3">
        <f>0+'[2]táj.2'!G640</f>
        <v>0</v>
      </c>
      <c r="H640" s="3">
        <f>0+'[2]táj.2'!H640</f>
        <v>0</v>
      </c>
      <c r="I640" s="3">
        <f>2451376+'[2]táj.2'!I640</f>
        <v>2451376</v>
      </c>
      <c r="J640" s="3">
        <f>0+'[2]táj.2'!J640</f>
        <v>0</v>
      </c>
      <c r="K640" s="3">
        <f>0+'[2]táj.2'!K640</f>
        <v>0</v>
      </c>
      <c r="L640" s="3">
        <f>7899716+'[2]táj.2'!L640</f>
        <v>7899716</v>
      </c>
      <c r="M640" s="3">
        <f>413993+'[2]táj.2'!M640</f>
        <v>413993</v>
      </c>
      <c r="N640" s="3">
        <f>0+'[2]táj.2'!N640</f>
        <v>0</v>
      </c>
      <c r="O640" s="3">
        <f>0+'[2]táj.2'!O640</f>
        <v>0</v>
      </c>
      <c r="P640" s="3">
        <f>0+'[2]táj.2'!P640</f>
        <v>0</v>
      </c>
      <c r="Q640" s="7">
        <f t="shared" si="34"/>
        <v>10765085</v>
      </c>
    </row>
    <row r="641" spans="1:17" ht="25.5">
      <c r="A641" s="198"/>
      <c r="B641" s="198"/>
      <c r="C641" s="290" t="s">
        <v>1327</v>
      </c>
      <c r="D641" s="172" t="s">
        <v>1328</v>
      </c>
      <c r="E641" s="325"/>
      <c r="F641" s="223">
        <v>163702</v>
      </c>
      <c r="G641" s="3">
        <f>0+'[2]táj.2'!G641</f>
        <v>0</v>
      </c>
      <c r="H641" s="3">
        <f>0+'[2]táj.2'!H641</f>
        <v>0</v>
      </c>
      <c r="I641" s="3">
        <f>327153+'[2]táj.2'!I641</f>
        <v>327153</v>
      </c>
      <c r="J641" s="3">
        <f>0+'[2]táj.2'!J641</f>
        <v>0</v>
      </c>
      <c r="K641" s="3">
        <f>0+'[2]táj.2'!K641</f>
        <v>0</v>
      </c>
      <c r="L641" s="3">
        <f>1249681+'[2]táj.2'!L641</f>
        <v>1249681</v>
      </c>
      <c r="M641" s="3">
        <f>0+'[2]táj.2'!M641</f>
        <v>0</v>
      </c>
      <c r="N641" s="3">
        <f>0+'[2]táj.2'!N641</f>
        <v>0</v>
      </c>
      <c r="O641" s="3">
        <f>0+'[2]táj.2'!O641</f>
        <v>0</v>
      </c>
      <c r="P641" s="3">
        <f>0+'[2]táj.2'!P641</f>
        <v>0</v>
      </c>
      <c r="Q641" s="7">
        <f t="shared" si="34"/>
        <v>1576834</v>
      </c>
    </row>
    <row r="642" spans="1:17" ht="25.5">
      <c r="A642" s="198"/>
      <c r="B642" s="198"/>
      <c r="C642" s="290" t="s">
        <v>1329</v>
      </c>
      <c r="D642" s="172" t="s">
        <v>1330</v>
      </c>
      <c r="E642" s="325"/>
      <c r="F642" s="223">
        <v>162677</v>
      </c>
      <c r="G642" s="3">
        <f>0+'[2]táj.2'!G642</f>
        <v>0</v>
      </c>
      <c r="H642" s="3">
        <f>0+'[2]táj.2'!H642</f>
        <v>0</v>
      </c>
      <c r="I642" s="3">
        <f>0+'[2]táj.2'!I642</f>
        <v>0</v>
      </c>
      <c r="J642" s="3">
        <f>0+'[2]táj.2'!J642</f>
        <v>0</v>
      </c>
      <c r="K642" s="3">
        <f>65858+'[2]táj.2'!K642</f>
        <v>65858</v>
      </c>
      <c r="L642" s="3">
        <f>0+'[2]táj.2'!L642</f>
        <v>0</v>
      </c>
      <c r="M642" s="3">
        <f>0+'[2]táj.2'!M642</f>
        <v>0</v>
      </c>
      <c r="N642" s="3">
        <f>0+'[2]táj.2'!N642</f>
        <v>0</v>
      </c>
      <c r="O642" s="3">
        <f>0+'[2]táj.2'!O642</f>
        <v>0</v>
      </c>
      <c r="P642" s="3">
        <f>0+'[2]táj.2'!P642</f>
        <v>0</v>
      </c>
      <c r="Q642" s="7">
        <f t="shared" si="34"/>
        <v>65858</v>
      </c>
    </row>
    <row r="643" spans="1:17" ht="25.5">
      <c r="A643" s="198"/>
      <c r="B643" s="198"/>
      <c r="C643" s="290" t="s">
        <v>1331</v>
      </c>
      <c r="D643" s="172" t="s">
        <v>1332</v>
      </c>
      <c r="E643" s="643"/>
      <c r="F643" s="223">
        <v>163641</v>
      </c>
      <c r="G643" s="3">
        <f>0+'[2]táj.2'!G643</f>
        <v>0</v>
      </c>
      <c r="H643" s="3">
        <f>0+'[2]táj.2'!H643</f>
        <v>0</v>
      </c>
      <c r="I643" s="3">
        <f>0+'[2]táj.2'!I643</f>
        <v>0</v>
      </c>
      <c r="J643" s="3">
        <f>0+'[2]táj.2'!J643</f>
        <v>0</v>
      </c>
      <c r="K643" s="3">
        <f>0+'[2]táj.2'!K643</f>
        <v>0</v>
      </c>
      <c r="L643" s="3">
        <f>0+'[2]táj.2'!L643</f>
        <v>0</v>
      </c>
      <c r="M643" s="3">
        <f>255358+'[2]táj.2'!M643</f>
        <v>255358</v>
      </c>
      <c r="N643" s="3">
        <f>0+'[2]táj.2'!N643</f>
        <v>0</v>
      </c>
      <c r="O643" s="3">
        <f>0+'[2]táj.2'!O643</f>
        <v>0</v>
      </c>
      <c r="P643" s="3">
        <f>0+'[2]táj.2'!P643</f>
        <v>0</v>
      </c>
      <c r="Q643" s="7">
        <f t="shared" si="34"/>
        <v>255358</v>
      </c>
    </row>
    <row r="644" spans="1:17" ht="25.5">
      <c r="A644" s="198"/>
      <c r="B644" s="198"/>
      <c r="C644" s="290" t="s">
        <v>1333</v>
      </c>
      <c r="D644" s="670" t="s">
        <v>1334</v>
      </c>
      <c r="E644" s="643"/>
      <c r="F644" s="223">
        <v>163644</v>
      </c>
      <c r="G644" s="3">
        <f>0+'[2]táj.2'!G644</f>
        <v>0</v>
      </c>
      <c r="H644" s="3">
        <f>0+'[2]táj.2'!H644</f>
        <v>0</v>
      </c>
      <c r="I644" s="3">
        <f>6801+'[2]táj.2'!I644</f>
        <v>6801</v>
      </c>
      <c r="J644" s="3">
        <f>0+'[2]táj.2'!J644</f>
        <v>0</v>
      </c>
      <c r="K644" s="3">
        <f>0+'[2]táj.2'!K644</f>
        <v>0</v>
      </c>
      <c r="L644" s="3">
        <f>707144+'[2]táj.2'!L644</f>
        <v>707144</v>
      </c>
      <c r="M644" s="3">
        <f>0+'[2]táj.2'!M644</f>
        <v>0</v>
      </c>
      <c r="N644" s="3">
        <f>0+'[2]táj.2'!N644</f>
        <v>0</v>
      </c>
      <c r="O644" s="3">
        <f>0+'[2]táj.2'!O644</f>
        <v>0</v>
      </c>
      <c r="P644" s="3">
        <f>0+'[2]táj.2'!P644</f>
        <v>0</v>
      </c>
      <c r="Q644" s="7">
        <f t="shared" si="34"/>
        <v>713945</v>
      </c>
    </row>
    <row r="645" spans="1:17" ht="12.75">
      <c r="A645" s="198"/>
      <c r="B645" s="198"/>
      <c r="C645" s="665" t="s">
        <v>1335</v>
      </c>
      <c r="D645" s="673" t="s">
        <v>1336</v>
      </c>
      <c r="E645" s="325"/>
      <c r="F645" s="22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7"/>
    </row>
    <row r="646" spans="1:17" ht="12.75">
      <c r="A646" s="198"/>
      <c r="B646" s="198"/>
      <c r="C646" s="665"/>
      <c r="D646" s="283" t="s">
        <v>656</v>
      </c>
      <c r="E646" s="325"/>
      <c r="F646" s="22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7"/>
    </row>
    <row r="647" spans="1:17" ht="25.5">
      <c r="A647" s="198"/>
      <c r="B647" s="198"/>
      <c r="C647" s="273" t="s">
        <v>1337</v>
      </c>
      <c r="D647" s="172" t="s">
        <v>124</v>
      </c>
      <c r="E647" s="643"/>
      <c r="F647" s="223">
        <v>163643</v>
      </c>
      <c r="G647" s="3">
        <f>1692+'[2]táj.2'!G647</f>
        <v>1692</v>
      </c>
      <c r="H647" s="3">
        <f>330+'[2]táj.2'!H647</f>
        <v>330</v>
      </c>
      <c r="I647" s="3">
        <f>2456+'[2]táj.2'!I647</f>
        <v>2456</v>
      </c>
      <c r="J647" s="3">
        <f>0+'[2]táj.2'!J647</f>
        <v>0</v>
      </c>
      <c r="K647" s="3">
        <f>0+'[2]táj.2'!K647</f>
        <v>0</v>
      </c>
      <c r="L647" s="3">
        <f>0+'[2]táj.2'!L647</f>
        <v>0</v>
      </c>
      <c r="M647" s="3">
        <f>0+'[2]táj.2'!M647</f>
        <v>0</v>
      </c>
      <c r="N647" s="3">
        <f>0+'[2]táj.2'!N647</f>
        <v>0</v>
      </c>
      <c r="O647" s="3">
        <f>0+'[2]táj.2'!O647</f>
        <v>0</v>
      </c>
      <c r="P647" s="3">
        <f>0+'[2]táj.2'!P647</f>
        <v>0</v>
      </c>
      <c r="Q647" s="7">
        <f aca="true" t="shared" si="35" ref="Q647:Q654">SUM(G647:P647)</f>
        <v>4478</v>
      </c>
    </row>
    <row r="648" spans="1:17" ht="38.25">
      <c r="A648" s="198"/>
      <c r="B648" s="198"/>
      <c r="C648" s="273" t="s">
        <v>1338</v>
      </c>
      <c r="D648" s="172" t="s">
        <v>1339</v>
      </c>
      <c r="E648" s="643"/>
      <c r="F648" s="223">
        <v>163645</v>
      </c>
      <c r="G648" s="3">
        <f>418+'[2]táj.2'!G648</f>
        <v>418</v>
      </c>
      <c r="H648" s="3">
        <f>82+'[2]táj.2'!H648</f>
        <v>82</v>
      </c>
      <c r="I648" s="3">
        <f>18547+'[2]táj.2'!I648</f>
        <v>18547</v>
      </c>
      <c r="J648" s="3">
        <f>0+'[2]táj.2'!J648</f>
        <v>0</v>
      </c>
      <c r="K648" s="3">
        <f>0+'[2]táj.2'!K648</f>
        <v>0</v>
      </c>
      <c r="L648" s="3">
        <f>0+'[2]táj.2'!L648</f>
        <v>0</v>
      </c>
      <c r="M648" s="3">
        <f>0+'[2]táj.2'!M648</f>
        <v>0</v>
      </c>
      <c r="N648" s="3">
        <f>0+'[2]táj.2'!N648</f>
        <v>0</v>
      </c>
      <c r="O648" s="3">
        <f>0+'[2]táj.2'!O648</f>
        <v>0</v>
      </c>
      <c r="P648" s="3">
        <f>0+'[2]táj.2'!P648</f>
        <v>0</v>
      </c>
      <c r="Q648" s="7">
        <f t="shared" si="35"/>
        <v>19047</v>
      </c>
    </row>
    <row r="649" spans="1:17" ht="25.5">
      <c r="A649" s="198"/>
      <c r="B649" s="198"/>
      <c r="C649" s="273" t="s">
        <v>1340</v>
      </c>
      <c r="D649" s="176" t="s">
        <v>344</v>
      </c>
      <c r="E649" s="325"/>
      <c r="F649" s="223">
        <v>163700</v>
      </c>
      <c r="G649" s="3">
        <f>13421+'[2]táj.2'!G649</f>
        <v>13421</v>
      </c>
      <c r="H649" s="3">
        <f>2990+'[2]táj.2'!H649</f>
        <v>2990</v>
      </c>
      <c r="I649" s="3">
        <f>19575+'[2]táj.2'!I649</f>
        <v>19575</v>
      </c>
      <c r="J649" s="3">
        <f>0+'[2]táj.2'!J649</f>
        <v>0</v>
      </c>
      <c r="K649" s="3">
        <f>0+'[2]táj.2'!K649</f>
        <v>0</v>
      </c>
      <c r="L649" s="3">
        <f>0+'[2]táj.2'!L649</f>
        <v>0</v>
      </c>
      <c r="M649" s="3">
        <f>0+'[2]táj.2'!M649</f>
        <v>0</v>
      </c>
      <c r="N649" s="3">
        <f>0+'[2]táj.2'!N649</f>
        <v>0</v>
      </c>
      <c r="O649" s="3">
        <f>0+'[2]táj.2'!O649</f>
        <v>0</v>
      </c>
      <c r="P649" s="3">
        <f>0+'[2]táj.2'!P649</f>
        <v>0</v>
      </c>
      <c r="Q649" s="7">
        <f t="shared" si="35"/>
        <v>35986</v>
      </c>
    </row>
    <row r="650" spans="1:17" ht="12.75">
      <c r="A650" s="198"/>
      <c r="B650" s="198"/>
      <c r="C650" s="273" t="s">
        <v>1341</v>
      </c>
      <c r="D650" s="172" t="s">
        <v>406</v>
      </c>
      <c r="E650" s="643"/>
      <c r="F650" s="223">
        <v>162607</v>
      </c>
      <c r="G650" s="3">
        <f>2213+'[2]táj.2'!G650</f>
        <v>2213</v>
      </c>
      <c r="H650" s="3">
        <f>544+'[2]táj.2'!H650</f>
        <v>544</v>
      </c>
      <c r="I650" s="3">
        <f>1570+'[2]táj.2'!I650</f>
        <v>1570</v>
      </c>
      <c r="J650" s="3">
        <f>0+'[2]táj.2'!J650</f>
        <v>0</v>
      </c>
      <c r="K650" s="3">
        <f>0+'[2]táj.2'!K650</f>
        <v>0</v>
      </c>
      <c r="L650" s="3">
        <f>1007+'[2]táj.2'!L650</f>
        <v>1007</v>
      </c>
      <c r="M650" s="3">
        <f>0+'[2]táj.2'!M650</f>
        <v>0</v>
      </c>
      <c r="N650" s="3">
        <f>0+'[2]táj.2'!N650</f>
        <v>0</v>
      </c>
      <c r="O650" s="3">
        <f>0+'[2]táj.2'!O650</f>
        <v>0</v>
      </c>
      <c r="P650" s="3">
        <f>0+'[2]táj.2'!P650</f>
        <v>0</v>
      </c>
      <c r="Q650" s="7">
        <f t="shared" si="35"/>
        <v>5334</v>
      </c>
    </row>
    <row r="651" spans="1:17" ht="12.75">
      <c r="A651" s="198"/>
      <c r="B651" s="198"/>
      <c r="C651" s="666" t="s">
        <v>1342</v>
      </c>
      <c r="D651" s="673" t="s">
        <v>1343</v>
      </c>
      <c r="E651" s="325"/>
      <c r="F651" s="22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7"/>
    </row>
    <row r="652" spans="1:17" ht="12.75">
      <c r="A652" s="198"/>
      <c r="B652" s="198"/>
      <c r="C652" s="666" t="s">
        <v>1344</v>
      </c>
      <c r="D652" s="172" t="s">
        <v>1345</v>
      </c>
      <c r="E652" s="325"/>
      <c r="F652" s="223">
        <v>162944</v>
      </c>
      <c r="G652" s="3">
        <f>0+'[2]táj.2'!G652</f>
        <v>0</v>
      </c>
      <c r="H652" s="3">
        <f>0+'[2]táj.2'!H652</f>
        <v>0</v>
      </c>
      <c r="I652" s="3">
        <f>0+'[2]táj.2'!I652</f>
        <v>0</v>
      </c>
      <c r="J652" s="3">
        <f>0+'[2]táj.2'!J652</f>
        <v>0</v>
      </c>
      <c r="K652" s="3">
        <f>0+'[2]táj.2'!K652</f>
        <v>0</v>
      </c>
      <c r="L652" s="3">
        <f>0+'[2]táj.2'!L652</f>
        <v>0</v>
      </c>
      <c r="M652" s="3">
        <f>0+'[2]táj.2'!M652</f>
        <v>0</v>
      </c>
      <c r="N652" s="3">
        <f>6500+'[2]táj.2'!N652</f>
        <v>6500</v>
      </c>
      <c r="O652" s="3">
        <f>0+'[2]táj.2'!O652</f>
        <v>0</v>
      </c>
      <c r="P652" s="3">
        <f>0+'[2]táj.2'!P652</f>
        <v>0</v>
      </c>
      <c r="Q652" s="7">
        <f t="shared" si="35"/>
        <v>6500</v>
      </c>
    </row>
    <row r="653" spans="1:17" ht="25.5">
      <c r="A653" s="198"/>
      <c r="B653" s="198"/>
      <c r="C653" s="666" t="s">
        <v>1346</v>
      </c>
      <c r="D653" s="176" t="s">
        <v>1347</v>
      </c>
      <c r="E653" s="325"/>
      <c r="F653" s="223">
        <v>162638</v>
      </c>
      <c r="G653" s="3">
        <f>0+'[2]táj.2'!G653</f>
        <v>0</v>
      </c>
      <c r="H653" s="3">
        <f>0+'[2]táj.2'!H653</f>
        <v>0</v>
      </c>
      <c r="I653" s="3">
        <f>0+'[2]táj.2'!I653</f>
        <v>0</v>
      </c>
      <c r="J653" s="3">
        <f>0+'[2]táj.2'!J653</f>
        <v>0</v>
      </c>
      <c r="K653" s="3">
        <f>0+'[2]táj.2'!K653</f>
        <v>0</v>
      </c>
      <c r="L653" s="3">
        <f>10000+'[2]táj.2'!L653</f>
        <v>10000</v>
      </c>
      <c r="M653" s="3">
        <f>0+'[2]táj.2'!M653</f>
        <v>0</v>
      </c>
      <c r="N653" s="3">
        <f>0+'[2]táj.2'!N653</f>
        <v>0</v>
      </c>
      <c r="O653" s="3">
        <f>0+'[2]táj.2'!O653</f>
        <v>0</v>
      </c>
      <c r="P653" s="3">
        <f>0+'[2]táj.2'!P653</f>
        <v>0</v>
      </c>
      <c r="Q653" s="7">
        <f t="shared" si="35"/>
        <v>10000</v>
      </c>
    </row>
    <row r="654" spans="1:17" ht="25.5">
      <c r="A654" s="198"/>
      <c r="B654" s="198"/>
      <c r="C654" s="666" t="s">
        <v>1564</v>
      </c>
      <c r="D654" s="176" t="s">
        <v>1565</v>
      </c>
      <c r="E654" s="325"/>
      <c r="F654" s="223">
        <v>163647</v>
      </c>
      <c r="G654" s="3">
        <f>0+'[2]táj.2'!G654</f>
        <v>0</v>
      </c>
      <c r="H654" s="3">
        <f>0+'[2]táj.2'!H654</f>
        <v>0</v>
      </c>
      <c r="I654" s="3">
        <f>0+'[2]táj.2'!I654</f>
        <v>0</v>
      </c>
      <c r="J654" s="3">
        <f>0+'[2]táj.2'!J654</f>
        <v>0</v>
      </c>
      <c r="K654" s="3">
        <f>0+'[2]táj.2'!K654</f>
        <v>0</v>
      </c>
      <c r="L654" s="3">
        <f>0+'[2]táj.2'!L654</f>
        <v>200000</v>
      </c>
      <c r="M654" s="3">
        <f>0+'[2]táj.2'!M654</f>
        <v>0</v>
      </c>
      <c r="N654" s="3">
        <f>0+'[2]táj.2'!N654</f>
        <v>0</v>
      </c>
      <c r="O654" s="3">
        <f>0+'[2]táj.2'!O654</f>
        <v>0</v>
      </c>
      <c r="P654" s="3">
        <f>0+'[2]táj.2'!P654</f>
        <v>0</v>
      </c>
      <c r="Q654" s="7">
        <f t="shared" si="35"/>
        <v>200000</v>
      </c>
    </row>
    <row r="655" spans="1:17" ht="12.75">
      <c r="A655" s="198"/>
      <c r="B655" s="198"/>
      <c r="C655" s="359"/>
      <c r="D655" s="283" t="s">
        <v>656</v>
      </c>
      <c r="E655" s="325"/>
      <c r="F655" s="22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7"/>
    </row>
    <row r="656" spans="1:17" ht="25.5">
      <c r="A656" s="198"/>
      <c r="B656" s="198"/>
      <c r="C656" s="290" t="s">
        <v>1348</v>
      </c>
      <c r="D656" s="172" t="s">
        <v>1349</v>
      </c>
      <c r="E656" s="325"/>
      <c r="F656" s="223">
        <v>162640</v>
      </c>
      <c r="G656" s="3">
        <f>0+'[2]táj.2'!G656</f>
        <v>0</v>
      </c>
      <c r="H656" s="3">
        <f>0+'[2]táj.2'!H656</f>
        <v>0</v>
      </c>
      <c r="I656" s="3">
        <f>183429+'[2]táj.2'!I656</f>
        <v>183429</v>
      </c>
      <c r="J656" s="3">
        <f>0+'[2]táj.2'!J656</f>
        <v>0</v>
      </c>
      <c r="K656" s="3">
        <f>0+'[2]táj.2'!K656</f>
        <v>0</v>
      </c>
      <c r="L656" s="3">
        <f>0+'[2]táj.2'!L656</f>
        <v>0</v>
      </c>
      <c r="M656" s="3">
        <f>0+'[2]táj.2'!M656</f>
        <v>0</v>
      </c>
      <c r="N656" s="3">
        <f>0+'[2]táj.2'!N656</f>
        <v>0</v>
      </c>
      <c r="O656" s="3">
        <f>0+'[2]táj.2'!O656</f>
        <v>0</v>
      </c>
      <c r="P656" s="3">
        <f>0+'[2]táj.2'!P656</f>
        <v>0</v>
      </c>
      <c r="Q656" s="7">
        <f aca="true" t="shared" si="36" ref="Q656:Q661">SUM(G656:P656)</f>
        <v>183429</v>
      </c>
    </row>
    <row r="657" spans="1:17" ht="36">
      <c r="A657" s="198"/>
      <c r="B657" s="198"/>
      <c r="C657" s="290" t="s">
        <v>1350</v>
      </c>
      <c r="D657" s="227" t="s">
        <v>1351</v>
      </c>
      <c r="E657" s="325" t="s">
        <v>830</v>
      </c>
      <c r="F657" s="223">
        <v>162702</v>
      </c>
      <c r="G657" s="3">
        <f>0+'[2]táj.2'!G657</f>
        <v>0</v>
      </c>
      <c r="H657" s="3">
        <f>0+'[2]táj.2'!H657</f>
        <v>0</v>
      </c>
      <c r="I657" s="3">
        <f>0+'[2]táj.2'!I657</f>
        <v>0</v>
      </c>
      <c r="J657" s="3">
        <f>0+'[2]táj.2'!J657</f>
        <v>0</v>
      </c>
      <c r="K657" s="3">
        <f>0+'[2]táj.2'!K657</f>
        <v>0</v>
      </c>
      <c r="L657" s="3">
        <f>17924+'[2]táj.2'!L657</f>
        <v>17924</v>
      </c>
      <c r="M657" s="3">
        <f>0+'[2]táj.2'!M657</f>
        <v>0</v>
      </c>
      <c r="N657" s="3">
        <f>0+'[2]táj.2'!N657</f>
        <v>0</v>
      </c>
      <c r="O657" s="3">
        <f>0+'[2]táj.2'!O657</f>
        <v>0</v>
      </c>
      <c r="P657" s="3">
        <f>0+'[2]táj.2'!P657</f>
        <v>0</v>
      </c>
      <c r="Q657" s="7">
        <f t="shared" si="36"/>
        <v>17924</v>
      </c>
    </row>
    <row r="658" spans="1:17" ht="25.5">
      <c r="A658" s="198"/>
      <c r="B658" s="198"/>
      <c r="C658" s="290" t="s">
        <v>1352</v>
      </c>
      <c r="D658" s="176" t="s">
        <v>1353</v>
      </c>
      <c r="E658" s="325"/>
      <c r="F658" s="223">
        <v>162633</v>
      </c>
      <c r="G658" s="3">
        <f>0+'[2]táj.2'!G658</f>
        <v>0</v>
      </c>
      <c r="H658" s="3">
        <f>0+'[2]táj.2'!H658</f>
        <v>0</v>
      </c>
      <c r="I658" s="3">
        <f>5130+'[2]táj.2'!I658</f>
        <v>5130</v>
      </c>
      <c r="J658" s="3">
        <f>0+'[2]táj.2'!J658</f>
        <v>0</v>
      </c>
      <c r="K658" s="3">
        <f>0+'[2]táj.2'!K658</f>
        <v>0</v>
      </c>
      <c r="L658" s="3">
        <f>18486+'[2]táj.2'!L658</f>
        <v>18486</v>
      </c>
      <c r="M658" s="3">
        <f>0+'[2]táj.2'!M658</f>
        <v>0</v>
      </c>
      <c r="N658" s="3">
        <f>0+'[2]táj.2'!N658</f>
        <v>0</v>
      </c>
      <c r="O658" s="3">
        <f>0+'[2]táj.2'!O658</f>
        <v>0</v>
      </c>
      <c r="P658" s="3">
        <f>0+'[2]táj.2'!P658</f>
        <v>0</v>
      </c>
      <c r="Q658" s="7">
        <f t="shared" si="36"/>
        <v>23616</v>
      </c>
    </row>
    <row r="659" spans="1:17" ht="12.75">
      <c r="A659" s="198"/>
      <c r="B659" s="198"/>
      <c r="C659" s="290" t="s">
        <v>1354</v>
      </c>
      <c r="D659" s="176" t="s">
        <v>1355</v>
      </c>
      <c r="E659" s="325"/>
      <c r="F659" s="223">
        <v>162634</v>
      </c>
      <c r="G659" s="3">
        <f>0+'[2]táj.2'!G659</f>
        <v>0</v>
      </c>
      <c r="H659" s="3">
        <f>0+'[2]táj.2'!H659</f>
        <v>0</v>
      </c>
      <c r="I659" s="3">
        <f>953+'[2]táj.2'!I659</f>
        <v>953</v>
      </c>
      <c r="J659" s="3">
        <f>0+'[2]táj.2'!J659</f>
        <v>0</v>
      </c>
      <c r="K659" s="3">
        <f>0+'[2]táj.2'!K659</f>
        <v>0</v>
      </c>
      <c r="L659" s="3">
        <f>0+'[2]táj.2'!L659</f>
        <v>0</v>
      </c>
      <c r="M659" s="3">
        <f>0+'[2]táj.2'!M659</f>
        <v>0</v>
      </c>
      <c r="N659" s="3">
        <f>0+'[2]táj.2'!N659</f>
        <v>0</v>
      </c>
      <c r="O659" s="3">
        <f>0+'[2]táj.2'!O659</f>
        <v>0</v>
      </c>
      <c r="P659" s="3">
        <f>0+'[2]táj.2'!P659</f>
        <v>0</v>
      </c>
      <c r="Q659" s="7">
        <f t="shared" si="36"/>
        <v>953</v>
      </c>
    </row>
    <row r="660" spans="1:17" ht="25.5">
      <c r="A660" s="198"/>
      <c r="B660" s="198"/>
      <c r="C660" s="290" t="s">
        <v>1356</v>
      </c>
      <c r="D660" s="176" t="s">
        <v>1357</v>
      </c>
      <c r="E660" s="325" t="s">
        <v>830</v>
      </c>
      <c r="F660" s="223">
        <v>163631</v>
      </c>
      <c r="G660" s="3">
        <f>0+'[2]táj.2'!G660</f>
        <v>0</v>
      </c>
      <c r="H660" s="3">
        <f>0+'[2]táj.2'!H660</f>
        <v>0</v>
      </c>
      <c r="I660" s="3">
        <f>0+'[2]táj.2'!I660</f>
        <v>0</v>
      </c>
      <c r="J660" s="3">
        <f>0+'[2]táj.2'!J660</f>
        <v>0</v>
      </c>
      <c r="K660" s="3">
        <f>0+'[2]táj.2'!K660</f>
        <v>0</v>
      </c>
      <c r="L660" s="3">
        <f>47000+'[2]táj.2'!L660</f>
        <v>47000</v>
      </c>
      <c r="M660" s="3">
        <f>0+'[2]táj.2'!M660</f>
        <v>0</v>
      </c>
      <c r="N660" s="3">
        <f>0+'[2]táj.2'!N660</f>
        <v>0</v>
      </c>
      <c r="O660" s="3">
        <f>0+'[2]táj.2'!O660</f>
        <v>0</v>
      </c>
      <c r="P660" s="3">
        <f>0+'[2]táj.2'!P660</f>
        <v>0</v>
      </c>
      <c r="Q660" s="7">
        <f t="shared" si="36"/>
        <v>47000</v>
      </c>
    </row>
    <row r="661" spans="1:17" ht="38.25">
      <c r="A661" s="198"/>
      <c r="B661" s="198"/>
      <c r="C661" s="290" t="s">
        <v>1358</v>
      </c>
      <c r="D661" s="176" t="s">
        <v>1359</v>
      </c>
      <c r="E661" s="325"/>
      <c r="F661" s="223">
        <v>163605</v>
      </c>
      <c r="G661" s="3">
        <f>0+'[2]táj.2'!G661</f>
        <v>0</v>
      </c>
      <c r="H661" s="3">
        <f>0+'[2]táj.2'!H661</f>
        <v>0</v>
      </c>
      <c r="I661" s="3">
        <f>0+'[2]táj.2'!I661</f>
        <v>0</v>
      </c>
      <c r="J661" s="3">
        <f>0+'[2]táj.2'!J661</f>
        <v>0</v>
      </c>
      <c r="K661" s="3">
        <f>0+'[2]táj.2'!K661</f>
        <v>0</v>
      </c>
      <c r="L661" s="3">
        <f>9779+'[2]táj.2'!L661</f>
        <v>9779</v>
      </c>
      <c r="M661" s="3">
        <f>0+'[2]táj.2'!M661</f>
        <v>0</v>
      </c>
      <c r="N661" s="3">
        <f>0+'[2]táj.2'!N661</f>
        <v>0</v>
      </c>
      <c r="O661" s="3">
        <f>0+'[2]táj.2'!O661</f>
        <v>0</v>
      </c>
      <c r="P661" s="3">
        <f>0+'[2]táj.2'!P661</f>
        <v>0</v>
      </c>
      <c r="Q661" s="7">
        <f t="shared" si="36"/>
        <v>9779</v>
      </c>
    </row>
    <row r="662" spans="1:17" ht="13.5">
      <c r="A662" s="340"/>
      <c r="B662" s="340"/>
      <c r="C662" s="341"/>
      <c r="D662" s="360" t="s">
        <v>1360</v>
      </c>
      <c r="E662" s="361"/>
      <c r="F662" s="285"/>
      <c r="G662" s="5">
        <f aca="true" t="shared" si="37" ref="G662:Q662">SUM(G485:G661)</f>
        <v>54181</v>
      </c>
      <c r="H662" s="5">
        <f t="shared" si="37"/>
        <v>12770</v>
      </c>
      <c r="I662" s="5">
        <f t="shared" si="37"/>
        <v>6304048</v>
      </c>
      <c r="J662" s="5">
        <f t="shared" si="37"/>
        <v>0</v>
      </c>
      <c r="K662" s="5">
        <f t="shared" si="37"/>
        <v>67813</v>
      </c>
      <c r="L662" s="5">
        <f t="shared" si="37"/>
        <v>26885359</v>
      </c>
      <c r="M662" s="5">
        <f t="shared" si="37"/>
        <v>5124232</v>
      </c>
      <c r="N662" s="5">
        <f t="shared" si="37"/>
        <v>9500</v>
      </c>
      <c r="O662" s="5">
        <f t="shared" si="37"/>
        <v>0</v>
      </c>
      <c r="P662" s="5">
        <f t="shared" si="37"/>
        <v>0</v>
      </c>
      <c r="Q662" s="5">
        <f t="shared" si="37"/>
        <v>38457903</v>
      </c>
    </row>
    <row r="663" spans="1:17" ht="13.5">
      <c r="A663" s="198">
        <v>1</v>
      </c>
      <c r="B663" s="198">
        <v>17</v>
      </c>
      <c r="C663" s="214"/>
      <c r="D663" s="277" t="s">
        <v>1361</v>
      </c>
      <c r="E663" s="223"/>
      <c r="F663" s="7"/>
      <c r="G663" s="7"/>
      <c r="H663" s="3"/>
      <c r="I663" s="3"/>
      <c r="J663" s="3"/>
      <c r="K663" s="3"/>
      <c r="L663" s="3"/>
      <c r="M663" s="7"/>
      <c r="N663" s="7"/>
      <c r="O663" s="7"/>
      <c r="P663" s="7"/>
      <c r="Q663" s="7"/>
    </row>
    <row r="664" spans="1:17" ht="12.75">
      <c r="A664" s="198"/>
      <c r="B664" s="198"/>
      <c r="C664" s="214"/>
      <c r="D664" s="178" t="s">
        <v>496</v>
      </c>
      <c r="E664" s="226"/>
      <c r="F664" s="207"/>
      <c r="G664" s="7"/>
      <c r="H664" s="3"/>
      <c r="I664" s="3"/>
      <c r="J664" s="3"/>
      <c r="K664" s="3"/>
      <c r="L664" s="3"/>
      <c r="M664" s="7"/>
      <c r="N664" s="7"/>
      <c r="O664" s="7"/>
      <c r="P664" s="7"/>
      <c r="Q664" s="7"/>
    </row>
    <row r="665" spans="1:17" ht="12.75">
      <c r="A665" s="198"/>
      <c r="B665" s="198"/>
      <c r="C665" s="214"/>
      <c r="D665" s="283" t="s">
        <v>1362</v>
      </c>
      <c r="E665" s="7">
        <v>1</v>
      </c>
      <c r="F665" s="7">
        <v>171905</v>
      </c>
      <c r="G665" s="7">
        <f>0+'[2]táj.2'!G665</f>
        <v>0</v>
      </c>
      <c r="H665" s="7">
        <f>0+'[2]táj.2'!H665</f>
        <v>0</v>
      </c>
      <c r="I665" s="7">
        <f>7556+'[2]táj.2'!I665</f>
        <v>7556</v>
      </c>
      <c r="J665" s="7">
        <f>0+'[2]táj.2'!J665</f>
        <v>0</v>
      </c>
      <c r="K665" s="7">
        <f>0+'[2]táj.2'!K665</f>
        <v>0</v>
      </c>
      <c r="L665" s="7">
        <f>0+'[2]táj.2'!L665</f>
        <v>0</v>
      </c>
      <c r="M665" s="7">
        <f>0+'[2]táj.2'!M665</f>
        <v>0</v>
      </c>
      <c r="N665" s="7">
        <f>0+'[2]táj.2'!N665</f>
        <v>0</v>
      </c>
      <c r="O665" s="7">
        <f>0+'[2]táj.2'!O665</f>
        <v>0</v>
      </c>
      <c r="P665" s="7">
        <f>0+'[2]táj.2'!P665</f>
        <v>0</v>
      </c>
      <c r="Q665" s="7">
        <f aca="true" t="shared" si="38" ref="Q665:Q672">SUM(G665:P665)</f>
        <v>7556</v>
      </c>
    </row>
    <row r="666" spans="1:17" ht="12.75">
      <c r="A666" s="198"/>
      <c r="B666" s="198"/>
      <c r="C666" s="214"/>
      <c r="D666" s="283" t="s">
        <v>1363</v>
      </c>
      <c r="E666" s="7">
        <v>1</v>
      </c>
      <c r="F666" s="7">
        <v>171903</v>
      </c>
      <c r="G666" s="7">
        <f>0+'[2]táj.2'!G666</f>
        <v>0</v>
      </c>
      <c r="H666" s="7">
        <f>0+'[2]táj.2'!H666</f>
        <v>0</v>
      </c>
      <c r="I666" s="7">
        <f>500+'[2]táj.2'!I666</f>
        <v>500</v>
      </c>
      <c r="J666" s="7">
        <f>0+'[2]táj.2'!J666</f>
        <v>0</v>
      </c>
      <c r="K666" s="7">
        <f>0+'[2]táj.2'!K666</f>
        <v>0</v>
      </c>
      <c r="L666" s="7">
        <f>0+'[2]táj.2'!L666</f>
        <v>0</v>
      </c>
      <c r="M666" s="7">
        <f>0+'[2]táj.2'!M666</f>
        <v>0</v>
      </c>
      <c r="N666" s="7">
        <f>0+'[2]táj.2'!N666</f>
        <v>0</v>
      </c>
      <c r="O666" s="7">
        <f>0+'[2]táj.2'!O666</f>
        <v>0</v>
      </c>
      <c r="P666" s="7">
        <f>0+'[2]táj.2'!P666</f>
        <v>0</v>
      </c>
      <c r="Q666" s="7">
        <f t="shared" si="38"/>
        <v>500</v>
      </c>
    </row>
    <row r="667" spans="1:17" ht="12.75">
      <c r="A667" s="198"/>
      <c r="B667" s="198"/>
      <c r="C667" s="214"/>
      <c r="D667" s="283" t="s">
        <v>1364</v>
      </c>
      <c r="E667" s="207">
        <v>1</v>
      </c>
      <c r="F667" s="7">
        <v>171920</v>
      </c>
      <c r="G667" s="7">
        <f>0+'[2]táj.2'!G667</f>
        <v>0</v>
      </c>
      <c r="H667" s="7">
        <f>0+'[2]táj.2'!H667</f>
        <v>0</v>
      </c>
      <c r="I667" s="7">
        <f>5899+'[2]táj.2'!I667</f>
        <v>5899</v>
      </c>
      <c r="J667" s="7">
        <f>0+'[2]táj.2'!J667</f>
        <v>0</v>
      </c>
      <c r="K667" s="7">
        <f>0+'[2]táj.2'!K667</f>
        <v>0</v>
      </c>
      <c r="L667" s="7">
        <f>0+'[2]táj.2'!L667</f>
        <v>0</v>
      </c>
      <c r="M667" s="7">
        <f>0+'[2]táj.2'!M667</f>
        <v>0</v>
      </c>
      <c r="N667" s="7">
        <f>0+'[2]táj.2'!N667</f>
        <v>0</v>
      </c>
      <c r="O667" s="7">
        <f>0+'[2]táj.2'!O667</f>
        <v>0</v>
      </c>
      <c r="P667" s="7">
        <f>0+'[2]táj.2'!P667</f>
        <v>0</v>
      </c>
      <c r="Q667" s="7">
        <f t="shared" si="38"/>
        <v>5899</v>
      </c>
    </row>
    <row r="668" spans="1:17" ht="12.75">
      <c r="A668" s="198"/>
      <c r="B668" s="198"/>
      <c r="C668" s="214"/>
      <c r="D668" s="176" t="s">
        <v>1365</v>
      </c>
      <c r="E668" s="169">
        <v>1</v>
      </c>
      <c r="F668" s="7">
        <v>171956</v>
      </c>
      <c r="G668" s="7">
        <f>0+'[2]táj.2'!G668</f>
        <v>0</v>
      </c>
      <c r="H668" s="7">
        <f>0+'[2]táj.2'!H668</f>
        <v>0</v>
      </c>
      <c r="I668" s="7">
        <f>4118+'[2]táj.2'!I668</f>
        <v>4118</v>
      </c>
      <c r="J668" s="7">
        <f>0+'[2]táj.2'!J668</f>
        <v>0</v>
      </c>
      <c r="K668" s="7">
        <f>0+'[2]táj.2'!K668</f>
        <v>0</v>
      </c>
      <c r="L668" s="7">
        <f>0+'[2]táj.2'!L668</f>
        <v>0</v>
      </c>
      <c r="M668" s="7">
        <f>0+'[2]táj.2'!M668</f>
        <v>0</v>
      </c>
      <c r="N668" s="7">
        <f>0+'[2]táj.2'!N668</f>
        <v>0</v>
      </c>
      <c r="O668" s="7">
        <f>0+'[2]táj.2'!O668</f>
        <v>0</v>
      </c>
      <c r="P668" s="7">
        <f>0+'[2]táj.2'!P668</f>
        <v>0</v>
      </c>
      <c r="Q668" s="7">
        <f t="shared" si="38"/>
        <v>4118</v>
      </c>
    </row>
    <row r="669" spans="1:17" ht="12.75">
      <c r="A669" s="198"/>
      <c r="B669" s="198"/>
      <c r="C669" s="214"/>
      <c r="D669" s="176" t="s">
        <v>1366</v>
      </c>
      <c r="E669" s="169">
        <v>1</v>
      </c>
      <c r="F669" s="7">
        <v>171958</v>
      </c>
      <c r="G669" s="7">
        <f>0+'[2]táj.2'!G669</f>
        <v>0</v>
      </c>
      <c r="H669" s="7">
        <f>0+'[2]táj.2'!H669</f>
        <v>0</v>
      </c>
      <c r="I669" s="7">
        <f>500+'[2]táj.2'!I669</f>
        <v>500</v>
      </c>
      <c r="J669" s="7">
        <f>0+'[2]táj.2'!J669</f>
        <v>0</v>
      </c>
      <c r="K669" s="7">
        <f>0+'[2]táj.2'!K669</f>
        <v>0</v>
      </c>
      <c r="L669" s="7">
        <f>0+'[2]táj.2'!L669</f>
        <v>0</v>
      </c>
      <c r="M669" s="7">
        <f>0+'[2]táj.2'!M669</f>
        <v>0</v>
      </c>
      <c r="N669" s="7">
        <f>0+'[2]táj.2'!N669</f>
        <v>0</v>
      </c>
      <c r="O669" s="7">
        <f>0+'[2]táj.2'!O669</f>
        <v>0</v>
      </c>
      <c r="P669" s="7">
        <f>0+'[2]táj.2'!P669</f>
        <v>0</v>
      </c>
      <c r="Q669" s="7">
        <f t="shared" si="38"/>
        <v>500</v>
      </c>
    </row>
    <row r="670" spans="1:17" ht="12.75">
      <c r="A670" s="198"/>
      <c r="B670" s="198"/>
      <c r="C670" s="214"/>
      <c r="D670" s="176" t="s">
        <v>1367</v>
      </c>
      <c r="E670" s="169">
        <v>1</v>
      </c>
      <c r="F670" s="7">
        <v>171904</v>
      </c>
      <c r="G670" s="7">
        <f>0+'[2]táj.2'!G670</f>
        <v>0</v>
      </c>
      <c r="H670" s="7">
        <f>0+'[2]táj.2'!H670</f>
        <v>0</v>
      </c>
      <c r="I670" s="7">
        <f>2000+'[2]táj.2'!I670</f>
        <v>2000</v>
      </c>
      <c r="J670" s="7">
        <f>0+'[2]táj.2'!J670</f>
        <v>0</v>
      </c>
      <c r="K670" s="7">
        <f>0+'[2]táj.2'!K670</f>
        <v>0</v>
      </c>
      <c r="L670" s="7">
        <f>0+'[2]táj.2'!L670</f>
        <v>0</v>
      </c>
      <c r="M670" s="7">
        <f>0+'[2]táj.2'!M670</f>
        <v>0</v>
      </c>
      <c r="N670" s="7">
        <f>0+'[2]táj.2'!N670</f>
        <v>0</v>
      </c>
      <c r="O670" s="7">
        <f>0+'[2]táj.2'!O670</f>
        <v>0</v>
      </c>
      <c r="P670" s="7">
        <f>0+'[2]táj.2'!P670</f>
        <v>0</v>
      </c>
      <c r="Q670" s="7">
        <f t="shared" si="38"/>
        <v>2000</v>
      </c>
    </row>
    <row r="671" spans="1:17" ht="12.75">
      <c r="A671" s="198"/>
      <c r="B671" s="198"/>
      <c r="C671" s="214"/>
      <c r="D671" s="283" t="s">
        <v>1368</v>
      </c>
      <c r="E671" s="7">
        <v>1</v>
      </c>
      <c r="F671" s="7">
        <v>171902</v>
      </c>
      <c r="G671" s="7">
        <f>0+'[2]táj.2'!G671</f>
        <v>0</v>
      </c>
      <c r="H671" s="7">
        <f>0+'[2]táj.2'!H671</f>
        <v>0</v>
      </c>
      <c r="I671" s="7">
        <f>13406+'[2]táj.2'!I671</f>
        <v>13406</v>
      </c>
      <c r="J671" s="7">
        <f>0+'[2]táj.2'!J671</f>
        <v>0</v>
      </c>
      <c r="K671" s="7">
        <f>0+'[2]táj.2'!K671</f>
        <v>0</v>
      </c>
      <c r="L671" s="7">
        <f>0+'[2]táj.2'!L671</f>
        <v>0</v>
      </c>
      <c r="M671" s="7">
        <f>0+'[2]táj.2'!M671</f>
        <v>0</v>
      </c>
      <c r="N671" s="7">
        <f>0+'[2]táj.2'!N671</f>
        <v>0</v>
      </c>
      <c r="O671" s="7">
        <f>0+'[2]táj.2'!O671</f>
        <v>0</v>
      </c>
      <c r="P671" s="7">
        <f>0+'[2]táj.2'!P671</f>
        <v>0</v>
      </c>
      <c r="Q671" s="7">
        <f t="shared" si="38"/>
        <v>13406</v>
      </c>
    </row>
    <row r="672" spans="1:17" ht="12.75">
      <c r="A672" s="198"/>
      <c r="B672" s="198"/>
      <c r="C672" s="214"/>
      <c r="D672" s="283" t="s">
        <v>1369</v>
      </c>
      <c r="E672" s="7">
        <v>1</v>
      </c>
      <c r="F672" s="7">
        <v>171925</v>
      </c>
      <c r="G672" s="7">
        <f>0+'[2]táj.2'!G672</f>
        <v>0</v>
      </c>
      <c r="H672" s="7">
        <f>0+'[2]táj.2'!H672</f>
        <v>0</v>
      </c>
      <c r="I672" s="7">
        <f>500+'[2]táj.2'!I672</f>
        <v>500</v>
      </c>
      <c r="J672" s="7">
        <f>0+'[2]táj.2'!J672</f>
        <v>0</v>
      </c>
      <c r="K672" s="7">
        <f>0+'[2]táj.2'!K672</f>
        <v>0</v>
      </c>
      <c r="L672" s="7">
        <f>0+'[2]táj.2'!L672</f>
        <v>0</v>
      </c>
      <c r="M672" s="7">
        <f>0+'[2]táj.2'!M672</f>
        <v>0</v>
      </c>
      <c r="N672" s="7">
        <f>0+'[2]táj.2'!N672</f>
        <v>0</v>
      </c>
      <c r="O672" s="7">
        <f>0+'[2]táj.2'!O672</f>
        <v>0</v>
      </c>
      <c r="P672" s="7">
        <f>0+'[2]táj.2'!P672</f>
        <v>0</v>
      </c>
      <c r="Q672" s="7">
        <f t="shared" si="38"/>
        <v>500</v>
      </c>
    </row>
    <row r="673" spans="1:17" ht="12.75">
      <c r="A673" s="198"/>
      <c r="B673" s="198"/>
      <c r="C673" s="198"/>
      <c r="D673" s="181" t="s">
        <v>1370</v>
      </c>
      <c r="E673" s="223"/>
      <c r="F673" s="7"/>
      <c r="G673" s="7"/>
      <c r="H673" s="3"/>
      <c r="I673" s="7"/>
      <c r="J673" s="3"/>
      <c r="K673" s="3"/>
      <c r="L673" s="3"/>
      <c r="M673" s="7"/>
      <c r="N673" s="7"/>
      <c r="O673" s="7"/>
      <c r="P673" s="7"/>
      <c r="Q673" s="7"/>
    </row>
    <row r="674" spans="1:17" ht="12.75">
      <c r="A674" s="198"/>
      <c r="B674" s="198"/>
      <c r="C674" s="198"/>
      <c r="D674" s="181" t="s">
        <v>1371</v>
      </c>
      <c r="E674" s="223">
        <v>1</v>
      </c>
      <c r="F674" s="7">
        <v>171954</v>
      </c>
      <c r="G674" s="7">
        <f>0+'[2]táj.2'!G674</f>
        <v>0</v>
      </c>
      <c r="H674" s="7">
        <f>0+'[2]táj.2'!H674</f>
        <v>0</v>
      </c>
      <c r="I674" s="7">
        <f>500+'[2]táj.2'!I674</f>
        <v>500</v>
      </c>
      <c r="J674" s="7">
        <f>0+'[2]táj.2'!J674</f>
        <v>0</v>
      </c>
      <c r="K674" s="7">
        <f>0+'[2]táj.2'!K674</f>
        <v>0</v>
      </c>
      <c r="L674" s="7">
        <f>0+'[2]táj.2'!L674</f>
        <v>0</v>
      </c>
      <c r="M674" s="7">
        <f>0+'[2]táj.2'!M674</f>
        <v>0</v>
      </c>
      <c r="N674" s="7">
        <f>0+'[2]táj.2'!N674</f>
        <v>0</v>
      </c>
      <c r="O674" s="7">
        <f>0+'[2]táj.2'!O674</f>
        <v>0</v>
      </c>
      <c r="P674" s="7">
        <f>0+'[2]táj.2'!P674</f>
        <v>0</v>
      </c>
      <c r="Q674" s="7">
        <f>SUM(G674:P674)</f>
        <v>500</v>
      </c>
    </row>
    <row r="675" spans="1:17" ht="13.5">
      <c r="A675" s="218"/>
      <c r="B675" s="218"/>
      <c r="C675" s="219"/>
      <c r="D675" s="183" t="s">
        <v>1372</v>
      </c>
      <c r="E675" s="221"/>
      <c r="F675" s="61"/>
      <c r="G675" s="61">
        <f aca="true" t="shared" si="39" ref="G675:Q675">SUM(G664:G674)</f>
        <v>0</v>
      </c>
      <c r="H675" s="61">
        <f t="shared" si="39"/>
        <v>0</v>
      </c>
      <c r="I675" s="61">
        <f t="shared" si="39"/>
        <v>34979</v>
      </c>
      <c r="J675" s="61">
        <f t="shared" si="39"/>
        <v>0</v>
      </c>
      <c r="K675" s="61">
        <f t="shared" si="39"/>
        <v>0</v>
      </c>
      <c r="L675" s="61">
        <f t="shared" si="39"/>
        <v>0</v>
      </c>
      <c r="M675" s="61">
        <f t="shared" si="39"/>
        <v>0</v>
      </c>
      <c r="N675" s="61">
        <f t="shared" si="39"/>
        <v>0</v>
      </c>
      <c r="O675" s="61">
        <f t="shared" si="39"/>
        <v>0</v>
      </c>
      <c r="P675" s="61">
        <f t="shared" si="39"/>
        <v>0</v>
      </c>
      <c r="Q675" s="61">
        <f t="shared" si="39"/>
        <v>34979</v>
      </c>
    </row>
    <row r="676" spans="1:17" ht="12.75">
      <c r="A676" s="170"/>
      <c r="B676" s="170"/>
      <c r="C676" s="256"/>
      <c r="D676" s="287" t="s">
        <v>1373</v>
      </c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25.5">
      <c r="A677" s="170"/>
      <c r="B677" s="170"/>
      <c r="C677" s="214" t="s">
        <v>269</v>
      </c>
      <c r="D677" s="362" t="s">
        <v>1374</v>
      </c>
      <c r="E677" s="363"/>
      <c r="F677" s="364">
        <v>171980</v>
      </c>
      <c r="G677" s="7">
        <f>0+'[2]táj.2'!G677</f>
        <v>0</v>
      </c>
      <c r="H677" s="7">
        <f>0+'[2]táj.2'!H677</f>
        <v>0</v>
      </c>
      <c r="I677" s="7">
        <f>0+'[2]táj.2'!I677</f>
        <v>0</v>
      </c>
      <c r="J677" s="7">
        <f>0+'[2]táj.2'!J677</f>
        <v>0</v>
      </c>
      <c r="K677" s="7">
        <f>0+'[2]táj.2'!K677</f>
        <v>0</v>
      </c>
      <c r="L677" s="7">
        <f>0+'[2]táj.2'!L677</f>
        <v>0</v>
      </c>
      <c r="M677" s="7">
        <f>0+'[2]táj.2'!M677</f>
        <v>0</v>
      </c>
      <c r="N677" s="7">
        <f>30000+'[2]táj.2'!N677</f>
        <v>30000</v>
      </c>
      <c r="O677" s="7">
        <f>0+'[2]táj.2'!O677</f>
        <v>0</v>
      </c>
      <c r="P677" s="7">
        <f>0+'[2]táj.2'!P677</f>
        <v>0</v>
      </c>
      <c r="Q677" s="7">
        <f>SUM(G677:P677)</f>
        <v>30000</v>
      </c>
    </row>
    <row r="678" spans="1:17" ht="12.75">
      <c r="A678" s="170"/>
      <c r="B678" s="170"/>
      <c r="C678" s="214" t="s">
        <v>268</v>
      </c>
      <c r="D678" s="174" t="s">
        <v>100</v>
      </c>
      <c r="E678" s="365"/>
      <c r="F678" s="7">
        <v>172958</v>
      </c>
      <c r="G678" s="7">
        <f>0+'[2]táj.2'!G678</f>
        <v>0</v>
      </c>
      <c r="H678" s="7">
        <f>0+'[2]táj.2'!H678</f>
        <v>0</v>
      </c>
      <c r="I678" s="7">
        <f>2000+'[2]táj.2'!I678</f>
        <v>2000</v>
      </c>
      <c r="J678" s="7">
        <f>0+'[2]táj.2'!J678</f>
        <v>0</v>
      </c>
      <c r="K678" s="7">
        <f>0+'[2]táj.2'!K678</f>
        <v>0</v>
      </c>
      <c r="L678" s="7">
        <f>10000+'[2]táj.2'!L678</f>
        <v>10000</v>
      </c>
      <c r="M678" s="7">
        <f>0+'[2]táj.2'!M678</f>
        <v>0</v>
      </c>
      <c r="N678" s="7">
        <f>0+'[2]táj.2'!N678</f>
        <v>0</v>
      </c>
      <c r="O678" s="7">
        <f>0+'[2]táj.2'!O678</f>
        <v>0</v>
      </c>
      <c r="P678" s="7">
        <f>0+'[2]táj.2'!P678</f>
        <v>0</v>
      </c>
      <c r="Q678" s="10">
        <f>SUM(G678:P678)</f>
        <v>12000</v>
      </c>
    </row>
    <row r="679" spans="1:17" ht="24">
      <c r="A679" s="170"/>
      <c r="B679" s="170"/>
      <c r="C679" s="214" t="s">
        <v>270</v>
      </c>
      <c r="D679" s="171" t="s">
        <v>1375</v>
      </c>
      <c r="E679" s="365"/>
      <c r="F679" s="7">
        <v>174904</v>
      </c>
      <c r="G679" s="7">
        <f>0+'[2]táj.2'!G679</f>
        <v>0</v>
      </c>
      <c r="H679" s="7">
        <f>0+'[2]táj.2'!H679</f>
        <v>0</v>
      </c>
      <c r="I679" s="7">
        <f>0+'[2]táj.2'!I679</f>
        <v>0</v>
      </c>
      <c r="J679" s="7">
        <f>0+'[2]táj.2'!J679</f>
        <v>0</v>
      </c>
      <c r="K679" s="7">
        <f>0+'[2]táj.2'!K679</f>
        <v>0</v>
      </c>
      <c r="L679" s="7">
        <f>0+'[2]táj.2'!L679</f>
        <v>0</v>
      </c>
      <c r="M679" s="7">
        <f>0+'[2]táj.2'!M679</f>
        <v>0</v>
      </c>
      <c r="N679" s="7">
        <f>75+'[2]táj.2'!N679</f>
        <v>75</v>
      </c>
      <c r="O679" s="7">
        <f>0+'[2]táj.2'!O679</f>
        <v>0</v>
      </c>
      <c r="P679" s="7">
        <f>0+'[2]táj.2'!P679</f>
        <v>0</v>
      </c>
      <c r="Q679" s="10">
        <f>SUM(G679:P679)</f>
        <v>75</v>
      </c>
    </row>
    <row r="680" spans="1:17" ht="12.75">
      <c r="A680" s="170"/>
      <c r="B680" s="170"/>
      <c r="C680" s="214"/>
      <c r="D680" s="283" t="s">
        <v>656</v>
      </c>
      <c r="E680" s="363"/>
      <c r="F680" s="364">
        <v>172952</v>
      </c>
      <c r="G680" s="7"/>
      <c r="H680" s="8"/>
      <c r="I680" s="8"/>
      <c r="J680" s="8"/>
      <c r="K680" s="8"/>
      <c r="L680" s="7"/>
      <c r="M680" s="7"/>
      <c r="N680" s="7"/>
      <c r="O680" s="7"/>
      <c r="P680" s="7"/>
      <c r="Q680" s="7"/>
    </row>
    <row r="681" spans="1:17" ht="25.5">
      <c r="A681" s="170"/>
      <c r="B681" s="170"/>
      <c r="C681" s="214" t="s">
        <v>657</v>
      </c>
      <c r="D681" s="829" t="s">
        <v>1376</v>
      </c>
      <c r="E681" s="366"/>
      <c r="F681" s="364">
        <v>171970</v>
      </c>
      <c r="G681" s="7">
        <f>0+'[2]táj.2'!G681</f>
        <v>0</v>
      </c>
      <c r="H681" s="7">
        <f>0+'[2]táj.2'!H681</f>
        <v>0</v>
      </c>
      <c r="I681" s="7">
        <f>0+'[2]táj.2'!I681</f>
        <v>0</v>
      </c>
      <c r="J681" s="7">
        <f>0+'[2]táj.2'!J681</f>
        <v>0</v>
      </c>
      <c r="K681" s="7">
        <f>0+'[2]táj.2'!K681</f>
        <v>0</v>
      </c>
      <c r="L681" s="7">
        <f>32425+'[2]táj.2'!L681</f>
        <v>32425</v>
      </c>
      <c r="M681" s="7">
        <f>0+'[2]táj.2'!M681</f>
        <v>0</v>
      </c>
      <c r="N681" s="7">
        <f>0+'[2]táj.2'!N681</f>
        <v>0</v>
      </c>
      <c r="O681" s="7">
        <f>0+'[2]táj.2'!O681</f>
        <v>0</v>
      </c>
      <c r="P681" s="7">
        <f>0+'[2]táj.2'!P681</f>
        <v>0</v>
      </c>
      <c r="Q681" s="7">
        <f>SUM(G681:P681)</f>
        <v>32425</v>
      </c>
    </row>
    <row r="682" spans="1:17" ht="12.75">
      <c r="A682" s="170"/>
      <c r="B682" s="170"/>
      <c r="C682" s="214" t="s">
        <v>954</v>
      </c>
      <c r="D682" s="830" t="s">
        <v>1377</v>
      </c>
      <c r="E682" s="367"/>
      <c r="F682" s="7">
        <v>172910</v>
      </c>
      <c r="G682" s="7">
        <f>0+'[2]táj.2'!G682</f>
        <v>0</v>
      </c>
      <c r="H682" s="7">
        <f>0+'[2]táj.2'!H682</f>
        <v>0</v>
      </c>
      <c r="I682" s="7">
        <f>0+'[2]táj.2'!I682</f>
        <v>0</v>
      </c>
      <c r="J682" s="7">
        <f>0+'[2]táj.2'!J682</f>
        <v>0</v>
      </c>
      <c r="K682" s="7">
        <f>0+'[2]táj.2'!K682</f>
        <v>0</v>
      </c>
      <c r="L682" s="7">
        <f>51137+'[2]táj.2'!L682</f>
        <v>51137</v>
      </c>
      <c r="M682" s="7">
        <f>0+'[2]táj.2'!M682</f>
        <v>0</v>
      </c>
      <c r="N682" s="7">
        <f>0+'[2]táj.2'!N682</f>
        <v>0</v>
      </c>
      <c r="O682" s="7">
        <f>0+'[2]táj.2'!O682</f>
        <v>0</v>
      </c>
      <c r="P682" s="7">
        <f>0+'[2]táj.2'!P682</f>
        <v>0</v>
      </c>
      <c r="Q682" s="7">
        <f>SUM(G682:P682)</f>
        <v>51137</v>
      </c>
    </row>
    <row r="683" spans="1:17" ht="12.75">
      <c r="A683" s="170"/>
      <c r="B683" s="170"/>
      <c r="C683" s="214" t="s">
        <v>956</v>
      </c>
      <c r="D683" s="368" t="s">
        <v>1378</v>
      </c>
      <c r="E683" s="369"/>
      <c r="F683" s="7">
        <v>162603</v>
      </c>
      <c r="G683" s="7">
        <f>0+'[2]táj.2'!G683</f>
        <v>0</v>
      </c>
      <c r="H683" s="7">
        <f>0+'[2]táj.2'!H683</f>
        <v>0</v>
      </c>
      <c r="I683" s="7">
        <f>0+'[2]táj.2'!I683</f>
        <v>0</v>
      </c>
      <c r="J683" s="7">
        <f>0+'[2]táj.2'!J683</f>
        <v>0</v>
      </c>
      <c r="K683" s="7">
        <f>0+'[2]táj.2'!K683</f>
        <v>0</v>
      </c>
      <c r="L683" s="7">
        <f>24845+'[2]táj.2'!L683</f>
        <v>24845</v>
      </c>
      <c r="M683" s="7">
        <f>0+'[2]táj.2'!M683</f>
        <v>0</v>
      </c>
      <c r="N683" s="7">
        <f>0+'[2]táj.2'!N683</f>
        <v>0</v>
      </c>
      <c r="O683" s="7">
        <f>0+'[2]táj.2'!O683</f>
        <v>0</v>
      </c>
      <c r="P683" s="7">
        <f>0+'[2]táj.2'!P683</f>
        <v>0</v>
      </c>
      <c r="Q683" s="7">
        <f>SUM(G683:P683)</f>
        <v>24845</v>
      </c>
    </row>
    <row r="684" spans="1:17" ht="25.5">
      <c r="A684" s="170"/>
      <c r="B684" s="170"/>
      <c r="C684" s="214" t="s">
        <v>958</v>
      </c>
      <c r="D684" s="370" t="s">
        <v>1379</v>
      </c>
      <c r="E684" s="371"/>
      <c r="F684" s="7">
        <v>172920</v>
      </c>
      <c r="G684" s="7">
        <f>0+'[2]táj.2'!G684</f>
        <v>0</v>
      </c>
      <c r="H684" s="7">
        <f>0+'[2]táj.2'!H684</f>
        <v>0</v>
      </c>
      <c r="I684" s="7">
        <f>3768+'[2]táj.2'!I684</f>
        <v>3768</v>
      </c>
      <c r="J684" s="7">
        <f>0+'[2]táj.2'!J684</f>
        <v>0</v>
      </c>
      <c r="K684" s="7">
        <f>0+'[2]táj.2'!K684</f>
        <v>0</v>
      </c>
      <c r="L684" s="7">
        <f>0+'[2]táj.2'!L684</f>
        <v>0</v>
      </c>
      <c r="M684" s="7">
        <f>0+'[2]táj.2'!M684</f>
        <v>0</v>
      </c>
      <c r="N684" s="7">
        <f>0+'[2]táj.2'!N684</f>
        <v>0</v>
      </c>
      <c r="O684" s="7">
        <f>0+'[2]táj.2'!O684</f>
        <v>0</v>
      </c>
      <c r="P684" s="7">
        <f>25000+'[2]táj.2'!P684</f>
        <v>25000</v>
      </c>
      <c r="Q684" s="7">
        <f>SUM(G684:P684)</f>
        <v>28768</v>
      </c>
    </row>
    <row r="685" spans="1:17" ht="12.75">
      <c r="A685" s="170"/>
      <c r="B685" s="170"/>
      <c r="C685" s="214" t="s">
        <v>1380</v>
      </c>
      <c r="D685" s="174" t="s">
        <v>1381</v>
      </c>
      <c r="E685" s="365"/>
      <c r="F685" s="223">
        <v>172923</v>
      </c>
      <c r="G685" s="7">
        <f>0+'[2]táj.2'!G685</f>
        <v>0</v>
      </c>
      <c r="H685" s="7">
        <f>0+'[2]táj.2'!H685</f>
        <v>0</v>
      </c>
      <c r="I685" s="7">
        <f>3180+'[2]táj.2'!I685</f>
        <v>3180</v>
      </c>
      <c r="J685" s="7">
        <f>0+'[2]táj.2'!J685</f>
        <v>0</v>
      </c>
      <c r="K685" s="7">
        <f>0+'[2]táj.2'!K685</f>
        <v>0</v>
      </c>
      <c r="L685" s="7">
        <f>6785+'[2]táj.2'!L685</f>
        <v>6785</v>
      </c>
      <c r="M685" s="7">
        <f>0+'[2]táj.2'!M685</f>
        <v>0</v>
      </c>
      <c r="N685" s="7">
        <f>0+'[2]táj.2'!N685</f>
        <v>0</v>
      </c>
      <c r="O685" s="7">
        <f>0+'[2]táj.2'!O685</f>
        <v>0</v>
      </c>
      <c r="P685" s="7">
        <f>0+'[2]táj.2'!P685</f>
        <v>0</v>
      </c>
      <c r="Q685" s="7">
        <f>SUM(G685:P685)</f>
        <v>9965</v>
      </c>
    </row>
    <row r="686" spans="1:17" ht="13.5">
      <c r="A686" s="218"/>
      <c r="B686" s="218"/>
      <c r="C686" s="219"/>
      <c r="D686" s="183" t="s">
        <v>585</v>
      </c>
      <c r="E686" s="221"/>
      <c r="F686" s="61"/>
      <c r="G686" s="61">
        <f aca="true" t="shared" si="40" ref="G686:Q686">SUM(G675:G685)</f>
        <v>0</v>
      </c>
      <c r="H686" s="61">
        <f t="shared" si="40"/>
        <v>0</v>
      </c>
      <c r="I686" s="61">
        <f t="shared" si="40"/>
        <v>43927</v>
      </c>
      <c r="J686" s="61">
        <f t="shared" si="40"/>
        <v>0</v>
      </c>
      <c r="K686" s="61">
        <f t="shared" si="40"/>
        <v>0</v>
      </c>
      <c r="L686" s="61">
        <f t="shared" si="40"/>
        <v>125192</v>
      </c>
      <c r="M686" s="61">
        <f t="shared" si="40"/>
        <v>0</v>
      </c>
      <c r="N686" s="61">
        <f t="shared" si="40"/>
        <v>30075</v>
      </c>
      <c r="O686" s="61">
        <f t="shared" si="40"/>
        <v>0</v>
      </c>
      <c r="P686" s="61">
        <f t="shared" si="40"/>
        <v>25000</v>
      </c>
      <c r="Q686" s="61">
        <f t="shared" si="40"/>
        <v>224194</v>
      </c>
    </row>
    <row r="687" spans="1:17" ht="13.5">
      <c r="A687" s="198">
        <v>1</v>
      </c>
      <c r="B687" s="198">
        <v>18</v>
      </c>
      <c r="C687" s="214"/>
      <c r="D687" s="277" t="s">
        <v>1382</v>
      </c>
      <c r="E687" s="9"/>
      <c r="F687" s="9"/>
      <c r="G687" s="7"/>
      <c r="H687" s="3"/>
      <c r="I687" s="3"/>
      <c r="J687" s="3"/>
      <c r="K687" s="3"/>
      <c r="L687" s="3"/>
      <c r="M687" s="7"/>
      <c r="N687" s="7"/>
      <c r="O687" s="7"/>
      <c r="P687" s="7"/>
      <c r="Q687" s="7"/>
    </row>
    <row r="688" spans="1:17" ht="12.75">
      <c r="A688" s="198"/>
      <c r="B688" s="198"/>
      <c r="C688" s="214"/>
      <c r="D688" s="283" t="s">
        <v>496</v>
      </c>
      <c r="E688" s="226"/>
      <c r="F688" s="226"/>
      <c r="G688" s="7"/>
      <c r="H688" s="3"/>
      <c r="I688" s="3"/>
      <c r="J688" s="3"/>
      <c r="K688" s="3"/>
      <c r="L688" s="3"/>
      <c r="M688" s="7"/>
      <c r="N688" s="7"/>
      <c r="O688" s="7"/>
      <c r="P688" s="7"/>
      <c r="Q688" s="7"/>
    </row>
    <row r="689" spans="1:17" ht="12.75">
      <c r="A689" s="198"/>
      <c r="B689" s="198"/>
      <c r="C689" s="214"/>
      <c r="D689" s="283" t="s">
        <v>1383</v>
      </c>
      <c r="E689" s="7">
        <v>2</v>
      </c>
      <c r="F689" s="7">
        <v>181905</v>
      </c>
      <c r="G689" s="7">
        <f>0+'[2]táj.2'!G689</f>
        <v>0</v>
      </c>
      <c r="H689" s="7">
        <f>0+'[2]táj.2'!H689</f>
        <v>0</v>
      </c>
      <c r="I689" s="7">
        <f>21276+'[2]táj.2'!I689</f>
        <v>21276</v>
      </c>
      <c r="J689" s="7">
        <f>0+'[2]táj.2'!J689</f>
        <v>0</v>
      </c>
      <c r="K689" s="7">
        <f>0+'[2]táj.2'!K689</f>
        <v>0</v>
      </c>
      <c r="L689" s="7">
        <f>0+'[2]táj.2'!L689</f>
        <v>0</v>
      </c>
      <c r="M689" s="7">
        <f>0+'[2]táj.2'!M689</f>
        <v>0</v>
      </c>
      <c r="N689" s="7">
        <f>0+'[2]táj.2'!N689</f>
        <v>0</v>
      </c>
      <c r="O689" s="7">
        <f>0+'[2]táj.2'!O689</f>
        <v>0</v>
      </c>
      <c r="P689" s="7">
        <f>0+'[2]táj.2'!P689</f>
        <v>0</v>
      </c>
      <c r="Q689" s="7">
        <f>SUM(G689:P689)</f>
        <v>21276</v>
      </c>
    </row>
    <row r="690" spans="1:17" ht="25.5">
      <c r="A690" s="198"/>
      <c r="B690" s="198"/>
      <c r="C690" s="214"/>
      <c r="D690" s="176" t="s">
        <v>1384</v>
      </c>
      <c r="E690" s="7">
        <v>1</v>
      </c>
      <c r="F690" s="7" t="s">
        <v>588</v>
      </c>
      <c r="G690" s="7">
        <f>0+'[2]táj.2'!G690</f>
        <v>0</v>
      </c>
      <c r="H690" s="7">
        <f>0+'[2]táj.2'!H690</f>
        <v>0</v>
      </c>
      <c r="I690" s="7">
        <f>30821+'[2]táj.2'!I690</f>
        <v>30821</v>
      </c>
      <c r="J690" s="7">
        <f>0+'[2]táj.2'!J690</f>
        <v>0</v>
      </c>
      <c r="K690" s="7">
        <f>0+'[2]táj.2'!K690</f>
        <v>0</v>
      </c>
      <c r="L690" s="7">
        <f>0+'[2]táj.2'!L690</f>
        <v>0</v>
      </c>
      <c r="M690" s="7">
        <f>0+'[2]táj.2'!M690</f>
        <v>0</v>
      </c>
      <c r="N690" s="7">
        <f>0+'[2]táj.2'!N690</f>
        <v>0</v>
      </c>
      <c r="O690" s="7">
        <f>0+'[2]táj.2'!O690</f>
        <v>0</v>
      </c>
      <c r="P690" s="7">
        <f>0+'[2]táj.2'!P690</f>
        <v>0</v>
      </c>
      <c r="Q690" s="7">
        <f>SUM(G690:P690)</f>
        <v>30821</v>
      </c>
    </row>
    <row r="691" spans="1:17" ht="12.75">
      <c r="A691" s="198"/>
      <c r="B691" s="198"/>
      <c r="C691" s="214"/>
      <c r="D691" s="283" t="s">
        <v>1385</v>
      </c>
      <c r="E691" s="7">
        <v>1</v>
      </c>
      <c r="F691" s="7">
        <v>181906</v>
      </c>
      <c r="G691" s="7">
        <f>0+'[2]táj.2'!G691</f>
        <v>0</v>
      </c>
      <c r="H691" s="7">
        <f>0+'[2]táj.2'!H691</f>
        <v>0</v>
      </c>
      <c r="I691" s="7">
        <f>9000+'[2]táj.2'!I691</f>
        <v>9000</v>
      </c>
      <c r="J691" s="7">
        <f>0+'[2]táj.2'!J691</f>
        <v>0</v>
      </c>
      <c r="K691" s="7">
        <f>0+'[2]táj.2'!K691</f>
        <v>0</v>
      </c>
      <c r="L691" s="7">
        <f>0+'[2]táj.2'!L691</f>
        <v>0</v>
      </c>
      <c r="M691" s="7">
        <f>0+'[2]táj.2'!M691</f>
        <v>0</v>
      </c>
      <c r="N691" s="7">
        <f>0+'[2]táj.2'!N691</f>
        <v>0</v>
      </c>
      <c r="O691" s="7">
        <f>0+'[2]táj.2'!O691</f>
        <v>0</v>
      </c>
      <c r="P691" s="7">
        <f>0+'[2]táj.2'!P691</f>
        <v>0</v>
      </c>
      <c r="Q691" s="7">
        <f>SUM(G691:P691)</f>
        <v>9000</v>
      </c>
    </row>
    <row r="692" spans="1:17" ht="12.75">
      <c r="A692" s="198"/>
      <c r="B692" s="198"/>
      <c r="C692" s="214"/>
      <c r="D692" s="301" t="s">
        <v>1386</v>
      </c>
      <c r="E692" s="7">
        <v>1</v>
      </c>
      <c r="F692" s="7">
        <v>182909</v>
      </c>
      <c r="G692" s="7">
        <f>0+'[2]táj.2'!G692</f>
        <v>0</v>
      </c>
      <c r="H692" s="7">
        <f>0+'[2]táj.2'!H692</f>
        <v>0</v>
      </c>
      <c r="I692" s="7">
        <f>189+'[2]táj.2'!I692</f>
        <v>189</v>
      </c>
      <c r="J692" s="7">
        <f>0+'[2]táj.2'!J692</f>
        <v>0</v>
      </c>
      <c r="K692" s="7">
        <f>0+'[2]táj.2'!K692</f>
        <v>0</v>
      </c>
      <c r="L692" s="7">
        <f>0+'[2]táj.2'!L692</f>
        <v>0</v>
      </c>
      <c r="M692" s="7">
        <f>0+'[2]táj.2'!M692</f>
        <v>0</v>
      </c>
      <c r="N692" s="7">
        <f>0+'[2]táj.2'!N692</f>
        <v>0</v>
      </c>
      <c r="O692" s="7">
        <f>0+'[2]táj.2'!O692</f>
        <v>0</v>
      </c>
      <c r="P692" s="7">
        <f>0+'[2]táj.2'!P692</f>
        <v>0</v>
      </c>
      <c r="Q692" s="7">
        <f>SUM(G692:P692)</f>
        <v>189</v>
      </c>
    </row>
    <row r="693" spans="1:17" ht="12.75">
      <c r="A693" s="198"/>
      <c r="B693" s="198"/>
      <c r="C693" s="214"/>
      <c r="D693" s="178" t="s">
        <v>487</v>
      </c>
      <c r="E693" s="232"/>
      <c r="F693" s="23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198"/>
      <c r="B694" s="198"/>
      <c r="C694" s="214"/>
      <c r="D694" s="283" t="s">
        <v>1387</v>
      </c>
      <c r="E694" s="10">
        <v>1</v>
      </c>
      <c r="F694" s="7">
        <v>221950</v>
      </c>
      <c r="G694" s="7">
        <f>149479+'[2]táj.2'!G694</f>
        <v>149479</v>
      </c>
      <c r="H694" s="7">
        <f>27014+'[2]táj.2'!H694</f>
        <v>27014</v>
      </c>
      <c r="I694" s="7">
        <f>1200+'[2]táj.2'!I694</f>
        <v>1200</v>
      </c>
      <c r="J694" s="7">
        <f>0+'[2]táj.2'!J694</f>
        <v>0</v>
      </c>
      <c r="K694" s="7">
        <f>0+'[2]táj.2'!K694</f>
        <v>0</v>
      </c>
      <c r="L694" s="7">
        <f>0+'[2]táj.2'!L694</f>
        <v>0</v>
      </c>
      <c r="M694" s="7">
        <f>0+'[2]táj.2'!M694</f>
        <v>0</v>
      </c>
      <c r="N694" s="7">
        <f>0+'[2]táj.2'!N694</f>
        <v>0</v>
      </c>
      <c r="O694" s="7">
        <f>0+'[2]táj.2'!O694</f>
        <v>0</v>
      </c>
      <c r="P694" s="7">
        <f>0+'[2]táj.2'!P694</f>
        <v>0</v>
      </c>
      <c r="Q694" s="372">
        <f>SUM(G694:P694)</f>
        <v>177693</v>
      </c>
    </row>
    <row r="695" spans="1:17" ht="25.5">
      <c r="A695" s="198"/>
      <c r="B695" s="198"/>
      <c r="C695" s="214"/>
      <c r="D695" s="176" t="s">
        <v>1388</v>
      </c>
      <c r="E695" s="207">
        <v>1</v>
      </c>
      <c r="F695" s="7">
        <v>181907</v>
      </c>
      <c r="G695" s="7">
        <f>0+'[2]táj.2'!G695</f>
        <v>0</v>
      </c>
      <c r="H695" s="7">
        <f>0+'[2]táj.2'!H695</f>
        <v>0</v>
      </c>
      <c r="I695" s="7">
        <f>16654+'[2]táj.2'!I695</f>
        <v>16654</v>
      </c>
      <c r="J695" s="7">
        <f>0+'[2]táj.2'!J695</f>
        <v>0</v>
      </c>
      <c r="K695" s="7">
        <f>0+'[2]táj.2'!K695</f>
        <v>0</v>
      </c>
      <c r="L695" s="7">
        <f>0+'[2]táj.2'!L695</f>
        <v>0</v>
      </c>
      <c r="M695" s="7">
        <f>0+'[2]táj.2'!M695</f>
        <v>0</v>
      </c>
      <c r="N695" s="7">
        <f>0+'[2]táj.2'!N695</f>
        <v>0</v>
      </c>
      <c r="O695" s="7">
        <f>0+'[2]táj.2'!O695</f>
        <v>0</v>
      </c>
      <c r="P695" s="7">
        <f>0+'[2]táj.2'!P695</f>
        <v>0</v>
      </c>
      <c r="Q695" s="7">
        <f>SUM(G695:P695)</f>
        <v>16654</v>
      </c>
    </row>
    <row r="696" spans="1:17" ht="12.75">
      <c r="A696" s="198"/>
      <c r="B696" s="198"/>
      <c r="C696" s="214"/>
      <c r="D696" s="283" t="s">
        <v>1389</v>
      </c>
      <c r="E696" s="207"/>
      <c r="F696" s="20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198"/>
      <c r="B697" s="198"/>
      <c r="C697" s="214"/>
      <c r="D697" s="176" t="s">
        <v>1390</v>
      </c>
      <c r="E697" s="207">
        <v>1</v>
      </c>
      <c r="F697" s="7">
        <v>181909</v>
      </c>
      <c r="G697" s="7">
        <f>0+'[2]táj.2'!G697</f>
        <v>0</v>
      </c>
      <c r="H697" s="7">
        <f>0+'[2]táj.2'!H697</f>
        <v>0</v>
      </c>
      <c r="I697" s="7">
        <f>2000+'[2]táj.2'!I697</f>
        <v>2000</v>
      </c>
      <c r="J697" s="7">
        <f>0+'[2]táj.2'!J697</f>
        <v>0</v>
      </c>
      <c r="K697" s="7">
        <f>500+'[2]táj.2'!K697</f>
        <v>500</v>
      </c>
      <c r="L697" s="7">
        <f>0+'[2]táj.2'!L697</f>
        <v>0</v>
      </c>
      <c r="M697" s="7">
        <f>0+'[2]táj.2'!M697</f>
        <v>0</v>
      </c>
      <c r="N697" s="7">
        <f>0+'[2]táj.2'!N697</f>
        <v>0</v>
      </c>
      <c r="O697" s="7">
        <f>0+'[2]táj.2'!O697</f>
        <v>0</v>
      </c>
      <c r="P697" s="7">
        <f>0+'[2]táj.2'!P697</f>
        <v>0</v>
      </c>
      <c r="Q697" s="7">
        <f>SUM(G697:P697)</f>
        <v>2500</v>
      </c>
    </row>
    <row r="698" spans="1:17" ht="25.5">
      <c r="A698" s="198"/>
      <c r="B698" s="198"/>
      <c r="C698" s="214"/>
      <c r="D698" s="176" t="s">
        <v>1391</v>
      </c>
      <c r="E698" s="232">
        <v>2</v>
      </c>
      <c r="F698" s="29">
        <v>191142</v>
      </c>
      <c r="G698" s="7">
        <f>0+'[2]táj.2'!G698</f>
        <v>0</v>
      </c>
      <c r="H698" s="7">
        <f>0+'[2]táj.2'!H698</f>
        <v>0</v>
      </c>
      <c r="I698" s="7">
        <f>0+'[2]táj.2'!I698</f>
        <v>0</v>
      </c>
      <c r="J698" s="7">
        <f>0+'[2]táj.2'!J698</f>
        <v>0</v>
      </c>
      <c r="K698" s="7">
        <f>1000+'[2]táj.2'!K698</f>
        <v>1000</v>
      </c>
      <c r="L698" s="7">
        <f>0+'[2]táj.2'!L698</f>
        <v>0</v>
      </c>
      <c r="M698" s="7">
        <f>0+'[2]táj.2'!M698</f>
        <v>0</v>
      </c>
      <c r="N698" s="7">
        <f>0+'[2]táj.2'!N698</f>
        <v>0</v>
      </c>
      <c r="O698" s="7">
        <f>0+'[2]táj.2'!O698</f>
        <v>0</v>
      </c>
      <c r="P698" s="7">
        <f>0+'[2]táj.2'!P698</f>
        <v>0</v>
      </c>
      <c r="Q698" s="7">
        <f>SUM(G698:P698)</f>
        <v>1000</v>
      </c>
    </row>
    <row r="699" spans="1:17" ht="25.5">
      <c r="A699" s="198"/>
      <c r="B699" s="198"/>
      <c r="C699" s="214"/>
      <c r="D699" s="176" t="s">
        <v>1392</v>
      </c>
      <c r="E699" s="232">
        <v>2</v>
      </c>
      <c r="F699" s="29">
        <v>191154</v>
      </c>
      <c r="G699" s="7">
        <f>0+'[2]táj.2'!G699</f>
        <v>0</v>
      </c>
      <c r="H699" s="7">
        <f>0+'[2]táj.2'!H699</f>
        <v>0</v>
      </c>
      <c r="I699" s="7">
        <f>0+'[2]táj.2'!I699</f>
        <v>0</v>
      </c>
      <c r="J699" s="7">
        <f>0+'[2]táj.2'!J699</f>
        <v>0</v>
      </c>
      <c r="K699" s="7">
        <f>3500+'[2]táj.2'!K699</f>
        <v>3500</v>
      </c>
      <c r="L699" s="7">
        <f>0+'[2]táj.2'!L699</f>
        <v>0</v>
      </c>
      <c r="M699" s="7">
        <f>0+'[2]táj.2'!M699</f>
        <v>0</v>
      </c>
      <c r="N699" s="7">
        <f>0+'[2]táj.2'!N699</f>
        <v>0</v>
      </c>
      <c r="O699" s="7">
        <f>0+'[2]táj.2'!O699</f>
        <v>0</v>
      </c>
      <c r="P699" s="7">
        <f>0+'[2]táj.2'!P699</f>
        <v>0</v>
      </c>
      <c r="Q699" s="7">
        <f>SUM(G699:P699)</f>
        <v>3500</v>
      </c>
    </row>
    <row r="700" spans="1:17" ht="25.5">
      <c r="A700" s="198"/>
      <c r="B700" s="198"/>
      <c r="C700" s="214"/>
      <c r="D700" s="176" t="s">
        <v>1393</v>
      </c>
      <c r="E700" s="232">
        <v>2</v>
      </c>
      <c r="F700" s="29">
        <v>191145</v>
      </c>
      <c r="G700" s="7">
        <f>0+'[2]táj.2'!G700</f>
        <v>0</v>
      </c>
      <c r="H700" s="7">
        <f>0+'[2]táj.2'!H700</f>
        <v>0</v>
      </c>
      <c r="I700" s="7">
        <f>0+'[2]táj.2'!I700</f>
        <v>0</v>
      </c>
      <c r="J700" s="7">
        <f>0+'[2]táj.2'!J700</f>
        <v>0</v>
      </c>
      <c r="K700" s="7">
        <f>2000+'[2]táj.2'!K700</f>
        <v>2000</v>
      </c>
      <c r="L700" s="7">
        <f>0+'[2]táj.2'!L700</f>
        <v>0</v>
      </c>
      <c r="M700" s="7">
        <f>0+'[2]táj.2'!M700</f>
        <v>0</v>
      </c>
      <c r="N700" s="7">
        <f>0+'[2]táj.2'!N700</f>
        <v>0</v>
      </c>
      <c r="O700" s="7">
        <f>0+'[2]táj.2'!O700</f>
        <v>0</v>
      </c>
      <c r="P700" s="7">
        <f>0+'[2]táj.2'!P700</f>
        <v>0</v>
      </c>
      <c r="Q700" s="7">
        <f>SUM(G700:P700)</f>
        <v>2000</v>
      </c>
    </row>
    <row r="701" spans="1:17" ht="12.75">
      <c r="A701" s="198"/>
      <c r="B701" s="198"/>
      <c r="C701" s="214"/>
      <c r="D701" s="176" t="s">
        <v>1394</v>
      </c>
      <c r="E701" s="207"/>
      <c r="F701" s="20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198"/>
      <c r="B702" s="198"/>
      <c r="C702" s="214"/>
      <c r="D702" s="176" t="s">
        <v>1395</v>
      </c>
      <c r="E702" s="207">
        <v>1</v>
      </c>
      <c r="F702" s="7">
        <v>181902</v>
      </c>
      <c r="G702" s="7">
        <f>0+'[2]táj.2'!G702</f>
        <v>0</v>
      </c>
      <c r="H702" s="7">
        <f>0+'[2]táj.2'!H702</f>
        <v>0</v>
      </c>
      <c r="I702" s="7">
        <f>300+'[2]táj.2'!I702</f>
        <v>300</v>
      </c>
      <c r="J702" s="7">
        <f>0+'[2]táj.2'!J702</f>
        <v>0</v>
      </c>
      <c r="K702" s="7">
        <f>0+'[2]táj.2'!K702</f>
        <v>0</v>
      </c>
      <c r="L702" s="7">
        <f>0+'[2]táj.2'!L702</f>
        <v>0</v>
      </c>
      <c r="M702" s="7">
        <f>0+'[2]táj.2'!M702</f>
        <v>0</v>
      </c>
      <c r="N702" s="7">
        <f>0+'[2]táj.2'!N702</f>
        <v>0</v>
      </c>
      <c r="O702" s="7">
        <f>0+'[2]táj.2'!O702</f>
        <v>0</v>
      </c>
      <c r="P702" s="7">
        <f>0+'[2]táj.2'!P702</f>
        <v>0</v>
      </c>
      <c r="Q702" s="7">
        <f>SUM(G702:P702)</f>
        <v>300</v>
      </c>
    </row>
    <row r="703" spans="1:17" ht="12.75">
      <c r="A703" s="198"/>
      <c r="B703" s="198"/>
      <c r="C703" s="214"/>
      <c r="D703" s="176" t="s">
        <v>1396</v>
      </c>
      <c r="E703" s="207">
        <v>1</v>
      </c>
      <c r="F703" s="7">
        <v>181903</v>
      </c>
      <c r="G703" s="7">
        <f>0+'[2]táj.2'!G703</f>
        <v>0</v>
      </c>
      <c r="H703" s="7">
        <f>0+'[2]táj.2'!H703</f>
        <v>0</v>
      </c>
      <c r="I703" s="7">
        <f>100+'[2]táj.2'!I703</f>
        <v>100</v>
      </c>
      <c r="J703" s="7">
        <f>0+'[2]táj.2'!J703</f>
        <v>0</v>
      </c>
      <c r="K703" s="7">
        <f>0+'[2]táj.2'!K703</f>
        <v>0</v>
      </c>
      <c r="L703" s="7">
        <f>0+'[2]táj.2'!L703</f>
        <v>0</v>
      </c>
      <c r="M703" s="7">
        <f>0+'[2]táj.2'!M703</f>
        <v>0</v>
      </c>
      <c r="N703" s="7">
        <f>0+'[2]táj.2'!N703</f>
        <v>0</v>
      </c>
      <c r="O703" s="7">
        <f>0+'[2]táj.2'!O703</f>
        <v>0</v>
      </c>
      <c r="P703" s="7">
        <f>0+'[2]táj.2'!P703</f>
        <v>0</v>
      </c>
      <c r="Q703" s="7">
        <f>SUM(G703:P703)</f>
        <v>100</v>
      </c>
    </row>
    <row r="704" spans="1:17" ht="12.75">
      <c r="A704" s="373"/>
      <c r="B704" s="373"/>
      <c r="C704" s="373"/>
      <c r="D704" s="283" t="s">
        <v>1397</v>
      </c>
      <c r="E704" s="7">
        <v>1</v>
      </c>
      <c r="F704" s="7">
        <v>181904</v>
      </c>
      <c r="G704" s="7">
        <f>0+'[2]táj.2'!G704</f>
        <v>0</v>
      </c>
      <c r="H704" s="7">
        <f>0+'[2]táj.2'!H704</f>
        <v>0</v>
      </c>
      <c r="I704" s="7">
        <f>300+'[2]táj.2'!I704</f>
        <v>300</v>
      </c>
      <c r="J704" s="7">
        <f>0+'[2]táj.2'!J704</f>
        <v>0</v>
      </c>
      <c r="K704" s="7">
        <f>0+'[2]táj.2'!K704</f>
        <v>0</v>
      </c>
      <c r="L704" s="7">
        <f>0+'[2]táj.2'!L704</f>
        <v>0</v>
      </c>
      <c r="M704" s="7">
        <f>0+'[2]táj.2'!M704</f>
        <v>0</v>
      </c>
      <c r="N704" s="7">
        <f>0+'[2]táj.2'!N704</f>
        <v>0</v>
      </c>
      <c r="O704" s="7">
        <f>0+'[2]táj.2'!O704</f>
        <v>0</v>
      </c>
      <c r="P704" s="7">
        <f>0+'[2]táj.2'!P704</f>
        <v>0</v>
      </c>
      <c r="Q704" s="7">
        <f>SUM(G704:P704)</f>
        <v>300</v>
      </c>
    </row>
    <row r="705" spans="1:17" ht="13.5">
      <c r="A705" s="61"/>
      <c r="B705" s="61"/>
      <c r="C705" s="220"/>
      <c r="D705" s="183" t="s">
        <v>1398</v>
      </c>
      <c r="E705" s="221"/>
      <c r="F705" s="221"/>
      <c r="G705" s="286">
        <f aca="true" t="shared" si="41" ref="G705:Q705">SUM(G689:G704)</f>
        <v>149479</v>
      </c>
      <c r="H705" s="286">
        <f t="shared" si="41"/>
        <v>27014</v>
      </c>
      <c r="I705" s="286">
        <f t="shared" si="41"/>
        <v>81840</v>
      </c>
      <c r="J705" s="286">
        <f t="shared" si="41"/>
        <v>0</v>
      </c>
      <c r="K705" s="286">
        <f t="shared" si="41"/>
        <v>7000</v>
      </c>
      <c r="L705" s="286">
        <f t="shared" si="41"/>
        <v>0</v>
      </c>
      <c r="M705" s="286">
        <f t="shared" si="41"/>
        <v>0</v>
      </c>
      <c r="N705" s="286">
        <f t="shared" si="41"/>
        <v>0</v>
      </c>
      <c r="O705" s="286">
        <f t="shared" si="41"/>
        <v>0</v>
      </c>
      <c r="P705" s="286">
        <f t="shared" si="41"/>
        <v>0</v>
      </c>
      <c r="Q705" s="286">
        <f t="shared" si="41"/>
        <v>265333</v>
      </c>
    </row>
    <row r="706" spans="1:17" ht="12.75">
      <c r="A706" s="8"/>
      <c r="B706" s="8"/>
      <c r="C706" s="260"/>
      <c r="D706" s="287" t="s">
        <v>1399</v>
      </c>
      <c r="E706" s="9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>
      <c r="A707" s="8"/>
      <c r="B707" s="8"/>
      <c r="C707" s="330" t="s">
        <v>269</v>
      </c>
      <c r="D707" s="642" t="s">
        <v>1400</v>
      </c>
      <c r="E707" s="374"/>
      <c r="F707" s="377">
        <v>182911</v>
      </c>
      <c r="G707" s="375">
        <f>0+'[2]táj.2'!G707</f>
        <v>0</v>
      </c>
      <c r="H707" s="375">
        <f>0+'[2]táj.2'!H707</f>
        <v>0</v>
      </c>
      <c r="I707" s="375">
        <f>0+'[2]táj.2'!I707</f>
        <v>0</v>
      </c>
      <c r="J707" s="375">
        <f>0+'[2]táj.2'!J707</f>
        <v>0</v>
      </c>
      <c r="K707" s="375">
        <f>0+'[2]táj.2'!K707</f>
        <v>0</v>
      </c>
      <c r="L707" s="375">
        <f>2000+'[2]táj.2'!L707</f>
        <v>2000</v>
      </c>
      <c r="M707" s="375">
        <f>0+'[2]táj.2'!M707</f>
        <v>0</v>
      </c>
      <c r="N707" s="375">
        <f>0+'[2]táj.2'!N707</f>
        <v>0</v>
      </c>
      <c r="O707" s="375">
        <f>0+'[2]táj.2'!O707</f>
        <v>0</v>
      </c>
      <c r="P707" s="375">
        <f>0+'[2]táj.2'!P707</f>
        <v>0</v>
      </c>
      <c r="Q707" s="3">
        <f>SUM(L707:P707)</f>
        <v>2000</v>
      </c>
    </row>
    <row r="708" spans="1:17" ht="12.75">
      <c r="A708" s="8"/>
      <c r="B708" s="8"/>
      <c r="C708" s="376"/>
      <c r="D708" s="283" t="s">
        <v>656</v>
      </c>
      <c r="E708" s="374"/>
      <c r="F708" s="377"/>
      <c r="G708" s="375"/>
      <c r="H708" s="375"/>
      <c r="I708" s="375"/>
      <c r="J708" s="375"/>
      <c r="K708" s="375"/>
      <c r="L708" s="375"/>
      <c r="M708" s="375"/>
      <c r="N708" s="375"/>
      <c r="O708" s="3"/>
      <c r="P708" s="3"/>
      <c r="Q708" s="3"/>
    </row>
    <row r="709" spans="1:17" ht="12.75">
      <c r="A709" s="8"/>
      <c r="B709" s="8"/>
      <c r="C709" s="214" t="s">
        <v>657</v>
      </c>
      <c r="D709" s="291" t="s">
        <v>1401</v>
      </c>
      <c r="E709" s="367"/>
      <c r="F709" s="378">
        <v>182905</v>
      </c>
      <c r="G709" s="375">
        <f>0+'[2]táj.2'!G709</f>
        <v>0</v>
      </c>
      <c r="H709" s="375">
        <f>0+'[2]táj.2'!H709</f>
        <v>0</v>
      </c>
      <c r="I709" s="375">
        <f>0+'[2]táj.2'!I709</f>
        <v>0</v>
      </c>
      <c r="J709" s="375">
        <f>0+'[2]táj.2'!J709</f>
        <v>0</v>
      </c>
      <c r="K709" s="375">
        <f>0+'[2]táj.2'!K709</f>
        <v>0</v>
      </c>
      <c r="L709" s="375">
        <f>8065+'[2]táj.2'!L709</f>
        <v>8065</v>
      </c>
      <c r="M709" s="375">
        <f>0+'[2]táj.2'!M709</f>
        <v>0</v>
      </c>
      <c r="N709" s="375">
        <f>0+'[2]táj.2'!N709</f>
        <v>0</v>
      </c>
      <c r="O709" s="375">
        <f>0+'[2]táj.2'!O709</f>
        <v>0</v>
      </c>
      <c r="P709" s="375">
        <f>0+'[2]táj.2'!P709</f>
        <v>0</v>
      </c>
      <c r="Q709" s="3">
        <f>SUM(G709:P709)</f>
        <v>8065</v>
      </c>
    </row>
    <row r="710" spans="1:17" ht="13.5">
      <c r="A710" s="61"/>
      <c r="B710" s="61"/>
      <c r="C710" s="220"/>
      <c r="D710" s="183" t="s">
        <v>1402</v>
      </c>
      <c r="E710" s="221"/>
      <c r="F710" s="221"/>
      <c r="G710" s="286">
        <f aca="true" t="shared" si="42" ref="G710:Q710">SUM(G705:G709)</f>
        <v>149479</v>
      </c>
      <c r="H710" s="286">
        <f t="shared" si="42"/>
        <v>27014</v>
      </c>
      <c r="I710" s="286">
        <f t="shared" si="42"/>
        <v>81840</v>
      </c>
      <c r="J710" s="286">
        <f t="shared" si="42"/>
        <v>0</v>
      </c>
      <c r="K710" s="286">
        <f t="shared" si="42"/>
        <v>7000</v>
      </c>
      <c r="L710" s="286">
        <f t="shared" si="42"/>
        <v>10065</v>
      </c>
      <c r="M710" s="286">
        <f t="shared" si="42"/>
        <v>0</v>
      </c>
      <c r="N710" s="286">
        <f t="shared" si="42"/>
        <v>0</v>
      </c>
      <c r="O710" s="286">
        <f t="shared" si="42"/>
        <v>0</v>
      </c>
      <c r="P710" s="286">
        <f t="shared" si="42"/>
        <v>0</v>
      </c>
      <c r="Q710" s="286">
        <f t="shared" si="42"/>
        <v>275398</v>
      </c>
    </row>
    <row r="711" spans="1:17" ht="13.5">
      <c r="A711" s="198">
        <v>1</v>
      </c>
      <c r="B711" s="198">
        <v>19</v>
      </c>
      <c r="C711" s="214"/>
      <c r="D711" s="277" t="s">
        <v>1403</v>
      </c>
      <c r="E711" s="223"/>
      <c r="F711" s="223"/>
      <c r="G711" s="7"/>
      <c r="H711" s="3"/>
      <c r="I711" s="3"/>
      <c r="J711" s="3"/>
      <c r="K711" s="3"/>
      <c r="L711" s="3"/>
      <c r="M711" s="7"/>
      <c r="N711" s="7"/>
      <c r="O711" s="7"/>
      <c r="P711" s="7"/>
      <c r="Q711" s="7"/>
    </row>
    <row r="712" spans="1:17" ht="12.75">
      <c r="A712" s="198"/>
      <c r="B712" s="198"/>
      <c r="C712" s="214"/>
      <c r="D712" s="294" t="s">
        <v>1404</v>
      </c>
      <c r="E712" s="226"/>
      <c r="F712" s="226"/>
      <c r="G712" s="7"/>
      <c r="H712" s="3"/>
      <c r="I712" s="3"/>
      <c r="J712" s="3"/>
      <c r="K712" s="3"/>
      <c r="L712" s="3"/>
      <c r="M712" s="7"/>
      <c r="N712" s="7"/>
      <c r="O712" s="7"/>
      <c r="P712" s="7"/>
      <c r="Q712" s="7"/>
    </row>
    <row r="713" spans="1:17" ht="12.75">
      <c r="A713" s="198"/>
      <c r="B713" s="198"/>
      <c r="C713" s="214"/>
      <c r="D713" s="283" t="s">
        <v>1405</v>
      </c>
      <c r="E713" s="207">
        <v>1</v>
      </c>
      <c r="F713" s="7">
        <v>191101</v>
      </c>
      <c r="G713" s="7">
        <f>0+'[2]táj.2'!G713</f>
        <v>0</v>
      </c>
      <c r="H713" s="7">
        <f>0+'[2]táj.2'!H713</f>
        <v>0</v>
      </c>
      <c r="I713" s="7">
        <f>0+'[2]táj.2'!I713</f>
        <v>0</v>
      </c>
      <c r="J713" s="7">
        <f>0+'[2]táj.2'!J713</f>
        <v>0</v>
      </c>
      <c r="K713" s="7">
        <f>6000+'[2]táj.2'!K713</f>
        <v>6000</v>
      </c>
      <c r="L713" s="7">
        <f>0+'[2]táj.2'!L713</f>
        <v>0</v>
      </c>
      <c r="M713" s="7">
        <f>0+'[2]táj.2'!M713</f>
        <v>0</v>
      </c>
      <c r="N713" s="7">
        <f>0+'[2]táj.2'!N713</f>
        <v>0</v>
      </c>
      <c r="O713" s="7">
        <f>0+'[2]táj.2'!O713</f>
        <v>0</v>
      </c>
      <c r="P713" s="7">
        <f>0+'[2]táj.2'!P713</f>
        <v>0</v>
      </c>
      <c r="Q713" s="7">
        <f>SUM(G713:P713)</f>
        <v>6000</v>
      </c>
    </row>
    <row r="714" spans="1:17" ht="12.75">
      <c r="A714" s="198"/>
      <c r="B714" s="198"/>
      <c r="C714" s="214"/>
      <c r="D714" s="283" t="s">
        <v>1406</v>
      </c>
      <c r="E714" s="207">
        <v>1</v>
      </c>
      <c r="F714" s="7">
        <v>191901</v>
      </c>
      <c r="G714" s="7">
        <f>0+'[2]táj.2'!G714</f>
        <v>0</v>
      </c>
      <c r="H714" s="7">
        <f>0+'[2]táj.2'!H714</f>
        <v>0</v>
      </c>
      <c r="I714" s="7">
        <f>0+'[2]táj.2'!I714</f>
        <v>0</v>
      </c>
      <c r="J714" s="7">
        <f>0+'[2]táj.2'!J714</f>
        <v>0</v>
      </c>
      <c r="K714" s="7">
        <f>0+'[2]táj.2'!K714</f>
        <v>0</v>
      </c>
      <c r="L714" s="7">
        <f>0+'[2]táj.2'!L714</f>
        <v>0</v>
      </c>
      <c r="M714" s="7">
        <f>0+'[2]táj.2'!M714</f>
        <v>0</v>
      </c>
      <c r="N714" s="7">
        <f>0+'[2]táj.2'!N714</f>
        <v>0</v>
      </c>
      <c r="O714" s="7">
        <f>0+'[2]táj.2'!O714</f>
        <v>0</v>
      </c>
      <c r="P714" s="7">
        <f>99786+'[2]táj.2'!P714</f>
        <v>99786</v>
      </c>
      <c r="Q714" s="7">
        <f>SUM(G714:P714)</f>
        <v>99786</v>
      </c>
    </row>
    <row r="715" spans="1:17" ht="12.75">
      <c r="A715" s="198"/>
      <c r="B715" s="198"/>
      <c r="C715" s="214"/>
      <c r="D715" s="283" t="s">
        <v>1407</v>
      </c>
      <c r="E715" s="207">
        <v>1</v>
      </c>
      <c r="F715" s="7">
        <v>191901</v>
      </c>
      <c r="G715" s="7">
        <f>0+'[2]táj.2'!G715</f>
        <v>0</v>
      </c>
      <c r="H715" s="7">
        <f>0+'[2]táj.2'!H715</f>
        <v>0</v>
      </c>
      <c r="I715" s="7">
        <f>0+'[2]táj.2'!I715</f>
        <v>0</v>
      </c>
      <c r="J715" s="7">
        <f>0+'[2]táj.2'!J715</f>
        <v>0</v>
      </c>
      <c r="K715" s="7">
        <f>0+'[2]táj.2'!K715</f>
        <v>0</v>
      </c>
      <c r="L715" s="7">
        <f>0+'[2]táj.2'!L715</f>
        <v>0</v>
      </c>
      <c r="M715" s="7">
        <f>0+'[2]táj.2'!M715</f>
        <v>0</v>
      </c>
      <c r="N715" s="7">
        <f>0+'[2]táj.2'!N715</f>
        <v>0</v>
      </c>
      <c r="O715" s="7">
        <f>0+'[2]táj.2'!O715</f>
        <v>0</v>
      </c>
      <c r="P715" s="7">
        <f>0+'[2]táj.2'!P715</f>
        <v>0</v>
      </c>
      <c r="Q715" s="7">
        <f>SUM(G715:P715)</f>
        <v>0</v>
      </c>
    </row>
    <row r="716" spans="1:17" ht="12.75">
      <c r="A716" s="198"/>
      <c r="B716" s="198"/>
      <c r="C716" s="214"/>
      <c r="D716" s="181" t="s">
        <v>87</v>
      </c>
      <c r="E716" s="207">
        <v>1</v>
      </c>
      <c r="F716" s="7">
        <v>191901</v>
      </c>
      <c r="G716" s="7">
        <f>0+'[2]táj.2'!G716</f>
        <v>0</v>
      </c>
      <c r="H716" s="7">
        <f>0+'[2]táj.2'!H716</f>
        <v>0</v>
      </c>
      <c r="I716" s="7">
        <f>0+'[2]táj.2'!I716</f>
        <v>0</v>
      </c>
      <c r="J716" s="7">
        <f>0+'[2]táj.2'!J716</f>
        <v>0</v>
      </c>
      <c r="K716" s="7">
        <f>0+'[2]táj.2'!K716</f>
        <v>0</v>
      </c>
      <c r="L716" s="7">
        <f>0+'[2]táj.2'!L716</f>
        <v>0</v>
      </c>
      <c r="M716" s="7">
        <f>0+'[2]táj.2'!M716</f>
        <v>0</v>
      </c>
      <c r="N716" s="7">
        <f>0+'[2]táj.2'!N716</f>
        <v>0</v>
      </c>
      <c r="O716" s="7">
        <f>0+'[2]táj.2'!O716</f>
        <v>0</v>
      </c>
      <c r="P716" s="7">
        <f>1020+'[2]táj.2'!P716</f>
        <v>1020</v>
      </c>
      <c r="Q716" s="7">
        <f>SUM(G716:P716)</f>
        <v>1020</v>
      </c>
    </row>
    <row r="717" spans="1:17" ht="12.75">
      <c r="A717" s="198"/>
      <c r="B717" s="198"/>
      <c r="C717" s="214"/>
      <c r="D717" s="178" t="s">
        <v>487</v>
      </c>
      <c r="E717" s="232"/>
      <c r="F717" s="23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198"/>
      <c r="B718" s="198"/>
      <c r="C718" s="214"/>
      <c r="D718" s="283" t="s">
        <v>1408</v>
      </c>
      <c r="E718" s="207">
        <v>1</v>
      </c>
      <c r="F718" s="7">
        <v>191102</v>
      </c>
      <c r="G718" s="7">
        <f>0+'[2]táj.2'!G718</f>
        <v>0</v>
      </c>
      <c r="H718" s="7">
        <f>0+'[2]táj.2'!H718</f>
        <v>0</v>
      </c>
      <c r="I718" s="7">
        <f>25000+'[2]táj.2'!I718</f>
        <v>25000</v>
      </c>
      <c r="J718" s="7">
        <f>0+'[2]táj.2'!J718</f>
        <v>0</v>
      </c>
      <c r="K718" s="7">
        <f>0+'[2]táj.2'!K718</f>
        <v>0</v>
      </c>
      <c r="L718" s="7">
        <f>0+'[2]táj.2'!L718</f>
        <v>0</v>
      </c>
      <c r="M718" s="7">
        <f>0+'[2]táj.2'!M718</f>
        <v>0</v>
      </c>
      <c r="N718" s="7">
        <f>0+'[2]táj.2'!N718</f>
        <v>0</v>
      </c>
      <c r="O718" s="7">
        <f>0+'[2]táj.2'!O718</f>
        <v>0</v>
      </c>
      <c r="P718" s="7">
        <f>0+'[2]táj.2'!P718</f>
        <v>0</v>
      </c>
      <c r="Q718" s="7">
        <f>SUM(G718:P718)</f>
        <v>25000</v>
      </c>
    </row>
    <row r="719" spans="1:17" ht="12.75">
      <c r="A719" s="198"/>
      <c r="B719" s="198"/>
      <c r="C719" s="214"/>
      <c r="D719" s="283" t="s">
        <v>1409</v>
      </c>
      <c r="E719" s="7">
        <v>1</v>
      </c>
      <c r="F719" s="7">
        <v>191103</v>
      </c>
      <c r="G719" s="7">
        <f>0+'[2]táj.2'!G719</f>
        <v>0</v>
      </c>
      <c r="H719" s="7">
        <f>0+'[2]táj.2'!H719</f>
        <v>0</v>
      </c>
      <c r="I719" s="7">
        <f>233803+'[2]táj.2'!I719</f>
        <v>233803</v>
      </c>
      <c r="J719" s="7">
        <f>0+'[2]táj.2'!J719</f>
        <v>0</v>
      </c>
      <c r="K719" s="7">
        <f>0+'[2]táj.2'!K719</f>
        <v>0</v>
      </c>
      <c r="L719" s="7">
        <f>0+'[2]táj.2'!L719</f>
        <v>0</v>
      </c>
      <c r="M719" s="7">
        <f>0+'[2]táj.2'!M719</f>
        <v>0</v>
      </c>
      <c r="N719" s="7">
        <f>0+'[2]táj.2'!N719</f>
        <v>0</v>
      </c>
      <c r="O719" s="7">
        <f>0+'[2]táj.2'!O719</f>
        <v>0</v>
      </c>
      <c r="P719" s="7">
        <f>0+'[2]táj.2'!P719</f>
        <v>0</v>
      </c>
      <c r="Q719" s="7">
        <f>SUM(G719:P719)</f>
        <v>233803</v>
      </c>
    </row>
    <row r="720" spans="1:17" ht="12.75">
      <c r="A720" s="198"/>
      <c r="B720" s="198"/>
      <c r="C720" s="214"/>
      <c r="D720" s="283" t="s">
        <v>1410</v>
      </c>
      <c r="E720" s="7">
        <v>1</v>
      </c>
      <c r="F720" s="7">
        <v>191105</v>
      </c>
      <c r="G720" s="7">
        <f>0+'[2]táj.2'!G720</f>
        <v>0</v>
      </c>
      <c r="H720" s="7">
        <f>0+'[2]táj.2'!H720</f>
        <v>0</v>
      </c>
      <c r="I720" s="7">
        <f>3600+'[2]táj.2'!I720</f>
        <v>3600</v>
      </c>
      <c r="J720" s="7">
        <f>0+'[2]táj.2'!J720</f>
        <v>0</v>
      </c>
      <c r="K720" s="7">
        <f>0+'[2]táj.2'!K720</f>
        <v>0</v>
      </c>
      <c r="L720" s="7">
        <f>0+'[2]táj.2'!L720</f>
        <v>0</v>
      </c>
      <c r="M720" s="7">
        <f>0+'[2]táj.2'!M720</f>
        <v>0</v>
      </c>
      <c r="N720" s="7">
        <f>0+'[2]táj.2'!N720</f>
        <v>0</v>
      </c>
      <c r="O720" s="7">
        <f>0+'[2]táj.2'!O720</f>
        <v>0</v>
      </c>
      <c r="P720" s="7">
        <f>0+'[2]táj.2'!P720</f>
        <v>0</v>
      </c>
      <c r="Q720" s="7">
        <f>SUM(G720:P720)</f>
        <v>3600</v>
      </c>
    </row>
    <row r="721" spans="1:17" ht="12.75">
      <c r="A721" s="198"/>
      <c r="B721" s="198"/>
      <c r="C721" s="214"/>
      <c r="D721" s="283" t="s">
        <v>1411</v>
      </c>
      <c r="E721" s="7">
        <v>1</v>
      </c>
      <c r="F721" s="7">
        <v>196901</v>
      </c>
      <c r="G721" s="7">
        <f>0+'[2]táj.2'!G721</f>
        <v>0</v>
      </c>
      <c r="H721" s="7">
        <f>0+'[2]táj.2'!H721</f>
        <v>0</v>
      </c>
      <c r="I721" s="7">
        <f>400+'[2]táj.2'!I721</f>
        <v>400</v>
      </c>
      <c r="J721" s="7">
        <f>0+'[2]táj.2'!J721</f>
        <v>0</v>
      </c>
      <c r="K721" s="7">
        <f>0+'[2]táj.2'!K721</f>
        <v>0</v>
      </c>
      <c r="L721" s="7">
        <f>0+'[2]táj.2'!L721</f>
        <v>0</v>
      </c>
      <c r="M721" s="7">
        <f>0+'[2]táj.2'!M721</f>
        <v>0</v>
      </c>
      <c r="N721" s="7">
        <f>5039+'[2]táj.2'!N721</f>
        <v>5039</v>
      </c>
      <c r="O721" s="7">
        <f>0+'[2]táj.2'!O721</f>
        <v>0</v>
      </c>
      <c r="P721" s="7">
        <f>0+'[2]táj.2'!P721</f>
        <v>0</v>
      </c>
      <c r="Q721" s="7">
        <f>SUM(G721:P721)</f>
        <v>5439</v>
      </c>
    </row>
    <row r="722" spans="1:17" ht="12.75">
      <c r="A722" s="198"/>
      <c r="B722" s="198"/>
      <c r="C722" s="214"/>
      <c r="D722" s="283" t="s">
        <v>496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198"/>
      <c r="B723" s="198"/>
      <c r="C723" s="214"/>
      <c r="D723" s="283" t="s">
        <v>1412</v>
      </c>
      <c r="E723" s="7">
        <v>1</v>
      </c>
      <c r="F723" s="7">
        <v>191104</v>
      </c>
      <c r="G723" s="7">
        <f>0+'[2]táj.2'!G723</f>
        <v>0</v>
      </c>
      <c r="H723" s="7">
        <f>0+'[2]táj.2'!H723</f>
        <v>0</v>
      </c>
      <c r="I723" s="7">
        <f>4400+'[2]táj.2'!I723</f>
        <v>4400</v>
      </c>
      <c r="J723" s="7">
        <f>0+'[2]táj.2'!J723</f>
        <v>0</v>
      </c>
      <c r="K723" s="7">
        <f>0+'[2]táj.2'!K723</f>
        <v>0</v>
      </c>
      <c r="L723" s="7">
        <f>0+'[2]táj.2'!L723</f>
        <v>0</v>
      </c>
      <c r="M723" s="7">
        <f>0+'[2]táj.2'!M723</f>
        <v>0</v>
      </c>
      <c r="N723" s="7">
        <f>0+'[2]táj.2'!N723</f>
        <v>0</v>
      </c>
      <c r="O723" s="7">
        <f>0+'[2]táj.2'!O723</f>
        <v>0</v>
      </c>
      <c r="P723" s="7">
        <f>0+'[2]táj.2'!P723</f>
        <v>0</v>
      </c>
      <c r="Q723" s="7">
        <f>SUM(G723:P723)</f>
        <v>4400</v>
      </c>
    </row>
    <row r="724" spans="1:17" ht="12.75">
      <c r="A724" s="198"/>
      <c r="B724" s="198"/>
      <c r="C724" s="214"/>
      <c r="D724" s="379" t="s">
        <v>1413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198"/>
      <c r="B725" s="198"/>
      <c r="C725" s="214"/>
      <c r="D725" s="283" t="s">
        <v>1414</v>
      </c>
      <c r="E725" s="7">
        <v>2</v>
      </c>
      <c r="F725" s="7">
        <v>191109</v>
      </c>
      <c r="G725" s="7">
        <f>0+'[2]táj.2'!G725</f>
        <v>0</v>
      </c>
      <c r="H725" s="7">
        <f>0+'[2]táj.2'!H725</f>
        <v>0</v>
      </c>
      <c r="I725" s="7">
        <f>0+'[2]táj.2'!I725</f>
        <v>0</v>
      </c>
      <c r="J725" s="7">
        <f>0+'[2]táj.2'!J725</f>
        <v>0</v>
      </c>
      <c r="K725" s="7">
        <f>5000+'[2]táj.2'!K725</f>
        <v>5000</v>
      </c>
      <c r="L725" s="7">
        <f>0+'[2]táj.2'!L725</f>
        <v>0</v>
      </c>
      <c r="M725" s="7">
        <f>0+'[2]táj.2'!M725</f>
        <v>0</v>
      </c>
      <c r="N725" s="7">
        <f>0+'[2]táj.2'!N725</f>
        <v>0</v>
      </c>
      <c r="O725" s="7">
        <f>0+'[2]táj.2'!O725</f>
        <v>0</v>
      </c>
      <c r="P725" s="7">
        <f>0+'[2]táj.2'!P725</f>
        <v>0</v>
      </c>
      <c r="Q725" s="7">
        <f>SUM(G725:P725)</f>
        <v>5000</v>
      </c>
    </row>
    <row r="726" spans="1:17" ht="12.75">
      <c r="A726" s="198"/>
      <c r="B726" s="198"/>
      <c r="C726" s="214"/>
      <c r="D726" s="283" t="s">
        <v>1415</v>
      </c>
      <c r="E726" s="7">
        <v>2</v>
      </c>
      <c r="F726" s="7">
        <v>191159</v>
      </c>
      <c r="G726" s="7">
        <f>0+'[2]táj.2'!G726</f>
        <v>0</v>
      </c>
      <c r="H726" s="7">
        <f>0+'[2]táj.2'!H726</f>
        <v>0</v>
      </c>
      <c r="I726" s="7">
        <f>0+'[2]táj.2'!I726</f>
        <v>0</v>
      </c>
      <c r="J726" s="7">
        <f>0+'[2]táj.2'!J726</f>
        <v>0</v>
      </c>
      <c r="K726" s="7">
        <f>500+'[2]táj.2'!K726</f>
        <v>500</v>
      </c>
      <c r="L726" s="7">
        <f>0+'[2]táj.2'!L726</f>
        <v>0</v>
      </c>
      <c r="M726" s="7">
        <f>0+'[2]táj.2'!M726</f>
        <v>0</v>
      </c>
      <c r="N726" s="7">
        <f>0+'[2]táj.2'!N726</f>
        <v>0</v>
      </c>
      <c r="O726" s="7">
        <f>0+'[2]táj.2'!O726</f>
        <v>0</v>
      </c>
      <c r="P726" s="7">
        <f>0+'[2]táj.2'!P726</f>
        <v>0</v>
      </c>
      <c r="Q726" s="7">
        <f>SUM(G726:P726)</f>
        <v>500</v>
      </c>
    </row>
    <row r="727" spans="1:17" ht="12.75">
      <c r="A727" s="198"/>
      <c r="B727" s="198"/>
      <c r="C727" s="214"/>
      <c r="D727" s="283" t="s">
        <v>1416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198"/>
      <c r="B728" s="198"/>
      <c r="C728" s="214"/>
      <c r="D728" s="283" t="s">
        <v>1417</v>
      </c>
      <c r="E728" s="7">
        <v>2</v>
      </c>
      <c r="F728" s="7">
        <v>191401</v>
      </c>
      <c r="G728" s="7">
        <f>0+'[2]táj.2'!G728</f>
        <v>0</v>
      </c>
      <c r="H728" s="7">
        <f>0+'[2]táj.2'!H728</f>
        <v>0</v>
      </c>
      <c r="I728" s="7">
        <f>0+'[2]táj.2'!I728</f>
        <v>0</v>
      </c>
      <c r="J728" s="7">
        <f>0+'[2]táj.2'!J728</f>
        <v>0</v>
      </c>
      <c r="K728" s="7">
        <f>1500+'[2]táj.2'!K728</f>
        <v>1500</v>
      </c>
      <c r="L728" s="7">
        <f>0+'[2]táj.2'!L728</f>
        <v>0</v>
      </c>
      <c r="M728" s="7">
        <f>0+'[2]táj.2'!M728</f>
        <v>0</v>
      </c>
      <c r="N728" s="7">
        <f>0+'[2]táj.2'!N728</f>
        <v>0</v>
      </c>
      <c r="O728" s="7">
        <f>0+'[2]táj.2'!O728</f>
        <v>0</v>
      </c>
      <c r="P728" s="7">
        <f>0+'[2]táj.2'!P728</f>
        <v>0</v>
      </c>
      <c r="Q728" s="7">
        <f>SUM(G728:P728)</f>
        <v>1500</v>
      </c>
    </row>
    <row r="729" spans="1:17" ht="12.75">
      <c r="A729" s="198"/>
      <c r="B729" s="198"/>
      <c r="C729" s="214"/>
      <c r="D729" s="178" t="s">
        <v>487</v>
      </c>
      <c r="E729" s="232"/>
      <c r="F729" s="23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25.5">
      <c r="A730" s="198"/>
      <c r="B730" s="198"/>
      <c r="C730" s="214"/>
      <c r="D730" s="174" t="s">
        <v>1418</v>
      </c>
      <c r="E730" s="207">
        <v>1</v>
      </c>
      <c r="F730" s="7">
        <v>191905</v>
      </c>
      <c r="G730" s="7">
        <f>0+'[2]táj.2'!G730</f>
        <v>0</v>
      </c>
      <c r="H730" s="7">
        <f>0+'[2]táj.2'!H730</f>
        <v>0</v>
      </c>
      <c r="I730" s="7">
        <f>0+'[2]táj.2'!I730</f>
        <v>0</v>
      </c>
      <c r="J730" s="7">
        <f>0+'[2]táj.2'!J730</f>
        <v>0</v>
      </c>
      <c r="K730" s="7">
        <f>412534+'[2]táj.2'!K730</f>
        <v>412534</v>
      </c>
      <c r="L730" s="7">
        <f>0+'[2]táj.2'!L730</f>
        <v>0</v>
      </c>
      <c r="M730" s="7">
        <f>0+'[2]táj.2'!M730</f>
        <v>0</v>
      </c>
      <c r="N730" s="7">
        <f>0+'[2]táj.2'!N730</f>
        <v>0</v>
      </c>
      <c r="O730" s="7">
        <f>0+'[2]táj.2'!O730</f>
        <v>0</v>
      </c>
      <c r="P730" s="7">
        <f>0+'[2]táj.2'!P730</f>
        <v>0</v>
      </c>
      <c r="Q730" s="7">
        <f>SUM(G730:P730)</f>
        <v>412534</v>
      </c>
    </row>
    <row r="731" spans="1:17" ht="12.75">
      <c r="A731" s="198"/>
      <c r="B731" s="198"/>
      <c r="C731" s="214"/>
      <c r="D731" s="178" t="s">
        <v>487</v>
      </c>
      <c r="E731" s="232"/>
      <c r="F731" s="23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198"/>
      <c r="B732" s="198"/>
      <c r="C732" s="214"/>
      <c r="D732" s="283" t="s">
        <v>1419</v>
      </c>
      <c r="E732" s="7">
        <v>1</v>
      </c>
      <c r="F732" s="7">
        <v>191121</v>
      </c>
      <c r="G732" s="7">
        <f>0+'[2]táj.2'!G732</f>
        <v>0</v>
      </c>
      <c r="H732" s="7">
        <f>0+'[2]táj.2'!H732</f>
        <v>0</v>
      </c>
      <c r="I732" s="7">
        <f>15912+'[2]táj.2'!I732</f>
        <v>15912</v>
      </c>
      <c r="J732" s="7">
        <f>0+'[2]táj.2'!J732</f>
        <v>0</v>
      </c>
      <c r="K732" s="7">
        <f>0+'[2]táj.2'!K732</f>
        <v>0</v>
      </c>
      <c r="L732" s="7">
        <f>0+'[2]táj.2'!L732</f>
        <v>0</v>
      </c>
      <c r="M732" s="7">
        <f>0+'[2]táj.2'!M732</f>
        <v>0</v>
      </c>
      <c r="N732" s="7">
        <f>0+'[2]táj.2'!N732</f>
        <v>0</v>
      </c>
      <c r="O732" s="7">
        <f>0+'[2]táj.2'!O732</f>
        <v>0</v>
      </c>
      <c r="P732" s="7">
        <f>0+'[2]táj.2'!P732</f>
        <v>0</v>
      </c>
      <c r="Q732" s="7">
        <f>SUM(G732:P732)</f>
        <v>15912</v>
      </c>
    </row>
    <row r="733" spans="1:17" ht="25.5">
      <c r="A733" s="198"/>
      <c r="B733" s="198"/>
      <c r="C733" s="214"/>
      <c r="D733" s="176" t="s">
        <v>594</v>
      </c>
      <c r="E733" s="232"/>
      <c r="F733" s="23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25.5">
      <c r="A734" s="198"/>
      <c r="B734" s="198"/>
      <c r="C734" s="214"/>
      <c r="D734" s="176" t="s">
        <v>1420</v>
      </c>
      <c r="E734" s="232">
        <v>1</v>
      </c>
      <c r="F734" s="29">
        <v>191152</v>
      </c>
      <c r="G734" s="7">
        <f>0+'[2]táj.2'!G734</f>
        <v>0</v>
      </c>
      <c r="H734" s="7">
        <f>0+'[2]táj.2'!H734</f>
        <v>0</v>
      </c>
      <c r="I734" s="7">
        <f>25467+'[2]táj.2'!I734</f>
        <v>25467</v>
      </c>
      <c r="J734" s="7">
        <f>0+'[2]táj.2'!J734</f>
        <v>0</v>
      </c>
      <c r="K734" s="7">
        <f>0+'[2]táj.2'!K734</f>
        <v>0</v>
      </c>
      <c r="L734" s="7">
        <f>0+'[2]táj.2'!L734</f>
        <v>0</v>
      </c>
      <c r="M734" s="7">
        <f>0+'[2]táj.2'!M734</f>
        <v>0</v>
      </c>
      <c r="N734" s="7">
        <f>0+'[2]táj.2'!N734</f>
        <v>0</v>
      </c>
      <c r="O734" s="7">
        <f>104052+'[2]táj.2'!O734</f>
        <v>104052</v>
      </c>
      <c r="P734" s="7">
        <f>0+'[2]táj.2'!P734</f>
        <v>0</v>
      </c>
      <c r="Q734" s="7">
        <f>SUM(G734:P734)</f>
        <v>129519</v>
      </c>
    </row>
    <row r="735" spans="1:17" ht="25.5">
      <c r="A735" s="198"/>
      <c r="B735" s="198"/>
      <c r="C735" s="214"/>
      <c r="D735" s="301" t="s">
        <v>1421</v>
      </c>
      <c r="E735" s="232">
        <v>2</v>
      </c>
      <c r="F735" s="29">
        <v>196919</v>
      </c>
      <c r="G735" s="7">
        <f>0+'[2]táj.2'!G735</f>
        <v>0</v>
      </c>
      <c r="H735" s="7">
        <f>0+'[2]táj.2'!H735</f>
        <v>0</v>
      </c>
      <c r="I735" s="7">
        <f>0+'[2]táj.2'!I735</f>
        <v>0</v>
      </c>
      <c r="J735" s="7">
        <f>0+'[2]táj.2'!J735</f>
        <v>0</v>
      </c>
      <c r="K735" s="7">
        <f>0+'[2]táj.2'!K735</f>
        <v>0</v>
      </c>
      <c r="L735" s="7">
        <f>0+'[2]táj.2'!L735</f>
        <v>0</v>
      </c>
      <c r="M735" s="7">
        <f>0+'[2]táj.2'!M735</f>
        <v>0</v>
      </c>
      <c r="N735" s="7">
        <f>0+'[2]táj.2'!N735</f>
        <v>0</v>
      </c>
      <c r="O735" s="7">
        <f>0+'[2]táj.2'!O735</f>
        <v>0</v>
      </c>
      <c r="P735" s="7">
        <f>12000000+'[2]táj.2'!P735</f>
        <v>12000000</v>
      </c>
      <c r="Q735" s="7">
        <f>SUM(G735:P735)</f>
        <v>12000000</v>
      </c>
    </row>
    <row r="736" spans="1:17" ht="12.75">
      <c r="A736" s="198"/>
      <c r="B736" s="198"/>
      <c r="C736" s="214"/>
      <c r="D736" s="283" t="s">
        <v>1422</v>
      </c>
      <c r="E736" s="7"/>
      <c r="F736" s="380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198"/>
      <c r="B737" s="198"/>
      <c r="C737" s="214"/>
      <c r="D737" s="283" t="s">
        <v>1423</v>
      </c>
      <c r="E737" s="7">
        <v>2</v>
      </c>
      <c r="F737" s="381" t="s">
        <v>1424</v>
      </c>
      <c r="G737" s="7">
        <f>0+'[2]táj.2'!G737</f>
        <v>0</v>
      </c>
      <c r="H737" s="7">
        <f>0+'[2]táj.2'!H737</f>
        <v>0</v>
      </c>
      <c r="I737" s="7">
        <f>0+'[2]táj.2'!I737</f>
        <v>0</v>
      </c>
      <c r="J737" s="7">
        <f>0+'[2]táj.2'!J737</f>
        <v>0</v>
      </c>
      <c r="K737" s="7">
        <f>4145+'[2]táj.2'!K737</f>
        <v>4145</v>
      </c>
      <c r="L737" s="7">
        <f>0+'[2]táj.2'!L737</f>
        <v>0</v>
      </c>
      <c r="M737" s="7">
        <f>0+'[2]táj.2'!M737</f>
        <v>0</v>
      </c>
      <c r="N737" s="7">
        <f>0+'[2]táj.2'!N737</f>
        <v>0</v>
      </c>
      <c r="O737" s="7">
        <f>0+'[2]táj.2'!O737</f>
        <v>0</v>
      </c>
      <c r="P737" s="7">
        <f>0+'[2]táj.2'!P737</f>
        <v>0</v>
      </c>
      <c r="Q737" s="7">
        <f>SUM(G737:P737)</f>
        <v>4145</v>
      </c>
    </row>
    <row r="738" spans="1:17" ht="12.75">
      <c r="A738" s="198"/>
      <c r="B738" s="198"/>
      <c r="C738" s="214"/>
      <c r="D738" s="294" t="s">
        <v>499</v>
      </c>
      <c r="E738" s="207"/>
      <c r="F738" s="20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198"/>
      <c r="B739" s="198"/>
      <c r="C739" s="214"/>
      <c r="D739" s="283" t="s">
        <v>1425</v>
      </c>
      <c r="E739" s="7">
        <v>2</v>
      </c>
      <c r="F739" s="7">
        <v>191801</v>
      </c>
      <c r="G739" s="7">
        <f>0+'[2]táj.2'!G739</f>
        <v>0</v>
      </c>
      <c r="H739" s="7">
        <f>0+'[2]táj.2'!H739</f>
        <v>0</v>
      </c>
      <c r="I739" s="7">
        <f>0+'[2]táj.2'!I739</f>
        <v>0</v>
      </c>
      <c r="J739" s="7">
        <f>0+'[2]táj.2'!J739</f>
        <v>0</v>
      </c>
      <c r="K739" s="7">
        <f>40000+'[2]táj.2'!K739</f>
        <v>40000</v>
      </c>
      <c r="L739" s="7">
        <f>0+'[2]táj.2'!L739</f>
        <v>0</v>
      </c>
      <c r="M739" s="7">
        <f>0+'[2]táj.2'!M739</f>
        <v>0</v>
      </c>
      <c r="N739" s="7">
        <f>0+'[2]táj.2'!N739</f>
        <v>0</v>
      </c>
      <c r="O739" s="7">
        <f>0+'[2]táj.2'!O739</f>
        <v>0</v>
      </c>
      <c r="P739" s="7">
        <f>0+'[2]táj.2'!P739</f>
        <v>0</v>
      </c>
      <c r="Q739" s="7">
        <f>SUM(G739:P739)</f>
        <v>40000</v>
      </c>
    </row>
    <row r="740" spans="1:17" ht="13.5">
      <c r="A740" s="218"/>
      <c r="B740" s="218"/>
      <c r="C740" s="219"/>
      <c r="D740" s="183" t="s">
        <v>1426</v>
      </c>
      <c r="E740" s="221"/>
      <c r="F740" s="221"/>
      <c r="G740" s="61">
        <f aca="true" t="shared" si="43" ref="G740:Q740">SUM(G711:G739)</f>
        <v>0</v>
      </c>
      <c r="H740" s="61">
        <f t="shared" si="43"/>
        <v>0</v>
      </c>
      <c r="I740" s="61">
        <f t="shared" si="43"/>
        <v>308582</v>
      </c>
      <c r="J740" s="61">
        <f t="shared" si="43"/>
        <v>0</v>
      </c>
      <c r="K740" s="61">
        <f t="shared" si="43"/>
        <v>469679</v>
      </c>
      <c r="L740" s="61">
        <f t="shared" si="43"/>
        <v>0</v>
      </c>
      <c r="M740" s="61">
        <f t="shared" si="43"/>
        <v>0</v>
      </c>
      <c r="N740" s="61">
        <f t="shared" si="43"/>
        <v>5039</v>
      </c>
      <c r="O740" s="61">
        <f t="shared" si="43"/>
        <v>104052</v>
      </c>
      <c r="P740" s="61">
        <f t="shared" si="43"/>
        <v>12100806</v>
      </c>
      <c r="Q740" s="61">
        <f t="shared" si="43"/>
        <v>12988158</v>
      </c>
    </row>
    <row r="741" spans="1:17" ht="12.75">
      <c r="A741" s="170"/>
      <c r="B741" s="170"/>
      <c r="C741" s="256"/>
      <c r="D741" s="287" t="s">
        <v>1399</v>
      </c>
      <c r="E741" s="9"/>
      <c r="F741" s="9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25.5">
      <c r="A742" s="170"/>
      <c r="B742" s="170"/>
      <c r="C742" s="256" t="s">
        <v>269</v>
      </c>
      <c r="D742" s="382" t="s">
        <v>1427</v>
      </c>
      <c r="E742" s="351"/>
      <c r="F742" s="383">
        <v>192909</v>
      </c>
      <c r="G742" s="7">
        <f>0+'[2]táj.2'!G742</f>
        <v>0</v>
      </c>
      <c r="H742" s="7">
        <f>0+'[2]táj.2'!H742</f>
        <v>0</v>
      </c>
      <c r="I742" s="7">
        <f>0+'[2]táj.2'!I742</f>
        <v>0</v>
      </c>
      <c r="J742" s="7">
        <f>0+'[2]táj.2'!J742</f>
        <v>0</v>
      </c>
      <c r="K742" s="7">
        <f>0+'[2]táj.2'!K742</f>
        <v>0</v>
      </c>
      <c r="L742" s="7">
        <f>0+'[2]táj.2'!L742</f>
        <v>0</v>
      </c>
      <c r="M742" s="7">
        <f>0+'[2]táj.2'!M742</f>
        <v>0</v>
      </c>
      <c r="N742" s="7">
        <f>500+'[2]táj.2'!N742</f>
        <v>500</v>
      </c>
      <c r="O742" s="7">
        <f>0+'[2]táj.2'!O742</f>
        <v>0</v>
      </c>
      <c r="P742" s="7">
        <f>0+'[2]táj.2'!P742</f>
        <v>0</v>
      </c>
      <c r="Q742" s="7">
        <f>SUM(N742:P742)</f>
        <v>500</v>
      </c>
    </row>
    <row r="743" spans="1:17" ht="13.5">
      <c r="A743" s="218">
        <v>1</v>
      </c>
      <c r="B743" s="218">
        <v>20</v>
      </c>
      <c r="C743" s="219"/>
      <c r="D743" s="183" t="s">
        <v>616</v>
      </c>
      <c r="E743" s="221"/>
      <c r="F743" s="221"/>
      <c r="G743" s="61">
        <f>SUM(G740:G742)</f>
        <v>0</v>
      </c>
      <c r="H743" s="61">
        <f aca="true" t="shared" si="44" ref="H743:Q743">SUM(H740:H742)</f>
        <v>0</v>
      </c>
      <c r="I743" s="61">
        <f t="shared" si="44"/>
        <v>308582</v>
      </c>
      <c r="J743" s="61">
        <f t="shared" si="44"/>
        <v>0</v>
      </c>
      <c r="K743" s="61">
        <f t="shared" si="44"/>
        <v>469679</v>
      </c>
      <c r="L743" s="61">
        <f t="shared" si="44"/>
        <v>0</v>
      </c>
      <c r="M743" s="61">
        <f t="shared" si="44"/>
        <v>0</v>
      </c>
      <c r="N743" s="61">
        <f t="shared" si="44"/>
        <v>5539</v>
      </c>
      <c r="O743" s="61">
        <f t="shared" si="44"/>
        <v>104052</v>
      </c>
      <c r="P743" s="61">
        <f t="shared" si="44"/>
        <v>12100806</v>
      </c>
      <c r="Q743" s="61">
        <f t="shared" si="44"/>
        <v>12988658</v>
      </c>
    </row>
    <row r="744" spans="1:17" ht="13.5">
      <c r="A744" s="170"/>
      <c r="B744" s="170"/>
      <c r="C744" s="256"/>
      <c r="D744" s="277" t="s">
        <v>138</v>
      </c>
      <c r="E744" s="9"/>
      <c r="F744" s="9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25.5">
      <c r="A745" s="170"/>
      <c r="B745" s="170"/>
      <c r="C745" s="256"/>
      <c r="D745" s="384" t="s">
        <v>487</v>
      </c>
      <c r="E745" s="9"/>
      <c r="F745" s="9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13.5">
      <c r="A746" s="218"/>
      <c r="B746" s="218"/>
      <c r="C746" s="219"/>
      <c r="D746" s="183" t="s">
        <v>1428</v>
      </c>
      <c r="E746" s="221"/>
      <c r="F746" s="22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</row>
    <row r="747" spans="1:17" ht="13.5">
      <c r="A747" s="385">
        <v>1</v>
      </c>
      <c r="B747" s="385" t="s">
        <v>1429</v>
      </c>
      <c r="C747" s="386"/>
      <c r="D747" s="387" t="s">
        <v>1430</v>
      </c>
      <c r="E747" s="388"/>
      <c r="F747" s="388"/>
      <c r="G747" s="389"/>
      <c r="H747" s="3"/>
      <c r="I747" s="3"/>
      <c r="J747" s="3"/>
      <c r="K747" s="3"/>
      <c r="L747" s="3"/>
      <c r="M747" s="7"/>
      <c r="N747" s="7"/>
      <c r="O747" s="389"/>
      <c r="P747" s="389"/>
      <c r="Q747" s="389"/>
    </row>
    <row r="748" spans="1:17" ht="12.75">
      <c r="A748" s="385"/>
      <c r="B748" s="385"/>
      <c r="C748" s="386"/>
      <c r="D748" s="178" t="s">
        <v>487</v>
      </c>
      <c r="E748" s="226"/>
      <c r="F748" s="226"/>
      <c r="G748" s="389"/>
      <c r="H748" s="3"/>
      <c r="I748" s="3"/>
      <c r="J748" s="3"/>
      <c r="K748" s="3"/>
      <c r="L748" s="3"/>
      <c r="M748" s="7"/>
      <c r="N748" s="7"/>
      <c r="O748" s="389"/>
      <c r="P748" s="389"/>
      <c r="Q748" s="389"/>
    </row>
    <row r="749" spans="1:17" ht="12.75">
      <c r="A749" s="385"/>
      <c r="B749" s="385"/>
      <c r="C749" s="386"/>
      <c r="D749" s="379" t="s">
        <v>1431</v>
      </c>
      <c r="E749" s="372">
        <v>2</v>
      </c>
      <c r="F749" s="372">
        <v>221901</v>
      </c>
      <c r="G749" s="390">
        <f>11000+'[2]táj.2'!G749</f>
        <v>11000</v>
      </c>
      <c r="H749" s="390">
        <f>5500+'[2]táj.2'!H749</f>
        <v>5500</v>
      </c>
      <c r="I749" s="390">
        <f>32176+'[2]táj.2'!I749</f>
        <v>32176</v>
      </c>
      <c r="J749" s="390">
        <f>0+'[2]táj.2'!J749</f>
        <v>0</v>
      </c>
      <c r="K749" s="390">
        <f>1000+'[2]táj.2'!K749</f>
        <v>1000</v>
      </c>
      <c r="L749" s="390">
        <f>0+'[2]táj.2'!L749</f>
        <v>0</v>
      </c>
      <c r="M749" s="390">
        <f>0+'[2]táj.2'!M749</f>
        <v>0</v>
      </c>
      <c r="N749" s="390">
        <f>0+'[2]táj.2'!N749</f>
        <v>0</v>
      </c>
      <c r="O749" s="390">
        <f>0+'[2]táj.2'!O749</f>
        <v>0</v>
      </c>
      <c r="P749" s="390">
        <f>0+'[2]táj.2'!P749</f>
        <v>0</v>
      </c>
      <c r="Q749" s="372">
        <f aca="true" t="shared" si="45" ref="Q749:Q759">SUM(G749:P749)</f>
        <v>49676</v>
      </c>
    </row>
    <row r="750" spans="1:17" ht="12.75">
      <c r="A750" s="385"/>
      <c r="B750" s="385"/>
      <c r="C750" s="386"/>
      <c r="D750" s="294" t="s">
        <v>1432</v>
      </c>
      <c r="E750" s="10">
        <v>1</v>
      </c>
      <c r="F750" s="7">
        <v>221912</v>
      </c>
      <c r="G750" s="390">
        <f>100+'[2]táj.2'!G750</f>
        <v>100</v>
      </c>
      <c r="H750" s="390">
        <f>50+'[2]táj.2'!H750</f>
        <v>50</v>
      </c>
      <c r="I750" s="390">
        <f>3920+'[2]táj.2'!I750</f>
        <v>3920</v>
      </c>
      <c r="J750" s="390">
        <f>0+'[2]táj.2'!J750</f>
        <v>0</v>
      </c>
      <c r="K750" s="390">
        <f>3250+'[2]táj.2'!K750</f>
        <v>3250</v>
      </c>
      <c r="L750" s="390">
        <f>0+'[2]táj.2'!L750</f>
        <v>0</v>
      </c>
      <c r="M750" s="390">
        <f>0+'[2]táj.2'!M750</f>
        <v>0</v>
      </c>
      <c r="N750" s="390">
        <f>0+'[2]táj.2'!N750</f>
        <v>0</v>
      </c>
      <c r="O750" s="390">
        <f>0+'[2]táj.2'!O750</f>
        <v>0</v>
      </c>
      <c r="P750" s="390">
        <f>0+'[2]táj.2'!P750</f>
        <v>0</v>
      </c>
      <c r="Q750" s="372">
        <f t="shared" si="45"/>
        <v>7320</v>
      </c>
    </row>
    <row r="751" spans="1:17" ht="25.5">
      <c r="A751" s="385"/>
      <c r="B751" s="385"/>
      <c r="C751" s="386"/>
      <c r="D751" s="176" t="s">
        <v>65</v>
      </c>
      <c r="E751" s="10">
        <v>2</v>
      </c>
      <c r="F751" s="7">
        <v>221956</v>
      </c>
      <c r="G751" s="390">
        <f>0+'[2]táj.2'!G751</f>
        <v>0</v>
      </c>
      <c r="H751" s="390">
        <f>0+'[2]táj.2'!H751</f>
        <v>0</v>
      </c>
      <c r="I751" s="390">
        <f>7000+'[2]táj.2'!I751</f>
        <v>7000</v>
      </c>
      <c r="J751" s="390">
        <f>0+'[2]táj.2'!J751</f>
        <v>0</v>
      </c>
      <c r="K751" s="390">
        <f>0+'[2]táj.2'!K751</f>
        <v>0</v>
      </c>
      <c r="L751" s="390">
        <f>0+'[2]táj.2'!L751</f>
        <v>0</v>
      </c>
      <c r="M751" s="390">
        <f>0+'[2]táj.2'!M751</f>
        <v>0</v>
      </c>
      <c r="N751" s="390">
        <f>0+'[2]táj.2'!N751</f>
        <v>0</v>
      </c>
      <c r="O751" s="390">
        <f>0+'[2]táj.2'!O751</f>
        <v>0</v>
      </c>
      <c r="P751" s="390">
        <f>0+'[2]táj.2'!P751</f>
        <v>0</v>
      </c>
      <c r="Q751" s="372">
        <f t="shared" si="45"/>
        <v>7000</v>
      </c>
    </row>
    <row r="752" spans="1:17" ht="12.75">
      <c r="A752" s="385"/>
      <c r="B752" s="385"/>
      <c r="C752" s="386"/>
      <c r="D752" s="294" t="s">
        <v>1433</v>
      </c>
      <c r="E752" s="10">
        <v>2</v>
      </c>
      <c r="F752" s="7">
        <v>221916</v>
      </c>
      <c r="G752" s="390">
        <f>0+'[2]táj.2'!G752</f>
        <v>0</v>
      </c>
      <c r="H752" s="390">
        <f>0+'[2]táj.2'!H752</f>
        <v>0</v>
      </c>
      <c r="I752" s="390">
        <f>0+'[2]táj.2'!I752</f>
        <v>0</v>
      </c>
      <c r="J752" s="390">
        <f>0+'[2]táj.2'!J752</f>
        <v>0</v>
      </c>
      <c r="K752" s="390">
        <f>35000+'[2]táj.2'!K752</f>
        <v>35000</v>
      </c>
      <c r="L752" s="390">
        <f>0+'[2]táj.2'!L752</f>
        <v>0</v>
      </c>
      <c r="M752" s="390">
        <f>0+'[2]táj.2'!M752</f>
        <v>0</v>
      </c>
      <c r="N752" s="390">
        <f>0+'[2]táj.2'!N752</f>
        <v>0</v>
      </c>
      <c r="O752" s="390">
        <f>0+'[2]táj.2'!O752</f>
        <v>0</v>
      </c>
      <c r="P752" s="390">
        <f>0+'[2]táj.2'!P752</f>
        <v>0</v>
      </c>
      <c r="Q752" s="372">
        <f t="shared" si="45"/>
        <v>35000</v>
      </c>
    </row>
    <row r="753" spans="1:17" ht="12.75">
      <c r="A753" s="385"/>
      <c r="B753" s="385"/>
      <c r="C753" s="386"/>
      <c r="D753" s="283" t="s">
        <v>1434</v>
      </c>
      <c r="E753" s="10">
        <v>2</v>
      </c>
      <c r="F753" s="7">
        <v>221904</v>
      </c>
      <c r="G753" s="390">
        <f>0+'[2]táj.2'!G753</f>
        <v>0</v>
      </c>
      <c r="H753" s="390">
        <f>0+'[2]táj.2'!H753</f>
        <v>0</v>
      </c>
      <c r="I753" s="390">
        <f>2000+'[2]táj.2'!I753</f>
        <v>2000</v>
      </c>
      <c r="J753" s="390">
        <f>0+'[2]táj.2'!J753</f>
        <v>0</v>
      </c>
      <c r="K753" s="390">
        <f>0+'[2]táj.2'!K753</f>
        <v>0</v>
      </c>
      <c r="L753" s="390">
        <f>0+'[2]táj.2'!L753</f>
        <v>0</v>
      </c>
      <c r="M753" s="390">
        <f>0+'[2]táj.2'!M753</f>
        <v>0</v>
      </c>
      <c r="N753" s="390">
        <f>0+'[2]táj.2'!N753</f>
        <v>0</v>
      </c>
      <c r="O753" s="390">
        <f>0+'[2]táj.2'!O753</f>
        <v>0</v>
      </c>
      <c r="P753" s="390">
        <f>0+'[2]táj.2'!P753</f>
        <v>0</v>
      </c>
      <c r="Q753" s="372">
        <f t="shared" si="45"/>
        <v>2000</v>
      </c>
    </row>
    <row r="754" spans="1:17" ht="12.75">
      <c r="A754" s="385"/>
      <c r="B754" s="385"/>
      <c r="C754" s="386"/>
      <c r="D754" s="283" t="s">
        <v>1435</v>
      </c>
      <c r="E754" s="7">
        <v>2</v>
      </c>
      <c r="F754" s="7">
        <v>221922</v>
      </c>
      <c r="G754" s="390">
        <f>0+'[2]táj.2'!G754</f>
        <v>0</v>
      </c>
      <c r="H754" s="390">
        <f>0+'[2]táj.2'!H754</f>
        <v>0</v>
      </c>
      <c r="I754" s="390">
        <f>7713+'[2]táj.2'!I754</f>
        <v>7713</v>
      </c>
      <c r="J754" s="390">
        <f>0+'[2]táj.2'!J754</f>
        <v>0</v>
      </c>
      <c r="K754" s="390">
        <f>0+'[2]táj.2'!K754</f>
        <v>0</v>
      </c>
      <c r="L754" s="390">
        <f>0+'[2]táj.2'!L754</f>
        <v>0</v>
      </c>
      <c r="M754" s="390">
        <f>0+'[2]táj.2'!M754</f>
        <v>0</v>
      </c>
      <c r="N754" s="390">
        <f>0+'[2]táj.2'!N754</f>
        <v>0</v>
      </c>
      <c r="O754" s="390">
        <f>0+'[2]táj.2'!O754</f>
        <v>0</v>
      </c>
      <c r="P754" s="390">
        <f>0+'[2]táj.2'!P754</f>
        <v>0</v>
      </c>
      <c r="Q754" s="372">
        <f t="shared" si="45"/>
        <v>7713</v>
      </c>
    </row>
    <row r="755" spans="1:17" ht="12.75">
      <c r="A755" s="385"/>
      <c r="B755" s="385"/>
      <c r="C755" s="386"/>
      <c r="D755" s="283" t="s">
        <v>1436</v>
      </c>
      <c r="E755" s="207">
        <v>2</v>
      </c>
      <c r="F755" s="7">
        <v>191139</v>
      </c>
      <c r="G755" s="390">
        <f>0+'[2]táj.2'!G755</f>
        <v>0</v>
      </c>
      <c r="H755" s="390">
        <f>0+'[2]táj.2'!H755</f>
        <v>0</v>
      </c>
      <c r="I755" s="390">
        <f>3500+'[2]táj.2'!I755</f>
        <v>3500</v>
      </c>
      <c r="J755" s="390">
        <f>0+'[2]táj.2'!J755</f>
        <v>0</v>
      </c>
      <c r="K755" s="390">
        <f>0+'[2]táj.2'!K755</f>
        <v>0</v>
      </c>
      <c r="L755" s="390">
        <f>0+'[2]táj.2'!L755</f>
        <v>0</v>
      </c>
      <c r="M755" s="390">
        <f>0+'[2]táj.2'!M755</f>
        <v>0</v>
      </c>
      <c r="N755" s="390">
        <f>0+'[2]táj.2'!N755</f>
        <v>0</v>
      </c>
      <c r="O755" s="390">
        <f>0+'[2]táj.2'!O755</f>
        <v>0</v>
      </c>
      <c r="P755" s="390">
        <f>0+'[2]táj.2'!P755</f>
        <v>0</v>
      </c>
      <c r="Q755" s="372">
        <f t="shared" si="45"/>
        <v>3500</v>
      </c>
    </row>
    <row r="756" spans="1:17" ht="12.75">
      <c r="A756" s="385"/>
      <c r="B756" s="385"/>
      <c r="C756" s="386"/>
      <c r="D756" s="283" t="s">
        <v>1437</v>
      </c>
      <c r="E756" s="207">
        <v>2</v>
      </c>
      <c r="F756" s="7">
        <v>221939</v>
      </c>
      <c r="G756" s="390">
        <f>0+'[2]táj.2'!G756</f>
        <v>0</v>
      </c>
      <c r="H756" s="390">
        <f>0+'[2]táj.2'!H756</f>
        <v>0</v>
      </c>
      <c r="I756" s="390">
        <f>700+'[2]táj.2'!I756</f>
        <v>700</v>
      </c>
      <c r="J756" s="390">
        <f>0+'[2]táj.2'!J756</f>
        <v>0</v>
      </c>
      <c r="K756" s="390">
        <f>1300+'[2]táj.2'!K756</f>
        <v>1300</v>
      </c>
      <c r="L756" s="390">
        <f>0+'[2]táj.2'!L756</f>
        <v>0</v>
      </c>
      <c r="M756" s="390">
        <f>0+'[2]táj.2'!M756</f>
        <v>0</v>
      </c>
      <c r="N756" s="390">
        <f>0+'[2]táj.2'!N756</f>
        <v>0</v>
      </c>
      <c r="O756" s="390">
        <f>0+'[2]táj.2'!O756</f>
        <v>0</v>
      </c>
      <c r="P756" s="390">
        <f>0+'[2]táj.2'!P756</f>
        <v>0</v>
      </c>
      <c r="Q756" s="372">
        <f t="shared" si="45"/>
        <v>2000</v>
      </c>
    </row>
    <row r="757" spans="1:17" ht="12.75">
      <c r="A757" s="385"/>
      <c r="B757" s="385"/>
      <c r="C757" s="386"/>
      <c r="D757" s="283" t="s">
        <v>1438</v>
      </c>
      <c r="E757" s="207">
        <v>2</v>
      </c>
      <c r="F757" s="7">
        <v>221927</v>
      </c>
      <c r="G757" s="390">
        <f>0+'[2]táj.2'!G757</f>
        <v>0</v>
      </c>
      <c r="H757" s="390">
        <f>0+'[2]táj.2'!H757</f>
        <v>0</v>
      </c>
      <c r="I757" s="390">
        <f>0+'[2]táj.2'!I757</f>
        <v>0</v>
      </c>
      <c r="J757" s="390">
        <f>0+'[2]táj.2'!J757</f>
        <v>0</v>
      </c>
      <c r="K757" s="390">
        <f>2800+'[2]táj.2'!K757</f>
        <v>2800</v>
      </c>
      <c r="L757" s="390">
        <f>0+'[2]táj.2'!L757</f>
        <v>0</v>
      </c>
      <c r="M757" s="390">
        <f>0+'[2]táj.2'!M757</f>
        <v>0</v>
      </c>
      <c r="N757" s="390">
        <f>0+'[2]táj.2'!N757</f>
        <v>0</v>
      </c>
      <c r="O757" s="390">
        <f>0+'[2]táj.2'!O757</f>
        <v>0</v>
      </c>
      <c r="P757" s="390">
        <f>0+'[2]táj.2'!P757</f>
        <v>0</v>
      </c>
      <c r="Q757" s="372">
        <f t="shared" si="45"/>
        <v>2800</v>
      </c>
    </row>
    <row r="758" spans="1:17" ht="25.5">
      <c r="A758" s="385"/>
      <c r="B758" s="385"/>
      <c r="C758" s="386"/>
      <c r="D758" s="358" t="s">
        <v>1439</v>
      </c>
      <c r="E758" s="207">
        <v>2</v>
      </c>
      <c r="F758" s="7">
        <v>221935</v>
      </c>
      <c r="G758" s="390">
        <f>0+'[2]táj.2'!G758</f>
        <v>0</v>
      </c>
      <c r="H758" s="390">
        <f>0+'[2]táj.2'!H758</f>
        <v>0</v>
      </c>
      <c r="I758" s="390">
        <f>0+'[2]táj.2'!I758</f>
        <v>0</v>
      </c>
      <c r="J758" s="390">
        <f>0+'[2]táj.2'!J758</f>
        <v>0</v>
      </c>
      <c r="K758" s="390">
        <f>32900+'[2]táj.2'!K758</f>
        <v>32900</v>
      </c>
      <c r="L758" s="390">
        <f>0+'[2]táj.2'!L758</f>
        <v>0</v>
      </c>
      <c r="M758" s="390">
        <f>0+'[2]táj.2'!M758</f>
        <v>0</v>
      </c>
      <c r="N758" s="390">
        <f>0+'[2]táj.2'!N758</f>
        <v>0</v>
      </c>
      <c r="O758" s="390">
        <f>0+'[2]táj.2'!O758</f>
        <v>0</v>
      </c>
      <c r="P758" s="390">
        <f>0+'[2]táj.2'!P758</f>
        <v>0</v>
      </c>
      <c r="Q758" s="372">
        <f t="shared" si="45"/>
        <v>32900</v>
      </c>
    </row>
    <row r="759" spans="1:17" ht="12.75">
      <c r="A759" s="385"/>
      <c r="B759" s="385"/>
      <c r="C759" s="386"/>
      <c r="D759" s="283" t="s">
        <v>1440</v>
      </c>
      <c r="E759" s="7">
        <v>2</v>
      </c>
      <c r="F759" s="7">
        <v>191110</v>
      </c>
      <c r="G759" s="390">
        <f>6500+'[2]táj.2'!G759</f>
        <v>6500</v>
      </c>
      <c r="H759" s="390">
        <f>5000+'[2]táj.2'!H759</f>
        <v>5000</v>
      </c>
      <c r="I759" s="390">
        <f>5111+'[2]táj.2'!I759</f>
        <v>5111</v>
      </c>
      <c r="J759" s="390">
        <f>0+'[2]táj.2'!J759</f>
        <v>0</v>
      </c>
      <c r="K759" s="390">
        <f>0+'[2]táj.2'!K759</f>
        <v>0</v>
      </c>
      <c r="L759" s="390">
        <f>0+'[2]táj.2'!L759</f>
        <v>0</v>
      </c>
      <c r="M759" s="390">
        <f>0+'[2]táj.2'!M759</f>
        <v>0</v>
      </c>
      <c r="N759" s="390">
        <f>0+'[2]táj.2'!N759</f>
        <v>0</v>
      </c>
      <c r="O759" s="390">
        <f>0+'[2]táj.2'!O759</f>
        <v>0</v>
      </c>
      <c r="P759" s="390">
        <f>0+'[2]táj.2'!P759</f>
        <v>0</v>
      </c>
      <c r="Q759" s="372">
        <f t="shared" si="45"/>
        <v>16611</v>
      </c>
    </row>
    <row r="760" spans="1:17" ht="12.75">
      <c r="A760" s="385"/>
      <c r="B760" s="385"/>
      <c r="C760" s="386"/>
      <c r="D760" s="283" t="s">
        <v>1441</v>
      </c>
      <c r="E760" s="207"/>
      <c r="F760" s="207"/>
      <c r="G760" s="390"/>
      <c r="H760" s="390"/>
      <c r="I760" s="390"/>
      <c r="J760" s="390"/>
      <c r="K760" s="390"/>
      <c r="L760" s="390"/>
      <c r="M760" s="390"/>
      <c r="N760" s="390"/>
      <c r="O760" s="390"/>
      <c r="P760" s="390"/>
      <c r="Q760" s="372"/>
    </row>
    <row r="761" spans="1:17" ht="12.75">
      <c r="A761" s="385"/>
      <c r="B761" s="385"/>
      <c r="C761" s="386"/>
      <c r="D761" s="283" t="s">
        <v>1442</v>
      </c>
      <c r="E761" s="7">
        <v>2</v>
      </c>
      <c r="F761" s="7">
        <v>191301</v>
      </c>
      <c r="G761" s="390">
        <f>0+'[2]táj.2'!G761</f>
        <v>0</v>
      </c>
      <c r="H761" s="390">
        <f>0+'[2]táj.2'!H761</f>
        <v>0</v>
      </c>
      <c r="I761" s="390">
        <f>0+'[2]táj.2'!I761</f>
        <v>0</v>
      </c>
      <c r="J761" s="390">
        <f>0+'[2]táj.2'!J761</f>
        <v>0</v>
      </c>
      <c r="K761" s="390">
        <f>42000+'[2]táj.2'!K761</f>
        <v>42000</v>
      </c>
      <c r="L761" s="390">
        <f>0+'[2]táj.2'!L761</f>
        <v>0</v>
      </c>
      <c r="M761" s="390">
        <f>0+'[2]táj.2'!M761</f>
        <v>0</v>
      </c>
      <c r="N761" s="390">
        <f>0+'[2]táj.2'!N761</f>
        <v>0</v>
      </c>
      <c r="O761" s="390">
        <f>0+'[2]táj.2'!O761</f>
        <v>0</v>
      </c>
      <c r="P761" s="390">
        <f>0+'[2]táj.2'!P761</f>
        <v>0</v>
      </c>
      <c r="Q761" s="372">
        <f>SUM(G761:P761)</f>
        <v>42000</v>
      </c>
    </row>
    <row r="762" spans="1:17" ht="12.75">
      <c r="A762" s="385"/>
      <c r="B762" s="385"/>
      <c r="C762" s="386"/>
      <c r="D762" s="283" t="s">
        <v>1443</v>
      </c>
      <c r="E762" s="7">
        <v>2</v>
      </c>
      <c r="F762" s="7">
        <v>191302</v>
      </c>
      <c r="G762" s="390">
        <f>0+'[2]táj.2'!G762</f>
        <v>0</v>
      </c>
      <c r="H762" s="390">
        <f>0+'[2]táj.2'!H762</f>
        <v>0</v>
      </c>
      <c r="I762" s="390">
        <f>10167+'[2]táj.2'!I762</f>
        <v>10167</v>
      </c>
      <c r="J762" s="390">
        <f>0+'[2]táj.2'!J762</f>
        <v>0</v>
      </c>
      <c r="K762" s="390">
        <f>0+'[2]táj.2'!K762</f>
        <v>0</v>
      </c>
      <c r="L762" s="390">
        <f>0+'[2]táj.2'!L762</f>
        <v>0</v>
      </c>
      <c r="M762" s="390">
        <f>0+'[2]táj.2'!M762</f>
        <v>0</v>
      </c>
      <c r="N762" s="390">
        <f>0+'[2]táj.2'!N762</f>
        <v>0</v>
      </c>
      <c r="O762" s="390">
        <f>0+'[2]táj.2'!O762</f>
        <v>0</v>
      </c>
      <c r="P762" s="390">
        <f>0+'[2]táj.2'!P762</f>
        <v>0</v>
      </c>
      <c r="Q762" s="372">
        <f>SUM(G762:P762)</f>
        <v>10167</v>
      </c>
    </row>
    <row r="763" spans="1:17" ht="12.75">
      <c r="A763" s="385"/>
      <c r="B763" s="385"/>
      <c r="C763" s="386"/>
      <c r="D763" s="296" t="s">
        <v>1444</v>
      </c>
      <c r="E763" s="7">
        <v>2</v>
      </c>
      <c r="F763" s="7">
        <v>191303</v>
      </c>
      <c r="G763" s="390">
        <f>0+'[2]táj.2'!G763</f>
        <v>0</v>
      </c>
      <c r="H763" s="390">
        <f>0+'[2]táj.2'!H763</f>
        <v>0</v>
      </c>
      <c r="I763" s="390">
        <f>0+'[2]táj.2'!I763</f>
        <v>0</v>
      </c>
      <c r="J763" s="390">
        <f>0+'[2]táj.2'!J763</f>
        <v>0</v>
      </c>
      <c r="K763" s="390">
        <f>0+'[2]táj.2'!K763</f>
        <v>0</v>
      </c>
      <c r="L763" s="390">
        <f>0+'[2]táj.2'!L763</f>
        <v>0</v>
      </c>
      <c r="M763" s="390">
        <f>0+'[2]táj.2'!M763</f>
        <v>0</v>
      </c>
      <c r="N763" s="390">
        <f>0+'[2]táj.2'!N763</f>
        <v>0</v>
      </c>
      <c r="O763" s="390">
        <f>0+'[2]táj.2'!O763</f>
        <v>0</v>
      </c>
      <c r="P763" s="390">
        <f>0+'[2]táj.2'!P763</f>
        <v>0</v>
      </c>
      <c r="Q763" s="372">
        <f>SUM(G763:P763)</f>
        <v>0</v>
      </c>
    </row>
    <row r="764" spans="1:17" ht="12.75">
      <c r="A764" s="385"/>
      <c r="B764" s="385"/>
      <c r="C764" s="386"/>
      <c r="D764" s="391" t="s">
        <v>510</v>
      </c>
      <c r="E764" s="10"/>
      <c r="F764" s="7"/>
      <c r="G764" s="390"/>
      <c r="H764" s="390"/>
      <c r="I764" s="390"/>
      <c r="J764" s="390"/>
      <c r="K764" s="390"/>
      <c r="L764" s="390"/>
      <c r="M764" s="390"/>
      <c r="N764" s="390"/>
      <c r="O764" s="390"/>
      <c r="P764" s="390"/>
      <c r="Q764" s="372"/>
    </row>
    <row r="765" spans="1:17" ht="12.75">
      <c r="A765" s="385"/>
      <c r="B765" s="385"/>
      <c r="C765" s="386"/>
      <c r="D765" s="176" t="s">
        <v>1445</v>
      </c>
      <c r="E765" s="252">
        <v>2</v>
      </c>
      <c r="F765" s="29">
        <v>221951</v>
      </c>
      <c r="G765" s="390">
        <f>0+'[2]táj.2'!G765</f>
        <v>0</v>
      </c>
      <c r="H765" s="390">
        <f>0+'[2]táj.2'!H765</f>
        <v>0</v>
      </c>
      <c r="I765" s="390">
        <f>1000+'[2]táj.2'!I765</f>
        <v>1000</v>
      </c>
      <c r="J765" s="390">
        <f>0+'[2]táj.2'!J765</f>
        <v>0</v>
      </c>
      <c r="K765" s="390">
        <f>24253+'[2]táj.2'!K765</f>
        <v>24253</v>
      </c>
      <c r="L765" s="390">
        <f>0+'[2]táj.2'!L765</f>
        <v>0</v>
      </c>
      <c r="M765" s="390">
        <f>0+'[2]táj.2'!M765</f>
        <v>0</v>
      </c>
      <c r="N765" s="390">
        <f>100+'[2]táj.2'!N765</f>
        <v>100</v>
      </c>
      <c r="O765" s="390">
        <f>0+'[2]táj.2'!O765</f>
        <v>0</v>
      </c>
      <c r="P765" s="390">
        <f>0+'[2]táj.2'!P765</f>
        <v>0</v>
      </c>
      <c r="Q765" s="372">
        <f>SUM(G765:P765)</f>
        <v>25353</v>
      </c>
    </row>
    <row r="766" spans="1:17" ht="12.75">
      <c r="A766" s="385"/>
      <c r="B766" s="385"/>
      <c r="C766" s="392"/>
      <c r="D766" s="393" t="s">
        <v>1446</v>
      </c>
      <c r="E766" s="10">
        <v>2</v>
      </c>
      <c r="F766" s="7" t="s">
        <v>1447</v>
      </c>
      <c r="G766" s="390">
        <f>0+'[2]táj.2'!G766</f>
        <v>0</v>
      </c>
      <c r="H766" s="390">
        <f>0+'[2]táj.2'!H766</f>
        <v>0</v>
      </c>
      <c r="I766" s="390">
        <f>50033+'[2]táj.2'!I766</f>
        <v>50033</v>
      </c>
      <c r="J766" s="390">
        <f>0+'[2]táj.2'!J766</f>
        <v>0</v>
      </c>
      <c r="K766" s="390">
        <f>1250+'[2]táj.2'!K766</f>
        <v>1250</v>
      </c>
      <c r="L766" s="390">
        <f>0+'[2]táj.2'!L766</f>
        <v>0</v>
      </c>
      <c r="M766" s="390">
        <f>0+'[2]táj.2'!M766</f>
        <v>0</v>
      </c>
      <c r="N766" s="390">
        <f>50+'[2]táj.2'!N766</f>
        <v>50</v>
      </c>
      <c r="O766" s="390">
        <f>0+'[2]táj.2'!O766</f>
        <v>0</v>
      </c>
      <c r="P766" s="390">
        <f>0+'[2]táj.2'!P766</f>
        <v>0</v>
      </c>
      <c r="Q766" s="372">
        <f>SUM(G766:P766)</f>
        <v>51333</v>
      </c>
    </row>
    <row r="767" spans="1:17" ht="12.75">
      <c r="A767" s="385"/>
      <c r="B767" s="385"/>
      <c r="C767" s="386"/>
      <c r="D767" s="294" t="s">
        <v>1448</v>
      </c>
      <c r="E767" s="10"/>
      <c r="F767" s="7"/>
      <c r="G767" s="390"/>
      <c r="H767" s="390"/>
      <c r="I767" s="390"/>
      <c r="J767" s="390"/>
      <c r="K767" s="390"/>
      <c r="L767" s="390"/>
      <c r="M767" s="390"/>
      <c r="N767" s="390"/>
      <c r="O767" s="390"/>
      <c r="P767" s="390"/>
      <c r="Q767" s="372"/>
    </row>
    <row r="768" spans="1:17" ht="12.75">
      <c r="A768" s="385"/>
      <c r="B768" s="385"/>
      <c r="C768" s="386"/>
      <c r="D768" s="294" t="s">
        <v>1449</v>
      </c>
      <c r="E768" s="10">
        <v>2</v>
      </c>
      <c r="F768" s="7">
        <v>221929</v>
      </c>
      <c r="G768" s="390">
        <f>0+'[2]táj.2'!G768</f>
        <v>0</v>
      </c>
      <c r="H768" s="390">
        <f>0+'[2]táj.2'!H768</f>
        <v>0</v>
      </c>
      <c r="I768" s="390">
        <f>0+'[2]táj.2'!I768</f>
        <v>0</v>
      </c>
      <c r="J768" s="390">
        <f>0+'[2]táj.2'!J768</f>
        <v>0</v>
      </c>
      <c r="K768" s="390">
        <f>13806+'[2]táj.2'!K768</f>
        <v>13806</v>
      </c>
      <c r="L768" s="390">
        <f>0+'[2]táj.2'!L768</f>
        <v>0</v>
      </c>
      <c r="M768" s="390">
        <f>0+'[2]táj.2'!M768</f>
        <v>0</v>
      </c>
      <c r="N768" s="390">
        <f>0+'[2]táj.2'!N768</f>
        <v>0</v>
      </c>
      <c r="O768" s="390">
        <f>0+'[2]táj.2'!O768</f>
        <v>0</v>
      </c>
      <c r="P768" s="390">
        <f>0+'[2]táj.2'!P768</f>
        <v>0</v>
      </c>
      <c r="Q768" s="372">
        <f>SUM(G768:P768)</f>
        <v>13806</v>
      </c>
    </row>
    <row r="769" spans="1:17" ht="12.75">
      <c r="A769" s="385"/>
      <c r="B769" s="385"/>
      <c r="C769" s="394"/>
      <c r="D769" s="294" t="s">
        <v>1450</v>
      </c>
      <c r="E769" s="10">
        <v>2</v>
      </c>
      <c r="F769" s="7">
        <v>191402</v>
      </c>
      <c r="G769" s="390">
        <f>0+'[2]táj.2'!G769</f>
        <v>0</v>
      </c>
      <c r="H769" s="390">
        <f>0+'[2]táj.2'!H769</f>
        <v>0</v>
      </c>
      <c r="I769" s="390">
        <f>0+'[2]táj.2'!I769</f>
        <v>0</v>
      </c>
      <c r="J769" s="390">
        <f>0+'[2]táj.2'!J769</f>
        <v>0</v>
      </c>
      <c r="K769" s="390">
        <f>7000+'[2]táj.2'!K769</f>
        <v>7000</v>
      </c>
      <c r="L769" s="390">
        <f>0+'[2]táj.2'!L769</f>
        <v>0</v>
      </c>
      <c r="M769" s="390">
        <f>0+'[2]táj.2'!M769</f>
        <v>0</v>
      </c>
      <c r="N769" s="390">
        <f>0+'[2]táj.2'!N769</f>
        <v>0</v>
      </c>
      <c r="O769" s="390">
        <f>0+'[2]táj.2'!O769</f>
        <v>0</v>
      </c>
      <c r="P769" s="390">
        <f>0+'[2]táj.2'!P769</f>
        <v>0</v>
      </c>
      <c r="Q769" s="372">
        <f>SUM(G769:P769)</f>
        <v>7000</v>
      </c>
    </row>
    <row r="770" spans="1:17" ht="12.75">
      <c r="A770" s="385"/>
      <c r="B770" s="385"/>
      <c r="C770" s="394"/>
      <c r="D770" s="294" t="s">
        <v>1451</v>
      </c>
      <c r="E770" s="10"/>
      <c r="F770" s="7"/>
      <c r="G770" s="390"/>
      <c r="H770" s="390"/>
      <c r="I770" s="390"/>
      <c r="J770" s="390"/>
      <c r="K770" s="390"/>
      <c r="L770" s="390"/>
      <c r="M770" s="390"/>
      <c r="N770" s="390"/>
      <c r="O770" s="390"/>
      <c r="P770" s="390"/>
      <c r="Q770" s="372"/>
    </row>
    <row r="771" spans="1:17" ht="12.75">
      <c r="A771" s="385"/>
      <c r="B771" s="385"/>
      <c r="C771" s="394"/>
      <c r="D771" s="294" t="s">
        <v>1452</v>
      </c>
      <c r="E771" s="10">
        <v>1</v>
      </c>
      <c r="F771" s="7">
        <v>221909</v>
      </c>
      <c r="G771" s="390">
        <f>0+'[2]táj.2'!G771</f>
        <v>0</v>
      </c>
      <c r="H771" s="390">
        <f>0+'[2]táj.2'!H771</f>
        <v>0</v>
      </c>
      <c r="I771" s="390">
        <f>0+'[2]táj.2'!I771</f>
        <v>0</v>
      </c>
      <c r="J771" s="390">
        <f>0+'[2]táj.2'!J771</f>
        <v>0</v>
      </c>
      <c r="K771" s="390">
        <f>17133+'[2]táj.2'!K771</f>
        <v>17133</v>
      </c>
      <c r="L771" s="390">
        <f>0+'[2]táj.2'!L771</f>
        <v>0</v>
      </c>
      <c r="M771" s="390">
        <f>0+'[2]táj.2'!M771</f>
        <v>0</v>
      </c>
      <c r="N771" s="390">
        <f>0+'[2]táj.2'!N771</f>
        <v>0</v>
      </c>
      <c r="O771" s="390">
        <f>0+'[2]táj.2'!O771</f>
        <v>0</v>
      </c>
      <c r="P771" s="390">
        <f>0+'[2]táj.2'!P771</f>
        <v>0</v>
      </c>
      <c r="Q771" s="372">
        <f>SUM(G771:P771)</f>
        <v>17133</v>
      </c>
    </row>
    <row r="772" spans="1:17" ht="12.75">
      <c r="A772" s="385"/>
      <c r="B772" s="385"/>
      <c r="C772" s="386"/>
      <c r="D772" s="294" t="s">
        <v>1453</v>
      </c>
      <c r="E772" s="10">
        <v>1</v>
      </c>
      <c r="F772" s="7">
        <v>221913</v>
      </c>
      <c r="G772" s="390">
        <f>0+'[2]táj.2'!G772</f>
        <v>0</v>
      </c>
      <c r="H772" s="390">
        <f>0+'[2]táj.2'!H772</f>
        <v>0</v>
      </c>
      <c r="I772" s="390">
        <f>20628+'[2]táj.2'!I772</f>
        <v>20628</v>
      </c>
      <c r="J772" s="390">
        <f>0+'[2]táj.2'!J772</f>
        <v>0</v>
      </c>
      <c r="K772" s="390">
        <f>0+'[2]táj.2'!K772</f>
        <v>0</v>
      </c>
      <c r="L772" s="390">
        <f>0+'[2]táj.2'!L772</f>
        <v>0</v>
      </c>
      <c r="M772" s="390">
        <f>0+'[2]táj.2'!M772</f>
        <v>0</v>
      </c>
      <c r="N772" s="390">
        <f>0+'[2]táj.2'!N772</f>
        <v>0</v>
      </c>
      <c r="O772" s="390">
        <f>0+'[2]táj.2'!O772</f>
        <v>0</v>
      </c>
      <c r="P772" s="390">
        <f>0+'[2]táj.2'!P772</f>
        <v>0</v>
      </c>
      <c r="Q772" s="372">
        <f>SUM(G772:P772)</f>
        <v>20628</v>
      </c>
    </row>
    <row r="773" spans="1:17" ht="12.75">
      <c r="A773" s="385"/>
      <c r="B773" s="385"/>
      <c r="C773" s="386"/>
      <c r="D773" s="294" t="s">
        <v>88</v>
      </c>
      <c r="E773" s="10">
        <v>1</v>
      </c>
      <c r="F773" s="7">
        <v>221962</v>
      </c>
      <c r="G773" s="390">
        <f>0+'[2]táj.2'!G773</f>
        <v>0</v>
      </c>
      <c r="H773" s="390"/>
      <c r="I773" s="390"/>
      <c r="J773" s="390"/>
      <c r="K773" s="390">
        <f>54000+'[2]táj.2'!K773</f>
        <v>54000</v>
      </c>
      <c r="L773" s="390"/>
      <c r="M773" s="390"/>
      <c r="N773" s="390"/>
      <c r="O773" s="390"/>
      <c r="P773" s="390"/>
      <c r="Q773" s="372">
        <v>54000</v>
      </c>
    </row>
    <row r="774" spans="1:17" ht="25.5">
      <c r="A774" s="385"/>
      <c r="B774" s="385"/>
      <c r="C774" s="386"/>
      <c r="D774" s="172" t="s">
        <v>1454</v>
      </c>
      <c r="E774" s="10">
        <v>2</v>
      </c>
      <c r="F774" s="7">
        <v>221914</v>
      </c>
      <c r="G774" s="390">
        <f>0+'[2]táj.2'!G774</f>
        <v>0</v>
      </c>
      <c r="H774" s="390">
        <f>0+'[2]táj.2'!H774</f>
        <v>0</v>
      </c>
      <c r="I774" s="390">
        <f>0+'[2]táj.2'!I774</f>
        <v>0</v>
      </c>
      <c r="J774" s="390">
        <f>0+'[2]táj.2'!J774</f>
        <v>0</v>
      </c>
      <c r="K774" s="390">
        <f>5000+'[2]táj.2'!K774</f>
        <v>5000</v>
      </c>
      <c r="L774" s="390">
        <f>0+'[2]táj.2'!L774</f>
        <v>0</v>
      </c>
      <c r="M774" s="390">
        <f>0+'[2]táj.2'!M774</f>
        <v>0</v>
      </c>
      <c r="N774" s="390">
        <f>0+'[2]táj.2'!N774</f>
        <v>0</v>
      </c>
      <c r="O774" s="390">
        <f>0+'[2]táj.2'!O774</f>
        <v>0</v>
      </c>
      <c r="P774" s="390">
        <f>0+'[2]táj.2'!P774</f>
        <v>0</v>
      </c>
      <c r="Q774" s="372">
        <f>SUM(G774:P774)</f>
        <v>5000</v>
      </c>
    </row>
    <row r="775" spans="1:17" ht="25.5">
      <c r="A775" s="385"/>
      <c r="B775" s="385"/>
      <c r="C775" s="386"/>
      <c r="D775" s="174" t="s">
        <v>1455</v>
      </c>
      <c r="E775" s="10">
        <v>2</v>
      </c>
      <c r="F775" s="223">
        <v>221955</v>
      </c>
      <c r="G775" s="390">
        <f>0+'[2]táj.2'!G775</f>
        <v>0</v>
      </c>
      <c r="H775" s="390">
        <f>0+'[2]táj.2'!H775</f>
        <v>0</v>
      </c>
      <c r="I775" s="390">
        <f>4731+'[2]táj.2'!I775</f>
        <v>4731</v>
      </c>
      <c r="J775" s="390">
        <f>0+'[2]táj.2'!J775</f>
        <v>0</v>
      </c>
      <c r="K775" s="390">
        <f>0+'[2]táj.2'!K775</f>
        <v>0</v>
      </c>
      <c r="L775" s="390">
        <f>0+'[2]táj.2'!L775</f>
        <v>0</v>
      </c>
      <c r="M775" s="390">
        <f>0+'[2]táj.2'!M775</f>
        <v>0</v>
      </c>
      <c r="N775" s="390">
        <f>0+'[2]táj.2'!N775</f>
        <v>0</v>
      </c>
      <c r="O775" s="390">
        <f>0+'[2]táj.2'!O775</f>
        <v>0</v>
      </c>
      <c r="P775" s="390">
        <f>0+'[2]táj.2'!P775</f>
        <v>0</v>
      </c>
      <c r="Q775" s="372">
        <f>SUM(G775:P775)</f>
        <v>4731</v>
      </c>
    </row>
    <row r="776" spans="1:17" ht="12.75">
      <c r="A776" s="385"/>
      <c r="B776" s="385"/>
      <c r="C776" s="386"/>
      <c r="D776" s="283" t="s">
        <v>1456</v>
      </c>
      <c r="E776" s="207"/>
      <c r="F776" s="207"/>
      <c r="G776" s="390"/>
      <c r="H776" s="390"/>
      <c r="I776" s="390"/>
      <c r="J776" s="390"/>
      <c r="K776" s="390"/>
      <c r="L776" s="390"/>
      <c r="M776" s="390"/>
      <c r="N776" s="390"/>
      <c r="O776" s="390"/>
      <c r="P776" s="390"/>
      <c r="Q776" s="7"/>
    </row>
    <row r="777" spans="1:17" ht="12.75">
      <c r="A777" s="385"/>
      <c r="B777" s="385"/>
      <c r="C777" s="386"/>
      <c r="D777" s="283" t="s">
        <v>1457</v>
      </c>
      <c r="E777" s="7">
        <v>2</v>
      </c>
      <c r="F777" s="7">
        <v>191151</v>
      </c>
      <c r="G777" s="390">
        <f>0+'[2]táj.2'!G777</f>
        <v>0</v>
      </c>
      <c r="H777" s="390">
        <f>0+'[2]táj.2'!H777</f>
        <v>0</v>
      </c>
      <c r="I777" s="390">
        <f>0+'[2]táj.2'!I777</f>
        <v>0</v>
      </c>
      <c r="J777" s="390">
        <f>0+'[2]táj.2'!J777</f>
        <v>0</v>
      </c>
      <c r="K777" s="390">
        <f>70000+'[2]táj.2'!K777</f>
        <v>70000</v>
      </c>
      <c r="L777" s="390">
        <f>0+'[2]táj.2'!L777</f>
        <v>0</v>
      </c>
      <c r="M777" s="390">
        <f>0+'[2]táj.2'!M777</f>
        <v>0</v>
      </c>
      <c r="N777" s="390">
        <f>0+'[2]táj.2'!N777</f>
        <v>0</v>
      </c>
      <c r="O777" s="390">
        <f>0+'[2]táj.2'!O777</f>
        <v>0</v>
      </c>
      <c r="P777" s="390">
        <f>0+'[2]táj.2'!P777</f>
        <v>0</v>
      </c>
      <c r="Q777" s="7">
        <f>SUM(G777:P777)</f>
        <v>70000</v>
      </c>
    </row>
    <row r="778" spans="1:17" ht="12.75">
      <c r="A778" s="385"/>
      <c r="B778" s="385"/>
      <c r="C778" s="386"/>
      <c r="D778" s="283" t="s">
        <v>682</v>
      </c>
      <c r="E778" s="10"/>
      <c r="F778" s="223"/>
      <c r="G778" s="390"/>
      <c r="H778" s="390"/>
      <c r="I778" s="390"/>
      <c r="J778" s="390"/>
      <c r="K778" s="390"/>
      <c r="L778" s="390"/>
      <c r="M778" s="390"/>
      <c r="N778" s="390"/>
      <c r="O778" s="390"/>
      <c r="P778" s="390"/>
      <c r="Q778" s="372"/>
    </row>
    <row r="779" spans="1:17" ht="25.5">
      <c r="A779" s="385"/>
      <c r="B779" s="385"/>
      <c r="C779" s="386"/>
      <c r="D779" s="176" t="s">
        <v>1495</v>
      </c>
      <c r="E779" s="10">
        <v>2</v>
      </c>
      <c r="F779" s="223">
        <v>221942</v>
      </c>
      <c r="G779" s="390">
        <f>0+'[2]táj.2'!G779</f>
        <v>0</v>
      </c>
      <c r="H779" s="390">
        <f>0+'[2]táj.2'!H779</f>
        <v>0</v>
      </c>
      <c r="I779" s="390">
        <f>10000+'[2]táj.2'!I779</f>
        <v>10000</v>
      </c>
      <c r="J779" s="390">
        <f>0+'[2]táj.2'!J779</f>
        <v>0</v>
      </c>
      <c r="K779" s="390">
        <f>0+'[2]táj.2'!K779</f>
        <v>0</v>
      </c>
      <c r="L779" s="390">
        <f>0+'[2]táj.2'!L779</f>
        <v>0</v>
      </c>
      <c r="M779" s="390">
        <f>0+'[2]táj.2'!M779</f>
        <v>0</v>
      </c>
      <c r="N779" s="390">
        <f>0+'[2]táj.2'!N779</f>
        <v>0</v>
      </c>
      <c r="O779" s="390">
        <f>0+'[2]táj.2'!O779</f>
        <v>0</v>
      </c>
      <c r="P779" s="390">
        <f>0+'[2]táj.2'!P779</f>
        <v>0</v>
      </c>
      <c r="Q779" s="372">
        <f aca="true" t="shared" si="46" ref="Q779:Q791">SUM(G779:P779)</f>
        <v>10000</v>
      </c>
    </row>
    <row r="780" spans="1:17" ht="12.75">
      <c r="A780" s="385"/>
      <c r="B780" s="385"/>
      <c r="C780" s="386"/>
      <c r="D780" s="176" t="s">
        <v>1506</v>
      </c>
      <c r="E780" s="10">
        <v>2</v>
      </c>
      <c r="F780" s="223">
        <v>221961</v>
      </c>
      <c r="G780" s="390">
        <f>0+'[2]táj.2'!G780</f>
        <v>0</v>
      </c>
      <c r="H780" s="390">
        <f>0+'[2]táj.2'!H780</f>
        <v>0</v>
      </c>
      <c r="I780" s="390">
        <f>0+'[2]táj.2'!I780</f>
        <v>0</v>
      </c>
      <c r="J780" s="390">
        <f>0+'[2]táj.2'!J780</f>
        <v>0</v>
      </c>
      <c r="K780" s="390">
        <f>0+'[2]táj.2'!K780</f>
        <v>0</v>
      </c>
      <c r="L780" s="390">
        <f>0+'[2]táj.2'!L780</f>
        <v>0</v>
      </c>
      <c r="M780" s="390">
        <f>0+'[2]táj.2'!M780</f>
        <v>0</v>
      </c>
      <c r="N780" s="390">
        <f>0+'[2]táj.2'!N780</f>
        <v>0</v>
      </c>
      <c r="O780" s="390">
        <f>0+'[2]táj.2'!O780</f>
        <v>0</v>
      </c>
      <c r="P780" s="390">
        <f>0+'[2]táj.2'!P780</f>
        <v>0</v>
      </c>
      <c r="Q780" s="372">
        <f t="shared" si="46"/>
        <v>0</v>
      </c>
    </row>
    <row r="781" spans="1:17" ht="25.5">
      <c r="A781" s="385"/>
      <c r="B781" s="385"/>
      <c r="C781" s="386"/>
      <c r="D781" s="176" t="s">
        <v>1458</v>
      </c>
      <c r="E781" s="10">
        <v>2</v>
      </c>
      <c r="F781" s="223">
        <v>221910</v>
      </c>
      <c r="G781" s="390">
        <f>0+'[2]táj.2'!G781</f>
        <v>0</v>
      </c>
      <c r="H781" s="390">
        <f>0+'[2]táj.2'!H781</f>
        <v>0</v>
      </c>
      <c r="I781" s="390">
        <f>0+'[2]táj.2'!I781</f>
        <v>0</v>
      </c>
      <c r="J781" s="390">
        <f>0+'[2]táj.2'!J781</f>
        <v>0</v>
      </c>
      <c r="K781" s="390">
        <f>7000+'[2]táj.2'!K781</f>
        <v>7000</v>
      </c>
      <c r="L781" s="390">
        <f>0+'[2]táj.2'!L781</f>
        <v>0</v>
      </c>
      <c r="M781" s="390">
        <f>0+'[2]táj.2'!M781</f>
        <v>0</v>
      </c>
      <c r="N781" s="390">
        <f>0+'[2]táj.2'!N781</f>
        <v>0</v>
      </c>
      <c r="O781" s="390">
        <f>0+'[2]táj.2'!O781</f>
        <v>0</v>
      </c>
      <c r="P781" s="390">
        <f>0+'[2]táj.2'!P781</f>
        <v>0</v>
      </c>
      <c r="Q781" s="372">
        <f t="shared" si="46"/>
        <v>7000</v>
      </c>
    </row>
    <row r="782" spans="1:17" ht="38.25">
      <c r="A782" s="385"/>
      <c r="B782" s="385"/>
      <c r="C782" s="386"/>
      <c r="D782" s="236" t="s">
        <v>1459</v>
      </c>
      <c r="E782" s="10">
        <v>2</v>
      </c>
      <c r="F782" s="223">
        <v>221919</v>
      </c>
      <c r="G782" s="390">
        <f>0+'[2]táj.2'!G782</f>
        <v>0</v>
      </c>
      <c r="H782" s="390">
        <f>0+'[2]táj.2'!H782</f>
        <v>0</v>
      </c>
      <c r="I782" s="390">
        <f>0+'[2]táj.2'!I782</f>
        <v>0</v>
      </c>
      <c r="J782" s="390">
        <f>0+'[2]táj.2'!J782</f>
        <v>0</v>
      </c>
      <c r="K782" s="390">
        <f>500+'[2]táj.2'!K782</f>
        <v>500</v>
      </c>
      <c r="L782" s="390">
        <f>0+'[2]táj.2'!L782</f>
        <v>0</v>
      </c>
      <c r="M782" s="390">
        <f>0+'[2]táj.2'!M782</f>
        <v>0</v>
      </c>
      <c r="N782" s="390">
        <f>0+'[2]táj.2'!N782</f>
        <v>0</v>
      </c>
      <c r="O782" s="390">
        <f>0+'[2]táj.2'!O782</f>
        <v>0</v>
      </c>
      <c r="P782" s="390">
        <f>0+'[2]táj.2'!P782</f>
        <v>0</v>
      </c>
      <c r="Q782" s="372">
        <f t="shared" si="46"/>
        <v>500</v>
      </c>
    </row>
    <row r="783" spans="1:17" ht="25.5">
      <c r="A783" s="385"/>
      <c r="B783" s="385"/>
      <c r="C783" s="386"/>
      <c r="D783" s="236" t="s">
        <v>1460</v>
      </c>
      <c r="E783" s="10">
        <v>2</v>
      </c>
      <c r="F783" s="223">
        <v>221938</v>
      </c>
      <c r="G783" s="390">
        <f>0+'[2]táj.2'!G783</f>
        <v>0</v>
      </c>
      <c r="H783" s="390">
        <f>0+'[2]táj.2'!H783</f>
        <v>0</v>
      </c>
      <c r="I783" s="390">
        <f>0+'[2]táj.2'!I783</f>
        <v>0</v>
      </c>
      <c r="J783" s="390">
        <f>0+'[2]táj.2'!J783</f>
        <v>0</v>
      </c>
      <c r="K783" s="390">
        <f>0+'[2]táj.2'!K783</f>
        <v>0</v>
      </c>
      <c r="L783" s="390">
        <f>0+'[2]táj.2'!L783</f>
        <v>0</v>
      </c>
      <c r="M783" s="390">
        <f>0+'[2]táj.2'!M783</f>
        <v>0</v>
      </c>
      <c r="N783" s="390">
        <f>0+'[2]táj.2'!N783</f>
        <v>0</v>
      </c>
      <c r="O783" s="390">
        <f>0+'[2]táj.2'!O783</f>
        <v>0</v>
      </c>
      <c r="P783" s="390">
        <f>0+'[2]táj.2'!P783</f>
        <v>0</v>
      </c>
      <c r="Q783" s="372">
        <f t="shared" si="46"/>
        <v>0</v>
      </c>
    </row>
    <row r="784" spans="1:17" ht="12.75">
      <c r="A784" s="385"/>
      <c r="B784" s="385"/>
      <c r="C784" s="386"/>
      <c r="D784" s="250" t="s">
        <v>89</v>
      </c>
      <c r="E784" s="169">
        <v>2</v>
      </c>
      <c r="F784" s="7">
        <v>121518</v>
      </c>
      <c r="G784" s="390">
        <f>0+'[2]táj.2'!G784</f>
        <v>0</v>
      </c>
      <c r="H784" s="390">
        <f>0+'[2]táj.2'!H784</f>
        <v>0</v>
      </c>
      <c r="I784" s="390">
        <f>0+'[2]táj.2'!I784</f>
        <v>0</v>
      </c>
      <c r="J784" s="390">
        <f>0+'[2]táj.2'!J784</f>
        <v>0</v>
      </c>
      <c r="K784" s="390">
        <f>500+'[2]táj.2'!K784</f>
        <v>500</v>
      </c>
      <c r="L784" s="390">
        <f>0+'[2]táj.2'!L784</f>
        <v>0</v>
      </c>
      <c r="M784" s="390">
        <f>0+'[2]táj.2'!M784</f>
        <v>0</v>
      </c>
      <c r="N784" s="390">
        <f>0+'[2]táj.2'!N784</f>
        <v>0</v>
      </c>
      <c r="O784" s="390">
        <f>0+'[2]táj.2'!O784</f>
        <v>0</v>
      </c>
      <c r="P784" s="390">
        <f>0+'[2]táj.2'!P784</f>
        <v>0</v>
      </c>
      <c r="Q784" s="372">
        <f t="shared" si="46"/>
        <v>500</v>
      </c>
    </row>
    <row r="785" spans="1:17" ht="12.75">
      <c r="A785" s="385"/>
      <c r="B785" s="385"/>
      <c r="C785" s="386"/>
      <c r="D785" s="172" t="s">
        <v>1461</v>
      </c>
      <c r="E785" s="10">
        <v>2</v>
      </c>
      <c r="F785" s="223">
        <v>221931</v>
      </c>
      <c r="G785" s="390">
        <f>0+'[2]táj.2'!G785</f>
        <v>0</v>
      </c>
      <c r="H785" s="390">
        <f>0+'[2]táj.2'!H785</f>
        <v>0</v>
      </c>
      <c r="I785" s="390">
        <f>0+'[2]táj.2'!I785</f>
        <v>0</v>
      </c>
      <c r="J785" s="390">
        <f>0+'[2]táj.2'!J785</f>
        <v>0</v>
      </c>
      <c r="K785" s="390">
        <f>1000+'[2]táj.2'!K785</f>
        <v>1000</v>
      </c>
      <c r="L785" s="390">
        <f>0+'[2]táj.2'!L785</f>
        <v>0</v>
      </c>
      <c r="M785" s="390">
        <f>0+'[2]táj.2'!M785</f>
        <v>0</v>
      </c>
      <c r="N785" s="390">
        <f>0+'[2]táj.2'!N785</f>
        <v>0</v>
      </c>
      <c r="O785" s="390">
        <f>0+'[2]táj.2'!O785</f>
        <v>0</v>
      </c>
      <c r="P785" s="390">
        <f>0+'[2]táj.2'!P785</f>
        <v>0</v>
      </c>
      <c r="Q785" s="372">
        <f t="shared" si="46"/>
        <v>1000</v>
      </c>
    </row>
    <row r="786" spans="1:17" ht="25.5">
      <c r="A786" s="385"/>
      <c r="B786" s="385"/>
      <c r="C786" s="386"/>
      <c r="D786" s="172" t="s">
        <v>1462</v>
      </c>
      <c r="E786" s="10">
        <v>2</v>
      </c>
      <c r="F786" s="223">
        <v>221957</v>
      </c>
      <c r="G786" s="390">
        <f>0+'[2]táj.2'!G786</f>
        <v>0</v>
      </c>
      <c r="H786" s="390">
        <f>0+'[2]táj.2'!H786</f>
        <v>0</v>
      </c>
      <c r="I786" s="390">
        <f>0+'[2]táj.2'!I786</f>
        <v>0</v>
      </c>
      <c r="J786" s="390">
        <f>0+'[2]táj.2'!J786</f>
        <v>0</v>
      </c>
      <c r="K786" s="390">
        <f>300+'[2]táj.2'!K786</f>
        <v>300</v>
      </c>
      <c r="L786" s="390">
        <f>0+'[2]táj.2'!L786</f>
        <v>0</v>
      </c>
      <c r="M786" s="390">
        <f>0+'[2]táj.2'!M786</f>
        <v>0</v>
      </c>
      <c r="N786" s="390">
        <f>0+'[2]táj.2'!N786</f>
        <v>0</v>
      </c>
      <c r="O786" s="390">
        <f>0+'[2]táj.2'!O786</f>
        <v>0</v>
      </c>
      <c r="P786" s="390">
        <f>0+'[2]táj.2'!P786</f>
        <v>0</v>
      </c>
      <c r="Q786" s="372">
        <f t="shared" si="46"/>
        <v>300</v>
      </c>
    </row>
    <row r="787" spans="1:17" ht="25.5">
      <c r="A787" s="385"/>
      <c r="B787" s="385"/>
      <c r="C787" s="386"/>
      <c r="D787" s="236" t="s">
        <v>90</v>
      </c>
      <c r="E787" s="10">
        <v>2</v>
      </c>
      <c r="F787" s="223">
        <v>221915</v>
      </c>
      <c r="G787" s="390">
        <f>0+'[2]táj.2'!G787</f>
        <v>0</v>
      </c>
      <c r="H787" s="390">
        <f>0+'[2]táj.2'!H787</f>
        <v>0</v>
      </c>
      <c r="I787" s="390">
        <f>0+'[2]táj.2'!I787</f>
        <v>0</v>
      </c>
      <c r="J787" s="390">
        <f>0+'[2]táj.2'!J787</f>
        <v>0</v>
      </c>
      <c r="K787" s="390">
        <f>2500+'[2]táj.2'!K787</f>
        <v>2500</v>
      </c>
      <c r="L787" s="390">
        <f>0+'[2]táj.2'!L787</f>
        <v>0</v>
      </c>
      <c r="M787" s="390">
        <f>0+'[2]táj.2'!M787</f>
        <v>0</v>
      </c>
      <c r="N787" s="390">
        <f>0+'[2]táj.2'!N787</f>
        <v>0</v>
      </c>
      <c r="O787" s="390">
        <f>0+'[2]táj.2'!O787</f>
        <v>0</v>
      </c>
      <c r="P787" s="390">
        <f>0+'[2]táj.2'!P787</f>
        <v>0</v>
      </c>
      <c r="Q787" s="372">
        <f t="shared" si="46"/>
        <v>2500</v>
      </c>
    </row>
    <row r="788" spans="1:17" ht="12.75">
      <c r="A788" s="385"/>
      <c r="B788" s="385"/>
      <c r="C788" s="386"/>
      <c r="D788" s="236" t="s">
        <v>1463</v>
      </c>
      <c r="E788" s="10">
        <v>2</v>
      </c>
      <c r="F788" s="223">
        <v>221958</v>
      </c>
      <c r="G788" s="390">
        <f>0+'[2]táj.2'!G788</f>
        <v>0</v>
      </c>
      <c r="H788" s="390">
        <f>0+'[2]táj.2'!H788</f>
        <v>0</v>
      </c>
      <c r="I788" s="390">
        <f>0+'[2]táj.2'!I788</f>
        <v>0</v>
      </c>
      <c r="J788" s="390">
        <f>0+'[2]táj.2'!J788</f>
        <v>0</v>
      </c>
      <c r="K788" s="390">
        <f>0+'[2]táj.2'!K788</f>
        <v>0</v>
      </c>
      <c r="L788" s="390">
        <f>0+'[2]táj.2'!L788</f>
        <v>0</v>
      </c>
      <c r="M788" s="390">
        <f>0+'[2]táj.2'!M788</f>
        <v>0</v>
      </c>
      <c r="N788" s="390">
        <f>0+'[2]táj.2'!N788</f>
        <v>0</v>
      </c>
      <c r="O788" s="390">
        <f>0+'[2]táj.2'!O788</f>
        <v>0</v>
      </c>
      <c r="P788" s="390">
        <f>0+'[2]táj.2'!P788</f>
        <v>0</v>
      </c>
      <c r="Q788" s="372">
        <f t="shared" si="46"/>
        <v>0</v>
      </c>
    </row>
    <row r="789" spans="1:17" ht="12.75">
      <c r="A789" s="385"/>
      <c r="B789" s="385"/>
      <c r="C789" s="386"/>
      <c r="D789" s="236" t="s">
        <v>91</v>
      </c>
      <c r="E789" s="10">
        <v>2</v>
      </c>
      <c r="F789" s="223">
        <v>221944</v>
      </c>
      <c r="G789" s="390">
        <f>0+'[2]táj.2'!G789</f>
        <v>0</v>
      </c>
      <c r="H789" s="390">
        <f>0+'[2]táj.2'!H789</f>
        <v>0</v>
      </c>
      <c r="I789" s="390">
        <f>0+'[2]táj.2'!I789</f>
        <v>0</v>
      </c>
      <c r="J789" s="390">
        <f>0+'[2]táj.2'!J789</f>
        <v>0</v>
      </c>
      <c r="K789" s="390">
        <f>0+'[2]táj.2'!K789</f>
        <v>0</v>
      </c>
      <c r="L789" s="390">
        <f>0+'[2]táj.2'!L789</f>
        <v>0</v>
      </c>
      <c r="M789" s="390">
        <f>0+'[2]táj.2'!M789</f>
        <v>0</v>
      </c>
      <c r="N789" s="390">
        <f>0+'[2]táj.2'!N789</f>
        <v>0</v>
      </c>
      <c r="O789" s="390">
        <f>0+'[2]táj.2'!O789</f>
        <v>0</v>
      </c>
      <c r="P789" s="390">
        <f>0+'[2]táj.2'!P789</f>
        <v>0</v>
      </c>
      <c r="Q789" s="372">
        <f t="shared" si="46"/>
        <v>0</v>
      </c>
    </row>
    <row r="790" spans="1:17" ht="25.5">
      <c r="A790" s="385"/>
      <c r="B790" s="385"/>
      <c r="C790" s="386"/>
      <c r="D790" s="279" t="s">
        <v>1464</v>
      </c>
      <c r="E790" s="10">
        <v>2</v>
      </c>
      <c r="F790" s="223">
        <v>221959</v>
      </c>
      <c r="G790" s="390">
        <f>0+'[2]táj.2'!G790</f>
        <v>0</v>
      </c>
      <c r="H790" s="390">
        <f>0+'[2]táj.2'!H790</f>
        <v>0</v>
      </c>
      <c r="I790" s="390">
        <f>0+'[2]táj.2'!I790</f>
        <v>0</v>
      </c>
      <c r="J790" s="390">
        <f>0+'[2]táj.2'!J790</f>
        <v>0</v>
      </c>
      <c r="K790" s="390">
        <f>500+'[2]táj.2'!K790</f>
        <v>500</v>
      </c>
      <c r="L790" s="390">
        <f>0+'[2]táj.2'!L790</f>
        <v>0</v>
      </c>
      <c r="M790" s="390">
        <f>0+'[2]táj.2'!M790</f>
        <v>0</v>
      </c>
      <c r="N790" s="390">
        <f>0+'[2]táj.2'!N790</f>
        <v>0</v>
      </c>
      <c r="O790" s="390">
        <f>0+'[2]táj.2'!O790</f>
        <v>0</v>
      </c>
      <c r="P790" s="390">
        <f>0+'[2]táj.2'!P790</f>
        <v>0</v>
      </c>
      <c r="Q790" s="372">
        <f t="shared" si="46"/>
        <v>500</v>
      </c>
    </row>
    <row r="791" spans="1:17" ht="12.75">
      <c r="A791" s="385"/>
      <c r="B791" s="385"/>
      <c r="C791" s="386"/>
      <c r="D791" s="279" t="s">
        <v>1465</v>
      </c>
      <c r="E791" s="10">
        <v>2</v>
      </c>
      <c r="F791" s="223">
        <v>221960</v>
      </c>
      <c r="G791" s="390">
        <f>0+'[2]táj.2'!G791</f>
        <v>0</v>
      </c>
      <c r="H791" s="390">
        <f>0+'[2]táj.2'!H791</f>
        <v>0</v>
      </c>
      <c r="I791" s="390">
        <f>0+'[2]táj.2'!I791</f>
        <v>0</v>
      </c>
      <c r="J791" s="390">
        <f>0+'[2]táj.2'!J791</f>
        <v>0</v>
      </c>
      <c r="K791" s="390">
        <f>2500+'[2]táj.2'!K791</f>
        <v>2500</v>
      </c>
      <c r="L791" s="390">
        <f>0+'[2]táj.2'!L791</f>
        <v>0</v>
      </c>
      <c r="M791" s="390">
        <f>0+'[2]táj.2'!M791</f>
        <v>0</v>
      </c>
      <c r="N791" s="390">
        <f>0+'[2]táj.2'!N791</f>
        <v>0</v>
      </c>
      <c r="O791" s="390">
        <f>0+'[2]táj.2'!O791</f>
        <v>0</v>
      </c>
      <c r="P791" s="390">
        <f>0+'[2]táj.2'!P791</f>
        <v>0</v>
      </c>
      <c r="Q791" s="372">
        <f t="shared" si="46"/>
        <v>2500</v>
      </c>
    </row>
    <row r="792" spans="1:17" ht="13.5">
      <c r="A792" s="218"/>
      <c r="B792" s="218"/>
      <c r="C792" s="219"/>
      <c r="D792" s="307" t="s">
        <v>1466</v>
      </c>
      <c r="E792" s="395"/>
      <c r="F792" s="221"/>
      <c r="G792" s="396">
        <f>SUM(G749:G791)</f>
        <v>17600</v>
      </c>
      <c r="H792" s="396">
        <f aca="true" t="shared" si="47" ref="H792:Q792">SUM(H749:H791)</f>
        <v>10550</v>
      </c>
      <c r="I792" s="396">
        <f t="shared" si="47"/>
        <v>158679</v>
      </c>
      <c r="J792" s="396">
        <f t="shared" si="47"/>
        <v>0</v>
      </c>
      <c r="K792" s="396">
        <f t="shared" si="47"/>
        <v>325492</v>
      </c>
      <c r="L792" s="396">
        <f t="shared" si="47"/>
        <v>0</v>
      </c>
      <c r="M792" s="396">
        <f t="shared" si="47"/>
        <v>0</v>
      </c>
      <c r="N792" s="396">
        <f t="shared" si="47"/>
        <v>150</v>
      </c>
      <c r="O792" s="396">
        <f t="shared" si="47"/>
        <v>0</v>
      </c>
      <c r="P792" s="396">
        <f t="shared" si="47"/>
        <v>0</v>
      </c>
      <c r="Q792" s="396">
        <f t="shared" si="47"/>
        <v>512471</v>
      </c>
    </row>
    <row r="793" spans="1:17" ht="12.75">
      <c r="A793" s="170"/>
      <c r="B793" s="170"/>
      <c r="C793" s="170"/>
      <c r="D793" s="397" t="s">
        <v>1467</v>
      </c>
      <c r="E793" s="365"/>
      <c r="F793" s="9"/>
      <c r="G793" s="258"/>
      <c r="H793" s="258"/>
      <c r="I793" s="258"/>
      <c r="J793" s="258"/>
      <c r="K793" s="258"/>
      <c r="L793" s="258"/>
      <c r="M793" s="258"/>
      <c r="N793" s="258"/>
      <c r="O793" s="258"/>
      <c r="P793" s="258"/>
      <c r="Q793" s="258"/>
    </row>
    <row r="794" spans="1:17" ht="12.75">
      <c r="A794" s="170"/>
      <c r="B794" s="170"/>
      <c r="C794" s="256" t="s">
        <v>269</v>
      </c>
      <c r="D794" s="236" t="s">
        <v>1504</v>
      </c>
      <c r="E794" s="264"/>
      <c r="F794" s="223">
        <v>222923</v>
      </c>
      <c r="G794" s="10">
        <f>0+'[2]táj.2'!G794</f>
        <v>0</v>
      </c>
      <c r="H794" s="10">
        <f>0+'[2]táj.2'!H794</f>
        <v>0</v>
      </c>
      <c r="I794" s="10">
        <f>25000+'[2]táj.2'!I794</f>
        <v>25000</v>
      </c>
      <c r="J794" s="10">
        <f>0+'[2]táj.2'!J794</f>
        <v>0</v>
      </c>
      <c r="K794" s="10">
        <f>0+'[2]táj.2'!K794</f>
        <v>0</v>
      </c>
      <c r="L794" s="10">
        <f>10000+'[2]táj.2'!L794</f>
        <v>10000</v>
      </c>
      <c r="M794" s="10">
        <f>0+'[2]táj.2'!M794</f>
        <v>0</v>
      </c>
      <c r="N794" s="10">
        <f>0+'[2]táj.2'!N794</f>
        <v>0</v>
      </c>
      <c r="O794" s="10">
        <f>0+'[2]táj.2'!O794</f>
        <v>0</v>
      </c>
      <c r="P794" s="10">
        <f>0+'[2]táj.2'!P794</f>
        <v>0</v>
      </c>
      <c r="Q794" s="10">
        <f>SUM(I794:P794)</f>
        <v>35000</v>
      </c>
    </row>
    <row r="795" spans="1:17" ht="12.75">
      <c r="A795" s="170"/>
      <c r="B795" s="170"/>
      <c r="C795" s="256" t="s">
        <v>268</v>
      </c>
      <c r="D795" s="236" t="s">
        <v>1468</v>
      </c>
      <c r="E795" s="264"/>
      <c r="F795" s="223">
        <v>222924</v>
      </c>
      <c r="G795" s="10">
        <f>0+'[2]táj.2'!G795</f>
        <v>0</v>
      </c>
      <c r="H795" s="10">
        <f>0+'[2]táj.2'!H795</f>
        <v>0</v>
      </c>
      <c r="I795" s="10">
        <f>0+'[2]táj.2'!I795</f>
        <v>0</v>
      </c>
      <c r="J795" s="10">
        <f>0+'[2]táj.2'!J795</f>
        <v>0</v>
      </c>
      <c r="K795" s="10">
        <f>0+'[2]táj.2'!K795</f>
        <v>0</v>
      </c>
      <c r="L795" s="10">
        <f>0+'[2]táj.2'!L795</f>
        <v>0</v>
      </c>
      <c r="M795" s="10">
        <f>0+'[2]táj.2'!M795</f>
        <v>0</v>
      </c>
      <c r="N795" s="10">
        <f>4000+'[2]táj.2'!N795</f>
        <v>4000</v>
      </c>
      <c r="O795" s="10">
        <f>0+'[2]táj.2'!O795</f>
        <v>0</v>
      </c>
      <c r="P795" s="10">
        <f>0+'[2]táj.2'!P795</f>
        <v>0</v>
      </c>
      <c r="Q795" s="10">
        <f>SUM(I795:P795)</f>
        <v>4000</v>
      </c>
    </row>
    <row r="796" spans="1:17" ht="12.75">
      <c r="A796" s="170"/>
      <c r="B796" s="170"/>
      <c r="C796" s="170"/>
      <c r="D796" s="283" t="s">
        <v>656</v>
      </c>
      <c r="E796" s="365"/>
      <c r="F796" s="9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ht="25.5">
      <c r="A797" s="170"/>
      <c r="B797" s="170"/>
      <c r="C797" s="330" t="s">
        <v>1469</v>
      </c>
      <c r="D797" s="174" t="s">
        <v>1470</v>
      </c>
      <c r="E797" s="365"/>
      <c r="F797" s="211">
        <v>222902</v>
      </c>
      <c r="G797" s="10">
        <f>0+'[2]táj.2'!G797</f>
        <v>0</v>
      </c>
      <c r="H797" s="10">
        <f>0+'[2]táj.2'!H797</f>
        <v>0</v>
      </c>
      <c r="I797" s="10">
        <f>0+'[2]táj.2'!I797</f>
        <v>0</v>
      </c>
      <c r="J797" s="10">
        <f>0+'[2]táj.2'!J797</f>
        <v>0</v>
      </c>
      <c r="K797" s="10">
        <f>0+'[2]táj.2'!K797</f>
        <v>0</v>
      </c>
      <c r="L797" s="10">
        <f>2743+'[2]táj.2'!L797</f>
        <v>2743</v>
      </c>
      <c r="M797" s="10">
        <f>0+'[2]táj.2'!M797</f>
        <v>0</v>
      </c>
      <c r="N797" s="10">
        <f>0+'[2]táj.2'!N797</f>
        <v>0</v>
      </c>
      <c r="O797" s="10">
        <f>0+'[2]táj.2'!O797</f>
        <v>0</v>
      </c>
      <c r="P797" s="10">
        <f>0+'[2]táj.2'!P797</f>
        <v>0</v>
      </c>
      <c r="Q797" s="10">
        <f>SUM(L797:P797)</f>
        <v>2743</v>
      </c>
    </row>
    <row r="798" spans="1:17" ht="12.75">
      <c r="A798" s="170"/>
      <c r="B798" s="170"/>
      <c r="C798" s="330" t="s">
        <v>1469</v>
      </c>
      <c r="D798" s="236" t="s">
        <v>1471</v>
      </c>
      <c r="E798" s="264"/>
      <c r="F798" s="223">
        <v>222922</v>
      </c>
      <c r="G798" s="10">
        <f>0+'[2]táj.2'!G798</f>
        <v>0</v>
      </c>
      <c r="H798" s="10">
        <f>0+'[2]táj.2'!H798</f>
        <v>0</v>
      </c>
      <c r="I798" s="10">
        <f>0+'[2]táj.2'!I798</f>
        <v>0</v>
      </c>
      <c r="J798" s="10">
        <f>0+'[2]táj.2'!J798</f>
        <v>0</v>
      </c>
      <c r="K798" s="10">
        <f>0+'[2]táj.2'!K798</f>
        <v>0</v>
      </c>
      <c r="L798" s="10">
        <f>3000+'[2]táj.2'!L798</f>
        <v>3000</v>
      </c>
      <c r="M798" s="10">
        <f>0+'[2]táj.2'!M798</f>
        <v>0</v>
      </c>
      <c r="N798" s="10">
        <f>0+'[2]táj.2'!N798</f>
        <v>0</v>
      </c>
      <c r="O798" s="10">
        <f>0+'[2]táj.2'!O798</f>
        <v>0</v>
      </c>
      <c r="P798" s="10">
        <f>0+'[2]táj.2'!P798</f>
        <v>0</v>
      </c>
      <c r="Q798" s="10">
        <f>SUM(L798:P798)</f>
        <v>3000</v>
      </c>
    </row>
    <row r="799" spans="1:17" ht="12.75">
      <c r="A799" s="170"/>
      <c r="B799" s="170"/>
      <c r="C799" s="330" t="s">
        <v>1469</v>
      </c>
      <c r="D799" s="398" t="s">
        <v>1472</v>
      </c>
      <c r="E799" s="315"/>
      <c r="F799" s="399">
        <v>222904</v>
      </c>
      <c r="G799" s="10">
        <f>0+'[2]táj.2'!G799</f>
        <v>0</v>
      </c>
      <c r="H799" s="10">
        <f>0+'[2]táj.2'!H799</f>
        <v>0</v>
      </c>
      <c r="I799" s="10">
        <f>0+'[2]táj.2'!I799</f>
        <v>0</v>
      </c>
      <c r="J799" s="10">
        <f>0+'[2]táj.2'!J799</f>
        <v>0</v>
      </c>
      <c r="K799" s="10">
        <f>0+'[2]táj.2'!K799</f>
        <v>0</v>
      </c>
      <c r="L799" s="10">
        <f>0+'[2]táj.2'!L799</f>
        <v>0</v>
      </c>
      <c r="M799" s="10">
        <f>0+'[2]táj.2'!M799</f>
        <v>0</v>
      </c>
      <c r="N799" s="10">
        <f>2100+'[2]táj.2'!N799</f>
        <v>2100</v>
      </c>
      <c r="O799" s="10">
        <f>0+'[2]táj.2'!O799</f>
        <v>0</v>
      </c>
      <c r="P799" s="10">
        <f>0+'[2]táj.2'!P799</f>
        <v>0</v>
      </c>
      <c r="Q799" s="10">
        <f>SUM(G799:P799)</f>
        <v>2100</v>
      </c>
    </row>
    <row r="800" spans="1:17" ht="13.5">
      <c r="A800" s="218"/>
      <c r="B800" s="218"/>
      <c r="C800" s="219"/>
      <c r="D800" s="183" t="s">
        <v>1473</v>
      </c>
      <c r="E800" s="395"/>
      <c r="F800" s="221"/>
      <c r="G800" s="396">
        <f aca="true" t="shared" si="48" ref="G800:Q800">SUM(G792:G799)</f>
        <v>17600</v>
      </c>
      <c r="H800" s="396">
        <f t="shared" si="48"/>
        <v>10550</v>
      </c>
      <c r="I800" s="396">
        <f t="shared" si="48"/>
        <v>183679</v>
      </c>
      <c r="J800" s="396">
        <f t="shared" si="48"/>
        <v>0</v>
      </c>
      <c r="K800" s="396">
        <f t="shared" si="48"/>
        <v>325492</v>
      </c>
      <c r="L800" s="396">
        <f t="shared" si="48"/>
        <v>15743</v>
      </c>
      <c r="M800" s="396">
        <f t="shared" si="48"/>
        <v>0</v>
      </c>
      <c r="N800" s="396">
        <f t="shared" si="48"/>
        <v>6250</v>
      </c>
      <c r="O800" s="396">
        <f t="shared" si="48"/>
        <v>0</v>
      </c>
      <c r="P800" s="396">
        <f t="shared" si="48"/>
        <v>0</v>
      </c>
      <c r="Q800" s="396">
        <f t="shared" si="48"/>
        <v>559314</v>
      </c>
    </row>
    <row r="801" spans="1:17" ht="13.5">
      <c r="A801" s="170">
        <v>1</v>
      </c>
      <c r="B801" s="170">
        <v>30</v>
      </c>
      <c r="C801" s="256"/>
      <c r="D801" s="277" t="s">
        <v>1474</v>
      </c>
      <c r="E801" s="223"/>
      <c r="F801" s="223"/>
      <c r="G801" s="7"/>
      <c r="H801" s="3"/>
      <c r="I801" s="3"/>
      <c r="J801" s="3"/>
      <c r="K801" s="3"/>
      <c r="L801" s="3"/>
      <c r="M801" s="7"/>
      <c r="N801" s="7"/>
      <c r="O801" s="7"/>
      <c r="P801" s="7"/>
      <c r="Q801" s="7"/>
    </row>
    <row r="802" spans="1:17" ht="13.5">
      <c r="A802" s="170"/>
      <c r="B802" s="170">
        <v>31</v>
      </c>
      <c r="C802" s="256"/>
      <c r="D802" s="277" t="s">
        <v>1475</v>
      </c>
      <c r="E802" s="7">
        <v>1</v>
      </c>
      <c r="F802" s="223">
        <v>311901</v>
      </c>
      <c r="G802" s="10">
        <f>0+'[2]táj.2'!G802</f>
        <v>0</v>
      </c>
      <c r="H802" s="10">
        <f>0+'[2]táj.2'!H802</f>
        <v>0</v>
      </c>
      <c r="I802" s="10">
        <f>0+'[2]táj.2'!I802</f>
        <v>0</v>
      </c>
      <c r="J802" s="10">
        <f>0+'[2]táj.2'!J802</f>
        <v>0</v>
      </c>
      <c r="K802" s="10">
        <f>5000+'[2]táj.2'!K802</f>
        <v>5000</v>
      </c>
      <c r="L802" s="10">
        <f>0+'[2]táj.2'!L802</f>
        <v>0</v>
      </c>
      <c r="M802" s="10">
        <f>0+'[2]táj.2'!M802</f>
        <v>0</v>
      </c>
      <c r="N802" s="10">
        <f>0+'[2]táj.2'!N802</f>
        <v>0</v>
      </c>
      <c r="O802" s="10">
        <f>0+'[2]táj.2'!O802</f>
        <v>0</v>
      </c>
      <c r="P802" s="10">
        <f>0+'[2]táj.2'!P802</f>
        <v>0</v>
      </c>
      <c r="Q802" s="7">
        <f>SUM(K802:P802)</f>
        <v>5000</v>
      </c>
    </row>
    <row r="803" spans="1:17" ht="13.5">
      <c r="A803" s="198"/>
      <c r="B803" s="198">
        <v>32</v>
      </c>
      <c r="C803" s="214"/>
      <c r="D803" s="277" t="s">
        <v>1476</v>
      </c>
      <c r="E803" s="7"/>
      <c r="F803" s="223"/>
      <c r="G803" s="10"/>
      <c r="H803" s="3"/>
      <c r="I803" s="3"/>
      <c r="J803" s="3"/>
      <c r="K803" s="3"/>
      <c r="L803" s="3"/>
      <c r="M803" s="10"/>
      <c r="N803" s="10"/>
      <c r="O803" s="7"/>
      <c r="P803" s="7"/>
      <c r="Q803" s="7"/>
    </row>
    <row r="804" spans="1:17" ht="12.75">
      <c r="A804" s="198"/>
      <c r="B804" s="198"/>
      <c r="C804" s="214"/>
      <c r="D804" s="283" t="s">
        <v>92</v>
      </c>
      <c r="E804" s="7">
        <v>1</v>
      </c>
      <c r="F804" s="7">
        <v>321907</v>
      </c>
      <c r="G804" s="10">
        <f>0+'[2]táj.2'!G804</f>
        <v>0</v>
      </c>
      <c r="H804" s="10">
        <f>0+'[2]táj.2'!H804</f>
        <v>0</v>
      </c>
      <c r="I804" s="10">
        <f>0+'[2]táj.2'!I804</f>
        <v>0</v>
      </c>
      <c r="J804" s="10">
        <f>0+'[2]táj.2'!J804</f>
        <v>0</v>
      </c>
      <c r="K804" s="10">
        <f>35000+'[2]táj.2'!K804</f>
        <v>35000</v>
      </c>
      <c r="L804" s="10">
        <f>0+'[2]táj.2'!L804</f>
        <v>0</v>
      </c>
      <c r="M804" s="10">
        <f>0+'[2]táj.2'!M804</f>
        <v>0</v>
      </c>
      <c r="N804" s="10">
        <f>0+'[2]táj.2'!N804</f>
        <v>0</v>
      </c>
      <c r="O804" s="10">
        <f>0+'[2]táj.2'!O804</f>
        <v>0</v>
      </c>
      <c r="P804" s="10">
        <f>0+'[2]táj.2'!P804</f>
        <v>0</v>
      </c>
      <c r="Q804" s="7">
        <f aca="true" t="shared" si="49" ref="Q804:Q810">SUM(K804:P804)</f>
        <v>35000</v>
      </c>
    </row>
    <row r="805" spans="1:17" ht="12.75">
      <c r="A805" s="400"/>
      <c r="B805" s="400"/>
      <c r="C805" s="400"/>
      <c r="D805" s="401" t="s">
        <v>1477</v>
      </c>
      <c r="E805" s="402">
        <v>1</v>
      </c>
      <c r="F805" s="403">
        <v>321903</v>
      </c>
      <c r="G805" s="10">
        <f>0+'[2]táj.2'!G805</f>
        <v>0</v>
      </c>
      <c r="H805" s="10">
        <f>0+'[2]táj.2'!H805</f>
        <v>0</v>
      </c>
      <c r="I805" s="10">
        <f>0+'[2]táj.2'!I805</f>
        <v>0</v>
      </c>
      <c r="J805" s="10">
        <f>0+'[2]táj.2'!J805</f>
        <v>0</v>
      </c>
      <c r="K805" s="10">
        <f>15000+'[2]táj.2'!K805</f>
        <v>15000</v>
      </c>
      <c r="L805" s="10">
        <f>0+'[2]táj.2'!L805</f>
        <v>0</v>
      </c>
      <c r="M805" s="10">
        <f>0+'[2]táj.2'!M805</f>
        <v>0</v>
      </c>
      <c r="N805" s="10">
        <f>0+'[2]táj.2'!N805</f>
        <v>0</v>
      </c>
      <c r="O805" s="10">
        <f>0+'[2]táj.2'!O805</f>
        <v>0</v>
      </c>
      <c r="P805" s="10">
        <f>0+'[2]táj.2'!P805</f>
        <v>0</v>
      </c>
      <c r="Q805" s="7">
        <f t="shared" si="49"/>
        <v>15000</v>
      </c>
    </row>
    <row r="806" spans="1:17" ht="12.75">
      <c r="A806" s="198"/>
      <c r="B806" s="198"/>
      <c r="C806" s="214"/>
      <c r="D806" s="283" t="s">
        <v>1478</v>
      </c>
      <c r="E806" s="207">
        <v>1</v>
      </c>
      <c r="F806" s="7">
        <v>321908</v>
      </c>
      <c r="G806" s="10">
        <f>0+'[2]táj.2'!G806</f>
        <v>0</v>
      </c>
      <c r="H806" s="10">
        <f>0+'[2]táj.2'!H806</f>
        <v>0</v>
      </c>
      <c r="I806" s="10">
        <f>0+'[2]táj.2'!I806</f>
        <v>0</v>
      </c>
      <c r="J806" s="10">
        <f>0+'[2]táj.2'!J806</f>
        <v>0</v>
      </c>
      <c r="K806" s="10">
        <f>12000+'[2]táj.2'!K806</f>
        <v>12000</v>
      </c>
      <c r="L806" s="10">
        <f>0+'[2]táj.2'!L806</f>
        <v>0</v>
      </c>
      <c r="M806" s="10">
        <f>0+'[2]táj.2'!M806</f>
        <v>0</v>
      </c>
      <c r="N806" s="10">
        <f>0+'[2]táj.2'!N806</f>
        <v>0</v>
      </c>
      <c r="O806" s="10">
        <f>0+'[2]táj.2'!O806</f>
        <v>0</v>
      </c>
      <c r="P806" s="10">
        <f>0+'[2]táj.2'!P806</f>
        <v>0</v>
      </c>
      <c r="Q806" s="7">
        <f t="shared" si="49"/>
        <v>12000</v>
      </c>
    </row>
    <row r="807" spans="1:17" ht="25.5">
      <c r="A807" s="198"/>
      <c r="B807" s="198"/>
      <c r="C807" s="214"/>
      <c r="D807" s="358" t="s">
        <v>1479</v>
      </c>
      <c r="E807" s="232">
        <v>1</v>
      </c>
      <c r="F807" s="29">
        <v>321933</v>
      </c>
      <c r="G807" s="10">
        <f>0+'[2]táj.2'!G807</f>
        <v>0</v>
      </c>
      <c r="H807" s="10">
        <f>0+'[2]táj.2'!H807</f>
        <v>0</v>
      </c>
      <c r="I807" s="10">
        <f>0+'[2]táj.2'!I807</f>
        <v>0</v>
      </c>
      <c r="J807" s="10">
        <f>0+'[2]táj.2'!J807</f>
        <v>0</v>
      </c>
      <c r="K807" s="10">
        <f>211174+'[2]táj.2'!K807</f>
        <v>211174</v>
      </c>
      <c r="L807" s="10">
        <f>0+'[2]táj.2'!L807</f>
        <v>0</v>
      </c>
      <c r="M807" s="10">
        <f>0+'[2]táj.2'!M807</f>
        <v>0</v>
      </c>
      <c r="N807" s="10">
        <f>0+'[2]táj.2'!N807</f>
        <v>0</v>
      </c>
      <c r="O807" s="10">
        <f>0+'[2]táj.2'!O807</f>
        <v>0</v>
      </c>
      <c r="P807" s="10">
        <f>0+'[2]táj.2'!P807</f>
        <v>0</v>
      </c>
      <c r="Q807" s="7">
        <f t="shared" si="49"/>
        <v>211174</v>
      </c>
    </row>
    <row r="808" spans="1:17" ht="12.75">
      <c r="A808" s="198"/>
      <c r="B808" s="198"/>
      <c r="C808" s="214"/>
      <c r="D808" s="404" t="s">
        <v>1480</v>
      </c>
      <c r="E808" s="232">
        <v>1</v>
      </c>
      <c r="F808" s="29">
        <v>321934</v>
      </c>
      <c r="G808" s="10">
        <f>0+'[2]táj.2'!G808</f>
        <v>0</v>
      </c>
      <c r="H808" s="10">
        <f>0+'[2]táj.2'!H808</f>
        <v>0</v>
      </c>
      <c r="I808" s="10">
        <f>0+'[2]táj.2'!I808</f>
        <v>0</v>
      </c>
      <c r="J808" s="10">
        <f>0+'[2]táj.2'!J808</f>
        <v>0</v>
      </c>
      <c r="K808" s="10">
        <f>1771+'[2]táj.2'!K808</f>
        <v>1771</v>
      </c>
      <c r="L808" s="10">
        <f>0+'[2]táj.2'!L808</f>
        <v>0</v>
      </c>
      <c r="M808" s="10">
        <f>0+'[2]táj.2'!M808</f>
        <v>0</v>
      </c>
      <c r="N808" s="10">
        <f>0+'[2]táj.2'!N808</f>
        <v>0</v>
      </c>
      <c r="O808" s="10">
        <f>0+'[2]táj.2'!O808</f>
        <v>0</v>
      </c>
      <c r="P808" s="10">
        <f>0+'[2]táj.2'!P808</f>
        <v>0</v>
      </c>
      <c r="Q808" s="7">
        <f t="shared" si="49"/>
        <v>1771</v>
      </c>
    </row>
    <row r="809" spans="1:17" ht="12.75">
      <c r="A809" s="198"/>
      <c r="B809" s="198"/>
      <c r="C809" s="214"/>
      <c r="D809" s="174" t="s">
        <v>1481</v>
      </c>
      <c r="E809" s="232">
        <v>1</v>
      </c>
      <c r="F809" s="29">
        <v>321911</v>
      </c>
      <c r="G809" s="10">
        <f>0+'[2]táj.2'!G809</f>
        <v>0</v>
      </c>
      <c r="H809" s="10">
        <f>0+'[2]táj.2'!H809</f>
        <v>0</v>
      </c>
      <c r="I809" s="10">
        <f>0+'[2]táj.2'!I809</f>
        <v>0</v>
      </c>
      <c r="J809" s="10">
        <f>0+'[2]táj.2'!J809</f>
        <v>0</v>
      </c>
      <c r="K809" s="10">
        <f>48000+'[2]táj.2'!K809</f>
        <v>48000</v>
      </c>
      <c r="L809" s="10">
        <f>0+'[2]táj.2'!L809</f>
        <v>0</v>
      </c>
      <c r="M809" s="10">
        <f>0+'[2]táj.2'!M809</f>
        <v>0</v>
      </c>
      <c r="N809" s="10">
        <f>0+'[2]táj.2'!N809</f>
        <v>0</v>
      </c>
      <c r="O809" s="10">
        <f>0+'[2]táj.2'!O809</f>
        <v>0</v>
      </c>
      <c r="P809" s="10">
        <f>0+'[2]táj.2'!P809</f>
        <v>0</v>
      </c>
      <c r="Q809" s="7">
        <f t="shared" si="49"/>
        <v>48000</v>
      </c>
    </row>
    <row r="810" spans="1:17" ht="12.75">
      <c r="A810" s="198"/>
      <c r="B810" s="198"/>
      <c r="C810" s="214"/>
      <c r="D810" s="176" t="s">
        <v>1482</v>
      </c>
      <c r="E810" s="232">
        <v>1</v>
      </c>
      <c r="F810" s="29">
        <v>321909</v>
      </c>
      <c r="G810" s="10">
        <f>0+'[2]táj.2'!G810</f>
        <v>0</v>
      </c>
      <c r="H810" s="10">
        <f>0+'[2]táj.2'!H810</f>
        <v>0</v>
      </c>
      <c r="I810" s="10">
        <f>0+'[2]táj.2'!I810</f>
        <v>0</v>
      </c>
      <c r="J810" s="10">
        <f>0+'[2]táj.2'!J810</f>
        <v>0</v>
      </c>
      <c r="K810" s="10">
        <f>45000+'[2]táj.2'!K810</f>
        <v>45000</v>
      </c>
      <c r="L810" s="10">
        <f>0+'[2]táj.2'!L810</f>
        <v>0</v>
      </c>
      <c r="M810" s="10">
        <f>0+'[2]táj.2'!M810</f>
        <v>0</v>
      </c>
      <c r="N810" s="10">
        <f>0+'[2]táj.2'!N810</f>
        <v>0</v>
      </c>
      <c r="O810" s="10">
        <f>0+'[2]táj.2'!O810</f>
        <v>0</v>
      </c>
      <c r="P810" s="10">
        <f>0+'[2]táj.2'!P810</f>
        <v>0</v>
      </c>
      <c r="Q810" s="7">
        <f t="shared" si="49"/>
        <v>45000</v>
      </c>
    </row>
    <row r="811" spans="1:17" ht="12.75">
      <c r="A811" s="198"/>
      <c r="B811" s="198"/>
      <c r="C811" s="214"/>
      <c r="D811" s="287" t="s">
        <v>1483</v>
      </c>
      <c r="E811" s="7"/>
      <c r="F811" s="7"/>
      <c r="G811" s="10"/>
      <c r="H811" s="3"/>
      <c r="I811" s="3"/>
      <c r="J811" s="3"/>
      <c r="K811" s="3"/>
      <c r="L811" s="3"/>
      <c r="M811" s="7"/>
      <c r="N811" s="7"/>
      <c r="O811" s="7"/>
      <c r="P811" s="7"/>
      <c r="Q811" s="7"/>
    </row>
    <row r="812" spans="1:17" ht="12.75">
      <c r="A812" s="198"/>
      <c r="B812" s="198"/>
      <c r="C812" s="214" t="s">
        <v>269</v>
      </c>
      <c r="D812" s="405" t="s">
        <v>1484</v>
      </c>
      <c r="E812" s="7">
        <v>1</v>
      </c>
      <c r="F812" s="7">
        <v>324902</v>
      </c>
      <c r="G812" s="10">
        <f>0+'[2]táj.2'!G812</f>
        <v>0</v>
      </c>
      <c r="H812" s="10">
        <f>0+'[2]táj.2'!H812</f>
        <v>0</v>
      </c>
      <c r="I812" s="10">
        <f>0+'[2]táj.2'!I812</f>
        <v>0</v>
      </c>
      <c r="J812" s="10">
        <f>0+'[2]táj.2'!J812</f>
        <v>0</v>
      </c>
      <c r="K812" s="10">
        <f>0+'[2]táj.2'!K812</f>
        <v>0</v>
      </c>
      <c r="L812" s="10">
        <f>0+'[2]táj.2'!L812</f>
        <v>0</v>
      </c>
      <c r="M812" s="10">
        <f>6701+'[2]táj.2'!M812</f>
        <v>6701</v>
      </c>
      <c r="N812" s="10">
        <f>0+'[2]táj.2'!N812</f>
        <v>0</v>
      </c>
      <c r="O812" s="10">
        <f>0+'[2]táj.2'!O812</f>
        <v>0</v>
      </c>
      <c r="P812" s="10">
        <f>0+'[2]táj.2'!P812</f>
        <v>0</v>
      </c>
      <c r="Q812" s="7">
        <f>SUM(K812:P812)</f>
        <v>6701</v>
      </c>
    </row>
    <row r="813" spans="1:17" ht="25.5">
      <c r="A813" s="198"/>
      <c r="B813" s="198"/>
      <c r="C813" s="214" t="s">
        <v>268</v>
      </c>
      <c r="D813" s="406" t="s">
        <v>1485</v>
      </c>
      <c r="E813" s="7">
        <v>1</v>
      </c>
      <c r="F813" s="223">
        <v>322904</v>
      </c>
      <c r="G813" s="10">
        <f>0+'[2]táj.2'!G813</f>
        <v>0</v>
      </c>
      <c r="H813" s="10">
        <f>0+'[2]táj.2'!H813</f>
        <v>0</v>
      </c>
      <c r="I813" s="10">
        <f>0+'[2]táj.2'!I813</f>
        <v>0</v>
      </c>
      <c r="J813" s="10">
        <f>0+'[2]táj.2'!J813</f>
        <v>0</v>
      </c>
      <c r="K813" s="10">
        <f>0+'[2]táj.2'!K813</f>
        <v>0</v>
      </c>
      <c r="L813" s="10">
        <f>10420+'[2]táj.2'!L813</f>
        <v>10420</v>
      </c>
      <c r="M813" s="10">
        <f>0+'[2]táj.2'!M813</f>
        <v>0</v>
      </c>
      <c r="N813" s="10">
        <f>0+'[2]táj.2'!N813</f>
        <v>0</v>
      </c>
      <c r="O813" s="10">
        <f>0+'[2]táj.2'!O813</f>
        <v>0</v>
      </c>
      <c r="P813" s="10">
        <f>0+'[2]táj.2'!P813</f>
        <v>0</v>
      </c>
      <c r="Q813" s="7">
        <f>SUM(K813:P813)</f>
        <v>10420</v>
      </c>
    </row>
    <row r="814" spans="1:17" ht="13.5">
      <c r="A814" s="218"/>
      <c r="B814" s="218"/>
      <c r="C814" s="219"/>
      <c r="D814" s="183" t="s">
        <v>1486</v>
      </c>
      <c r="E814" s="221"/>
      <c r="F814" s="407"/>
      <c r="G814" s="5">
        <f aca="true" t="shared" si="50" ref="G814:Q814">SUM(G802:G813)</f>
        <v>0</v>
      </c>
      <c r="H814" s="5">
        <f t="shared" si="50"/>
        <v>0</v>
      </c>
      <c r="I814" s="5">
        <f t="shared" si="50"/>
        <v>0</v>
      </c>
      <c r="J814" s="5">
        <f t="shared" si="50"/>
        <v>0</v>
      </c>
      <c r="K814" s="5">
        <f t="shared" si="50"/>
        <v>372945</v>
      </c>
      <c r="L814" s="5">
        <f t="shared" si="50"/>
        <v>10420</v>
      </c>
      <c r="M814" s="5">
        <f t="shared" si="50"/>
        <v>6701</v>
      </c>
      <c r="N814" s="5">
        <f t="shared" si="50"/>
        <v>0</v>
      </c>
      <c r="O814" s="5">
        <f t="shared" si="50"/>
        <v>0</v>
      </c>
      <c r="P814" s="5">
        <f t="shared" si="50"/>
        <v>0</v>
      </c>
      <c r="Q814" s="5">
        <f t="shared" si="50"/>
        <v>390066</v>
      </c>
    </row>
    <row r="815" spans="1:17" ht="27">
      <c r="A815" s="218"/>
      <c r="B815" s="218"/>
      <c r="C815" s="219"/>
      <c r="D815" s="184" t="s">
        <v>1487</v>
      </c>
      <c r="E815" s="408"/>
      <c r="F815" s="409"/>
      <c r="G815" s="410">
        <f aca="true" t="shared" si="51" ref="G815:Q815">SUM(G45+G218+G230+G471+G662+G686+G710+G743+G800+G814+G746)</f>
        <v>233239</v>
      </c>
      <c r="H815" s="410">
        <f t="shared" si="51"/>
        <v>58296</v>
      </c>
      <c r="I815" s="410">
        <f t="shared" si="51"/>
        <v>8893627</v>
      </c>
      <c r="J815" s="410">
        <f t="shared" si="51"/>
        <v>95450</v>
      </c>
      <c r="K815" s="410">
        <f t="shared" si="51"/>
        <v>2358353</v>
      </c>
      <c r="L815" s="410">
        <f t="shared" si="51"/>
        <v>27318321</v>
      </c>
      <c r="M815" s="410">
        <f t="shared" si="51"/>
        <v>5312877</v>
      </c>
      <c r="N815" s="410">
        <f t="shared" si="51"/>
        <v>112279</v>
      </c>
      <c r="O815" s="410">
        <f t="shared" si="51"/>
        <v>104052</v>
      </c>
      <c r="P815" s="410">
        <f t="shared" si="51"/>
        <v>12125806</v>
      </c>
      <c r="Q815" s="410">
        <f t="shared" si="51"/>
        <v>56612300</v>
      </c>
    </row>
    <row r="816" spans="1:17" ht="12.75">
      <c r="A816" s="198"/>
      <c r="B816" s="198"/>
      <c r="C816" s="198"/>
      <c r="D816" s="411" t="s">
        <v>382</v>
      </c>
      <c r="E816" s="223"/>
      <c r="F816" s="412"/>
      <c r="G816" s="413">
        <v>4258230</v>
      </c>
      <c r="H816" s="413">
        <v>804668</v>
      </c>
      <c r="I816" s="413">
        <v>2558270</v>
      </c>
      <c r="J816" s="413">
        <v>3400</v>
      </c>
      <c r="K816" s="413">
        <v>61212</v>
      </c>
      <c r="L816" s="413">
        <v>163545</v>
      </c>
      <c r="M816" s="413">
        <v>44126</v>
      </c>
      <c r="N816" s="413"/>
      <c r="O816" s="413"/>
      <c r="P816" s="413"/>
      <c r="Q816" s="413">
        <f>SUM(G816:P816)</f>
        <v>7893451</v>
      </c>
    </row>
    <row r="817" spans="1:17" ht="13.5">
      <c r="A817" s="218"/>
      <c r="B817" s="218"/>
      <c r="C817" s="219"/>
      <c r="D817" s="183" t="s">
        <v>372</v>
      </c>
      <c r="E817" s="336"/>
      <c r="F817" s="414"/>
      <c r="G817" s="31">
        <f aca="true" t="shared" si="52" ref="G817:Q817">SUM(G815:G816)</f>
        <v>4491469</v>
      </c>
      <c r="H817" s="31">
        <f t="shared" si="52"/>
        <v>862964</v>
      </c>
      <c r="I817" s="31">
        <f t="shared" si="52"/>
        <v>11451897</v>
      </c>
      <c r="J817" s="31">
        <f t="shared" si="52"/>
        <v>98850</v>
      </c>
      <c r="K817" s="31">
        <f t="shared" si="52"/>
        <v>2419565</v>
      </c>
      <c r="L817" s="31">
        <f t="shared" si="52"/>
        <v>27481866</v>
      </c>
      <c r="M817" s="31">
        <f t="shared" si="52"/>
        <v>5357003</v>
      </c>
      <c r="N817" s="31">
        <f t="shared" si="52"/>
        <v>112279</v>
      </c>
      <c r="O817" s="31">
        <f t="shared" si="52"/>
        <v>104052</v>
      </c>
      <c r="P817" s="31">
        <f t="shared" si="52"/>
        <v>12125806</v>
      </c>
      <c r="Q817" s="31">
        <f t="shared" si="52"/>
        <v>64505751</v>
      </c>
    </row>
    <row r="819" spans="14:17" ht="12">
      <c r="N819" s="764"/>
      <c r="O819" s="764"/>
      <c r="P819" s="764"/>
      <c r="Q819" s="415"/>
    </row>
    <row r="820" ht="12">
      <c r="D820" s="1" t="s">
        <v>1563</v>
      </c>
    </row>
  </sheetData>
  <sheetProtection selectLockedCells="1" selectUnlockedCells="1"/>
  <mergeCells count="10">
    <mergeCell ref="N819:P819"/>
    <mergeCell ref="Q1:Q2"/>
    <mergeCell ref="E1:E2"/>
    <mergeCell ref="F1:F2"/>
    <mergeCell ref="A1:A2"/>
    <mergeCell ref="B1:B2"/>
    <mergeCell ref="C1:C2"/>
    <mergeCell ref="D1:D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69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3.375" style="71" customWidth="1"/>
    <col min="2" max="2" width="39.625" style="71" customWidth="1"/>
    <col min="3" max="3" width="11.625" style="71" customWidth="1"/>
    <col min="4" max="4" width="12.00390625" style="71" customWidth="1"/>
    <col min="5" max="6" width="12.375" style="71" customWidth="1"/>
    <col min="7" max="7" width="7.625" style="71" customWidth="1"/>
    <col min="8" max="8" width="10.375" style="71" customWidth="1"/>
    <col min="9" max="9" width="12.00390625" style="71" customWidth="1"/>
    <col min="10" max="11" width="12.375" style="71" customWidth="1"/>
    <col min="12" max="12" width="12.875" style="71" customWidth="1"/>
    <col min="13" max="13" width="14.875" style="71" customWidth="1"/>
    <col min="14" max="14" width="12.00390625" style="71" customWidth="1"/>
    <col min="15" max="15" width="11.50390625" style="71" customWidth="1"/>
    <col min="16" max="16384" width="9.375" style="71" customWidth="1"/>
  </cols>
  <sheetData>
    <row r="1" spans="1:15" ht="12.75" customHeight="1">
      <c r="A1" s="752" t="s">
        <v>266</v>
      </c>
      <c r="B1" s="753" t="s">
        <v>321</v>
      </c>
      <c r="C1" s="779" t="s">
        <v>485</v>
      </c>
      <c r="D1" s="779" t="s">
        <v>43</v>
      </c>
      <c r="E1" s="778" t="s">
        <v>328</v>
      </c>
      <c r="F1" s="778"/>
      <c r="G1" s="778"/>
      <c r="H1" s="778"/>
      <c r="I1" s="778"/>
      <c r="J1" s="778"/>
      <c r="K1" s="778"/>
      <c r="L1" s="778" t="s">
        <v>399</v>
      </c>
      <c r="M1" s="778"/>
      <c r="N1" s="778"/>
      <c r="O1" s="776" t="s">
        <v>401</v>
      </c>
    </row>
    <row r="2" spans="1:15" s="72" customFormat="1" ht="78" customHeight="1">
      <c r="A2" s="752"/>
      <c r="B2" s="753"/>
      <c r="C2" s="780"/>
      <c r="D2" s="780"/>
      <c r="E2" s="74" t="s">
        <v>148</v>
      </c>
      <c r="F2" s="74" t="s">
        <v>149</v>
      </c>
      <c r="G2" s="65" t="s">
        <v>150</v>
      </c>
      <c r="H2" s="74" t="s">
        <v>395</v>
      </c>
      <c r="I2" s="65" t="s">
        <v>396</v>
      </c>
      <c r="J2" s="65" t="s">
        <v>397</v>
      </c>
      <c r="K2" s="65" t="s">
        <v>398</v>
      </c>
      <c r="L2" s="65" t="s">
        <v>330</v>
      </c>
      <c r="M2" s="65" t="s">
        <v>272</v>
      </c>
      <c r="N2" s="65" t="s">
        <v>332</v>
      </c>
      <c r="O2" s="777"/>
    </row>
    <row r="3" spans="1:15" ht="16.5" customHeight="1">
      <c r="A3" s="75" t="s">
        <v>268</v>
      </c>
      <c r="B3" s="76" t="s">
        <v>323</v>
      </c>
      <c r="C3" s="696">
        <v>1665275</v>
      </c>
      <c r="D3" s="696">
        <f>0+'[1]táj.3'!M3</f>
        <v>46</v>
      </c>
      <c r="E3" s="77">
        <f>0+'[1]táj.3'!C3</f>
        <v>0</v>
      </c>
      <c r="F3" s="77">
        <f>0+'[1]táj.3'!D3</f>
        <v>0</v>
      </c>
      <c r="G3" s="77">
        <f>0+'[1]táj.3'!E3</f>
        <v>0</v>
      </c>
      <c r="H3" s="77">
        <f>19500+'[1]táj.3'!F3</f>
        <v>19500</v>
      </c>
      <c r="I3" s="77">
        <f>0+'[1]táj.3'!G3</f>
        <v>0</v>
      </c>
      <c r="J3" s="77">
        <f>0+'[1]táj.3'!H3</f>
        <v>0</v>
      </c>
      <c r="K3" s="77">
        <f>0+'[1]táj.3'!I3</f>
        <v>0</v>
      </c>
      <c r="L3" s="77">
        <f>47667+'[1]táj.3'!J3</f>
        <v>47667</v>
      </c>
      <c r="M3" s="77">
        <f>1598108+'[1]táj.3'!K3</f>
        <v>1598154</v>
      </c>
      <c r="N3" s="77">
        <f>0+'[1]táj.3'!L3</f>
        <v>0</v>
      </c>
      <c r="O3" s="77">
        <f aca="true" t="shared" si="0" ref="O3:O20">SUM(E3:N3)</f>
        <v>1665321</v>
      </c>
    </row>
    <row r="4" spans="1:15" ht="16.5" customHeight="1">
      <c r="A4" s="75" t="s">
        <v>270</v>
      </c>
      <c r="B4" s="76" t="s">
        <v>316</v>
      </c>
      <c r="C4" s="696">
        <v>1001336</v>
      </c>
      <c r="D4" s="696">
        <f>0+'[1]táj.3'!M4</f>
        <v>139</v>
      </c>
      <c r="E4" s="77">
        <f>0+'[1]táj.3'!C4</f>
        <v>0</v>
      </c>
      <c r="F4" s="77">
        <f>0+'[1]táj.3'!D4</f>
        <v>0</v>
      </c>
      <c r="G4" s="77">
        <f>0+'[1]táj.3'!E4</f>
        <v>0</v>
      </c>
      <c r="H4" s="77">
        <f>470893+'[1]táj.3'!F4</f>
        <v>470893</v>
      </c>
      <c r="I4" s="77">
        <f>0+'[1]táj.3'!G4</f>
        <v>0</v>
      </c>
      <c r="J4" s="77">
        <f>0+'[1]táj.3'!H4</f>
        <v>0</v>
      </c>
      <c r="K4" s="77">
        <f>0+'[1]táj.3'!I4</f>
        <v>0</v>
      </c>
      <c r="L4" s="77">
        <f>0+'[1]táj.3'!J4</f>
        <v>0</v>
      </c>
      <c r="M4" s="77">
        <f>530443+'[1]táj.3'!K4</f>
        <v>530582</v>
      </c>
      <c r="N4" s="77">
        <f>0+'[1]táj.3'!L4</f>
        <v>0</v>
      </c>
      <c r="O4" s="77">
        <f t="shared" si="0"/>
        <v>1001475</v>
      </c>
    </row>
    <row r="5" spans="1:15" ht="16.5" customHeight="1">
      <c r="A5" s="75" t="s">
        <v>271</v>
      </c>
      <c r="B5" s="76" t="s">
        <v>349</v>
      </c>
      <c r="C5" s="696">
        <v>623845</v>
      </c>
      <c r="D5" s="696">
        <f>0+'[1]táj.3'!M5</f>
        <v>2935</v>
      </c>
      <c r="E5" s="77">
        <f>0+'[1]táj.3'!C5</f>
        <v>0</v>
      </c>
      <c r="F5" s="77">
        <f>0+'[1]táj.3'!D5</f>
        <v>0</v>
      </c>
      <c r="G5" s="77">
        <f>0+'[1]táj.3'!E5</f>
        <v>0</v>
      </c>
      <c r="H5" s="77">
        <f>64996+'[1]táj.3'!F5</f>
        <v>64996</v>
      </c>
      <c r="I5" s="77">
        <f>0+'[1]táj.3'!G5</f>
        <v>0</v>
      </c>
      <c r="J5" s="77">
        <f>0+'[1]táj.3'!H5</f>
        <v>0</v>
      </c>
      <c r="K5" s="77">
        <f>0+'[1]táj.3'!I5</f>
        <v>0</v>
      </c>
      <c r="L5" s="77">
        <f>35000+'[1]táj.3'!J5</f>
        <v>35000</v>
      </c>
      <c r="M5" s="77">
        <f>523849+'[1]táj.3'!K5</f>
        <v>526784</v>
      </c>
      <c r="N5" s="77">
        <f>0+'[1]táj.3'!L5</f>
        <v>0</v>
      </c>
      <c r="O5" s="77">
        <f t="shared" si="0"/>
        <v>626780</v>
      </c>
    </row>
    <row r="6" spans="1:15" ht="24" customHeight="1">
      <c r="A6" s="75" t="s">
        <v>259</v>
      </c>
      <c r="B6" s="78" t="s">
        <v>384</v>
      </c>
      <c r="C6" s="697">
        <v>448613</v>
      </c>
      <c r="D6" s="696">
        <f>0+'[1]táj.3'!M6</f>
        <v>1144</v>
      </c>
      <c r="E6" s="77">
        <f>337397+'[1]táj.3'!C6</f>
        <v>337397</v>
      </c>
      <c r="F6" s="77">
        <f>0+'[1]táj.3'!D6</f>
        <v>0</v>
      </c>
      <c r="G6" s="77">
        <f>0+'[1]táj.3'!E6</f>
        <v>0</v>
      </c>
      <c r="H6" s="77">
        <f>0+'[1]táj.3'!F6</f>
        <v>0</v>
      </c>
      <c r="I6" s="77">
        <f>0+'[1]táj.3'!G6</f>
        <v>0</v>
      </c>
      <c r="J6" s="77">
        <f>0+'[1]táj.3'!H6</f>
        <v>0</v>
      </c>
      <c r="K6" s="77">
        <f>0+'[1]táj.3'!I6</f>
        <v>0</v>
      </c>
      <c r="L6" s="77">
        <f>8779+'[1]táj.3'!J6</f>
        <v>8779</v>
      </c>
      <c r="M6" s="77">
        <f>102437+'[1]táj.3'!K6</f>
        <v>103581</v>
      </c>
      <c r="N6" s="77">
        <f>0+'[1]táj.3'!L6</f>
        <v>0</v>
      </c>
      <c r="O6" s="77">
        <f t="shared" si="0"/>
        <v>449757</v>
      </c>
    </row>
    <row r="7" spans="1:15" ht="24" customHeight="1">
      <c r="A7" s="75" t="s">
        <v>258</v>
      </c>
      <c r="B7" s="78" t="s">
        <v>385</v>
      </c>
      <c r="C7" s="697">
        <v>220399</v>
      </c>
      <c r="D7" s="696">
        <f>0+'[1]táj.3'!M7</f>
        <v>15142</v>
      </c>
      <c r="E7" s="77">
        <f>0+'[1]táj.3'!C7</f>
        <v>0</v>
      </c>
      <c r="F7" s="77">
        <f>0+'[1]táj.3'!D7</f>
        <v>0</v>
      </c>
      <c r="G7" s="77">
        <f>0+'[1]táj.3'!E7</f>
        <v>0</v>
      </c>
      <c r="H7" s="77">
        <f>0+'[1]táj.3'!F7</f>
        <v>0</v>
      </c>
      <c r="I7" s="77">
        <f>0+'[1]táj.3'!G7</f>
        <v>0</v>
      </c>
      <c r="J7" s="77">
        <f>0+'[1]táj.3'!H7</f>
        <v>0</v>
      </c>
      <c r="K7" s="77">
        <f>0+'[1]táj.3'!I7</f>
        <v>0</v>
      </c>
      <c r="L7" s="77">
        <f>18654+'[1]táj.3'!J7</f>
        <v>18654</v>
      </c>
      <c r="M7" s="77">
        <f>201745+'[1]táj.3'!K7</f>
        <v>216887</v>
      </c>
      <c r="N7" s="77">
        <f>0+'[1]táj.3'!L7</f>
        <v>0</v>
      </c>
      <c r="O7" s="77">
        <f t="shared" si="0"/>
        <v>235541</v>
      </c>
    </row>
    <row r="8" spans="1:15" ht="16.5" customHeight="1">
      <c r="A8" s="75" t="s">
        <v>260</v>
      </c>
      <c r="B8" s="79" t="s">
        <v>350</v>
      </c>
      <c r="C8" s="698">
        <v>357792</v>
      </c>
      <c r="D8" s="696">
        <f>0+'[1]táj.3'!M8</f>
        <v>2</v>
      </c>
      <c r="E8" s="77">
        <f>3860+'[1]táj.3'!C8</f>
        <v>3860</v>
      </c>
      <c r="F8" s="77">
        <f>0+'[1]táj.3'!D8</f>
        <v>0</v>
      </c>
      <c r="G8" s="77">
        <f>0+'[1]táj.3'!E8</f>
        <v>0</v>
      </c>
      <c r="H8" s="77">
        <f>11638+'[1]táj.3'!F8</f>
        <v>11638</v>
      </c>
      <c r="I8" s="77">
        <f>0+'[1]táj.3'!G8</f>
        <v>0</v>
      </c>
      <c r="J8" s="77">
        <f>0+'[1]táj.3'!H8</f>
        <v>0</v>
      </c>
      <c r="K8" s="77">
        <f>0+'[1]táj.3'!I8</f>
        <v>0</v>
      </c>
      <c r="L8" s="77">
        <f>14000+'[1]táj.3'!J8</f>
        <v>14000</v>
      </c>
      <c r="M8" s="77">
        <f>328294+'[1]táj.3'!K8</f>
        <v>328296</v>
      </c>
      <c r="N8" s="77">
        <f>0+'[1]táj.3'!L8</f>
        <v>0</v>
      </c>
      <c r="O8" s="77">
        <f t="shared" si="0"/>
        <v>357794</v>
      </c>
    </row>
    <row r="9" spans="1:15" ht="16.5" customHeight="1">
      <c r="A9" s="75" t="s">
        <v>261</v>
      </c>
      <c r="B9" s="79" t="s">
        <v>351</v>
      </c>
      <c r="C9" s="698">
        <v>335626</v>
      </c>
      <c r="D9" s="696">
        <f>0+'[1]táj.3'!M9</f>
        <v>10</v>
      </c>
      <c r="E9" s="77">
        <f>7885+'[1]táj.3'!C9</f>
        <v>7885</v>
      </c>
      <c r="F9" s="77">
        <f>0+'[1]táj.3'!D9</f>
        <v>0</v>
      </c>
      <c r="G9" s="77">
        <f>0+'[1]táj.3'!E9</f>
        <v>0</v>
      </c>
      <c r="H9" s="77">
        <f>14294+'[1]táj.3'!F9</f>
        <v>14294</v>
      </c>
      <c r="I9" s="77">
        <f>0+'[1]táj.3'!G9</f>
        <v>0</v>
      </c>
      <c r="J9" s="77">
        <f>0+'[1]táj.3'!H9</f>
        <v>0</v>
      </c>
      <c r="K9" s="77">
        <f>0+'[1]táj.3'!I9</f>
        <v>0</v>
      </c>
      <c r="L9" s="77">
        <f>18500+'[1]táj.3'!J9</f>
        <v>18500</v>
      </c>
      <c r="M9" s="77">
        <f>294947+'[1]táj.3'!K9</f>
        <v>294957</v>
      </c>
      <c r="N9" s="77">
        <f>0+'[1]táj.3'!L9</f>
        <v>0</v>
      </c>
      <c r="O9" s="77">
        <f t="shared" si="0"/>
        <v>335636</v>
      </c>
    </row>
    <row r="10" spans="1:15" ht="16.5" customHeight="1">
      <c r="A10" s="75" t="s">
        <v>262</v>
      </c>
      <c r="B10" s="79" t="s">
        <v>352</v>
      </c>
      <c r="C10" s="698">
        <v>380243</v>
      </c>
      <c r="D10" s="696">
        <f>0+'[1]táj.3'!M10</f>
        <v>16</v>
      </c>
      <c r="E10" s="77">
        <f>4976+'[1]táj.3'!C10</f>
        <v>4976</v>
      </c>
      <c r="F10" s="77">
        <f>0+'[1]táj.3'!D10</f>
        <v>0</v>
      </c>
      <c r="G10" s="77">
        <f>0+'[1]táj.3'!E10</f>
        <v>0</v>
      </c>
      <c r="H10" s="77">
        <f>18904+'[1]táj.3'!F10</f>
        <v>18904</v>
      </c>
      <c r="I10" s="77">
        <f>0+'[1]táj.3'!G10</f>
        <v>0</v>
      </c>
      <c r="J10" s="77">
        <f>0+'[1]táj.3'!H10</f>
        <v>0</v>
      </c>
      <c r="K10" s="77">
        <f>0+'[1]táj.3'!I10</f>
        <v>0</v>
      </c>
      <c r="L10" s="77">
        <f>15000+'[1]táj.3'!J10</f>
        <v>15000</v>
      </c>
      <c r="M10" s="77">
        <f>341363+'[1]táj.3'!K10</f>
        <v>341379</v>
      </c>
      <c r="N10" s="77">
        <f>0+'[1]táj.3'!L10</f>
        <v>0</v>
      </c>
      <c r="O10" s="77">
        <f t="shared" si="0"/>
        <v>380259</v>
      </c>
    </row>
    <row r="11" spans="1:15" ht="16.5" customHeight="1">
      <c r="A11" s="75" t="s">
        <v>158</v>
      </c>
      <c r="B11" s="79" t="s">
        <v>353</v>
      </c>
      <c r="C11" s="698">
        <v>341686</v>
      </c>
      <c r="D11" s="696">
        <f>0+'[1]táj.3'!M11</f>
        <v>22</v>
      </c>
      <c r="E11" s="77">
        <f>8454+'[1]táj.3'!C11</f>
        <v>8454</v>
      </c>
      <c r="F11" s="77">
        <f>0+'[1]táj.3'!D11</f>
        <v>0</v>
      </c>
      <c r="G11" s="77">
        <f>0+'[1]táj.3'!E11</f>
        <v>0</v>
      </c>
      <c r="H11" s="77">
        <f>12061+'[1]táj.3'!F11</f>
        <v>12061</v>
      </c>
      <c r="I11" s="77">
        <f>0+'[1]táj.3'!G11</f>
        <v>0</v>
      </c>
      <c r="J11" s="77">
        <f>0+'[1]táj.3'!H11</f>
        <v>0</v>
      </c>
      <c r="K11" s="77">
        <f>0+'[1]táj.3'!I11</f>
        <v>0</v>
      </c>
      <c r="L11" s="77">
        <f>12000+'[1]táj.3'!J11</f>
        <v>12000</v>
      </c>
      <c r="M11" s="77">
        <f>309171+'[1]táj.3'!K11</f>
        <v>309193</v>
      </c>
      <c r="N11" s="77">
        <f>0+'[1]táj.3'!L11</f>
        <v>0</v>
      </c>
      <c r="O11" s="77">
        <f t="shared" si="0"/>
        <v>341708</v>
      </c>
    </row>
    <row r="12" spans="1:15" ht="18" customHeight="1">
      <c r="A12" s="75" t="s">
        <v>159</v>
      </c>
      <c r="B12" s="80" t="s">
        <v>386</v>
      </c>
      <c r="C12" s="413">
        <v>53217</v>
      </c>
      <c r="D12" s="696">
        <f>0+'[1]táj.3'!M12</f>
        <v>31</v>
      </c>
      <c r="E12" s="77">
        <f>12491+'[1]táj.3'!C12</f>
        <v>12491</v>
      </c>
      <c r="F12" s="77">
        <f>0+'[1]táj.3'!D12</f>
        <v>0</v>
      </c>
      <c r="G12" s="77">
        <f>0+'[1]táj.3'!E12</f>
        <v>0</v>
      </c>
      <c r="H12" s="77">
        <f>1+'[1]táj.3'!F12</f>
        <v>1</v>
      </c>
      <c r="I12" s="77">
        <f>0+'[1]táj.3'!G12</f>
        <v>0</v>
      </c>
      <c r="J12" s="77">
        <f>0+'[1]táj.3'!H12</f>
        <v>0</v>
      </c>
      <c r="K12" s="77">
        <f>0+'[1]táj.3'!I12</f>
        <v>0</v>
      </c>
      <c r="L12" s="77">
        <f>0+'[1]táj.3'!J12</f>
        <v>0</v>
      </c>
      <c r="M12" s="77">
        <f>40725+'[1]táj.3'!K12</f>
        <v>40756</v>
      </c>
      <c r="N12" s="77">
        <f>0+'[1]táj.3'!L12</f>
        <v>0</v>
      </c>
      <c r="O12" s="77">
        <f t="shared" si="0"/>
        <v>53248</v>
      </c>
    </row>
    <row r="13" spans="1:15" ht="16.5" customHeight="1">
      <c r="A13" s="75" t="s">
        <v>160</v>
      </c>
      <c r="B13" s="81" t="s">
        <v>346</v>
      </c>
      <c r="C13" s="699">
        <v>484066</v>
      </c>
      <c r="D13" s="696">
        <f>0+'[1]táj.3'!M13</f>
        <v>3872</v>
      </c>
      <c r="E13" s="77">
        <f>143589+'[1]táj.3'!C13</f>
        <v>143589</v>
      </c>
      <c r="F13" s="77">
        <f>0+'[1]táj.3'!D13</f>
        <v>0</v>
      </c>
      <c r="G13" s="77">
        <f>0+'[1]táj.3'!E13</f>
        <v>0</v>
      </c>
      <c r="H13" s="77">
        <f>90000+'[1]táj.3'!F13</f>
        <v>90000</v>
      </c>
      <c r="I13" s="77">
        <f>0+'[1]táj.3'!G13</f>
        <v>0</v>
      </c>
      <c r="J13" s="77">
        <f>0+'[1]táj.3'!H13</f>
        <v>0</v>
      </c>
      <c r="K13" s="77">
        <f>0+'[1]táj.3'!I13</f>
        <v>0</v>
      </c>
      <c r="L13" s="77">
        <f>15557+'[1]táj.3'!J13</f>
        <v>15557</v>
      </c>
      <c r="M13" s="77">
        <f>234920+'[1]táj.3'!K13</f>
        <v>238792</v>
      </c>
      <c r="N13" s="77">
        <f>0+'[1]táj.3'!L13</f>
        <v>0</v>
      </c>
      <c r="O13" s="77">
        <f t="shared" si="0"/>
        <v>487938</v>
      </c>
    </row>
    <row r="14" spans="1:15" ht="27" customHeight="1">
      <c r="A14" s="75" t="s">
        <v>161</v>
      </c>
      <c r="B14" s="78" t="s">
        <v>354</v>
      </c>
      <c r="C14" s="697">
        <v>20958</v>
      </c>
      <c r="D14" s="696">
        <f>0+'[1]táj.3'!M14</f>
        <v>0</v>
      </c>
      <c r="E14" s="77">
        <f>0+'[1]táj.3'!C14</f>
        <v>0</v>
      </c>
      <c r="F14" s="77">
        <f>0+'[1]táj.3'!D14</f>
        <v>0</v>
      </c>
      <c r="G14" s="77">
        <f>0+'[1]táj.3'!E14</f>
        <v>0</v>
      </c>
      <c r="H14" s="77">
        <f>1500+'[1]táj.3'!F14</f>
        <v>1500</v>
      </c>
      <c r="I14" s="77">
        <f>0+'[1]táj.3'!G14</f>
        <v>0</v>
      </c>
      <c r="J14" s="77">
        <f>0+'[1]táj.3'!H14</f>
        <v>0</v>
      </c>
      <c r="K14" s="77">
        <f>0+'[1]táj.3'!I14</f>
        <v>0</v>
      </c>
      <c r="L14" s="77">
        <f>0+'[1]táj.3'!J14</f>
        <v>0</v>
      </c>
      <c r="M14" s="77">
        <f>19458+'[1]táj.3'!K14</f>
        <v>19458</v>
      </c>
      <c r="N14" s="77">
        <f>0+'[1]táj.3'!L14</f>
        <v>0</v>
      </c>
      <c r="O14" s="77">
        <f t="shared" si="0"/>
        <v>20958</v>
      </c>
    </row>
    <row r="15" spans="1:15" ht="16.5" customHeight="1">
      <c r="A15" s="75" t="s">
        <v>162</v>
      </c>
      <c r="B15" s="79" t="s">
        <v>347</v>
      </c>
      <c r="C15" s="698">
        <v>418501</v>
      </c>
      <c r="D15" s="696">
        <f>0+'[1]táj.3'!M15</f>
        <v>4023</v>
      </c>
      <c r="E15" s="77">
        <f>1125+'[1]táj.3'!C15</f>
        <v>1125</v>
      </c>
      <c r="F15" s="77">
        <f>0+'[1]táj.3'!D15</f>
        <v>0</v>
      </c>
      <c r="G15" s="77">
        <f>0+'[1]táj.3'!E15</f>
        <v>0</v>
      </c>
      <c r="H15" s="77">
        <f>28000+'[1]táj.3'!F15</f>
        <v>28000</v>
      </c>
      <c r="I15" s="77">
        <f>0+'[1]táj.3'!G15</f>
        <v>0</v>
      </c>
      <c r="J15" s="77">
        <f>0+'[1]táj.3'!H15</f>
        <v>0</v>
      </c>
      <c r="K15" s="77">
        <f>0+'[1]táj.3'!I15</f>
        <v>0</v>
      </c>
      <c r="L15" s="77">
        <f>1061+'[1]táj.3'!J15</f>
        <v>1061</v>
      </c>
      <c r="M15" s="77">
        <f>388315+'[1]táj.3'!K15</f>
        <v>392338</v>
      </c>
      <c r="N15" s="77">
        <f>0+'[1]táj.3'!L15</f>
        <v>0</v>
      </c>
      <c r="O15" s="77">
        <f t="shared" si="0"/>
        <v>422524</v>
      </c>
    </row>
    <row r="16" spans="1:15" ht="16.5" customHeight="1">
      <c r="A16" s="75" t="s">
        <v>163</v>
      </c>
      <c r="B16" s="79" t="s">
        <v>348</v>
      </c>
      <c r="C16" s="698">
        <v>359221</v>
      </c>
      <c r="D16" s="696">
        <f>0+'[1]táj.3'!M16</f>
        <v>3196</v>
      </c>
      <c r="E16" s="77">
        <f>9878+'[1]táj.3'!C16</f>
        <v>9878</v>
      </c>
      <c r="F16" s="77">
        <f>0+'[1]táj.3'!D16</f>
        <v>0</v>
      </c>
      <c r="G16" s="77">
        <f>0+'[1]táj.3'!E16</f>
        <v>0</v>
      </c>
      <c r="H16" s="77">
        <f>148805+'[1]táj.3'!F16</f>
        <v>148805</v>
      </c>
      <c r="I16" s="77">
        <f>0+'[1]táj.3'!G16</f>
        <v>0</v>
      </c>
      <c r="J16" s="77">
        <f>0+'[1]táj.3'!H16</f>
        <v>0</v>
      </c>
      <c r="K16" s="77">
        <f>0+'[1]táj.3'!I16</f>
        <v>0</v>
      </c>
      <c r="L16" s="77">
        <f>12807+'[1]táj.3'!J16</f>
        <v>12807</v>
      </c>
      <c r="M16" s="77">
        <f>187731+'[1]táj.3'!K16</f>
        <v>190927</v>
      </c>
      <c r="N16" s="77">
        <f>0+'[1]táj.3'!L16</f>
        <v>0</v>
      </c>
      <c r="O16" s="77">
        <f t="shared" si="0"/>
        <v>362417</v>
      </c>
    </row>
    <row r="17" spans="1:15" ht="16.5" customHeight="1">
      <c r="A17" s="75" t="s">
        <v>263</v>
      </c>
      <c r="B17" s="79" t="s">
        <v>355</v>
      </c>
      <c r="C17" s="698">
        <v>754770</v>
      </c>
      <c r="D17" s="696">
        <f>0+'[1]táj.3'!M17</f>
        <v>5939</v>
      </c>
      <c r="E17" s="77">
        <f>78000+'[1]táj.3'!C17</f>
        <v>78000</v>
      </c>
      <c r="F17" s="77">
        <f>0+'[1]táj.3'!D17</f>
        <v>0</v>
      </c>
      <c r="G17" s="77">
        <f>0+'[1]táj.3'!E17</f>
        <v>0</v>
      </c>
      <c r="H17" s="77">
        <f>215804+'[1]táj.3'!F17</f>
        <v>215804</v>
      </c>
      <c r="I17" s="77">
        <f>0+'[1]táj.3'!G17</f>
        <v>0</v>
      </c>
      <c r="J17" s="77">
        <f>0+'[1]táj.3'!H17</f>
        <v>0</v>
      </c>
      <c r="K17" s="77">
        <f>0+'[1]táj.3'!I17</f>
        <v>0</v>
      </c>
      <c r="L17" s="77">
        <f>54453+'[1]táj.3'!J17</f>
        <v>54453</v>
      </c>
      <c r="M17" s="77">
        <f>406513+'[1]táj.3'!K17</f>
        <v>412452</v>
      </c>
      <c r="N17" s="77">
        <f>0+'[1]táj.3'!L17</f>
        <v>0</v>
      </c>
      <c r="O17" s="77">
        <f t="shared" si="0"/>
        <v>760709</v>
      </c>
    </row>
    <row r="18" spans="1:15" ht="16.5" customHeight="1">
      <c r="A18" s="75" t="s">
        <v>164</v>
      </c>
      <c r="B18" s="79" t="s">
        <v>356</v>
      </c>
      <c r="C18" s="698">
        <v>136750</v>
      </c>
      <c r="D18" s="696">
        <f>0+'[1]táj.3'!M18</f>
        <v>903</v>
      </c>
      <c r="E18" s="77">
        <f>10500+'[1]táj.3'!C18</f>
        <v>10500</v>
      </c>
      <c r="F18" s="77">
        <f>0+'[1]táj.3'!D18</f>
        <v>0</v>
      </c>
      <c r="G18" s="77">
        <f>0+'[1]táj.3'!E18</f>
        <v>0</v>
      </c>
      <c r="H18" s="77">
        <f>29465+'[1]táj.3'!F18</f>
        <v>29465</v>
      </c>
      <c r="I18" s="77">
        <f>0+'[1]táj.3'!G18</f>
        <v>0</v>
      </c>
      <c r="J18" s="77">
        <f>0+'[1]táj.3'!H18</f>
        <v>0</v>
      </c>
      <c r="K18" s="77">
        <f>0+'[1]táj.3'!I18</f>
        <v>0</v>
      </c>
      <c r="L18" s="77">
        <f>12200+'[1]táj.3'!J18</f>
        <v>12200</v>
      </c>
      <c r="M18" s="77">
        <f>84585+'[1]táj.3'!K18</f>
        <v>85488</v>
      </c>
      <c r="N18" s="77">
        <f>0+'[1]táj.3'!L18</f>
        <v>0</v>
      </c>
      <c r="O18" s="77">
        <f t="shared" si="0"/>
        <v>137653</v>
      </c>
    </row>
    <row r="19" spans="1:15" ht="16.5" customHeight="1">
      <c r="A19" s="75" t="s">
        <v>165</v>
      </c>
      <c r="B19" s="79" t="s">
        <v>388</v>
      </c>
      <c r="C19" s="698">
        <v>145282</v>
      </c>
      <c r="D19" s="696">
        <f>0+'[1]táj.3'!M19</f>
        <v>12</v>
      </c>
      <c r="E19" s="77">
        <f>0+'[1]táj.3'!C19</f>
        <v>0</v>
      </c>
      <c r="F19" s="77">
        <f>0+'[1]táj.3'!D19</f>
        <v>0</v>
      </c>
      <c r="G19" s="77">
        <f>0+'[1]táj.3'!E19</f>
        <v>0</v>
      </c>
      <c r="H19" s="77">
        <f>55311+'[1]táj.3'!F19</f>
        <v>55311</v>
      </c>
      <c r="I19" s="77">
        <f>0+'[1]táj.3'!G19</f>
        <v>0</v>
      </c>
      <c r="J19" s="77">
        <f>0+'[1]táj.3'!H19</f>
        <v>0</v>
      </c>
      <c r="K19" s="77">
        <f>0+'[1]táj.3'!I19</f>
        <v>0</v>
      </c>
      <c r="L19" s="77">
        <f>20000+'[1]táj.3'!J19</f>
        <v>20000</v>
      </c>
      <c r="M19" s="77">
        <f>69971+'[1]táj.3'!K19</f>
        <v>69983</v>
      </c>
      <c r="N19" s="77">
        <f>0+'[1]táj.3'!L19</f>
        <v>0</v>
      </c>
      <c r="O19" s="77">
        <f t="shared" si="0"/>
        <v>145294</v>
      </c>
    </row>
    <row r="20" spans="1:15" ht="16.5" customHeight="1">
      <c r="A20" s="75" t="s">
        <v>387</v>
      </c>
      <c r="B20" s="79" t="s">
        <v>393</v>
      </c>
      <c r="C20" s="698">
        <v>108439</v>
      </c>
      <c r="D20" s="696">
        <f>0+'[1]táj.3'!M20</f>
        <v>0</v>
      </c>
      <c r="E20" s="77">
        <f>0+'[1]táj.3'!C20</f>
        <v>0</v>
      </c>
      <c r="F20" s="77">
        <f>0+'[1]táj.3'!D20</f>
        <v>0</v>
      </c>
      <c r="G20" s="77">
        <f>0+'[1]táj.3'!E20</f>
        <v>0</v>
      </c>
      <c r="H20" s="77">
        <f>101439+'[1]táj.3'!F20</f>
        <v>101439</v>
      </c>
      <c r="I20" s="77">
        <f>0+'[1]táj.3'!G20</f>
        <v>0</v>
      </c>
      <c r="J20" s="77">
        <f>0+'[1]táj.3'!H20</f>
        <v>0</v>
      </c>
      <c r="K20" s="77">
        <f>0+'[1]táj.3'!I20</f>
        <v>0</v>
      </c>
      <c r="L20" s="77">
        <f>7000+'[1]táj.3'!J20</f>
        <v>7000</v>
      </c>
      <c r="M20" s="77">
        <f>0+'[1]táj.3'!K20</f>
        <v>0</v>
      </c>
      <c r="N20" s="77">
        <f>0+'[1]táj.3'!L20</f>
        <v>0</v>
      </c>
      <c r="O20" s="77">
        <f t="shared" si="0"/>
        <v>108439</v>
      </c>
    </row>
    <row r="21" spans="1:15" ht="14.25" customHeight="1">
      <c r="A21" s="82"/>
      <c r="B21" s="83" t="s">
        <v>147</v>
      </c>
      <c r="C21" s="700">
        <f aca="true" t="shared" si="1" ref="C21:O21">SUM(C3:C20)</f>
        <v>7856019</v>
      </c>
      <c r="D21" s="700">
        <f t="shared" si="1"/>
        <v>37432</v>
      </c>
      <c r="E21" s="84">
        <f t="shared" si="1"/>
        <v>618155</v>
      </c>
      <c r="F21" s="84">
        <f t="shared" si="1"/>
        <v>0</v>
      </c>
      <c r="G21" s="84">
        <f t="shared" si="1"/>
        <v>0</v>
      </c>
      <c r="H21" s="84">
        <f t="shared" si="1"/>
        <v>1282611</v>
      </c>
      <c r="I21" s="84">
        <f t="shared" si="1"/>
        <v>0</v>
      </c>
      <c r="J21" s="84">
        <f t="shared" si="1"/>
        <v>0</v>
      </c>
      <c r="K21" s="84">
        <f t="shared" si="1"/>
        <v>0</v>
      </c>
      <c r="L21" s="84">
        <f t="shared" si="1"/>
        <v>292678</v>
      </c>
      <c r="M21" s="84">
        <f t="shared" si="1"/>
        <v>5700007</v>
      </c>
      <c r="N21" s="84">
        <f t="shared" si="1"/>
        <v>0</v>
      </c>
      <c r="O21" s="84">
        <f t="shared" si="1"/>
        <v>7893451</v>
      </c>
    </row>
    <row r="22" spans="5:13" ht="13.5" customHeight="1">
      <c r="E22" s="73"/>
      <c r="F22" s="73"/>
      <c r="G22" s="73"/>
      <c r="H22" s="73"/>
      <c r="I22" s="73"/>
      <c r="J22" s="73"/>
      <c r="K22" s="73"/>
      <c r="L22" s="73"/>
      <c r="M22" s="73"/>
    </row>
    <row r="23" spans="5:13" ht="13.5" customHeight="1">
      <c r="E23" s="73"/>
      <c r="F23" s="73"/>
      <c r="G23" s="73"/>
      <c r="H23" s="73"/>
      <c r="I23" s="73"/>
      <c r="J23" s="73"/>
      <c r="K23" s="73"/>
      <c r="L23" s="73"/>
      <c r="M23" s="73"/>
    </row>
    <row r="24" spans="5:13" ht="13.5" customHeight="1">
      <c r="E24" s="73"/>
      <c r="F24" s="73"/>
      <c r="G24" s="73"/>
      <c r="H24" s="73"/>
      <c r="I24" s="73"/>
      <c r="J24" s="73"/>
      <c r="K24" s="73"/>
      <c r="L24" s="73"/>
      <c r="M24" s="85"/>
    </row>
    <row r="25" spans="5:13" ht="13.5" customHeight="1">
      <c r="E25" s="73"/>
      <c r="F25" s="73"/>
      <c r="G25" s="73"/>
      <c r="H25" s="73"/>
      <c r="I25" s="73"/>
      <c r="J25" s="73"/>
      <c r="K25" s="73"/>
      <c r="L25" s="73"/>
      <c r="M25" s="85"/>
    </row>
    <row r="26" spans="5:13" ht="13.5" customHeight="1">
      <c r="E26" s="73"/>
      <c r="F26" s="73"/>
      <c r="G26" s="73"/>
      <c r="H26" s="73"/>
      <c r="I26" s="73"/>
      <c r="J26" s="73"/>
      <c r="K26" s="73"/>
      <c r="L26" s="73"/>
      <c r="M26" s="73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2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2020-06-03T12:49:51Z</cp:lastPrinted>
  <dcterms:created xsi:type="dcterms:W3CDTF">2002-12-30T13:12:46Z</dcterms:created>
  <dcterms:modified xsi:type="dcterms:W3CDTF">2020-06-03T12:50:23Z</dcterms:modified>
  <cp:category/>
  <cp:version/>
  <cp:contentType/>
  <cp:contentStatus/>
</cp:coreProperties>
</file>