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35" windowWidth="14835" windowHeight="11745" tabRatio="839" firstSheet="1" activeTab="7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 sz adósság kötelezettség" sheetId="12" r:id="rId12"/>
    <sheet name="12.sz.m. . saját bevételek" sheetId="13" r:id="rId13"/>
    <sheet name="13. sz.m. előir felh terv" sheetId="14" r:id="rId14"/>
    <sheet name="14.sz.m. állami támogatás " sheetId="15" r:id="rId15"/>
    <sheet name="15. sz.m. közvetett tám." sheetId="16" r:id="rId16"/>
    <sheet name="16.sz.m. tartozás" sheetId="17" r:id="rId17"/>
  </sheets>
  <definedNames>
    <definedName name="_xlnm.Print_Area" localSheetId="1">'1 .sz.m.önk.össz.kiad.'!$A$2:$R$69</definedName>
    <definedName name="_xlnm.Print_Area" localSheetId="0">'1.sz.m-önk.össze.bev'!$A$1:$L$67</definedName>
    <definedName name="_xlnm.Print_Area" localSheetId="10">'10.sz.m.átadott pe (2)'!$A$1:$K$63</definedName>
    <definedName name="_xlnm.Print_Area" localSheetId="11">'11. sz adósság kötelezettség'!$A$1:$F$30</definedName>
    <definedName name="_xlnm.Print_Area" localSheetId="13">'13. sz.m. előir felh terv'!$A$1:$O$22</definedName>
    <definedName name="_xlnm.Print_Area" localSheetId="2">'2.sz.m.összehasonlító'!$A$1:$D$34</definedName>
    <definedName name="_xlnm.Print_Area" localSheetId="3">'3.sz.m Önk  bev.'!$A$1:$H$65</definedName>
    <definedName name="_xlnm.Print_Area" localSheetId="4">'4.sz.m.ÖNK kiadás'!$A$1:$H$38</definedName>
    <definedName name="_xlnm.Print_Area" localSheetId="5">'5. sz. m óvoda'!$A$1:$J$51</definedName>
    <definedName name="_xlnm.Print_Area" localSheetId="6">'6 .sz.m. Létszám (2)'!$A$1:$K$22</definedName>
    <definedName name="_xlnm.Print_Area" localSheetId="7">'7.sz.m.fejlesztés (2)'!$A$3:$G$34</definedName>
    <definedName name="_xlnm.Print_Area" localSheetId="8">'8.sz.m.Dologi kiadás (2)'!$A$1:$F$25</definedName>
    <definedName name="_xlnm.Print_Area" localSheetId="9">'9.sz.m.szociális kiadások'!$A$1:$G$43</definedName>
  </definedNames>
  <calcPr fullCalcOnLoad="1"/>
</workbook>
</file>

<file path=xl/sharedStrings.xml><?xml version="1.0" encoding="utf-8"?>
<sst xmlns="http://schemas.openxmlformats.org/spreadsheetml/2006/main" count="1172" uniqueCount="613">
  <si>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</si>
  <si>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</si>
  <si>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</si>
  <si>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</si>
  <si>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</si>
  <si>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</si>
  <si>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</si>
  <si>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</si>
  <si>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</si>
  <si>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</si>
  <si>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</si>
  <si>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</si>
  <si>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</si>
  <si>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</si>
  <si>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</si>
  <si>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</si>
  <si>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</si>
  <si>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</si>
  <si>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</si>
  <si>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</si>
  <si>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</si>
  <si>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</si>
  <si>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</si>
  <si>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</si>
  <si>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</si>
  <si>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</si>
  <si>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</si>
  <si>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</si>
  <si>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</si>
  <si>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</si>
  <si>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</si>
  <si>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</si>
  <si>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</si>
  <si>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</si>
  <si>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</si>
  <si>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</si>
  <si>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</si>
  <si>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</si>
  <si>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</si>
  <si>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</si>
  <si>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</si>
  <si>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</si>
  <si>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</si>
  <si>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</si>
  <si>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</si>
  <si>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</si>
  <si>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</si>
  <si>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</si>
  <si>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</si>
  <si>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</si>
  <si>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</si>
  <si>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</si>
  <si>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</si>
  <si>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</si>
  <si>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</si>
  <si>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</si>
  <si>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</si>
  <si>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</si>
  <si>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</si>
  <si>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</si>
  <si>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</si>
  <si>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</si>
  <si>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</si>
  <si>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</si>
  <si>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</si>
  <si>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</si>
  <si>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</si>
  <si>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</si>
  <si>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</si>
  <si>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</si>
  <si>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</si>
  <si>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</si>
  <si>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</si>
  <si>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</si>
  <si>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</si>
  <si>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</si>
  <si>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</si>
  <si>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</si>
  <si>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</si>
  <si>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</si>
  <si>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</si>
  <si>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</si>
  <si>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</si>
  <si>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</si>
  <si>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</si>
  <si>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</si>
  <si>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</si>
  <si>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</si>
  <si>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</si>
  <si>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</si>
  <si>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</si>
  <si>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</si>
  <si>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</si>
  <si>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</si>
  <si>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</si>
  <si>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</si>
  <si>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</si>
  <si>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</si>
  <si>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</si>
  <si>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</si>
  <si>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</si>
  <si>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</si>
  <si>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</si>
  <si>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</si>
  <si>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</si>
  <si>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</si>
  <si>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</si>
  <si>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</si>
  <si>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</si>
  <si>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</si>
  <si>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</si>
  <si>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</si>
  <si>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</si>
  <si>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</si>
  <si>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</si>
  <si>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</si>
  <si>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</si>
  <si>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</si>
  <si>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</si>
  <si>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</si>
  <si>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</si>
  <si>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</si>
  <si>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</si>
  <si>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</si>
  <si>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</si>
  <si>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</si>
  <si>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</si>
  <si>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</si>
  <si>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</si>
  <si>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</si>
  <si>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</si>
  <si>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</si>
  <si>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</si>
  <si>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</si>
  <si>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</si>
  <si>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</si>
  <si>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</si>
  <si>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</si>
  <si>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</si>
  <si>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</si>
  <si>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</si>
  <si>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</si>
  <si>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</si>
  <si>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</si>
  <si>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</si>
  <si>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</si>
  <si>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</si>
  <si>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</si>
  <si>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</si>
  <si>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</si>
  <si>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</si>
  <si>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</si>
  <si>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</si>
  <si>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</si>
  <si>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</si>
  <si>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</si>
  <si>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</si>
  <si>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</si>
  <si>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</si>
  <si>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</si>
  <si>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</si>
  <si>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</si>
  <si>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</si>
  <si>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</si>
  <si>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</si>
  <si>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</si>
  <si>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</si>
  <si>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</si>
  <si>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</si>
  <si>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</si>
  <si>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</si>
  <si>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</si>
  <si>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</si>
  <si>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</si>
  <si>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</si>
  <si>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</si>
  <si>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</si>
  <si>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</si>
  <si>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</si>
  <si>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</si>
  <si>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</si>
  <si>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</si>
  <si>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</si>
  <si>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</si>
  <si>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</si>
  <si>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</si>
  <si>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</si>
  <si>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</si>
  <si>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</si>
  <si>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</si>
  <si>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</si>
  <si>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</si>
  <si>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</si>
  <si>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</si>
  <si>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</si>
  <si>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</si>
  <si>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</si>
  <si>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</si>
  <si>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</si>
  <si>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</si>
  <si>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</si>
  <si>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</si>
  <si>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</si>
  <si>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</si>
  <si>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</si>
  <si>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</si>
  <si>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</si>
  <si>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</si>
  <si>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</si>
  <si>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</si>
  <si>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</si>
  <si>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</si>
  <si>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</si>
  <si>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</si>
  <si>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</si>
  <si>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</si>
  <si>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</si>
  <si>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</si>
  <si>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</si>
  <si>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</si>
  <si>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</si>
  <si>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</si>
  <si>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</si>
  <si>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</si>
  <si>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</si>
  <si>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</si>
  <si>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</si>
  <si>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</si>
  <si>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</si>
  <si>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</si>
  <si>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</si>
  <si>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</si>
  <si>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</si>
  <si>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</si>
  <si>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</si>
  <si>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</si>
  <si>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</si>
  <si>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</si>
  <si>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</si>
  <si>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</si>
  <si>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</si>
  <si>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</si>
  <si>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</si>
  <si>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</si>
  <si>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</si>
  <si>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</si>
  <si>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</si>
  <si>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</si>
  <si>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</si>
  <si>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</si>
  <si>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</si>
  <si>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</si>
  <si>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</si>
  <si>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</si>
  <si>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</si>
  <si>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</si>
  <si>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</si>
  <si>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</si>
  <si>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</si>
  <si>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</si>
  <si>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</si>
  <si>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</si>
  <si>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</si>
  <si>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</si>
  <si>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</si>
  <si>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</si>
  <si>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</si>
  <si>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</si>
  <si>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</si>
  <si>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</si>
  <si>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</si>
  <si>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</si>
  <si>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</si>
  <si>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</si>
  <si>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</si>
  <si>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</si>
  <si>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</si>
  <si>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</si>
  <si>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</si>
  <si>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</si>
  <si>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</si>
  <si>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</si>
  <si>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</si>
  <si>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</si>
  <si>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</si>
  <si>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</si>
  <si>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</si>
  <si>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</si>
  <si>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</si>
  <si>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</si>
  <si>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július 1.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</si>
  <si>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</si>
  <si>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</si>
  <si>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</si>
  <si>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</si>
  <si>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</si>
  <si>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</si>
  <si>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</si>
  <si>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</si>
  <si>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</si>
  <si>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</si>
  <si>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</si>
  <si>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</si>
  <si>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</si>
  <si>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</si>
  <si>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</si>
  <si>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Nem veszélyes hulladék kezelése, ártalmatlanítása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</si>
  <si>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</si>
  <si>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</si>
  <si>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</si>
  <si>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</si>
  <si>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</si>
  <si>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</si>
  <si>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</si>
  <si>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</si>
  <si>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</si>
  <si>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</si>
  <si>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</si>
  <si>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Települési támogatás Szt. 45 §.(1)</t>
  </si>
  <si>
    <t>Ö</t>
  </si>
  <si>
    <t xml:space="preserve">Átmeneti segély Szt. 45. §                      </t>
  </si>
  <si>
    <t>Temetési segély 46. §</t>
  </si>
  <si>
    <t>Rendkivüli települési támogatás Szt. 45.§.(4)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</si>
  <si>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</si>
  <si>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</si>
  <si>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</si>
  <si>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</si>
  <si>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</si>
  <si>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</si>
  <si>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</si>
  <si>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</si>
  <si>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</si>
  <si>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Pótlék rendszeres gyermekvédelmi kedvezményez Gyvt. 20/B.§.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</si>
  <si>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</si>
  <si>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</si>
  <si>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</si>
  <si>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</si>
  <si>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</si>
  <si>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</si>
  <si>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</si>
  <si>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</si>
  <si>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Móvár Nagytérségi Hulladékgazd. Témamenedzselés</t>
  </si>
  <si>
    <t>Pannon-Víz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</si>
  <si>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</si>
  <si>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</si>
  <si>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</si>
  <si>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</si>
  <si>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</si>
  <si>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</si>
  <si>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</si>
  <si>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</si>
  <si>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</si>
  <si>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</si>
  <si>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</si>
  <si>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</si>
  <si>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</si>
  <si>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</si>
  <si>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</si>
  <si>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</si>
  <si>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</si>
  <si>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</si>
  <si>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</si>
  <si>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</si>
  <si>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</si>
  <si>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</si>
  <si>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Közvilágítás bővítés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</si>
  <si>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</si>
  <si>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</si>
  <si>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</si>
  <si>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</si>
  <si>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</si>
  <si>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</si>
  <si>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</si>
  <si>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</si>
  <si>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</si>
  <si>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</si>
  <si>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</si>
  <si>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</si>
  <si>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</si>
  <si>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</si>
  <si>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</si>
  <si>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</si>
  <si>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</si>
  <si>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</si>
  <si>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</si>
  <si>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</si>
  <si>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</si>
  <si>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</si>
  <si>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</si>
  <si>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</si>
  <si>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</si>
  <si>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</si>
  <si>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</si>
  <si>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</si>
  <si>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</si>
  <si>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</si>
  <si>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</si>
  <si>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</si>
  <si>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</si>
  <si>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</si>
  <si>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</si>
  <si>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Helyi adók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</si>
  <si>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</si>
  <si>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</si>
  <si>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</si>
  <si>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</si>
  <si>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</si>
  <si>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</si>
  <si>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</si>
  <si>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</si>
  <si>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</si>
  <si>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</si>
  <si>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</si>
  <si>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mód. II., III., IV.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</si>
  <si>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</si>
  <si>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</si>
  <si>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</si>
  <si>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</si>
  <si>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</si>
  <si>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</si>
  <si>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</si>
  <si>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</si>
  <si>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</si>
  <si>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</si>
  <si>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</si>
  <si>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</si>
  <si>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</si>
  <si>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</si>
  <si>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</si>
  <si>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</si>
  <si>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</si>
  <si>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</si>
  <si>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</si>
  <si>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Vis maior</t>
  </si>
  <si>
    <t>Közművelődési érdekeltségnövelő támogatás</t>
  </si>
  <si>
    <t>Könyvtári érdekeltségnövelő támogatá</t>
  </si>
  <si>
    <t>Nyári gyermekétkeztetés</t>
  </si>
  <si>
    <t>Szerkezetátalakítási tartalékból foly.támogatás d)</t>
  </si>
  <si>
    <t>Állami megelőlegzés</t>
  </si>
  <si>
    <t>K914</t>
  </si>
  <si>
    <t xml:space="preserve">forintban </t>
  </si>
  <si>
    <t>Egyéb pénzbeli támogatás  /bursa/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</si>
  <si>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</si>
  <si>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</si>
  <si>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</si>
  <si>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</si>
  <si>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</si>
  <si>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</si>
  <si>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Ktgvetési  vsszatérülések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</si>
  <si>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</si>
  <si>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</si>
  <si>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</si>
  <si>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</si>
  <si>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</si>
  <si>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Ktgvetési   visszatérülések</t>
  </si>
  <si>
    <t>Könyvtári állománygyarapítás</t>
  </si>
  <si>
    <t>Magyar Máltai Szeretetszolgálat</t>
  </si>
  <si>
    <t>2016. évi bérkompenzáció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</si>
  <si>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</si>
  <si>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</si>
  <si>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</si>
  <si>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</si>
  <si>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</si>
  <si>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</si>
  <si>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</si>
  <si>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</si>
  <si>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</si>
  <si>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</si>
  <si>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>2016. évi belső forrásból fedezhető működési hiány</t>
  </si>
  <si>
    <t xml:space="preserve">2016.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</si>
  <si>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</si>
  <si>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</si>
  <si>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2016. évi külső forrásból fedezhető felhalmozási hiány </t>
  </si>
  <si>
    <t>2016. évi külső forrásból fedezhető összes hiány (1.+2.)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</si>
  <si>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</si>
  <si>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</si>
  <si>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</si>
  <si>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</si>
  <si>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</si>
  <si>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</si>
  <si>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</si>
  <si>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</si>
  <si>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</si>
  <si>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</si>
  <si>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</si>
  <si>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</si>
  <si>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</si>
  <si>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</si>
  <si>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</si>
  <si>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</si>
  <si>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</si>
  <si>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</si>
  <si>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</si>
  <si>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</si>
  <si>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</si>
  <si>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</si>
  <si>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</si>
  <si>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>Magyar Vöröskereszt Rábakecöli Alapszervezete (2015. évi áthúzódó támogatás)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</si>
  <si>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</si>
  <si>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</si>
  <si>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</si>
  <si>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</si>
  <si>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</si>
  <si>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</si>
  <si>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</si>
  <si>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</si>
  <si>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</si>
  <si>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</si>
  <si>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</si>
  <si>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Rábakecöli Vadgesztenye Egységes Óvoda-Bölcsőde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</si>
  <si>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</si>
  <si>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</si>
  <si>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</si>
  <si>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</si>
  <si>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</si>
  <si>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</si>
  <si>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</si>
  <si>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</si>
  <si>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</si>
  <si>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</si>
  <si>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</si>
  <si>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</si>
  <si>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</si>
  <si>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</si>
  <si>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</si>
  <si>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</si>
  <si>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</si>
  <si>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</si>
  <si>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</si>
  <si>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</si>
  <si>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</si>
  <si>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</si>
  <si>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</si>
  <si>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</si>
  <si>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</si>
  <si>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</si>
  <si>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</si>
  <si>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</si>
  <si>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</si>
  <si>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</si>
  <si>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</si>
  <si>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</si>
  <si>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</si>
  <si>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</si>
  <si>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</si>
  <si>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</si>
  <si>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Szociális tüzelőanyag támogatás</t>
  </si>
  <si>
    <t>Önkormányzat saját hatáskörben adott egyéb támogatás</t>
  </si>
  <si>
    <t>Beledi Közös Önkormányzati Hivatal</t>
  </si>
  <si>
    <t>Orvosi ügyelet - társulás</t>
  </si>
  <si>
    <t>Orvosi ügyelet - önkormányzat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</si>
  <si>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</si>
  <si>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</si>
  <si>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</si>
  <si>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</si>
  <si>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</si>
  <si>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Szociális tüzelőanyag támogatás (Kvtv. 1. melléklet IX. 18.)</t>
  </si>
  <si>
    <t>Rendkívüli önkormányzati támogatás (Kvtv. 3. melléklet III. 1. c) pont)</t>
  </si>
  <si>
    <t>2017. év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</si>
  <si>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</si>
  <si>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</si>
  <si>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</si>
  <si>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</si>
  <si>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</si>
  <si>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Rábakecöl Községi Önkormányzat 2017. évi bevételi előirányzatai</t>
  </si>
  <si>
    <t>Rábakecöl  Községi Önkormányzat 2017. évi kiadási előirányzatai</t>
  </si>
  <si>
    <t>Rábakecöl Községi Önkormányzat 2017. évi kiadási előirányzatai</t>
  </si>
  <si>
    <t>Rábakecöl Községi Önkormányzat költségvetési szerveinek 2017. évi létszámkerete</t>
  </si>
  <si>
    <t>2017. január 1.</t>
  </si>
  <si>
    <t>Önkormányzatok és önkormányzati hivatalok jogalkotó tevékenysége</t>
  </si>
  <si>
    <t>Területfejlesztési és területrendezési helyi feladatok</t>
  </si>
  <si>
    <t>Finanszírozási műveletek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</si>
  <si>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</si>
  <si>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</si>
  <si>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</si>
  <si>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Rendőrség támogatása</t>
  </si>
  <si>
    <t>2 db buszváró beszerzése</t>
  </si>
  <si>
    <t>óvoda épületén ablakcsere</t>
  </si>
  <si>
    <t>1 db fűnyíró beszerzése</t>
  </si>
  <si>
    <t>VP6-7.2.1-7.4.1.2-16 pályázathoz gépbeszerzések</t>
  </si>
  <si>
    <t>Könyvtári infrastruktúra fejlesztés</t>
  </si>
  <si>
    <t>Köztemető járdafelújítás</t>
  </si>
  <si>
    <t>IKSZT földszint átalakítása</t>
  </si>
  <si>
    <t>Előirányzat-felhasználási terv
2017. évre</t>
  </si>
  <si>
    <t>11. számú melléklet</t>
  </si>
  <si>
    <t>Önkormányzat adósságot keletkeztető ügyletekből és kezességvállalásokból fennálló kötelezettségei</t>
  </si>
  <si>
    <t xml:space="preserve">Forintban </t>
  </si>
  <si>
    <t>MEGNEVEZÉS</t>
  </si>
  <si>
    <t>Évek</t>
  </si>
  <si>
    <t>ÖSSZES KÖTELEZETTSÉG</t>
  </si>
  <si>
    <t>A 2017. évi általános működés és ágazati feladatok támogatásának alakulása jogcímenként</t>
  </si>
  <si>
    <t>......................, 2017. .......................... hó ..... nap</t>
  </si>
  <si>
    <t>I.6.   2016. évről áthúzódó bérkompenzáció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</si>
  <si>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</si>
  <si>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</si>
  <si>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</si>
  <si>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</si>
  <si>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</si>
  <si>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</si>
  <si>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Rábakecöli Vadgesztenye Egységes Óvoda - Bölcsőde</t>
  </si>
  <si>
    <t>16. számú melléklet</t>
  </si>
  <si>
    <t>adatok Ft-ban</t>
  </si>
  <si>
    <t>Tornacsarnok felújítása VP6-7.4.1.1-16 pályázat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</si>
  <si>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VP6-7.4.1.1-16 pályázat keretein belül tornacsarnok épületének külső felújítására, energetikai fejlesztésére</t>
    </r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</si>
  <si>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VP6-7.4.1.1-16 pályázat keretein belül tornacsarnok épületének külső felújítására, energetikai fejlesztésére</t>
    </r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</si>
  <si>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VP6-7.2.1-7.4.1.2-16 pályázat keretein belül külterületi helyi közutak fejlesztése, önkormányzati utak kezeléséhez, állapotjavításához szükséges erő- és munkagépek beszerzése</t>
    </r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</si>
  <si>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VP6-7.2.1-7.4.1.2-16 pályázat keretein belül külterületi helyi közutak fejlesztése, önkormányzati utak kezeléséhez, állapotjavításához szükséges erő- és munkagépek beszerzése</t>
    </r>
  </si>
  <si>
    <t>K512</t>
  </si>
  <si>
    <t>Civil szervezetek támogatása (pályázati keret) ebből:</t>
  </si>
  <si>
    <t>"Rábakecöl Jövőjéért" Alapítvány</t>
  </si>
  <si>
    <t>Pajtaműhely Hagyományőrző Közművelődési Alapítvány</t>
  </si>
  <si>
    <t>2017. évi előirányzat</t>
  </si>
  <si>
    <t>2017. évi önkormányzati bérkompenzáció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</si>
</sst>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#,##0.0"/>
  </numFmts>
  <fonts count="13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15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16" fillId="0" borderId="0" applyNumberFormat="0" applyFill="0" applyBorder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19" fillId="0" borderId="0" applyNumberFormat="0" applyFill="0" applyBorder="0" applyAlignment="0" applyProtection="0"/>
    <xf numFmtId="0" fontId="120" fillId="37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2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42" borderId="0" applyNumberFormat="0" applyBorder="0" applyAlignment="0" applyProtection="0"/>
    <xf numFmtId="0" fontId="114" fillId="43" borderId="0" applyNumberFormat="0" applyBorder="0" applyAlignment="0" applyProtection="0"/>
    <xf numFmtId="0" fontId="114" fillId="44" borderId="0" applyNumberFormat="0" applyBorder="0" applyAlignment="0" applyProtection="0"/>
    <xf numFmtId="0" fontId="123" fillId="45" borderId="0" applyNumberFormat="0" applyBorder="0" applyAlignment="0" applyProtection="0"/>
    <xf numFmtId="0" fontId="124" fillId="46" borderId="13" applyNumberFormat="0" applyAlignment="0" applyProtection="0"/>
    <xf numFmtId="0" fontId="12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2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47" borderId="0" applyNumberFormat="0" applyBorder="0" applyAlignment="0" applyProtection="0"/>
    <xf numFmtId="0" fontId="128" fillId="48" borderId="0" applyNumberFormat="0" applyBorder="0" applyAlignment="0" applyProtection="0"/>
    <xf numFmtId="0" fontId="129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276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7" fillId="0" borderId="0" xfId="10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7" applyNumberFormat="1" applyFont="1" applyFill="1" applyBorder="1" applyAlignment="1" applyProtection="1">
      <alignment vertical="center" wrapText="1"/>
      <protection/>
    </xf>
    <xf numFmtId="0" fontId="24" fillId="0" borderId="35" xfId="77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0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4" fontId="27" fillId="0" borderId="50" xfId="100" applyNumberFormat="1" applyFont="1" applyFill="1" applyBorder="1" applyAlignment="1" applyProtection="1">
      <alignment horizontal="left" vertical="center"/>
      <protection/>
    </xf>
    <xf numFmtId="0" fontId="16" fillId="0" borderId="0" xfId="100" applyFill="1">
      <alignment/>
      <protection/>
    </xf>
    <xf numFmtId="3" fontId="33" fillId="0" borderId="0" xfId="100" applyNumberFormat="1" applyFont="1" applyFill="1" applyBorder="1">
      <alignment/>
      <protection/>
    </xf>
    <xf numFmtId="164" fontId="33" fillId="0" borderId="0" xfId="100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0" applyFont="1" applyFill="1" applyBorder="1" applyAlignment="1" applyProtection="1">
      <alignment horizontal="left" vertical="center" wrapText="1" indent="1"/>
      <protection/>
    </xf>
    <xf numFmtId="164" fontId="35" fillId="0" borderId="38" xfId="100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0" applyFont="1" applyFill="1">
      <alignment/>
      <protection/>
    </xf>
    <xf numFmtId="0" fontId="29" fillId="0" borderId="0" xfId="100" applyFont="1" applyFill="1" applyBorder="1" applyAlignment="1">
      <alignment horizontal="center" wrapText="1"/>
      <protection/>
    </xf>
    <xf numFmtId="164" fontId="35" fillId="0" borderId="51" xfId="100" applyNumberFormat="1" applyFont="1" applyFill="1" applyBorder="1" applyAlignment="1" applyProtection="1">
      <alignment horizontal="right" vertical="center" wrapText="1"/>
      <protection/>
    </xf>
    <xf numFmtId="164" fontId="35" fillId="0" borderId="52" xfId="100" applyNumberFormat="1" applyFont="1" applyFill="1" applyBorder="1" applyAlignment="1" applyProtection="1">
      <alignment horizontal="right" vertical="center" wrapText="1"/>
      <protection/>
    </xf>
    <xf numFmtId="164" fontId="35" fillId="0" borderId="53" xfId="100" applyNumberFormat="1" applyFont="1" applyFill="1" applyBorder="1" applyAlignment="1" applyProtection="1">
      <alignment horizontal="right" vertical="center" wrapText="1"/>
      <protection/>
    </xf>
    <xf numFmtId="3" fontId="35" fillId="0" borderId="52" xfId="100" applyNumberFormat="1" applyFont="1" applyFill="1" applyBorder="1" applyAlignment="1" applyProtection="1">
      <alignment horizontal="right" vertical="center" wrapText="1"/>
      <protection/>
    </xf>
    <xf numFmtId="3" fontId="35" fillId="0" borderId="54" xfId="10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0" applyFont="1" applyFill="1" applyAlignment="1">
      <alignment horizontal="center" wrapText="1"/>
      <protection/>
    </xf>
    <xf numFmtId="0" fontId="35" fillId="0" borderId="55" xfId="100" applyFont="1" applyFill="1" applyBorder="1" applyAlignment="1">
      <alignment horizontal="center"/>
      <protection/>
    </xf>
    <xf numFmtId="3" fontId="35" fillId="0" borderId="51" xfId="100" applyNumberFormat="1" applyFont="1" applyFill="1" applyBorder="1">
      <alignment/>
      <protection/>
    </xf>
    <xf numFmtId="3" fontId="38" fillId="0" borderId="56" xfId="100" applyNumberFormat="1" applyFont="1" applyFill="1" applyBorder="1">
      <alignment/>
      <protection/>
    </xf>
    <xf numFmtId="3" fontId="38" fillId="0" borderId="52" xfId="100" applyNumberFormat="1" applyFont="1" applyFill="1" applyBorder="1">
      <alignment/>
      <protection/>
    </xf>
    <xf numFmtId="164" fontId="38" fillId="0" borderId="56" xfId="100" applyNumberFormat="1" applyFont="1" applyFill="1" applyBorder="1">
      <alignment/>
      <protection/>
    </xf>
    <xf numFmtId="164" fontId="38" fillId="0" borderId="52" xfId="100" applyNumberFormat="1" applyFont="1" applyFill="1" applyBorder="1">
      <alignment/>
      <protection/>
    </xf>
    <xf numFmtId="3" fontId="38" fillId="0" borderId="57" xfId="100" applyNumberFormat="1" applyFont="1" applyFill="1" applyBorder="1">
      <alignment/>
      <protection/>
    </xf>
    <xf numFmtId="3" fontId="38" fillId="0" borderId="54" xfId="100" applyNumberFormat="1" applyFont="1" applyFill="1" applyBorder="1">
      <alignment/>
      <protection/>
    </xf>
    <xf numFmtId="0" fontId="14" fillId="0" borderId="0" xfId="96" applyAlignment="1">
      <alignment vertical="center"/>
      <protection/>
    </xf>
    <xf numFmtId="3" fontId="14" fillId="0" borderId="0" xfId="96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4" fontId="47" fillId="0" borderId="62" xfId="0" applyNumberFormat="1" applyFont="1" applyFill="1" applyBorder="1" applyAlignment="1" applyProtection="1">
      <alignment horizontal="center" vertical="center" wrapText="1"/>
      <protection/>
    </xf>
    <xf numFmtId="164" fontId="47" fillId="0" borderId="63" xfId="0" applyNumberFormat="1" applyFont="1" applyFill="1" applyBorder="1" applyAlignment="1" applyProtection="1">
      <alignment horizontal="center" vertical="center" wrapText="1"/>
      <protection/>
    </xf>
    <xf numFmtId="164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0" applyFont="1" applyFill="1" applyBorder="1" applyAlignment="1" applyProtection="1">
      <alignment horizontal="left" vertical="center" wrapText="1" indent="1"/>
      <protection/>
    </xf>
    <xf numFmtId="164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0" applyFont="1" applyFill="1" applyBorder="1" applyAlignment="1" applyProtection="1">
      <alignment horizontal="left" vertical="center" wrapText="1" indent="1"/>
      <protection/>
    </xf>
    <xf numFmtId="0" fontId="34" fillId="0" borderId="38" xfId="100" applyFont="1" applyFill="1" applyBorder="1" applyAlignment="1" applyProtection="1">
      <alignment horizontal="left" vertical="center" wrapText="1" indent="1"/>
      <protection/>
    </xf>
    <xf numFmtId="0" fontId="34" fillId="0" borderId="61" xfId="100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0" applyFont="1" applyFill="1" applyBorder="1" applyAlignment="1" applyProtection="1">
      <alignment horizontal="left" vertical="center" wrapText="1" indent="1"/>
      <protection/>
    </xf>
    <xf numFmtId="164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0" applyFont="1" applyFill="1" applyBorder="1" applyAlignment="1" applyProtection="1">
      <alignment horizontal="left" vertical="center" wrapText="1" indent="1"/>
      <protection/>
    </xf>
    <xf numFmtId="164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0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0" applyFont="1" applyFill="1" applyBorder="1" applyAlignment="1" applyProtection="1">
      <alignment horizontal="left" vertical="center" wrapText="1" indent="1"/>
      <protection/>
    </xf>
    <xf numFmtId="164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0" applyNumberFormat="1" applyFont="1" applyFill="1" applyBorder="1" applyAlignment="1" applyProtection="1">
      <alignment horizontal="left" vertical="center" wrapText="1" indent="1"/>
      <protection/>
    </xf>
    <xf numFmtId="164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0" applyNumberFormat="1" applyFont="1" applyFill="1" applyBorder="1" applyAlignment="1" applyProtection="1">
      <alignment horizontal="left" vertical="center" wrapText="1" indent="1"/>
      <protection/>
    </xf>
    <xf numFmtId="164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0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0" applyFont="1" applyFill="1" applyBorder="1" applyAlignment="1" applyProtection="1">
      <alignment horizontal="left" vertical="center" wrapText="1" indent="1"/>
      <protection/>
    </xf>
    <xf numFmtId="164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0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4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0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0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0" fontId="15" fillId="0" borderId="0" xfId="98" applyFont="1" applyAlignment="1">
      <alignment horizontal="left" vertical="center" wrapText="1"/>
      <protection/>
    </xf>
    <xf numFmtId="0" fontId="60" fillId="0" borderId="0" xfId="98" applyFont="1" applyAlignment="1">
      <alignment horizontal="center" vertical="center"/>
      <protection/>
    </xf>
    <xf numFmtId="0" fontId="61" fillId="0" borderId="0" xfId="98" applyFont="1" applyAlignment="1">
      <alignment horizontal="right" vertical="center"/>
      <protection/>
    </xf>
    <xf numFmtId="0" fontId="62" fillId="0" borderId="0" xfId="98" applyFont="1" applyAlignment="1">
      <alignment horizontal="center" vertical="center"/>
      <protection/>
    </xf>
    <xf numFmtId="0" fontId="63" fillId="0" borderId="54" xfId="98" applyFont="1" applyBorder="1" applyAlignment="1">
      <alignment horizontal="center" vertical="center" wrapText="1"/>
      <protection/>
    </xf>
    <xf numFmtId="0" fontId="63" fillId="0" borderId="42" xfId="98" applyFont="1" applyBorder="1" applyAlignment="1">
      <alignment horizontal="center" vertical="center" wrapText="1"/>
      <protection/>
    </xf>
    <xf numFmtId="0" fontId="63" fillId="0" borderId="76" xfId="98" applyFont="1" applyBorder="1" applyAlignment="1">
      <alignment horizontal="center" vertical="center" wrapText="1"/>
      <protection/>
    </xf>
    <xf numFmtId="0" fontId="60" fillId="0" borderId="76" xfId="98" applyFont="1" applyBorder="1" applyAlignment="1">
      <alignment horizontal="center" vertical="center"/>
      <protection/>
    </xf>
    <xf numFmtId="0" fontId="60" fillId="0" borderId="42" xfId="98" applyFont="1" applyBorder="1" applyAlignment="1">
      <alignment horizontal="center" vertical="center"/>
      <protection/>
    </xf>
    <xf numFmtId="0" fontId="65" fillId="0" borderId="65" xfId="98" applyFont="1" applyBorder="1" applyAlignment="1">
      <alignment horizontal="left" vertical="center" wrapText="1"/>
      <protection/>
    </xf>
    <xf numFmtId="2" fontId="66" fillId="0" borderId="52" xfId="98" applyNumberFormat="1" applyFont="1" applyFill="1" applyBorder="1" applyAlignment="1">
      <alignment horizontal="center" vertical="center" wrapText="1"/>
      <protection/>
    </xf>
    <xf numFmtId="2" fontId="66" fillId="0" borderId="44" xfId="98" applyNumberFormat="1" applyFont="1" applyFill="1" applyBorder="1" applyAlignment="1">
      <alignment horizontal="center" vertical="center" wrapText="1"/>
      <protection/>
    </xf>
    <xf numFmtId="1" fontId="66" fillId="0" borderId="39" xfId="98" applyNumberFormat="1" applyFont="1" applyFill="1" applyBorder="1" applyAlignment="1">
      <alignment horizontal="center" vertical="center" wrapText="1"/>
      <protection/>
    </xf>
    <xf numFmtId="2" fontId="66" fillId="0" borderId="65" xfId="98" applyNumberFormat="1" applyFont="1" applyFill="1" applyBorder="1" applyAlignment="1">
      <alignment horizontal="center" vertical="center" wrapText="1"/>
      <protection/>
    </xf>
    <xf numFmtId="1" fontId="66" fillId="0" borderId="69" xfId="98" applyNumberFormat="1" applyFont="1" applyFill="1" applyBorder="1" applyAlignment="1">
      <alignment horizontal="center" vertical="center" wrapText="1"/>
      <protection/>
    </xf>
    <xf numFmtId="0" fontId="60" fillId="0" borderId="72" xfId="98" applyFont="1" applyBorder="1" applyAlignment="1">
      <alignment horizontal="center" vertical="center"/>
      <protection/>
    </xf>
    <xf numFmtId="10" fontId="60" fillId="0" borderId="73" xfId="98" applyNumberFormat="1" applyFont="1" applyBorder="1" applyAlignment="1">
      <alignment horizontal="center" vertical="center"/>
      <protection/>
    </xf>
    <xf numFmtId="0" fontId="60" fillId="0" borderId="65" xfId="98" applyFont="1" applyBorder="1" applyAlignment="1">
      <alignment horizontal="center" vertical="center"/>
      <protection/>
    </xf>
    <xf numFmtId="10" fontId="60" fillId="0" borderId="39" xfId="98" applyNumberFormat="1" applyFont="1" applyBorder="1" applyAlignment="1">
      <alignment horizontal="center" vertical="center"/>
      <protection/>
    </xf>
    <xf numFmtId="0" fontId="65" fillId="0" borderId="30" xfId="0" applyFont="1" applyBorder="1" applyAlignment="1">
      <alignment vertical="center" wrapText="1"/>
    </xf>
    <xf numFmtId="2" fontId="66" fillId="0" borderId="54" xfId="98" applyNumberFormat="1" applyFont="1" applyFill="1" applyBorder="1" applyAlignment="1">
      <alignment horizontal="center" vertical="center" wrapText="1"/>
      <protection/>
    </xf>
    <xf numFmtId="2" fontId="66" fillId="0" borderId="76" xfId="98" applyNumberFormat="1" applyFont="1" applyFill="1" applyBorder="1" applyAlignment="1">
      <alignment horizontal="center" vertical="center" wrapText="1"/>
      <protection/>
    </xf>
    <xf numFmtId="1" fontId="66" fillId="0" borderId="42" xfId="98" applyNumberFormat="1" applyFont="1" applyFill="1" applyBorder="1" applyAlignment="1">
      <alignment horizontal="center" vertical="center" wrapText="1"/>
      <protection/>
    </xf>
    <xf numFmtId="0" fontId="60" fillId="0" borderId="62" xfId="98" applyFont="1" applyBorder="1" applyAlignment="1">
      <alignment horizontal="center" vertical="center"/>
      <protection/>
    </xf>
    <xf numFmtId="10" fontId="60" fillId="0" borderId="79" xfId="98" applyNumberFormat="1" applyFont="1" applyBorder="1" applyAlignment="1">
      <alignment horizontal="center" vertical="center"/>
      <protection/>
    </xf>
    <xf numFmtId="0" fontId="46" fillId="0" borderId="58" xfId="98" applyFont="1" applyBorder="1" applyAlignment="1">
      <alignment horizontal="left" vertical="center" wrapText="1"/>
      <protection/>
    </xf>
    <xf numFmtId="2" fontId="67" fillId="0" borderId="53" xfId="98" applyNumberFormat="1" applyFont="1" applyBorder="1" applyAlignment="1">
      <alignment horizontal="center" vertical="center"/>
      <protection/>
    </xf>
    <xf numFmtId="1" fontId="67" fillId="0" borderId="71" xfId="98" applyNumberFormat="1" applyFont="1" applyBorder="1" applyAlignment="1">
      <alignment horizontal="center" vertical="center"/>
      <protection/>
    </xf>
    <xf numFmtId="2" fontId="67" fillId="0" borderId="58" xfId="98" applyNumberFormat="1" applyFont="1" applyBorder="1" applyAlignment="1">
      <alignment horizontal="center" vertical="center"/>
      <protection/>
    </xf>
    <xf numFmtId="1" fontId="67" fillId="0" borderId="23" xfId="98" applyNumberFormat="1" applyFont="1" applyBorder="1" applyAlignment="1">
      <alignment horizontal="center" vertical="center"/>
      <protection/>
    </xf>
    <xf numFmtId="10" fontId="60" fillId="0" borderId="22" xfId="98" applyNumberFormat="1" applyFont="1" applyBorder="1" applyAlignment="1">
      <alignment horizontal="center" vertical="center"/>
      <protection/>
    </xf>
    <xf numFmtId="10" fontId="60" fillId="0" borderId="0" xfId="98" applyNumberFormat="1" applyFont="1" applyAlignment="1">
      <alignment horizontal="center" vertical="center"/>
      <protection/>
    </xf>
    <xf numFmtId="1" fontId="67" fillId="0" borderId="19" xfId="98" applyNumberFormat="1" applyFont="1" applyBorder="1" applyAlignment="1">
      <alignment horizontal="center" vertical="center" wrapText="1"/>
      <protection/>
    </xf>
    <xf numFmtId="1" fontId="67" fillId="0" borderId="20" xfId="98" applyNumberFormat="1" applyFont="1" applyBorder="1" applyAlignment="1">
      <alignment horizontal="center" vertical="center" wrapText="1"/>
      <protection/>
    </xf>
    <xf numFmtId="1" fontId="67" fillId="0" borderId="80" xfId="98" applyNumberFormat="1" applyFont="1" applyBorder="1" applyAlignment="1">
      <alignment horizontal="center" vertical="center" wrapText="1"/>
      <protection/>
    </xf>
    <xf numFmtId="0" fontId="60" fillId="0" borderId="19" xfId="98" applyFont="1" applyBorder="1" applyAlignment="1">
      <alignment horizontal="center" vertical="center"/>
      <protection/>
    </xf>
    <xf numFmtId="10" fontId="60" fillId="0" borderId="80" xfId="98" applyNumberFormat="1" applyFont="1" applyBorder="1" applyAlignment="1">
      <alignment horizontal="center" vertical="center"/>
      <protection/>
    </xf>
    <xf numFmtId="0" fontId="14" fillId="0" borderId="0" xfId="96">
      <alignment/>
      <protection/>
    </xf>
    <xf numFmtId="0" fontId="68" fillId="0" borderId="0" xfId="96" applyFont="1">
      <alignment/>
      <protection/>
    </xf>
    <xf numFmtId="3" fontId="14" fillId="0" borderId="0" xfId="96" applyNumberFormat="1">
      <alignment/>
      <protection/>
    </xf>
    <xf numFmtId="0" fontId="68" fillId="0" borderId="0" xfId="96" applyFont="1" applyAlignment="1">
      <alignment horizontal="right"/>
      <protection/>
    </xf>
    <xf numFmtId="0" fontId="15" fillId="0" borderId="0" xfId="99">
      <alignment/>
      <protection/>
    </xf>
    <xf numFmtId="0" fontId="43" fillId="0" borderId="23" xfId="96" applyFont="1" applyBorder="1" applyAlignment="1">
      <alignment horizontal="center" vertical="center" wrapText="1"/>
      <protection/>
    </xf>
    <xf numFmtId="0" fontId="14" fillId="0" borderId="0" xfId="96" applyAlignment="1">
      <alignment vertical="center" wrapText="1"/>
      <protection/>
    </xf>
    <xf numFmtId="0" fontId="43" fillId="0" borderId="60" xfId="96" applyFont="1" applyBorder="1" applyAlignment="1">
      <alignment horizontal="center" vertical="center" wrapText="1"/>
      <protection/>
    </xf>
    <xf numFmtId="166" fontId="71" fillId="0" borderId="43" xfId="99" applyNumberFormat="1" applyFont="1" applyBorder="1" applyAlignment="1">
      <alignment horizontal="center" vertical="center" wrapText="1"/>
      <protection/>
    </xf>
    <xf numFmtId="0" fontId="43" fillId="0" borderId="21" xfId="96" applyFont="1" applyBorder="1" applyAlignment="1">
      <alignment horizontal="center" vertical="center" wrapText="1"/>
      <protection/>
    </xf>
    <xf numFmtId="3" fontId="72" fillId="0" borderId="21" xfId="99" applyNumberFormat="1" applyFont="1" applyBorder="1" applyAlignment="1">
      <alignment horizontal="right" vertical="center" wrapText="1"/>
      <protection/>
    </xf>
    <xf numFmtId="0" fontId="72" fillId="0" borderId="21" xfId="99" applyFont="1" applyFill="1" applyBorder="1" applyAlignment="1">
      <alignment horizontal="left"/>
      <protection/>
    </xf>
    <xf numFmtId="0" fontId="14" fillId="0" borderId="21" xfId="96" applyFont="1" applyBorder="1" applyAlignment="1">
      <alignment horizontal="center" vertical="center"/>
      <protection/>
    </xf>
    <xf numFmtId="0" fontId="14" fillId="0" borderId="21" xfId="96" applyFont="1" applyBorder="1">
      <alignment/>
      <protection/>
    </xf>
    <xf numFmtId="0" fontId="14" fillId="0" borderId="23" xfId="96" applyFont="1" applyBorder="1" applyAlignment="1">
      <alignment horizontal="center" vertical="center"/>
      <protection/>
    </xf>
    <xf numFmtId="0" fontId="77" fillId="0" borderId="0" xfId="96" applyFont="1" applyAlignment="1">
      <alignment vertical="center"/>
      <protection/>
    </xf>
    <xf numFmtId="0" fontId="78" fillId="11" borderId="36" xfId="96" applyFont="1" applyFill="1" applyBorder="1" applyAlignment="1">
      <alignment horizontal="center" vertical="center" wrapText="1"/>
      <protection/>
    </xf>
    <xf numFmtId="0" fontId="78" fillId="11" borderId="63" xfId="96" applyFont="1" applyFill="1" applyBorder="1" applyAlignment="1">
      <alignment horizontal="center" vertical="center" wrapText="1"/>
      <protection/>
    </xf>
    <xf numFmtId="3" fontId="78" fillId="11" borderId="81" xfId="96" applyNumberFormat="1" applyFont="1" applyFill="1" applyBorder="1" applyAlignment="1">
      <alignment horizontal="center" vertical="center" wrapText="1"/>
      <protection/>
    </xf>
    <xf numFmtId="3" fontId="78" fillId="11" borderId="82" xfId="96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96" applyNumberFormat="1" applyFont="1" applyBorder="1" applyAlignment="1">
      <alignment horizontal="right" vertical="center" wrapText="1"/>
      <protection/>
    </xf>
    <xf numFmtId="10" fontId="79" fillId="0" borderId="44" xfId="96" applyNumberFormat="1" applyFont="1" applyBorder="1" applyAlignment="1">
      <alignment horizontal="right" vertical="center" wrapText="1"/>
      <protection/>
    </xf>
    <xf numFmtId="10" fontId="79" fillId="0" borderId="52" xfId="96" applyNumberFormat="1" applyFont="1" applyBorder="1" applyAlignment="1">
      <alignment horizontal="right" vertical="center" wrapText="1"/>
      <protection/>
    </xf>
    <xf numFmtId="3" fontId="79" fillId="0" borderId="52" xfId="96" applyNumberFormat="1" applyFont="1" applyFill="1" applyBorder="1" applyAlignment="1">
      <alignment vertical="center"/>
      <protection/>
    </xf>
    <xf numFmtId="3" fontId="78" fillId="11" borderId="83" xfId="96" applyNumberFormat="1" applyFont="1" applyFill="1" applyBorder="1" applyAlignment="1">
      <alignment horizontal="center" vertical="center" wrapText="1"/>
      <protection/>
    </xf>
    <xf numFmtId="3" fontId="78" fillId="11" borderId="84" xfId="96" applyNumberFormat="1" applyFont="1" applyFill="1" applyBorder="1" applyAlignment="1">
      <alignment horizontal="center" vertical="center" wrapText="1"/>
      <protection/>
    </xf>
    <xf numFmtId="10" fontId="46" fillId="11" borderId="84" xfId="96" applyNumberFormat="1" applyFont="1" applyFill="1" applyBorder="1" applyAlignment="1">
      <alignment horizontal="right" vertical="center" wrapText="1"/>
      <protection/>
    </xf>
    <xf numFmtId="3" fontId="78" fillId="0" borderId="0" xfId="96" applyNumberFormat="1" applyFont="1" applyFill="1" applyBorder="1" applyAlignment="1">
      <alignment horizontal="center" vertical="center" wrapText="1"/>
      <protection/>
    </xf>
    <xf numFmtId="3" fontId="46" fillId="0" borderId="0" xfId="96" applyNumberFormat="1" applyFont="1" applyFill="1" applyBorder="1" applyAlignment="1">
      <alignment horizontal="right" vertical="center" wrapText="1"/>
      <protection/>
    </xf>
    <xf numFmtId="0" fontId="14" fillId="0" borderId="0" xfId="96" applyFill="1" applyAlignment="1">
      <alignment vertical="center"/>
      <protection/>
    </xf>
    <xf numFmtId="0" fontId="78" fillId="11" borderId="85" xfId="96" applyFont="1" applyFill="1" applyBorder="1" applyAlignment="1">
      <alignment horizontal="center" vertical="center" wrapText="1"/>
      <protection/>
    </xf>
    <xf numFmtId="0" fontId="78" fillId="11" borderId="82" xfId="96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96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6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96" applyFont="1" applyAlignment="1">
      <alignment vertical="center"/>
      <protection/>
    </xf>
    <xf numFmtId="0" fontId="14" fillId="0" borderId="0" xfId="96" applyFont="1" applyAlignment="1">
      <alignment wrapText="1"/>
      <protection/>
    </xf>
    <xf numFmtId="0" fontId="14" fillId="0" borderId="0" xfId="96" applyFont="1">
      <alignment/>
      <protection/>
    </xf>
    <xf numFmtId="0" fontId="76" fillId="49" borderId="52" xfId="96" applyFont="1" applyFill="1" applyBorder="1" applyAlignment="1">
      <alignment horizontal="center" vertical="center"/>
      <protection/>
    </xf>
    <xf numFmtId="0" fontId="76" fillId="49" borderId="72" xfId="96" applyFont="1" applyFill="1" applyBorder="1" applyAlignment="1">
      <alignment horizontal="center" vertical="center" wrapText="1"/>
      <protection/>
    </xf>
    <xf numFmtId="0" fontId="76" fillId="49" borderId="44" xfId="96" applyFont="1" applyFill="1" applyBorder="1" applyAlignment="1">
      <alignment horizontal="center" vertical="center"/>
      <protection/>
    </xf>
    <xf numFmtId="0" fontId="83" fillId="0" borderId="65" xfId="96" applyFont="1" applyBorder="1" applyAlignment="1">
      <alignment wrapText="1"/>
      <protection/>
    </xf>
    <xf numFmtId="3" fontId="84" fillId="0" borderId="52" xfId="96" applyNumberFormat="1" applyFont="1" applyFill="1" applyBorder="1" applyAlignment="1">
      <alignment horizontal="right"/>
      <protection/>
    </xf>
    <xf numFmtId="0" fontId="84" fillId="0" borderId="52" xfId="96" applyFont="1" applyBorder="1" applyAlignment="1">
      <alignment horizontal="right"/>
      <protection/>
    </xf>
    <xf numFmtId="3" fontId="84" fillId="0" borderId="52" xfId="96" applyNumberFormat="1" applyFont="1" applyBorder="1" applyAlignment="1">
      <alignment horizontal="right"/>
      <protection/>
    </xf>
    <xf numFmtId="3" fontId="84" fillId="0" borderId="39" xfId="96" applyNumberFormat="1" applyFont="1" applyFill="1" applyBorder="1" applyAlignment="1">
      <alignment horizontal="right"/>
      <protection/>
    </xf>
    <xf numFmtId="0" fontId="83" fillId="0" borderId="65" xfId="96" applyFont="1" applyFill="1" applyBorder="1" applyAlignment="1">
      <alignment wrapText="1"/>
      <protection/>
    </xf>
    <xf numFmtId="0" fontId="83" fillId="0" borderId="62" xfId="96" applyFont="1" applyBorder="1" applyAlignment="1">
      <alignment wrapText="1"/>
      <protection/>
    </xf>
    <xf numFmtId="0" fontId="14" fillId="0" borderId="0" xfId="96" applyFont="1" applyFill="1">
      <alignment/>
      <protection/>
    </xf>
    <xf numFmtId="3" fontId="84" fillId="0" borderId="39" xfId="96" applyNumberFormat="1" applyFont="1" applyBorder="1" applyAlignment="1">
      <alignment horizontal="right"/>
      <protection/>
    </xf>
    <xf numFmtId="0" fontId="83" fillId="0" borderId="0" xfId="96" applyFont="1" applyAlignment="1">
      <alignment wrapText="1"/>
      <protection/>
    </xf>
    <xf numFmtId="0" fontId="83" fillId="0" borderId="0" xfId="96" applyFont="1">
      <alignment/>
      <protection/>
    </xf>
    <xf numFmtId="3" fontId="83" fillId="0" borderId="0" xfId="96" applyNumberFormat="1" applyFont="1">
      <alignment/>
      <protection/>
    </xf>
    <xf numFmtId="3" fontId="14" fillId="0" borderId="0" xfId="96" applyNumberFormat="1" applyFont="1">
      <alignment/>
      <protection/>
    </xf>
    <xf numFmtId="3" fontId="84" fillId="0" borderId="46" xfId="96" applyNumberFormat="1" applyFont="1" applyBorder="1" applyAlignment="1">
      <alignment horizontal="right"/>
      <protection/>
    </xf>
    <xf numFmtId="0" fontId="83" fillId="0" borderId="62" xfId="96" applyFont="1" applyFill="1" applyBorder="1" applyAlignment="1">
      <alignment wrapText="1"/>
      <protection/>
    </xf>
    <xf numFmtId="0" fontId="43" fillId="0" borderId="0" xfId="96" applyFont="1">
      <alignment/>
      <protection/>
    </xf>
    <xf numFmtId="0" fontId="14" fillId="0" borderId="0" xfId="96" applyFont="1" applyAlignment="1">
      <alignment vertical="center"/>
      <protection/>
    </xf>
    <xf numFmtId="0" fontId="14" fillId="0" borderId="0" xfId="96" applyFont="1" applyAlignment="1">
      <alignment horizontal="center" vertical="center"/>
      <protection/>
    </xf>
    <xf numFmtId="3" fontId="14" fillId="0" borderId="0" xfId="96" applyNumberFormat="1" applyFont="1" applyAlignment="1">
      <alignment vertical="center"/>
      <protection/>
    </xf>
    <xf numFmtId="0" fontId="76" fillId="0" borderId="0" xfId="96" applyFont="1" applyBorder="1" applyAlignment="1">
      <alignment horizontal="center" vertical="center"/>
      <protection/>
    </xf>
    <xf numFmtId="0" fontId="14" fillId="0" borderId="50" xfId="96" applyFont="1" applyBorder="1" applyAlignment="1">
      <alignment vertical="center"/>
      <protection/>
    </xf>
    <xf numFmtId="0" fontId="14" fillId="0" borderId="0" xfId="96" applyFont="1" applyBorder="1" applyAlignment="1">
      <alignment vertical="center"/>
      <protection/>
    </xf>
    <xf numFmtId="3" fontId="76" fillId="0" borderId="0" xfId="96" applyNumberFormat="1" applyFont="1" applyBorder="1" applyAlignment="1">
      <alignment horizontal="center" vertical="center"/>
      <protection/>
    </xf>
    <xf numFmtId="0" fontId="86" fillId="35" borderId="23" xfId="96" applyFont="1" applyFill="1" applyBorder="1" applyAlignment="1">
      <alignment horizontal="center" vertical="center"/>
      <protection/>
    </xf>
    <xf numFmtId="0" fontId="86" fillId="35" borderId="78" xfId="96" applyFont="1" applyFill="1" applyBorder="1" applyAlignment="1">
      <alignment horizontal="center" vertical="center"/>
      <protection/>
    </xf>
    <xf numFmtId="0" fontId="86" fillId="35" borderId="38" xfId="96" applyFont="1" applyFill="1" applyBorder="1" applyAlignment="1">
      <alignment horizontal="center" vertical="center"/>
      <protection/>
    </xf>
    <xf numFmtId="0" fontId="86" fillId="35" borderId="61" xfId="96" applyFont="1" applyFill="1" applyBorder="1" applyAlignment="1">
      <alignment horizontal="center" vertical="center"/>
      <protection/>
    </xf>
    <xf numFmtId="0" fontId="43" fillId="0" borderId="0" xfId="96" applyFont="1" applyAlignment="1">
      <alignment vertical="center"/>
      <protection/>
    </xf>
    <xf numFmtId="0" fontId="86" fillId="35" borderId="74" xfId="96" applyFont="1" applyFill="1" applyBorder="1" applyAlignment="1">
      <alignment horizontal="center" vertical="center"/>
      <protection/>
    </xf>
    <xf numFmtId="0" fontId="86" fillId="35" borderId="87" xfId="96" applyFont="1" applyFill="1" applyBorder="1" applyAlignment="1">
      <alignment horizontal="center" vertical="center"/>
      <protection/>
    </xf>
    <xf numFmtId="0" fontId="86" fillId="35" borderId="63" xfId="96" applyFont="1" applyFill="1" applyBorder="1" applyAlignment="1">
      <alignment horizontal="center" vertical="center"/>
      <protection/>
    </xf>
    <xf numFmtId="0" fontId="86" fillId="35" borderId="88" xfId="96" applyFont="1" applyFill="1" applyBorder="1" applyAlignment="1">
      <alignment horizontal="center" vertical="center"/>
      <protection/>
    </xf>
    <xf numFmtId="0" fontId="14" fillId="0" borderId="65" xfId="96" applyFont="1" applyBorder="1" applyAlignment="1">
      <alignment horizontal="center" vertical="center"/>
      <protection/>
    </xf>
    <xf numFmtId="0" fontId="14" fillId="0" borderId="56" xfId="96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96" applyNumberFormat="1" applyFont="1" applyFill="1" applyBorder="1" applyAlignment="1">
      <alignment vertical="center"/>
      <protection/>
    </xf>
    <xf numFmtId="3" fontId="83" fillId="0" borderId="52" xfId="96" applyNumberFormat="1" applyFont="1" applyFill="1" applyBorder="1" applyAlignment="1">
      <alignment vertical="center"/>
      <protection/>
    </xf>
    <xf numFmtId="10" fontId="83" fillId="0" borderId="39" xfId="96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96" applyFont="1" applyBorder="1" applyAlignment="1">
      <alignment horizontal="center" vertical="center"/>
      <protection/>
    </xf>
    <xf numFmtId="3" fontId="83" fillId="0" borderId="39" xfId="96" applyNumberFormat="1" applyFont="1" applyFill="1" applyBorder="1" applyAlignment="1">
      <alignment horizontal="right" vertical="center"/>
      <protection/>
    </xf>
    <xf numFmtId="0" fontId="79" fillId="0" borderId="52" xfId="96" applyFont="1" applyFill="1" applyBorder="1" applyAlignment="1">
      <alignment vertical="center"/>
      <protection/>
    </xf>
    <xf numFmtId="0" fontId="14" fillId="0" borderId="87" xfId="96" applyFont="1" applyBorder="1" applyAlignment="1">
      <alignment horizontal="center" vertical="center"/>
      <protection/>
    </xf>
    <xf numFmtId="0" fontId="79" fillId="0" borderId="63" xfId="96" applyFont="1" applyFill="1" applyBorder="1" applyAlignment="1">
      <alignment vertical="center"/>
      <protection/>
    </xf>
    <xf numFmtId="0" fontId="86" fillId="0" borderId="61" xfId="96" applyFont="1" applyBorder="1" applyAlignment="1">
      <alignment horizontal="center" vertical="center"/>
      <protection/>
    </xf>
    <xf numFmtId="3" fontId="76" fillId="0" borderId="22" xfId="96" applyNumberFormat="1" applyFont="1" applyFill="1" applyBorder="1" applyAlignment="1">
      <alignment horizontal="right" vertical="center"/>
      <protection/>
    </xf>
    <xf numFmtId="0" fontId="86" fillId="0" borderId="0" xfId="96" applyFont="1" applyBorder="1" applyAlignment="1">
      <alignment horizontal="center" vertical="center"/>
      <protection/>
    </xf>
    <xf numFmtId="3" fontId="76" fillId="0" borderId="0" xfId="96" applyNumberFormat="1" applyFont="1" applyFill="1" applyBorder="1" applyAlignment="1">
      <alignment horizontal="right" vertical="center"/>
      <protection/>
    </xf>
    <xf numFmtId="3" fontId="14" fillId="0" borderId="0" xfId="96" applyNumberFormat="1" applyFont="1" applyFill="1" applyBorder="1" applyAlignment="1">
      <alignment horizontal="right" vertical="center"/>
      <protection/>
    </xf>
    <xf numFmtId="0" fontId="86" fillId="35" borderId="60" xfId="96" applyFont="1" applyFill="1" applyBorder="1" applyAlignment="1">
      <alignment horizontal="center" vertical="center"/>
      <protection/>
    </xf>
    <xf numFmtId="0" fontId="86" fillId="35" borderId="89" xfId="96" applyFont="1" applyFill="1" applyBorder="1" applyAlignment="1">
      <alignment horizontal="center" vertical="center"/>
      <protection/>
    </xf>
    <xf numFmtId="0" fontId="86" fillId="35" borderId="49" xfId="96" applyFont="1" applyFill="1" applyBorder="1" applyAlignment="1">
      <alignment horizontal="center" vertical="center"/>
      <protection/>
    </xf>
    <xf numFmtId="0" fontId="86" fillId="35" borderId="43" xfId="96" applyFont="1" applyFill="1" applyBorder="1" applyAlignment="1">
      <alignment horizontal="center" vertical="center"/>
      <protection/>
    </xf>
    <xf numFmtId="0" fontId="14" fillId="0" borderId="55" xfId="96" applyFont="1" applyBorder="1" applyAlignment="1">
      <alignment horizontal="center" vertical="center"/>
      <protection/>
    </xf>
    <xf numFmtId="0" fontId="14" fillId="0" borderId="90" xfId="96" applyFont="1" applyBorder="1" applyAlignment="1">
      <alignment horizontal="center" vertical="center"/>
      <protection/>
    </xf>
    <xf numFmtId="0" fontId="82" fillId="0" borderId="51" xfId="0" applyFont="1" applyFill="1" applyBorder="1" applyAlignment="1">
      <alignment vertical="center"/>
    </xf>
    <xf numFmtId="0" fontId="82" fillId="0" borderId="25" xfId="0" applyFont="1" applyFill="1" applyBorder="1" applyAlignment="1">
      <alignment horizontal="center" vertical="center"/>
    </xf>
    <xf numFmtId="0" fontId="14" fillId="0" borderId="72" xfId="96" applyFont="1" applyBorder="1" applyAlignment="1">
      <alignment horizontal="center" vertical="center"/>
      <protection/>
    </xf>
    <xf numFmtId="0" fontId="14" fillId="0" borderId="91" xfId="96" applyFont="1" applyBorder="1" applyAlignment="1">
      <alignment horizontal="center" vertical="center"/>
      <protection/>
    </xf>
    <xf numFmtId="0" fontId="82" fillId="0" borderId="91" xfId="0" applyFont="1" applyFill="1" applyBorder="1" applyAlignment="1">
      <alignment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92" xfId="0" applyFont="1" applyFill="1" applyBorder="1" applyAlignment="1">
      <alignment horizontal="center" vertical="center"/>
    </xf>
    <xf numFmtId="0" fontId="82" fillId="0" borderId="93" xfId="0" applyFont="1" applyFill="1" applyBorder="1" applyAlignment="1">
      <alignment vertical="center"/>
    </xf>
    <xf numFmtId="3" fontId="16" fillId="0" borderId="0" xfId="102" applyNumberFormat="1" applyFill="1" applyProtection="1">
      <alignment/>
      <protection/>
    </xf>
    <xf numFmtId="3" fontId="16" fillId="0" borderId="0" xfId="102" applyNumberFormat="1" applyFill="1" applyAlignment="1" applyProtection="1">
      <alignment wrapText="1"/>
      <protection locked="0"/>
    </xf>
    <xf numFmtId="3" fontId="16" fillId="0" borderId="0" xfId="102" applyNumberFormat="1" applyFill="1" applyProtection="1">
      <alignment/>
      <protection locked="0"/>
    </xf>
    <xf numFmtId="3" fontId="53" fillId="0" borderId="0" xfId="94" applyNumberFormat="1" applyFont="1" applyFill="1" applyAlignment="1">
      <alignment horizontal="right"/>
      <protection/>
    </xf>
    <xf numFmtId="3" fontId="47" fillId="0" borderId="60" xfId="102" applyNumberFormat="1" applyFont="1" applyFill="1" applyBorder="1" applyAlignment="1" applyProtection="1">
      <alignment horizontal="center" vertical="center" wrapText="1"/>
      <protection/>
    </xf>
    <xf numFmtId="3" fontId="47" fillId="0" borderId="49" xfId="102" applyNumberFormat="1" applyFont="1" applyFill="1" applyBorder="1" applyAlignment="1" applyProtection="1">
      <alignment horizontal="center" vertical="center" wrapText="1"/>
      <protection/>
    </xf>
    <xf numFmtId="3" fontId="47" fillId="0" borderId="49" xfId="102" applyNumberFormat="1" applyFont="1" applyFill="1" applyBorder="1" applyAlignment="1" applyProtection="1">
      <alignment horizontal="center" vertical="center"/>
      <protection/>
    </xf>
    <xf numFmtId="3" fontId="47" fillId="0" borderId="64" xfId="102" applyNumberFormat="1" applyFont="1" applyFill="1" applyBorder="1" applyAlignment="1" applyProtection="1">
      <alignment horizontal="center" vertical="center"/>
      <protection/>
    </xf>
    <xf numFmtId="3" fontId="33" fillId="0" borderId="23" xfId="102" applyNumberFormat="1" applyFont="1" applyFill="1" applyBorder="1" applyAlignment="1" applyProtection="1">
      <alignment horizontal="left" vertical="center" indent="1"/>
      <protection/>
    </xf>
    <xf numFmtId="3" fontId="16" fillId="0" borderId="0" xfId="102" applyNumberFormat="1" applyFill="1" applyAlignment="1" applyProtection="1">
      <alignment vertical="center"/>
      <protection/>
    </xf>
    <xf numFmtId="3" fontId="33" fillId="0" borderId="74" xfId="102" applyNumberFormat="1" applyFont="1" applyFill="1" applyBorder="1" applyAlignment="1" applyProtection="1">
      <alignment horizontal="left" vertical="center" indent="1"/>
      <protection/>
    </xf>
    <xf numFmtId="3" fontId="33" fillId="0" borderId="63" xfId="102" applyNumberFormat="1" applyFont="1" applyFill="1" applyBorder="1" applyAlignment="1" applyProtection="1">
      <alignment horizontal="left" vertical="center" wrapText="1"/>
      <protection/>
    </xf>
    <xf numFmtId="3" fontId="33" fillId="0" borderId="63" xfId="102" applyNumberFormat="1" applyFont="1" applyFill="1" applyBorder="1" applyAlignment="1" applyProtection="1">
      <alignment vertical="center"/>
      <protection locked="0"/>
    </xf>
    <xf numFmtId="3" fontId="33" fillId="0" borderId="73" xfId="102" applyNumberFormat="1" applyFont="1" applyFill="1" applyBorder="1" applyAlignment="1" applyProtection="1">
      <alignment vertical="center"/>
      <protection/>
    </xf>
    <xf numFmtId="3" fontId="33" fillId="0" borderId="65" xfId="102" applyNumberFormat="1" applyFont="1" applyFill="1" applyBorder="1" applyAlignment="1" applyProtection="1">
      <alignment horizontal="left" vertical="center" indent="1"/>
      <protection/>
    </xf>
    <xf numFmtId="3" fontId="33" fillId="0" borderId="52" xfId="102" applyNumberFormat="1" applyFont="1" applyFill="1" applyBorder="1" applyAlignment="1" applyProtection="1">
      <alignment horizontal="left" vertical="center" wrapText="1"/>
      <protection/>
    </xf>
    <xf numFmtId="3" fontId="33" fillId="0" borderId="52" xfId="102" applyNumberFormat="1" applyFont="1" applyFill="1" applyBorder="1" applyAlignment="1" applyProtection="1">
      <alignment vertical="center"/>
      <protection locked="0"/>
    </xf>
    <xf numFmtId="3" fontId="16" fillId="0" borderId="0" xfId="102" applyNumberFormat="1" applyFill="1" applyAlignment="1" applyProtection="1">
      <alignment vertical="center"/>
      <protection locked="0"/>
    </xf>
    <xf numFmtId="3" fontId="33" fillId="0" borderId="44" xfId="102" applyNumberFormat="1" applyFont="1" applyFill="1" applyBorder="1" applyAlignment="1" applyProtection="1">
      <alignment horizontal="left" vertical="center" wrapText="1"/>
      <protection/>
    </xf>
    <xf numFmtId="3" fontId="33" fillId="0" borderId="44" xfId="102" applyNumberFormat="1" applyFont="1" applyFill="1" applyBorder="1" applyAlignment="1" applyProtection="1">
      <alignment vertical="center"/>
      <protection locked="0"/>
    </xf>
    <xf numFmtId="3" fontId="34" fillId="0" borderId="38" xfId="102" applyNumberFormat="1" applyFont="1" applyFill="1" applyBorder="1" applyAlignment="1" applyProtection="1">
      <alignment vertical="center"/>
      <protection/>
    </xf>
    <xf numFmtId="3" fontId="33" fillId="0" borderId="39" xfId="102" applyNumberFormat="1" applyFont="1" applyFill="1" applyBorder="1" applyAlignment="1" applyProtection="1">
      <alignment vertical="center"/>
      <protection/>
    </xf>
    <xf numFmtId="3" fontId="47" fillId="0" borderId="38" xfId="102" applyNumberFormat="1" applyFont="1" applyFill="1" applyBorder="1" applyAlignment="1" applyProtection="1">
      <alignment horizontal="left" vertical="center" wrapText="1"/>
      <protection/>
    </xf>
    <xf numFmtId="3" fontId="47" fillId="0" borderId="38" xfId="102" applyNumberFormat="1" applyFont="1" applyFill="1" applyBorder="1" applyAlignment="1" applyProtection="1">
      <alignment horizontal="left" wrapText="1"/>
      <protection/>
    </xf>
    <xf numFmtId="0" fontId="38" fillId="0" borderId="0" xfId="100" applyFont="1" applyFill="1" applyAlignment="1">
      <alignment vertical="center"/>
      <protection/>
    </xf>
    <xf numFmtId="0" fontId="27" fillId="0" borderId="0" xfId="100" applyFont="1" applyFill="1" applyAlignment="1">
      <alignment vertical="center"/>
      <protection/>
    </xf>
    <xf numFmtId="164" fontId="35" fillId="0" borderId="0" xfId="10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0" applyFont="1" applyFill="1" applyBorder="1" applyAlignment="1" applyProtection="1">
      <alignment horizontal="center" vertical="center" wrapText="1"/>
      <protection/>
    </xf>
    <xf numFmtId="0" fontId="29" fillId="0" borderId="51" xfId="100" applyFont="1" applyFill="1" applyBorder="1" applyAlignment="1" applyProtection="1">
      <alignment horizontal="center" vertical="center" wrapText="1"/>
      <protection/>
    </xf>
    <xf numFmtId="0" fontId="29" fillId="0" borderId="69" xfId="100" applyFont="1" applyFill="1" applyBorder="1" applyAlignment="1" applyProtection="1">
      <alignment horizontal="center" vertical="center" wrapText="1"/>
      <protection/>
    </xf>
    <xf numFmtId="0" fontId="16" fillId="0" borderId="23" xfId="100" applyFont="1" applyFill="1" applyBorder="1" applyAlignment="1" applyProtection="1">
      <alignment horizontal="center" vertical="center"/>
      <protection/>
    </xf>
    <xf numFmtId="0" fontId="16" fillId="0" borderId="38" xfId="100" applyFont="1" applyFill="1" applyBorder="1" applyAlignment="1" applyProtection="1">
      <alignment horizontal="center" vertical="center"/>
      <protection/>
    </xf>
    <xf numFmtId="0" fontId="16" fillId="0" borderId="55" xfId="100" applyFont="1" applyFill="1" applyBorder="1" applyAlignment="1" applyProtection="1">
      <alignment horizontal="center" vertical="center"/>
      <protection/>
    </xf>
    <xf numFmtId="0" fontId="16" fillId="0" borderId="44" xfId="100" applyFont="1" applyFill="1" applyBorder="1" applyAlignment="1" applyProtection="1">
      <alignment vertical="center"/>
      <protection/>
    </xf>
    <xf numFmtId="0" fontId="16" fillId="0" borderId="72" xfId="100" applyFont="1" applyFill="1" applyBorder="1" applyAlignment="1" applyProtection="1">
      <alignment horizontal="center" vertical="center"/>
      <protection/>
    </xf>
    <xf numFmtId="0" fontId="16" fillId="0" borderId="65" xfId="100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94" applyFill="1">
      <alignment/>
      <protection/>
    </xf>
    <xf numFmtId="0" fontId="1" fillId="0" borderId="0" xfId="94" applyFill="1" applyAlignment="1">
      <alignment wrapText="1"/>
      <protection/>
    </xf>
    <xf numFmtId="0" fontId="48" fillId="0" borderId="19" xfId="94" applyFont="1" applyFill="1" applyBorder="1" applyAlignment="1" applyProtection="1">
      <alignment horizontal="center" vertical="center" wrapText="1"/>
      <protection/>
    </xf>
    <xf numFmtId="0" fontId="48" fillId="0" borderId="38" xfId="94" applyFont="1" applyFill="1" applyBorder="1" applyAlignment="1" applyProtection="1">
      <alignment horizontal="center" vertical="center" wrapText="1"/>
      <protection/>
    </xf>
    <xf numFmtId="0" fontId="1" fillId="0" borderId="0" xfId="94" applyFill="1" applyAlignment="1">
      <alignment/>
      <protection/>
    </xf>
    <xf numFmtId="0" fontId="19" fillId="0" borderId="65" xfId="94" applyFont="1" applyBorder="1">
      <alignment/>
      <protection/>
    </xf>
    <xf numFmtId="3" fontId="19" fillId="0" borderId="44" xfId="94" applyNumberFormat="1" applyFont="1" applyBorder="1" applyAlignment="1">
      <alignment horizontal="right"/>
      <protection/>
    </xf>
    <xf numFmtId="3" fontId="19" fillId="0" borderId="73" xfId="94" applyNumberFormat="1" applyFont="1" applyBorder="1" applyAlignment="1">
      <alignment horizontal="right"/>
      <protection/>
    </xf>
    <xf numFmtId="0" fontId="57" fillId="0" borderId="0" xfId="94" applyFont="1" applyFill="1" applyAlignment="1">
      <alignment vertical="center"/>
      <protection/>
    </xf>
    <xf numFmtId="0" fontId="1" fillId="0" borderId="65" xfId="94" applyFont="1" applyBorder="1">
      <alignment/>
      <protection/>
    </xf>
    <xf numFmtId="3" fontId="1" fillId="0" borderId="52" xfId="94" applyNumberFormat="1" applyFont="1" applyBorder="1" applyAlignment="1">
      <alignment horizontal="right"/>
      <protection/>
    </xf>
    <xf numFmtId="3" fontId="1" fillId="0" borderId="39" xfId="94" applyNumberFormat="1" applyFont="1" applyBorder="1" applyAlignment="1">
      <alignment horizontal="right"/>
      <protection/>
    </xf>
    <xf numFmtId="3" fontId="19" fillId="0" borderId="52" xfId="94" applyNumberFormat="1" applyFont="1" applyBorder="1" applyAlignment="1">
      <alignment horizontal="right"/>
      <protection/>
    </xf>
    <xf numFmtId="3" fontId="19" fillId="0" borderId="39" xfId="94" applyNumberFormat="1" applyFont="1" applyBorder="1" applyAlignment="1">
      <alignment horizontal="right"/>
      <protection/>
    </xf>
    <xf numFmtId="0" fontId="19" fillId="0" borderId="27" xfId="94" applyFont="1" applyBorder="1">
      <alignment/>
      <protection/>
    </xf>
    <xf numFmtId="0" fontId="19" fillId="0" borderId="36" xfId="94" applyFont="1" applyBorder="1">
      <alignment/>
      <protection/>
    </xf>
    <xf numFmtId="3" fontId="19" fillId="0" borderId="46" xfId="94" applyNumberFormat="1" applyFont="1" applyBorder="1" applyAlignment="1">
      <alignment horizontal="right"/>
      <protection/>
    </xf>
    <xf numFmtId="3" fontId="19" fillId="0" borderId="79" xfId="94" applyNumberFormat="1" applyFont="1" applyBorder="1" applyAlignment="1">
      <alignment horizontal="right"/>
      <protection/>
    </xf>
    <xf numFmtId="3" fontId="19" fillId="0" borderId="63" xfId="94" applyNumberFormat="1" applyFont="1" applyBorder="1" applyAlignment="1">
      <alignment horizontal="right"/>
      <protection/>
    </xf>
    <xf numFmtId="3" fontId="19" fillId="0" borderId="75" xfId="94" applyNumberFormat="1" applyFont="1" applyBorder="1" applyAlignment="1">
      <alignment horizontal="right"/>
      <protection/>
    </xf>
    <xf numFmtId="0" fontId="19" fillId="50" borderId="19" xfId="94" applyFont="1" applyFill="1" applyBorder="1" applyAlignment="1">
      <alignment vertical="center"/>
      <protection/>
    </xf>
    <xf numFmtId="3" fontId="19" fillId="50" borderId="38" xfId="94" applyNumberFormat="1" applyFont="1" applyFill="1" applyBorder="1" applyAlignment="1">
      <alignment horizontal="right" vertical="center"/>
      <protection/>
    </xf>
    <xf numFmtId="3" fontId="19" fillId="0" borderId="38" xfId="94" applyNumberFormat="1" applyFont="1" applyBorder="1" applyAlignment="1">
      <alignment horizontal="right" vertical="center"/>
      <protection/>
    </xf>
    <xf numFmtId="3" fontId="19" fillId="0" borderId="22" xfId="94" applyNumberFormat="1" applyFont="1" applyBorder="1" applyAlignment="1">
      <alignment horizontal="right" vertical="center"/>
      <protection/>
    </xf>
    <xf numFmtId="0" fontId="1" fillId="0" borderId="0" xfId="94" applyFill="1" applyAlignment="1">
      <alignment vertical="center"/>
      <protection/>
    </xf>
    <xf numFmtId="0" fontId="19" fillId="0" borderId="33" xfId="94" applyFont="1" applyBorder="1">
      <alignment/>
      <protection/>
    </xf>
    <xf numFmtId="3" fontId="19" fillId="50" borderId="38" xfId="94" applyNumberFormat="1" applyFont="1" applyFill="1" applyBorder="1" applyAlignment="1">
      <alignment vertical="center"/>
      <protection/>
    </xf>
    <xf numFmtId="3" fontId="19" fillId="0" borderId="38" xfId="94" applyNumberFormat="1" applyFont="1" applyFill="1" applyBorder="1" applyAlignment="1">
      <alignment vertical="center"/>
      <protection/>
    </xf>
    <xf numFmtId="3" fontId="19" fillId="0" borderId="22" xfId="94" applyNumberFormat="1" applyFont="1" applyFill="1" applyBorder="1" applyAlignment="1">
      <alignment vertical="center"/>
      <protection/>
    </xf>
    <xf numFmtId="0" fontId="19" fillId="50" borderId="19" xfId="94" applyFont="1" applyFill="1" applyBorder="1">
      <alignment/>
      <protection/>
    </xf>
    <xf numFmtId="3" fontId="19" fillId="50" borderId="38" xfId="94" applyNumberFormat="1" applyFont="1" applyFill="1" applyBorder="1">
      <alignment/>
      <protection/>
    </xf>
    <xf numFmtId="3" fontId="19" fillId="0" borderId="44" xfId="94" applyNumberFormat="1" applyFont="1" applyFill="1" applyBorder="1">
      <alignment/>
      <protection/>
    </xf>
    <xf numFmtId="3" fontId="19" fillId="0" borderId="73" xfId="94" applyNumberFormat="1" applyFont="1" applyFill="1" applyBorder="1">
      <alignment/>
      <protection/>
    </xf>
    <xf numFmtId="0" fontId="1" fillId="0" borderId="72" xfId="94" applyFont="1" applyFill="1" applyBorder="1">
      <alignment/>
      <protection/>
    </xf>
    <xf numFmtId="3" fontId="1" fillId="0" borderId="44" xfId="94" applyNumberFormat="1" applyFont="1" applyFill="1" applyBorder="1">
      <alignment/>
      <protection/>
    </xf>
    <xf numFmtId="3" fontId="1" fillId="0" borderId="52" xfId="94" applyNumberFormat="1" applyFont="1" applyFill="1" applyBorder="1">
      <alignment/>
      <protection/>
    </xf>
    <xf numFmtId="0" fontId="1" fillId="0" borderId="40" xfId="94" applyFont="1" applyFill="1" applyBorder="1">
      <alignment/>
      <protection/>
    </xf>
    <xf numFmtId="3" fontId="1" fillId="0" borderId="46" xfId="94" applyNumberFormat="1" applyFont="1" applyFill="1" applyBorder="1">
      <alignment/>
      <protection/>
    </xf>
    <xf numFmtId="0" fontId="19" fillId="50" borderId="23" xfId="94" applyFont="1" applyFill="1" applyBorder="1">
      <alignment/>
      <protection/>
    </xf>
    <xf numFmtId="0" fontId="19" fillId="50" borderId="72" xfId="94" applyFont="1" applyFill="1" applyBorder="1">
      <alignment/>
      <protection/>
    </xf>
    <xf numFmtId="3" fontId="19" fillId="50" borderId="44" xfId="94" applyNumberFormat="1" applyFont="1" applyFill="1" applyBorder="1">
      <alignment/>
      <protection/>
    </xf>
    <xf numFmtId="0" fontId="19" fillId="0" borderId="0" xfId="94" applyFont="1" applyFill="1">
      <alignment/>
      <protection/>
    </xf>
    <xf numFmtId="3" fontId="19" fillId="0" borderId="52" xfId="94" applyNumberFormat="1" applyFont="1" applyBorder="1">
      <alignment/>
      <protection/>
    </xf>
    <xf numFmtId="3" fontId="19" fillId="0" borderId="39" xfId="94" applyNumberFormat="1" applyFont="1" applyBorder="1">
      <alignment/>
      <protection/>
    </xf>
    <xf numFmtId="3" fontId="19" fillId="0" borderId="46" xfId="94" applyNumberFormat="1" applyFont="1" applyBorder="1">
      <alignment/>
      <protection/>
    </xf>
    <xf numFmtId="3" fontId="19" fillId="0" borderId="79" xfId="94" applyNumberFormat="1" applyFont="1" applyBorder="1">
      <alignment/>
      <protection/>
    </xf>
    <xf numFmtId="0" fontId="90" fillId="0" borderId="30" xfId="94" applyFont="1" applyBorder="1" applyAlignment="1">
      <alignment vertical="center"/>
      <protection/>
    </xf>
    <xf numFmtId="3" fontId="90" fillId="0" borderId="54" xfId="94" applyNumberFormat="1" applyFont="1" applyBorder="1" applyAlignment="1">
      <alignment vertical="center"/>
      <protection/>
    </xf>
    <xf numFmtId="3" fontId="90" fillId="0" borderId="42" xfId="94" applyNumberFormat="1" applyFont="1" applyBorder="1" applyAlignment="1">
      <alignment vertical="center"/>
      <protection/>
    </xf>
    <xf numFmtId="0" fontId="1" fillId="0" borderId="0" xfId="94" applyFill="1" applyAlignment="1" applyProtection="1">
      <alignment vertical="center"/>
      <protection/>
    </xf>
    <xf numFmtId="0" fontId="1" fillId="0" borderId="76" xfId="94" applyFont="1" applyFill="1" applyBorder="1">
      <alignment/>
      <protection/>
    </xf>
    <xf numFmtId="3" fontId="1" fillId="0" borderId="54" xfId="94" applyNumberFormat="1" applyFont="1" applyFill="1" applyBorder="1">
      <alignment/>
      <protection/>
    </xf>
    <xf numFmtId="0" fontId="64" fillId="0" borderId="0" xfId="98" applyFont="1" applyBorder="1" applyAlignment="1">
      <alignment horizontal="left" vertical="center"/>
      <protection/>
    </xf>
    <xf numFmtId="1" fontId="67" fillId="0" borderId="0" xfId="98" applyNumberFormat="1" applyFont="1" applyBorder="1" applyAlignment="1">
      <alignment horizontal="center" vertical="center" wrapText="1"/>
      <protection/>
    </xf>
    <xf numFmtId="0" fontId="60" fillId="0" borderId="0" xfId="98" applyFont="1" applyBorder="1" applyAlignment="1">
      <alignment horizontal="center" vertical="center"/>
      <protection/>
    </xf>
    <xf numFmtId="10" fontId="60" fillId="0" borderId="0" xfId="98" applyNumberFormat="1" applyFont="1" applyBorder="1" applyAlignment="1">
      <alignment horizontal="center" vertical="center"/>
      <protection/>
    </xf>
    <xf numFmtId="0" fontId="46" fillId="0" borderId="0" xfId="98" applyFont="1" applyBorder="1" applyAlignment="1">
      <alignment horizontal="left" vertical="center" wrapText="1"/>
      <protection/>
    </xf>
    <xf numFmtId="1" fontId="67" fillId="0" borderId="0" xfId="98" applyNumberFormat="1" applyFont="1" applyBorder="1" applyAlignment="1">
      <alignment horizontal="center" vertical="center"/>
      <protection/>
    </xf>
    <xf numFmtId="2" fontId="67" fillId="0" borderId="0" xfId="98" applyNumberFormat="1" applyFont="1" applyBorder="1" applyAlignment="1">
      <alignment horizontal="center" vertical="center"/>
      <protection/>
    </xf>
    <xf numFmtId="0" fontId="64" fillId="0" borderId="55" xfId="98" applyFont="1" applyBorder="1" applyAlignment="1">
      <alignment horizontal="left" vertical="center"/>
      <protection/>
    </xf>
    <xf numFmtId="0" fontId="64" fillId="0" borderId="51" xfId="98" applyFont="1" applyBorder="1" applyAlignment="1">
      <alignment horizontal="left" vertical="center"/>
      <protection/>
    </xf>
    <xf numFmtId="1" fontId="67" fillId="0" borderId="69" xfId="98" applyNumberFormat="1" applyFont="1" applyBorder="1" applyAlignment="1">
      <alignment horizontal="center" vertical="center" wrapText="1"/>
      <protection/>
    </xf>
    <xf numFmtId="0" fontId="64" fillId="0" borderId="52" xfId="98" applyFont="1" applyBorder="1" applyAlignment="1">
      <alignment horizontal="left" vertical="center"/>
      <protection/>
    </xf>
    <xf numFmtId="0" fontId="64" fillId="0" borderId="76" xfId="98" applyFont="1" applyBorder="1" applyAlignment="1">
      <alignment horizontal="left" vertical="center"/>
      <protection/>
    </xf>
    <xf numFmtId="0" fontId="64" fillId="0" borderId="54" xfId="98" applyFont="1" applyBorder="1" applyAlignment="1">
      <alignment horizontal="left" vertical="center"/>
      <protection/>
    </xf>
    <xf numFmtId="0" fontId="65" fillId="0" borderId="65" xfId="98" applyFont="1" applyBorder="1" applyAlignment="1">
      <alignment horizontal="left" vertical="center"/>
      <protection/>
    </xf>
    <xf numFmtId="1" fontId="66" fillId="0" borderId="39" xfId="98" applyNumberFormat="1" applyFont="1" applyBorder="1" applyAlignment="1">
      <alignment horizontal="center" vertical="center" wrapText="1"/>
      <protection/>
    </xf>
    <xf numFmtId="0" fontId="60" fillId="0" borderId="0" xfId="98" applyFont="1" applyAlignment="1">
      <alignment vertical="center"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96" applyFont="1" applyFill="1" applyBorder="1" applyAlignment="1">
      <alignment vertical="center" wrapText="1"/>
      <protection/>
    </xf>
    <xf numFmtId="0" fontId="92" fillId="0" borderId="19" xfId="96" applyFont="1" applyFill="1" applyBorder="1" applyAlignment="1">
      <alignment vertical="center"/>
      <protection/>
    </xf>
    <xf numFmtId="0" fontId="91" fillId="0" borderId="28" xfId="96" applyFont="1" applyFill="1" applyBorder="1" applyAlignment="1">
      <alignment vertical="center" wrapText="1"/>
      <protection/>
    </xf>
    <xf numFmtId="0" fontId="91" fillId="0" borderId="34" xfId="96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4" xfId="96" applyNumberFormat="1" applyFont="1" applyFill="1" applyBorder="1" applyAlignment="1">
      <alignment horizontal="right" vertical="center" wrapText="1"/>
      <protection/>
    </xf>
    <xf numFmtId="10" fontId="79" fillId="0" borderId="46" xfId="96" applyNumberFormat="1" applyFont="1" applyBorder="1" applyAlignment="1">
      <alignment horizontal="right" vertical="center" wrapText="1"/>
      <protection/>
    </xf>
    <xf numFmtId="10" fontId="79" fillId="0" borderId="63" xfId="96" applyNumberFormat="1" applyFont="1" applyBorder="1" applyAlignment="1">
      <alignment horizontal="right" vertical="center" wrapText="1"/>
      <protection/>
    </xf>
    <xf numFmtId="3" fontId="78" fillId="11" borderId="63" xfId="96" applyNumberFormat="1" applyFont="1" applyFill="1" applyBorder="1" applyAlignment="1">
      <alignment horizontal="center" vertical="center" wrapText="1"/>
      <protection/>
    </xf>
    <xf numFmtId="3" fontId="78" fillId="11" borderId="44" xfId="96" applyNumberFormat="1" applyFont="1" applyFill="1" applyBorder="1" applyAlignment="1">
      <alignment horizontal="center" vertical="center" wrapText="1"/>
      <protection/>
    </xf>
    <xf numFmtId="0" fontId="78" fillId="11" borderId="33" xfId="96" applyFont="1" applyFill="1" applyBorder="1" applyAlignment="1">
      <alignment horizontal="center" vertical="center" wrapText="1"/>
      <protection/>
    </xf>
    <xf numFmtId="0" fontId="78" fillId="11" borderId="44" xfId="96" applyFont="1" applyFill="1" applyBorder="1" applyAlignment="1">
      <alignment horizontal="center" vertical="center" wrapText="1"/>
      <protection/>
    </xf>
    <xf numFmtId="0" fontId="14" fillId="0" borderId="39" xfId="96" applyFont="1" applyBorder="1">
      <alignment/>
      <protection/>
    </xf>
    <xf numFmtId="3" fontId="84" fillId="0" borderId="79" xfId="96" applyNumberFormat="1" applyFont="1" applyBorder="1" applyAlignment="1">
      <alignment horizontal="right"/>
      <protection/>
    </xf>
    <xf numFmtId="0" fontId="14" fillId="0" borderId="75" xfId="96" applyFont="1" applyBorder="1">
      <alignment/>
      <protection/>
    </xf>
    <xf numFmtId="0" fontId="76" fillId="51" borderId="76" xfId="96" applyFont="1" applyFill="1" applyBorder="1" applyAlignment="1">
      <alignment wrapText="1"/>
      <protection/>
    </xf>
    <xf numFmtId="3" fontId="85" fillId="51" borderId="54" xfId="96" applyNumberFormat="1" applyFont="1" applyFill="1" applyBorder="1" applyAlignment="1">
      <alignment horizontal="right"/>
      <protection/>
    </xf>
    <xf numFmtId="0" fontId="14" fillId="51" borderId="42" xfId="96" applyFont="1" applyFill="1" applyBorder="1">
      <alignment/>
      <protection/>
    </xf>
    <xf numFmtId="0" fontId="76" fillId="51" borderId="76" xfId="96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96" applyFont="1" applyFill="1" applyBorder="1" applyAlignment="1">
      <alignment horizontal="center" vertical="center"/>
      <protection/>
    </xf>
    <xf numFmtId="3" fontId="88" fillId="0" borderId="94" xfId="100" applyNumberFormat="1" applyFont="1" applyFill="1" applyBorder="1" applyAlignment="1">
      <alignment horizontal="right" vertical="center" wrapText="1"/>
      <protection/>
    </xf>
    <xf numFmtId="0" fontId="1" fillId="0" borderId="29" xfId="94" applyFill="1" applyBorder="1">
      <alignment/>
      <protection/>
    </xf>
    <xf numFmtId="0" fontId="1" fillId="0" borderId="35" xfId="94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0" applyFont="1" applyFill="1" applyBorder="1" applyAlignment="1" applyProtection="1">
      <alignment horizontal="left" vertical="center" wrapText="1"/>
      <protection/>
    </xf>
    <xf numFmtId="164" fontId="29" fillId="0" borderId="38" xfId="100" applyNumberFormat="1" applyFont="1" applyFill="1" applyBorder="1" applyAlignment="1" applyProtection="1">
      <alignment horizontal="right" vertical="center" wrapText="1"/>
      <protection/>
    </xf>
    <xf numFmtId="0" fontId="16" fillId="0" borderId="0" xfId="100" applyFont="1" applyFill="1">
      <alignment/>
      <protection/>
    </xf>
    <xf numFmtId="3" fontId="16" fillId="0" borderId="0" xfId="100" applyNumberFormat="1" applyFont="1" applyFill="1" applyBorder="1">
      <alignment/>
      <protection/>
    </xf>
    <xf numFmtId="164" fontId="16" fillId="0" borderId="0" xfId="100" applyNumberFormat="1" applyFont="1" applyFill="1" applyBorder="1">
      <alignment/>
      <protection/>
    </xf>
    <xf numFmtId="164" fontId="49" fillId="0" borderId="0" xfId="100" applyNumberFormat="1" applyFont="1" applyFill="1" applyBorder="1" applyAlignment="1" applyProtection="1">
      <alignment horizontal="left" vertical="center"/>
      <protection/>
    </xf>
    <xf numFmtId="0" fontId="16" fillId="0" borderId="90" xfId="100" applyFont="1" applyFill="1" applyBorder="1" applyAlignment="1" applyProtection="1">
      <alignment horizontal="left" vertical="center" wrapText="1"/>
      <protection/>
    </xf>
    <xf numFmtId="164" fontId="29" fillId="0" borderId="51" xfId="100" applyNumberFormat="1" applyFont="1" applyFill="1" applyBorder="1" applyAlignment="1" applyProtection="1">
      <alignment horizontal="right" vertical="center" wrapText="1"/>
      <protection/>
    </xf>
    <xf numFmtId="0" fontId="16" fillId="0" borderId="56" xfId="100" applyFont="1" applyFill="1" applyBorder="1" applyAlignment="1" applyProtection="1">
      <alignment horizontal="left" vertical="center" wrapText="1"/>
      <protection/>
    </xf>
    <xf numFmtId="164" fontId="29" fillId="0" borderId="52" xfId="100" applyNumberFormat="1" applyFont="1" applyFill="1" applyBorder="1" applyAlignment="1" applyProtection="1">
      <alignment horizontal="right" vertical="center" wrapText="1"/>
      <protection/>
    </xf>
    <xf numFmtId="0" fontId="16" fillId="0" borderId="95" xfId="100" applyFont="1" applyFill="1" applyBorder="1" applyAlignment="1" applyProtection="1">
      <alignment horizontal="left" vertical="center" wrapText="1"/>
      <protection/>
    </xf>
    <xf numFmtId="164" fontId="29" fillId="0" borderId="53" xfId="100" applyNumberFormat="1" applyFont="1" applyFill="1" applyBorder="1" applyAlignment="1" applyProtection="1">
      <alignment horizontal="right" vertical="center" wrapText="1"/>
      <protection/>
    </xf>
    <xf numFmtId="49" fontId="16" fillId="0" borderId="0" xfId="10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0" applyFont="1" applyFill="1" applyBorder="1" applyAlignment="1" applyProtection="1">
      <alignment horizontal="left" indent="5"/>
      <protection/>
    </xf>
    <xf numFmtId="3" fontId="16" fillId="0" borderId="0" xfId="10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4" fontId="49" fillId="0" borderId="50" xfId="100" applyNumberFormat="1" applyFont="1" applyFill="1" applyBorder="1" applyAlignment="1" applyProtection="1">
      <alignment horizontal="left" vertical="center"/>
      <protection/>
    </xf>
    <xf numFmtId="3" fontId="29" fillId="0" borderId="51" xfId="100" applyNumberFormat="1" applyFont="1" applyFill="1" applyBorder="1" applyAlignment="1" applyProtection="1">
      <alignment horizontal="right" vertical="center" wrapText="1"/>
      <protection/>
    </xf>
    <xf numFmtId="3" fontId="29" fillId="0" borderId="52" xfId="100" applyNumberFormat="1" applyFont="1" applyFill="1" applyBorder="1" applyAlignment="1" applyProtection="1">
      <alignment horizontal="right" vertical="center" wrapText="1"/>
      <protection/>
    </xf>
    <xf numFmtId="0" fontId="16" fillId="0" borderId="57" xfId="100" applyFont="1" applyFill="1" applyBorder="1" applyAlignment="1" applyProtection="1">
      <alignment horizontal="left" vertical="center" wrapText="1"/>
      <protection/>
    </xf>
    <xf numFmtId="3" fontId="29" fillId="0" borderId="54" xfId="100" applyNumberFormat="1" applyFont="1" applyFill="1" applyBorder="1" applyAlignment="1" applyProtection="1">
      <alignment horizontal="right" vertical="center" wrapText="1"/>
      <protection/>
    </xf>
    <xf numFmtId="3" fontId="16" fillId="0" borderId="0" xfId="100" applyNumberFormat="1" applyFont="1" applyFill="1">
      <alignment/>
      <protection/>
    </xf>
    <xf numFmtId="0" fontId="49" fillId="0" borderId="0" xfId="100" applyFont="1" applyFill="1" applyBorder="1" applyAlignment="1">
      <alignment horizontal="left"/>
      <protection/>
    </xf>
    <xf numFmtId="0" fontId="29" fillId="0" borderId="51" xfId="100" applyFont="1" applyFill="1" applyBorder="1" applyAlignment="1">
      <alignment horizontal="left"/>
      <protection/>
    </xf>
    <xf numFmtId="3" fontId="29" fillId="0" borderId="51" xfId="100" applyNumberFormat="1" applyFont="1" applyFill="1" applyBorder="1">
      <alignment/>
      <protection/>
    </xf>
    <xf numFmtId="3" fontId="14" fillId="0" borderId="69" xfId="96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14" fillId="0" borderId="21" xfId="96" applyNumberFormat="1" applyBorder="1">
      <alignment/>
      <protection/>
    </xf>
    <xf numFmtId="3" fontId="84" fillId="0" borderId="46" xfId="96" applyNumberFormat="1" applyFont="1" applyFill="1" applyBorder="1" applyAlignment="1">
      <alignment horizontal="right"/>
      <protection/>
    </xf>
    <xf numFmtId="3" fontId="83" fillId="0" borderId="96" xfId="96" applyNumberFormat="1" applyFont="1" applyFill="1" applyBorder="1" applyAlignment="1">
      <alignment vertical="center"/>
      <protection/>
    </xf>
    <xf numFmtId="3" fontId="38" fillId="0" borderId="97" xfId="100" applyNumberFormat="1" applyFont="1" applyFill="1" applyBorder="1" applyAlignment="1">
      <alignment vertical="center"/>
      <protection/>
    </xf>
    <xf numFmtId="3" fontId="38" fillId="0" borderId="98" xfId="100" applyNumberFormat="1" applyFont="1" applyFill="1" applyBorder="1" applyAlignment="1">
      <alignment vertical="center"/>
      <protection/>
    </xf>
    <xf numFmtId="3" fontId="38" fillId="0" borderId="99" xfId="100" applyNumberFormat="1" applyFont="1" applyFill="1" applyBorder="1" applyAlignment="1">
      <alignment vertical="center"/>
      <protection/>
    </xf>
    <xf numFmtId="3" fontId="34" fillId="0" borderId="100" xfId="102" applyNumberFormat="1" applyFont="1" applyFill="1" applyBorder="1" applyProtection="1">
      <alignment/>
      <protection/>
    </xf>
    <xf numFmtId="3" fontId="34" fillId="0" borderId="101" xfId="102" applyNumberFormat="1" applyFont="1" applyFill="1" applyBorder="1" applyProtection="1">
      <alignment/>
      <protection/>
    </xf>
    <xf numFmtId="0" fontId="34" fillId="0" borderId="102" xfId="100" applyFont="1" applyFill="1" applyBorder="1" applyAlignment="1" applyProtection="1">
      <alignment horizontal="left" vertical="center" wrapText="1" indent="1"/>
      <protection/>
    </xf>
    <xf numFmtId="49" fontId="34" fillId="0" borderId="103" xfId="100" applyNumberFormat="1" applyFont="1" applyFill="1" applyBorder="1" applyAlignment="1" applyProtection="1">
      <alignment horizontal="left" vertical="center" wrapText="1" indent="1"/>
      <protection/>
    </xf>
    <xf numFmtId="49" fontId="34" fillId="0" borderId="104" xfId="100" applyNumberFormat="1" applyFont="1" applyFill="1" applyBorder="1" applyAlignment="1" applyProtection="1">
      <alignment horizontal="left" vertical="center" wrapText="1" indent="1"/>
      <protection/>
    </xf>
    <xf numFmtId="49" fontId="39" fillId="0" borderId="103" xfId="100" applyNumberFormat="1" applyFont="1" applyFill="1" applyBorder="1" applyAlignment="1" applyProtection="1">
      <alignment horizontal="left" vertical="center" wrapText="1"/>
      <protection/>
    </xf>
    <xf numFmtId="3" fontId="38" fillId="0" borderId="105" xfId="100" applyNumberFormat="1" applyFont="1" applyFill="1" applyBorder="1">
      <alignment/>
      <protection/>
    </xf>
    <xf numFmtId="49" fontId="38" fillId="0" borderId="103" xfId="100" applyNumberFormat="1" applyFont="1" applyFill="1" applyBorder="1" applyAlignment="1">
      <alignment horizontal="left"/>
      <protection/>
    </xf>
    <xf numFmtId="49" fontId="38" fillId="0" borderId="103" xfId="100" applyNumberFormat="1" applyFont="1" applyFill="1" applyBorder="1" applyAlignment="1" applyProtection="1">
      <alignment horizontal="left" vertical="center" wrapText="1"/>
      <protection/>
    </xf>
    <xf numFmtId="164" fontId="38" fillId="0" borderId="105" xfId="100" applyNumberFormat="1" applyFont="1" applyFill="1" applyBorder="1">
      <alignment/>
      <protection/>
    </xf>
    <xf numFmtId="49" fontId="39" fillId="0" borderId="104" xfId="100" applyNumberFormat="1" applyFont="1" applyFill="1" applyBorder="1" applyAlignment="1">
      <alignment horizontal="left"/>
      <protection/>
    </xf>
    <xf numFmtId="3" fontId="38" fillId="0" borderId="106" xfId="100" applyNumberFormat="1" applyFont="1" applyFill="1" applyBorder="1">
      <alignment/>
      <protection/>
    </xf>
    <xf numFmtId="164" fontId="29" fillId="0" borderId="54" xfId="100" applyNumberFormat="1" applyFont="1" applyFill="1" applyBorder="1" applyAlignment="1" applyProtection="1">
      <alignment horizontal="right" vertical="center" wrapText="1"/>
      <protection/>
    </xf>
    <xf numFmtId="164" fontId="16" fillId="0" borderId="51" xfId="100" applyNumberFormat="1" applyFont="1" applyFill="1" applyBorder="1" applyAlignment="1" applyProtection="1">
      <alignment horizontal="right" vertical="center" wrapText="1"/>
      <protection/>
    </xf>
    <xf numFmtId="164" fontId="16" fillId="0" borderId="52" xfId="100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4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4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4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7" xfId="100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96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4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3" fontId="71" fillId="0" borderId="21" xfId="9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3" fontId="79" fillId="0" borderId="39" xfId="96" applyNumberFormat="1" applyFont="1" applyBorder="1" applyAlignment="1">
      <alignment horizontal="right" vertical="center" wrapText="1"/>
      <protection/>
    </xf>
    <xf numFmtId="3" fontId="97" fillId="11" borderId="109" xfId="96" applyNumberFormat="1" applyFont="1" applyFill="1" applyBorder="1" applyAlignment="1">
      <alignment horizontal="right" vertical="center" wrapText="1"/>
      <protection/>
    </xf>
    <xf numFmtId="0" fontId="101" fillId="0" borderId="62" xfId="96" applyFont="1" applyFill="1" applyBorder="1" applyAlignment="1">
      <alignment wrapText="1"/>
      <protection/>
    </xf>
    <xf numFmtId="3" fontId="102" fillId="0" borderId="52" xfId="96" applyNumberFormat="1" applyFont="1" applyFill="1" applyBorder="1" applyAlignment="1">
      <alignment horizontal="right"/>
      <protection/>
    </xf>
    <xf numFmtId="0" fontId="83" fillId="0" borderId="62" xfId="96" applyFont="1" applyFill="1" applyBorder="1" applyAlignment="1">
      <alignment wrapText="1"/>
      <protection/>
    </xf>
    <xf numFmtId="0" fontId="76" fillId="49" borderId="65" xfId="96" applyFont="1" applyFill="1" applyBorder="1" applyAlignment="1">
      <alignment horizontal="center" vertical="center" wrapText="1"/>
      <protection/>
    </xf>
    <xf numFmtId="0" fontId="76" fillId="49" borderId="52" xfId="96" applyFont="1" applyFill="1" applyBorder="1" applyAlignment="1">
      <alignment horizontal="center" vertical="center" wrapText="1"/>
      <protection/>
    </xf>
    <xf numFmtId="0" fontId="14" fillId="0" borderId="74" xfId="96" applyFont="1" applyBorder="1">
      <alignment/>
      <protection/>
    </xf>
    <xf numFmtId="3" fontId="83" fillId="0" borderId="73" xfId="96" applyNumberFormat="1" applyFont="1" applyFill="1" applyBorder="1" applyAlignment="1">
      <alignment vertical="center"/>
      <protection/>
    </xf>
    <xf numFmtId="3" fontId="86" fillId="35" borderId="69" xfId="96" applyNumberFormat="1" applyFont="1" applyFill="1" applyBorder="1" applyAlignment="1">
      <alignment horizontal="center" vertical="center"/>
      <protection/>
    </xf>
    <xf numFmtId="0" fontId="57" fillId="0" borderId="21" xfId="94" applyFont="1" applyFill="1" applyBorder="1" applyAlignment="1">
      <alignment vertical="center"/>
      <protection/>
    </xf>
    <xf numFmtId="3" fontId="1" fillId="0" borderId="51" xfId="94" applyNumberFormat="1" applyFont="1" applyBorder="1" applyAlignment="1">
      <alignment horizontal="right"/>
      <protection/>
    </xf>
    <xf numFmtId="0" fontId="19" fillId="0" borderId="38" xfId="94" applyFont="1" applyFill="1" applyBorder="1" applyAlignment="1">
      <alignment horizontal="center"/>
      <protection/>
    </xf>
    <xf numFmtId="0" fontId="19" fillId="0" borderId="22" xfId="94" applyFont="1" applyFill="1" applyBorder="1" applyAlignment="1">
      <alignment horizontal="center"/>
      <protection/>
    </xf>
    <xf numFmtId="3" fontId="1" fillId="0" borderId="69" xfId="94" applyNumberFormat="1" applyFont="1" applyBorder="1" applyAlignment="1">
      <alignment horizontal="right"/>
      <protection/>
    </xf>
    <xf numFmtId="0" fontId="57" fillId="0" borderId="65" xfId="94" applyFont="1" applyFill="1" applyBorder="1" applyAlignment="1">
      <alignment vertical="center"/>
      <protection/>
    </xf>
    <xf numFmtId="3" fontId="19" fillId="50" borderId="22" xfId="94" applyNumberFormat="1" applyFont="1" applyFill="1" applyBorder="1" applyAlignment="1">
      <alignment horizontal="right" vertical="center"/>
      <protection/>
    </xf>
    <xf numFmtId="3" fontId="19" fillId="50" borderId="22" xfId="94" applyNumberFormat="1" applyFont="1" applyFill="1" applyBorder="1" applyAlignment="1">
      <alignment vertical="center"/>
      <protection/>
    </xf>
    <xf numFmtId="3" fontId="19" fillId="50" borderId="22" xfId="94" applyNumberFormat="1" applyFont="1" applyFill="1" applyBorder="1">
      <alignment/>
      <protection/>
    </xf>
    <xf numFmtId="3" fontId="1" fillId="0" borderId="73" xfId="94" applyNumberFormat="1" applyFont="1" applyFill="1" applyBorder="1">
      <alignment/>
      <protection/>
    </xf>
    <xf numFmtId="3" fontId="1" fillId="0" borderId="79" xfId="94" applyNumberFormat="1" applyFont="1" applyFill="1" applyBorder="1">
      <alignment/>
      <protection/>
    </xf>
    <xf numFmtId="3" fontId="1" fillId="0" borderId="42" xfId="94" applyNumberFormat="1" applyFont="1" applyFill="1" applyBorder="1">
      <alignment/>
      <protection/>
    </xf>
    <xf numFmtId="3" fontId="19" fillId="50" borderId="73" xfId="94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79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10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79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80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1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79" xfId="0" applyNumberFormat="1" applyFont="1" applyFill="1" applyBorder="1" applyAlignment="1">
      <alignment vertical="center"/>
    </xf>
    <xf numFmtId="0" fontId="38" fillId="0" borderId="112" xfId="100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7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5" xfId="0" applyNumberFormat="1" applyFont="1" applyBorder="1" applyAlignment="1">
      <alignment vertical="center"/>
    </xf>
    <xf numFmtId="3" fontId="25" fillId="0" borderId="113" xfId="0" applyNumberFormat="1" applyFont="1" applyFill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5" fillId="0" borderId="113" xfId="0" applyNumberFormat="1" applyFont="1" applyBorder="1" applyAlignment="1">
      <alignment vertical="center"/>
    </xf>
    <xf numFmtId="3" fontId="24" fillId="0" borderId="115" xfId="0" applyNumberFormat="1" applyFont="1" applyFill="1" applyBorder="1" applyAlignment="1">
      <alignment vertical="center"/>
    </xf>
    <xf numFmtId="3" fontId="24" fillId="0" borderId="117" xfId="0" applyNumberFormat="1" applyFont="1" applyBorder="1" applyAlignment="1">
      <alignment vertical="center"/>
    </xf>
    <xf numFmtId="3" fontId="24" fillId="0" borderId="117" xfId="0" applyNumberFormat="1" applyFont="1" applyFill="1" applyBorder="1" applyAlignment="1">
      <alignment vertical="center"/>
    </xf>
    <xf numFmtId="3" fontId="32" fillId="0" borderId="113" xfId="0" applyNumberFormat="1" applyFont="1" applyFill="1" applyBorder="1" applyAlignment="1">
      <alignment vertical="center"/>
    </xf>
    <xf numFmtId="0" fontId="23" fillId="0" borderId="117" xfId="0" applyFont="1" applyBorder="1" applyAlignment="1">
      <alignment vertical="center"/>
    </xf>
    <xf numFmtId="3" fontId="25" fillId="0" borderId="113" xfId="0" applyNumberFormat="1" applyFont="1" applyFill="1" applyBorder="1" applyAlignment="1">
      <alignment horizontal="right" vertical="center"/>
    </xf>
    <xf numFmtId="3" fontId="24" fillId="0" borderId="118" xfId="0" applyNumberFormat="1" applyFont="1" applyFill="1" applyBorder="1" applyAlignment="1">
      <alignment vertical="center"/>
    </xf>
    <xf numFmtId="3" fontId="25" fillId="0" borderId="119" xfId="0" applyNumberFormat="1" applyFont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4" fillId="0" borderId="121" xfId="0" applyNumberFormat="1" applyFont="1" applyFill="1" applyBorder="1" applyAlignment="1">
      <alignment vertical="center"/>
    </xf>
    <xf numFmtId="3" fontId="25" fillId="0" borderId="119" xfId="0" applyNumberFormat="1" applyFont="1" applyFill="1" applyBorder="1" applyAlignment="1">
      <alignment vertical="center"/>
    </xf>
    <xf numFmtId="3" fontId="23" fillId="0" borderId="10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0" fontId="21" fillId="0" borderId="123" xfId="0" applyFont="1" applyBorder="1" applyAlignment="1">
      <alignment vertical="center"/>
    </xf>
    <xf numFmtId="3" fontId="21" fillId="0" borderId="124" xfId="0" applyNumberFormat="1" applyFont="1" applyBorder="1" applyAlignment="1">
      <alignment vertical="center"/>
    </xf>
    <xf numFmtId="3" fontId="23" fillId="0" borderId="113" xfId="0" applyNumberFormat="1" applyFont="1" applyBorder="1" applyAlignment="1">
      <alignment vertical="center"/>
    </xf>
    <xf numFmtId="3" fontId="21" fillId="0" borderId="113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24" xfId="0" applyNumberFormat="1" applyFont="1" applyBorder="1" applyAlignment="1">
      <alignment vertical="center"/>
    </xf>
    <xf numFmtId="3" fontId="23" fillId="0" borderId="119" xfId="0" applyNumberFormat="1" applyFont="1" applyBorder="1" applyAlignment="1">
      <alignment vertical="center"/>
    </xf>
    <xf numFmtId="3" fontId="24" fillId="0" borderId="125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95" applyNumberFormat="1" applyAlignment="1">
      <alignment vertical="center" wrapText="1"/>
      <protection/>
    </xf>
    <xf numFmtId="3" fontId="1" fillId="0" borderId="0" xfId="95" applyNumberFormat="1" applyAlignment="1">
      <alignment vertical="center"/>
      <protection/>
    </xf>
    <xf numFmtId="3" fontId="106" fillId="0" borderId="54" xfId="95" applyNumberFormat="1" applyFont="1" applyFill="1" applyBorder="1" applyAlignment="1">
      <alignment horizontal="center" vertical="center"/>
      <protection/>
    </xf>
    <xf numFmtId="3" fontId="106" fillId="0" borderId="57" xfId="95" applyNumberFormat="1" applyFont="1" applyFill="1" applyBorder="1" applyAlignment="1">
      <alignment horizontal="center" vertical="center"/>
      <protection/>
    </xf>
    <xf numFmtId="3" fontId="106" fillId="0" borderId="42" xfId="95" applyNumberFormat="1" applyFont="1" applyFill="1" applyBorder="1" applyAlignment="1">
      <alignment horizontal="center" vertical="center"/>
      <protection/>
    </xf>
    <xf numFmtId="3" fontId="65" fillId="0" borderId="72" xfId="95" applyNumberFormat="1" applyFont="1" applyBorder="1" applyAlignment="1">
      <alignment vertical="center" wrapText="1"/>
      <protection/>
    </xf>
    <xf numFmtId="3" fontId="65" fillId="0" borderId="44" xfId="95" applyNumberFormat="1" applyFont="1" applyBorder="1" applyAlignment="1">
      <alignment vertical="center"/>
      <protection/>
    </xf>
    <xf numFmtId="3" fontId="65" fillId="0" borderId="44" xfId="95" applyNumberFormat="1" applyFont="1" applyBorder="1" applyAlignment="1">
      <alignment horizontal="right" vertical="center"/>
      <protection/>
    </xf>
    <xf numFmtId="3" fontId="65" fillId="0" borderId="73" xfId="95" applyNumberFormat="1" applyFont="1" applyBorder="1" applyAlignment="1">
      <alignment horizontal="right" vertical="center"/>
      <protection/>
    </xf>
    <xf numFmtId="3" fontId="65" fillId="0" borderId="65" xfId="95" applyNumberFormat="1" applyFont="1" applyBorder="1" applyAlignment="1">
      <alignment vertical="center" wrapText="1"/>
      <protection/>
    </xf>
    <xf numFmtId="3" fontId="65" fillId="0" borderId="52" xfId="95" applyNumberFormat="1" applyFont="1" applyBorder="1" applyAlignment="1">
      <alignment vertical="center"/>
      <protection/>
    </xf>
    <xf numFmtId="3" fontId="65" fillId="0" borderId="52" xfId="95" applyNumberFormat="1" applyFont="1" applyBorder="1" applyAlignment="1">
      <alignment horizontal="right" vertical="center"/>
      <protection/>
    </xf>
    <xf numFmtId="3" fontId="65" fillId="0" borderId="39" xfId="95" applyNumberFormat="1" applyFont="1" applyBorder="1" applyAlignment="1">
      <alignment horizontal="right" vertical="center"/>
      <protection/>
    </xf>
    <xf numFmtId="3" fontId="65" fillId="0" borderId="62" xfId="95" applyNumberFormat="1" applyFont="1" applyBorder="1" applyAlignment="1">
      <alignment vertical="center" wrapText="1"/>
      <protection/>
    </xf>
    <xf numFmtId="3" fontId="65" fillId="0" borderId="46" xfId="95" applyNumberFormat="1" applyFont="1" applyBorder="1" applyAlignment="1">
      <alignment vertical="center"/>
      <protection/>
    </xf>
    <xf numFmtId="3" fontId="65" fillId="0" borderId="46" xfId="95" applyNumberFormat="1" applyFont="1" applyBorder="1" applyAlignment="1">
      <alignment horizontal="right" vertical="center"/>
      <protection/>
    </xf>
    <xf numFmtId="3" fontId="65" fillId="0" borderId="76" xfId="95" applyNumberFormat="1" applyFont="1" applyBorder="1" applyAlignment="1">
      <alignment vertical="center" wrapText="1"/>
      <protection/>
    </xf>
    <xf numFmtId="3" fontId="65" fillId="0" borderId="54" xfId="95" applyNumberFormat="1" applyFont="1" applyBorder="1" applyAlignment="1">
      <alignment vertical="center"/>
      <protection/>
    </xf>
    <xf numFmtId="3" fontId="65" fillId="0" borderId="54" xfId="95" applyNumberFormat="1" applyFont="1" applyBorder="1" applyAlignment="1">
      <alignment horizontal="right" vertical="center"/>
      <protection/>
    </xf>
    <xf numFmtId="3" fontId="65" fillId="0" borderId="42" xfId="95" applyNumberFormat="1" applyFont="1" applyBorder="1" applyAlignment="1">
      <alignment horizontal="right" vertical="center"/>
      <protection/>
    </xf>
    <xf numFmtId="3" fontId="64" fillId="0" borderId="58" xfId="95" applyNumberFormat="1" applyFont="1" applyBorder="1" applyAlignment="1">
      <alignment vertical="center" wrapText="1"/>
      <protection/>
    </xf>
    <xf numFmtId="3" fontId="64" fillId="0" borderId="53" xfId="95" applyNumberFormat="1" applyFont="1" applyBorder="1" applyAlignment="1">
      <alignment vertical="center"/>
      <protection/>
    </xf>
    <xf numFmtId="3" fontId="64" fillId="0" borderId="71" xfId="95" applyNumberFormat="1" applyFont="1" applyBorder="1" applyAlignment="1">
      <alignment vertical="center"/>
      <protection/>
    </xf>
    <xf numFmtId="3" fontId="26" fillId="0" borderId="0" xfId="95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4" fontId="0" fillId="0" borderId="44" xfId="0" applyNumberFormat="1" applyBorder="1" applyAlignment="1" applyProtection="1">
      <alignment/>
      <protection locked="0"/>
    </xf>
    <xf numFmtId="164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4" fontId="0" fillId="0" borderId="52" xfId="0" applyNumberFormat="1" applyBorder="1" applyAlignment="1" applyProtection="1">
      <alignment/>
      <protection locked="0"/>
    </xf>
    <xf numFmtId="164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4" fontId="0" fillId="0" borderId="46" xfId="0" applyNumberFormat="1" applyBorder="1" applyAlignment="1" applyProtection="1">
      <alignment/>
      <protection locked="0"/>
    </xf>
    <xf numFmtId="164" fontId="0" fillId="0" borderId="79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4" fontId="52" fillId="0" borderId="38" xfId="0" applyNumberFormat="1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0" fillId="0" borderId="126" xfId="0" applyBorder="1" applyAlignment="1">
      <alignment/>
    </xf>
    <xf numFmtId="0" fontId="53" fillId="0" borderId="126" xfId="0" applyFont="1" applyBorder="1" applyAlignment="1">
      <alignment horizontal="center"/>
    </xf>
    <xf numFmtId="0" fontId="14" fillId="0" borderId="19" xfId="96" applyFont="1" applyBorder="1" applyAlignment="1">
      <alignment/>
      <protection/>
    </xf>
    <xf numFmtId="0" fontId="0" fillId="0" borderId="20" xfId="0" applyBorder="1" applyAlignment="1">
      <alignment/>
    </xf>
    <xf numFmtId="10" fontId="25" fillId="0" borderId="127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80" xfId="0" applyFont="1" applyFill="1" applyBorder="1" applyAlignment="1">
      <alignment horizontal="center" vertical="center" wrapText="1"/>
    </xf>
    <xf numFmtId="3" fontId="14" fillId="51" borderId="109" xfId="96" applyNumberFormat="1" applyFill="1" applyBorder="1" applyAlignment="1">
      <alignment vertical="center"/>
      <protection/>
    </xf>
    <xf numFmtId="3" fontId="84" fillId="52" borderId="46" xfId="96" applyNumberFormat="1" applyFont="1" applyFill="1" applyBorder="1" applyAlignment="1">
      <alignment horizontal="right"/>
      <protection/>
    </xf>
    <xf numFmtId="3" fontId="86" fillId="35" borderId="20" xfId="96" applyNumberFormat="1" applyFont="1" applyFill="1" applyBorder="1" applyAlignment="1">
      <alignment horizontal="center" vertical="center"/>
      <protection/>
    </xf>
    <xf numFmtId="3" fontId="130" fillId="0" borderId="46" xfId="96" applyNumberFormat="1" applyFont="1" applyBorder="1" applyAlignment="1">
      <alignment horizontal="right"/>
      <protection/>
    </xf>
    <xf numFmtId="2" fontId="43" fillId="0" borderId="0" xfId="96" applyNumberFormat="1" applyFont="1" applyFill="1" applyBorder="1" applyAlignment="1">
      <alignment horizontal="right" vertical="center"/>
      <protection/>
    </xf>
    <xf numFmtId="3" fontId="76" fillId="0" borderId="22" xfId="96" applyNumberFormat="1" applyFont="1" applyBorder="1" applyAlignment="1">
      <alignment horizontal="right" vertical="center"/>
      <protection/>
    </xf>
    <xf numFmtId="3" fontId="68" fillId="0" borderId="0" xfId="96" applyNumberFormat="1" applyFont="1">
      <alignment/>
      <protection/>
    </xf>
    <xf numFmtId="0" fontId="19" fillId="0" borderId="128" xfId="95" applyFont="1" applyBorder="1">
      <alignment/>
      <protection/>
    </xf>
    <xf numFmtId="3" fontId="1" fillId="0" borderId="0" xfId="94" applyNumberFormat="1" applyFill="1">
      <alignment/>
      <protection/>
    </xf>
    <xf numFmtId="0" fontId="19" fillId="0" borderId="19" xfId="94" applyFont="1" applyFill="1" applyBorder="1">
      <alignment/>
      <protection/>
    </xf>
    <xf numFmtId="3" fontId="19" fillId="0" borderId="38" xfId="94" applyNumberFormat="1" applyFont="1" applyFill="1" applyBorder="1">
      <alignment/>
      <protection/>
    </xf>
    <xf numFmtId="3" fontId="19" fillId="0" borderId="22" xfId="94" applyNumberFormat="1" applyFont="1" applyFill="1" applyBorder="1">
      <alignment/>
      <protection/>
    </xf>
    <xf numFmtId="3" fontId="1" fillId="0" borderId="35" xfId="94" applyNumberFormat="1" applyFill="1" applyBorder="1">
      <alignment/>
      <protection/>
    </xf>
    <xf numFmtId="3" fontId="1" fillId="0" borderId="29" xfId="94" applyNumberFormat="1" applyFill="1" applyBorder="1">
      <alignment/>
      <protection/>
    </xf>
    <xf numFmtId="3" fontId="1" fillId="0" borderId="21" xfId="94" applyNumberFormat="1" applyFont="1" applyFill="1" applyBorder="1">
      <alignment/>
      <protection/>
    </xf>
    <xf numFmtId="3" fontId="24" fillId="0" borderId="129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91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3" xfId="0" applyNumberFormat="1" applyFont="1" applyBorder="1" applyAlignment="1">
      <alignment vertical="center"/>
    </xf>
    <xf numFmtId="3" fontId="30" fillId="0" borderId="8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25" fillId="35" borderId="80" xfId="0" applyNumberFormat="1" applyFont="1" applyFill="1" applyBorder="1" applyAlignment="1">
      <alignment horizontal="right" vertical="center" wrapText="1"/>
    </xf>
    <xf numFmtId="3" fontId="30" fillId="35" borderId="80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35" borderId="133" xfId="0" applyNumberFormat="1" applyFont="1" applyFill="1" applyBorder="1" applyAlignment="1">
      <alignment horizontal="right" vertical="center" wrapText="1"/>
    </xf>
    <xf numFmtId="3" fontId="100" fillId="0" borderId="131" xfId="0" applyNumberFormat="1" applyFont="1" applyFill="1" applyBorder="1" applyAlignment="1">
      <alignment horizontal="right" vertical="center"/>
    </xf>
    <xf numFmtId="3" fontId="100" fillId="0" borderId="134" xfId="0" applyNumberFormat="1" applyFont="1" applyFill="1" applyBorder="1" applyAlignment="1">
      <alignment horizontal="right" vertical="center"/>
    </xf>
    <xf numFmtId="3" fontId="30" fillId="0" borderId="80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100" fillId="0" borderId="138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3" fontId="30" fillId="0" borderId="138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133" xfId="0" applyNumberFormat="1" applyFont="1" applyFill="1" applyBorder="1" applyAlignment="1">
      <alignment vertical="center"/>
    </xf>
    <xf numFmtId="3" fontId="100" fillId="0" borderId="138" xfId="0" applyNumberFormat="1" applyFont="1" applyFill="1" applyBorder="1" applyAlignment="1">
      <alignment vertical="center"/>
    </xf>
    <xf numFmtId="3" fontId="100" fillId="0" borderId="131" xfId="0" applyNumberFormat="1" applyFont="1" applyFill="1" applyBorder="1" applyAlignment="1">
      <alignment vertical="center"/>
    </xf>
    <xf numFmtId="3" fontId="30" fillId="0" borderId="8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4" fontId="34" fillId="0" borderId="80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96" applyFont="1" applyFill="1" applyBorder="1" applyAlignment="1">
      <alignment horizontal="center" vertical="center"/>
      <protection/>
    </xf>
    <xf numFmtId="0" fontId="80" fillId="0" borderId="0" xfId="96" applyFont="1" applyBorder="1" applyAlignment="1">
      <alignment horizontal="right"/>
      <protection/>
    </xf>
    <xf numFmtId="3" fontId="44" fillId="0" borderId="0" xfId="96" applyNumberFormat="1" applyFont="1" applyBorder="1" applyAlignment="1">
      <alignment horizontal="right"/>
      <protection/>
    </xf>
    <xf numFmtId="3" fontId="44" fillId="0" borderId="0" xfId="96" applyNumberFormat="1" applyFont="1" applyBorder="1" applyAlignment="1">
      <alignment horizontal="right" vertical="center"/>
      <protection/>
    </xf>
    <xf numFmtId="0" fontId="76" fillId="49" borderId="56" xfId="96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0" fontId="72" fillId="0" borderId="19" xfId="99" applyFont="1" applyFill="1" applyBorder="1" applyAlignment="1">
      <alignment horizontal="left"/>
      <protection/>
    </xf>
    <xf numFmtId="0" fontId="14" fillId="0" borderId="19" xfId="96" applyBorder="1">
      <alignment/>
      <protection/>
    </xf>
    <xf numFmtId="3" fontId="74" fillId="0" borderId="139" xfId="99" applyNumberFormat="1" applyFont="1" applyBorder="1" applyAlignment="1">
      <alignment vertical="center"/>
      <protection/>
    </xf>
    <xf numFmtId="3" fontId="72" fillId="0" borderId="48" xfId="99" applyNumberFormat="1" applyFont="1" applyBorder="1" applyAlignment="1">
      <alignment horizontal="right" vertical="center" wrapText="1"/>
      <protection/>
    </xf>
    <xf numFmtId="3" fontId="14" fillId="0" borderId="21" xfId="96" applyNumberFormat="1" applyBorder="1" applyAlignment="1">
      <alignment vertical="center" wrapText="1"/>
      <protection/>
    </xf>
    <xf numFmtId="3" fontId="72" fillId="0" borderId="21" xfId="99" applyNumberFormat="1" applyFont="1" applyFill="1" applyBorder="1" applyAlignment="1">
      <alignment horizontal="right" vertical="center" wrapText="1"/>
      <protection/>
    </xf>
    <xf numFmtId="3" fontId="73" fillId="0" borderId="21" xfId="99" applyNumberFormat="1" applyFont="1" applyFill="1" applyBorder="1" applyAlignment="1">
      <alignment horizontal="right" vertical="top"/>
      <protection/>
    </xf>
    <xf numFmtId="3" fontId="102" fillId="0" borderId="52" xfId="96" applyNumberFormat="1" applyFont="1" applyFill="1" applyBorder="1" applyAlignment="1">
      <alignment horizontal="right"/>
      <protection/>
    </xf>
    <xf numFmtId="0" fontId="38" fillId="0" borderId="0" xfId="101" applyFont="1" applyFill="1">
      <alignment/>
      <protection/>
    </xf>
    <xf numFmtId="0" fontId="38" fillId="0" borderId="0" xfId="101" applyFont="1" applyFill="1" applyAlignment="1">
      <alignment vertical="center" wrapText="1"/>
      <protection/>
    </xf>
    <xf numFmtId="164" fontId="108" fillId="0" borderId="0" xfId="101" applyNumberFormat="1" applyFont="1" applyFill="1" applyBorder="1" applyAlignment="1" applyProtection="1">
      <alignment vertical="center" wrapText="1"/>
      <protection/>
    </xf>
    <xf numFmtId="164" fontId="35" fillId="0" borderId="0" xfId="101" applyNumberFormat="1" applyFont="1" applyFill="1" applyBorder="1" applyAlignment="1" applyProtection="1">
      <alignment horizontal="centerContinuous" vertical="center"/>
      <protection/>
    </xf>
    <xf numFmtId="164" fontId="35" fillId="0" borderId="0" xfId="101" applyNumberFormat="1" applyFont="1" applyFill="1" applyBorder="1" applyAlignment="1" applyProtection="1">
      <alignment horizontal="centerContinuous" vertical="center" wrapText="1"/>
      <protection/>
    </xf>
    <xf numFmtId="0" fontId="27" fillId="0" borderId="0" xfId="93" applyFont="1" applyFill="1" applyBorder="1" applyAlignment="1" applyProtection="1">
      <alignment/>
      <protection/>
    </xf>
    <xf numFmtId="0" fontId="29" fillId="0" borderId="0" xfId="101" applyFont="1" applyFill="1" applyBorder="1" applyAlignment="1">
      <alignment vertical="center" wrapText="1"/>
      <protection/>
    </xf>
    <xf numFmtId="0" fontId="29" fillId="0" borderId="140" xfId="101" applyFont="1" applyFill="1" applyBorder="1" applyAlignment="1">
      <alignment horizontal="center" vertical="center" wrapText="1"/>
      <protection/>
    </xf>
    <xf numFmtId="0" fontId="16" fillId="0" borderId="141" xfId="101" applyFont="1" applyFill="1" applyBorder="1" applyAlignment="1">
      <alignment horizontal="center" vertical="center"/>
      <protection/>
    </xf>
    <xf numFmtId="0" fontId="16" fillId="0" borderId="100" xfId="101" applyFont="1" applyFill="1" applyBorder="1" applyAlignment="1">
      <alignment horizontal="center" vertical="center" wrapText="1"/>
      <protection/>
    </xf>
    <xf numFmtId="0" fontId="16" fillId="0" borderId="100" xfId="101" applyFont="1" applyFill="1" applyBorder="1" applyAlignment="1">
      <alignment horizontal="center" vertical="center"/>
      <protection/>
    </xf>
    <xf numFmtId="0" fontId="16" fillId="0" borderId="101" xfId="101" applyFont="1" applyFill="1" applyBorder="1" applyAlignment="1">
      <alignment horizontal="center" vertical="center"/>
      <protection/>
    </xf>
    <xf numFmtId="0" fontId="16" fillId="0" borderId="102" xfId="101" applyFont="1" applyFill="1" applyBorder="1" applyAlignment="1">
      <alignment horizontal="center" vertical="center"/>
      <protection/>
    </xf>
    <xf numFmtId="3" fontId="83" fillId="0" borderId="142" xfId="93" applyNumberFormat="1" applyFont="1" applyFill="1" applyBorder="1" applyAlignment="1">
      <alignment horizontal="right" vertical="center"/>
      <protection/>
    </xf>
    <xf numFmtId="3" fontId="38" fillId="0" borderId="0" xfId="101" applyNumberFormat="1" applyFont="1" applyFill="1">
      <alignment/>
      <protection/>
    </xf>
    <xf numFmtId="0" fontId="16" fillId="0" borderId="103" xfId="101" applyFont="1" applyFill="1" applyBorder="1" applyAlignment="1">
      <alignment horizontal="center" vertical="center"/>
      <protection/>
    </xf>
    <xf numFmtId="3" fontId="83" fillId="0" borderId="105" xfId="97" applyNumberFormat="1" applyFont="1" applyFill="1" applyBorder="1" applyAlignment="1">
      <alignment horizontal="right" vertical="center"/>
      <protection/>
    </xf>
    <xf numFmtId="168" fontId="16" fillId="0" borderId="105" xfId="70" applyNumberFormat="1" applyFont="1" applyFill="1" applyBorder="1" applyAlignment="1" applyProtection="1">
      <alignment horizontal="right" vertical="center"/>
      <protection locked="0"/>
    </xf>
    <xf numFmtId="168" fontId="16" fillId="0" borderId="123" xfId="70" applyNumberFormat="1" applyFont="1" applyFill="1" applyBorder="1" applyAlignment="1" applyProtection="1">
      <alignment horizontal="right" vertical="center"/>
      <protection locked="0"/>
    </xf>
    <xf numFmtId="0" fontId="82" fillId="0" borderId="105" xfId="93" applyFont="1" applyFill="1" applyBorder="1" applyAlignment="1">
      <alignment vertical="center" wrapText="1"/>
      <protection/>
    </xf>
    <xf numFmtId="0" fontId="16" fillId="0" borderId="143" xfId="101" applyFont="1" applyFill="1" applyBorder="1" applyAlignment="1">
      <alignment horizontal="center" vertical="center"/>
      <protection/>
    </xf>
    <xf numFmtId="0" fontId="16" fillId="0" borderId="140" xfId="101" applyFont="1" applyFill="1" applyBorder="1" applyAlignment="1" applyProtection="1">
      <alignment vertical="center" wrapText="1"/>
      <protection locked="0"/>
    </xf>
    <xf numFmtId="168" fontId="16" fillId="0" borderId="140" xfId="70" applyNumberFormat="1" applyFont="1" applyFill="1" applyBorder="1" applyAlignment="1" applyProtection="1">
      <alignment horizontal="right" vertical="center"/>
      <protection locked="0"/>
    </xf>
    <xf numFmtId="168" fontId="16" fillId="0" borderId="124" xfId="70" applyNumberFormat="1" applyFont="1" applyFill="1" applyBorder="1" applyAlignment="1" applyProtection="1">
      <alignment horizontal="right" vertical="center"/>
      <protection locked="0"/>
    </xf>
    <xf numFmtId="0" fontId="29" fillId="0" borderId="100" xfId="101" applyFont="1" applyFill="1" applyBorder="1" applyAlignment="1">
      <alignment vertical="center" wrapText="1"/>
      <protection/>
    </xf>
    <xf numFmtId="168" fontId="16" fillId="0" borderId="100" xfId="101" applyNumberFormat="1" applyFont="1" applyFill="1" applyBorder="1" applyAlignment="1">
      <alignment horizontal="right" vertical="center"/>
      <protection/>
    </xf>
    <xf numFmtId="168" fontId="16" fillId="0" borderId="101" xfId="101" applyNumberFormat="1" applyFont="1" applyFill="1" applyBorder="1" applyAlignment="1">
      <alignment horizontal="right" vertical="center"/>
      <protection/>
    </xf>
    <xf numFmtId="168" fontId="38" fillId="0" borderId="0" xfId="101" applyNumberFormat="1" applyFont="1" applyFill="1">
      <alignment/>
      <protection/>
    </xf>
    <xf numFmtId="0" fontId="38" fillId="0" borderId="0" xfId="101" applyFont="1" applyFill="1" applyBorder="1" applyAlignment="1">
      <alignment vertical="center" wrapText="1"/>
      <protection/>
    </xf>
    <xf numFmtId="0" fontId="79" fillId="0" borderId="105" xfId="93" applyFont="1" applyFill="1" applyBorder="1" applyAlignment="1">
      <alignment vertical="center" wrapText="1"/>
      <protection/>
    </xf>
    <xf numFmtId="0" fontId="1" fillId="0" borderId="40" xfId="94" applyFont="1" applyBorder="1">
      <alignment/>
      <protection/>
    </xf>
    <xf numFmtId="0" fontId="82" fillId="0" borderId="144" xfId="93" applyFont="1" applyFill="1" applyBorder="1" applyAlignment="1">
      <alignment vertical="center" wrapText="1"/>
      <protection/>
    </xf>
    <xf numFmtId="0" fontId="82" fillId="0" borderId="145" xfId="93" applyFont="1" applyFill="1" applyBorder="1" applyAlignment="1">
      <alignment vertical="center" wrapText="1"/>
      <protection/>
    </xf>
    <xf numFmtId="0" fontId="79" fillId="0" borderId="146" xfId="93" applyFont="1" applyFill="1" applyBorder="1" applyAlignment="1">
      <alignment vertical="center"/>
      <protection/>
    </xf>
    <xf numFmtId="3" fontId="83" fillId="0" borderId="146" xfId="97" applyNumberFormat="1" applyFont="1" applyFill="1" applyBorder="1" applyAlignment="1">
      <alignment horizontal="right" vertical="center"/>
      <protection/>
    </xf>
    <xf numFmtId="168" fontId="16" fillId="0" borderId="146" xfId="70" applyNumberFormat="1" applyFont="1" applyFill="1" applyBorder="1" applyAlignment="1" applyProtection="1">
      <alignment horizontal="right" vertical="center"/>
      <protection locked="0"/>
    </xf>
    <xf numFmtId="168" fontId="16" fillId="0" borderId="122" xfId="70" applyNumberFormat="1" applyFont="1" applyFill="1" applyBorder="1" applyAlignment="1" applyProtection="1">
      <alignment horizontal="right" vertical="center"/>
      <protection locked="0"/>
    </xf>
    <xf numFmtId="3" fontId="83" fillId="0" borderId="102" xfId="93" applyNumberFormat="1" applyFont="1" applyFill="1" applyBorder="1" applyAlignment="1">
      <alignment horizontal="right" vertical="center"/>
      <protection/>
    </xf>
    <xf numFmtId="3" fontId="83" fillId="0" borderId="147" xfId="93" applyNumberFormat="1" applyFont="1" applyFill="1" applyBorder="1" applyAlignment="1">
      <alignment horizontal="right" vertical="center"/>
      <protection/>
    </xf>
    <xf numFmtId="3" fontId="83" fillId="0" borderId="103" xfId="93" applyNumberFormat="1" applyFont="1" applyFill="1" applyBorder="1" applyAlignment="1">
      <alignment horizontal="right" vertical="center"/>
      <protection/>
    </xf>
    <xf numFmtId="3" fontId="83" fillId="0" borderId="105" xfId="93" applyNumberFormat="1" applyFont="1" applyFill="1" applyBorder="1" applyAlignment="1">
      <alignment horizontal="right" vertical="center"/>
      <protection/>
    </xf>
    <xf numFmtId="3" fontId="83" fillId="0" borderId="123" xfId="93" applyNumberFormat="1" applyFont="1" applyFill="1" applyBorder="1" applyAlignment="1">
      <alignment horizontal="right" vertical="center"/>
      <protection/>
    </xf>
    <xf numFmtId="3" fontId="83" fillId="0" borderId="104" xfId="93" applyNumberFormat="1" applyFont="1" applyFill="1" applyBorder="1" applyAlignment="1">
      <alignment horizontal="right" vertical="center"/>
      <protection/>
    </xf>
    <xf numFmtId="3" fontId="83" fillId="0" borderId="106" xfId="93" applyNumberFormat="1" applyFont="1" applyFill="1" applyBorder="1" applyAlignment="1">
      <alignment horizontal="right" vertical="center"/>
      <protection/>
    </xf>
    <xf numFmtId="3" fontId="83" fillId="0" borderId="148" xfId="93" applyNumberFormat="1" applyFont="1" applyFill="1" applyBorder="1" applyAlignment="1">
      <alignment horizontal="right" vertical="center"/>
      <protection/>
    </xf>
    <xf numFmtId="3" fontId="29" fillId="0" borderId="100" xfId="101" applyNumberFormat="1" applyFont="1" applyFill="1" applyBorder="1" applyAlignment="1">
      <alignment vertical="center" wrapText="1"/>
      <protection/>
    </xf>
    <xf numFmtId="3" fontId="29" fillId="0" borderId="101" xfId="101" applyNumberFormat="1" applyFont="1" applyFill="1" applyBorder="1" applyAlignment="1">
      <alignment vertical="center" wrapText="1"/>
      <protection/>
    </xf>
    <xf numFmtId="3" fontId="21" fillId="0" borderId="0" xfId="0" applyNumberFormat="1" applyFont="1" applyAlignment="1">
      <alignment vertical="center"/>
    </xf>
    <xf numFmtId="0" fontId="82" fillId="0" borderId="91" xfId="0" applyFont="1" applyFill="1" applyBorder="1" applyAlignment="1">
      <alignment vertical="center" wrapText="1"/>
    </xf>
    <xf numFmtId="3" fontId="35" fillId="0" borderId="0" xfId="101" applyNumberFormat="1" applyFont="1" applyFill="1">
      <alignment/>
      <protection/>
    </xf>
    <xf numFmtId="3" fontId="86" fillId="35" borderId="21" xfId="96" applyNumberFormat="1" applyFont="1" applyFill="1" applyBorder="1" applyAlignment="1">
      <alignment horizontal="center" vertical="center"/>
      <protection/>
    </xf>
    <xf numFmtId="3" fontId="83" fillId="0" borderId="26" xfId="96" applyNumberFormat="1" applyFont="1" applyFill="1" applyBorder="1" applyAlignment="1">
      <alignment horizontal="right" vertical="center"/>
      <protection/>
    </xf>
    <xf numFmtId="3" fontId="76" fillId="0" borderId="21" xfId="96" applyNumberFormat="1" applyFont="1" applyBorder="1" applyAlignment="1">
      <alignment horizontal="right" vertical="center"/>
      <protection/>
    </xf>
    <xf numFmtId="2" fontId="66" fillId="0" borderId="42" xfId="98" applyNumberFormat="1" applyFont="1" applyFill="1" applyBorder="1" applyAlignment="1">
      <alignment horizontal="center" vertical="center" wrapText="1"/>
      <protection/>
    </xf>
    <xf numFmtId="2" fontId="67" fillId="0" borderId="22" xfId="98" applyNumberFormat="1" applyFont="1" applyBorder="1" applyAlignment="1">
      <alignment horizontal="center" vertical="center"/>
      <protection/>
    </xf>
    <xf numFmtId="1" fontId="66" fillId="0" borderId="42" xfId="98" applyNumberFormat="1" applyFont="1" applyBorder="1" applyAlignment="1">
      <alignment horizontal="center" vertical="center" wrapText="1"/>
      <protection/>
    </xf>
    <xf numFmtId="0" fontId="64" fillId="0" borderId="38" xfId="98" applyFont="1" applyBorder="1" applyAlignment="1">
      <alignment horizontal="left" vertical="center"/>
      <protection/>
    </xf>
    <xf numFmtId="1" fontId="67" fillId="0" borderId="22" xfId="98" applyNumberFormat="1" applyFont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/>
    </xf>
    <xf numFmtId="0" fontId="29" fillId="0" borderId="0" xfId="100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96" applyFont="1" applyBorder="1" applyAlignment="1">
      <alignment horizontal="center" vertical="center"/>
      <protection/>
    </xf>
    <xf numFmtId="0" fontId="43" fillId="0" borderId="0" xfId="96" applyFont="1" applyBorder="1" applyAlignment="1">
      <alignment horizontal="center" vertical="center"/>
      <protection/>
    </xf>
    <xf numFmtId="0" fontId="69" fillId="0" borderId="0" xfId="96" applyFont="1" applyBorder="1" applyAlignment="1">
      <alignment horizontal="center"/>
      <protection/>
    </xf>
    <xf numFmtId="0" fontId="70" fillId="0" borderId="0" xfId="96" applyFont="1" applyBorder="1" applyAlignment="1">
      <alignment horizontal="center"/>
      <protection/>
    </xf>
    <xf numFmtId="0" fontId="15" fillId="0" borderId="0" xfId="96" applyFont="1" applyBorder="1" applyAlignment="1">
      <alignment horizontal="center"/>
      <protection/>
    </xf>
    <xf numFmtId="0" fontId="75" fillId="0" borderId="0" xfId="96" applyFont="1" applyBorder="1" applyAlignment="1">
      <alignment horizontal="center" vertical="center" wrapText="1"/>
      <protection/>
    </xf>
    <xf numFmtId="0" fontId="76" fillId="0" borderId="0" xfId="96" applyFont="1" applyFill="1" applyBorder="1" applyAlignment="1">
      <alignment horizontal="center" vertical="center"/>
      <protection/>
    </xf>
    <xf numFmtId="0" fontId="73" fillId="0" borderId="0" xfId="96" applyFont="1" applyBorder="1" applyAlignment="1">
      <alignment horizontal="center" vertical="center"/>
      <protection/>
    </xf>
    <xf numFmtId="3" fontId="78" fillId="11" borderId="89" xfId="96" applyNumberFormat="1" applyFont="1" applyFill="1" applyBorder="1" applyAlignment="1">
      <alignment horizontal="center" vertical="center" wrapText="1"/>
      <protection/>
    </xf>
    <xf numFmtId="3" fontId="78" fillId="11" borderId="87" xfId="96" applyNumberFormat="1" applyFont="1" applyFill="1" applyBorder="1" applyAlignment="1">
      <alignment horizontal="center" vertical="center" wrapText="1"/>
      <protection/>
    </xf>
    <xf numFmtId="3" fontId="78" fillId="11" borderId="149" xfId="96" applyNumberFormat="1" applyFont="1" applyFill="1" applyBorder="1" applyAlignment="1">
      <alignment horizontal="center" vertical="center" wrapText="1"/>
      <protection/>
    </xf>
    <xf numFmtId="0" fontId="76" fillId="49" borderId="90" xfId="96" applyFont="1" applyFill="1" applyBorder="1" applyAlignment="1">
      <alignment horizontal="center" vertical="center"/>
      <protection/>
    </xf>
    <xf numFmtId="0" fontId="76" fillId="0" borderId="0" xfId="96" applyFont="1" applyBorder="1" applyAlignment="1">
      <alignment horizontal="left"/>
      <protection/>
    </xf>
    <xf numFmtId="0" fontId="82" fillId="0" borderId="0" xfId="96" applyFont="1" applyBorder="1" applyAlignment="1">
      <alignment horizontal="center"/>
      <protection/>
    </xf>
    <xf numFmtId="0" fontId="81" fillId="0" borderId="0" xfId="96" applyFont="1" applyBorder="1" applyAlignment="1">
      <alignment horizontal="center"/>
      <protection/>
    </xf>
    <xf numFmtId="0" fontId="82" fillId="0" borderId="0" xfId="96" applyFont="1" applyBorder="1" applyAlignment="1">
      <alignment horizontal="center" wrapText="1"/>
      <protection/>
    </xf>
    <xf numFmtId="2" fontId="66" fillId="0" borderId="39" xfId="98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96" applyFont="1" applyFill="1" applyAlignment="1">
      <alignment vertical="center"/>
      <protection/>
    </xf>
    <xf numFmtId="0" fontId="40" fillId="0" borderId="0" xfId="96" applyFont="1" applyFill="1" applyBorder="1" applyAlignment="1">
      <alignment horizontal="right" vertical="center"/>
      <protection/>
    </xf>
    <xf numFmtId="0" fontId="42" fillId="0" borderId="0" xfId="96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96" applyFont="1" applyFill="1" applyBorder="1" applyAlignment="1">
      <alignment horizontal="center" vertical="center"/>
      <protection/>
    </xf>
    <xf numFmtId="0" fontId="43" fillId="0" borderId="22" xfId="96" applyFont="1" applyFill="1" applyBorder="1" applyAlignment="1">
      <alignment horizontal="center" vertical="center"/>
      <protection/>
    </xf>
    <xf numFmtId="0" fontId="43" fillId="0" borderId="21" xfId="96" applyFont="1" applyFill="1" applyBorder="1" applyAlignment="1">
      <alignment horizontal="center" vertical="center"/>
      <protection/>
    </xf>
    <xf numFmtId="0" fontId="91" fillId="0" borderId="33" xfId="96" applyFont="1" applyFill="1" applyBorder="1" applyAlignment="1">
      <alignment vertical="center" wrapText="1"/>
      <protection/>
    </xf>
    <xf numFmtId="3" fontId="14" fillId="0" borderId="73" xfId="96" applyNumberFormat="1" applyFont="1" applyFill="1" applyBorder="1" applyAlignment="1">
      <alignment vertical="center"/>
      <protection/>
    </xf>
    <xf numFmtId="3" fontId="14" fillId="0" borderId="150" xfId="96" applyNumberFormat="1" applyFont="1" applyFill="1" applyBorder="1" applyAlignment="1">
      <alignment vertical="center"/>
      <protection/>
    </xf>
    <xf numFmtId="0" fontId="91" fillId="0" borderId="27" xfId="96" applyFont="1" applyFill="1" applyBorder="1" applyAlignment="1">
      <alignment vertical="center" wrapText="1"/>
      <protection/>
    </xf>
    <xf numFmtId="3" fontId="14" fillId="0" borderId="39" xfId="96" applyNumberFormat="1" applyFont="1" applyFill="1" applyBorder="1" applyAlignment="1">
      <alignment vertical="center"/>
      <protection/>
    </xf>
    <xf numFmtId="3" fontId="14" fillId="0" borderId="111" xfId="96" applyNumberFormat="1" applyFont="1" applyFill="1" applyBorder="1" applyAlignment="1">
      <alignment vertical="center"/>
      <protection/>
    </xf>
    <xf numFmtId="0" fontId="91" fillId="0" borderId="36" xfId="96" applyFont="1" applyFill="1" applyBorder="1" applyAlignment="1">
      <alignment vertical="center" wrapText="1"/>
      <protection/>
    </xf>
    <xf numFmtId="0" fontId="91" fillId="0" borderId="37" xfId="96" applyFont="1" applyFill="1" applyBorder="1" applyAlignment="1">
      <alignment vertical="center" wrapText="1"/>
      <protection/>
    </xf>
    <xf numFmtId="0" fontId="91" fillId="0" borderId="30" xfId="96" applyFont="1" applyFill="1" applyBorder="1" applyAlignment="1">
      <alignment vertical="center" wrapText="1"/>
      <protection/>
    </xf>
    <xf numFmtId="0" fontId="91" fillId="0" borderId="31" xfId="96" applyFont="1" applyFill="1" applyBorder="1" applyAlignment="1">
      <alignment vertical="center" wrapText="1"/>
      <protection/>
    </xf>
    <xf numFmtId="0" fontId="92" fillId="0" borderId="151" xfId="96" applyFont="1" applyFill="1" applyBorder="1" applyAlignment="1">
      <alignment vertical="center" wrapText="1"/>
      <protection/>
    </xf>
    <xf numFmtId="3" fontId="14" fillId="0" borderId="79" xfId="96" applyNumberFormat="1" applyFont="1" applyFill="1" applyBorder="1" applyAlignment="1">
      <alignment vertical="center"/>
      <protection/>
    </xf>
    <xf numFmtId="0" fontId="92" fillId="0" borderId="50" xfId="96" applyFont="1" applyFill="1" applyBorder="1" applyAlignment="1">
      <alignment vertical="center" wrapText="1"/>
      <protection/>
    </xf>
    <xf numFmtId="3" fontId="43" fillId="0" borderId="152" xfId="96" applyNumberFormat="1" applyFont="1" applyFill="1" applyBorder="1" applyAlignment="1">
      <alignment vertical="center"/>
      <protection/>
    </xf>
    <xf numFmtId="0" fontId="91" fillId="0" borderId="33" xfId="96" applyFont="1" applyFill="1" applyBorder="1" applyAlignment="1">
      <alignment vertical="center"/>
      <protection/>
    </xf>
    <xf numFmtId="3" fontId="14" fillId="0" borderId="42" xfId="96" applyNumberFormat="1" applyFont="1" applyFill="1" applyBorder="1" applyAlignment="1">
      <alignment vertical="center"/>
      <protection/>
    </xf>
    <xf numFmtId="3" fontId="14" fillId="0" borderId="153" xfId="96" applyNumberFormat="1" applyFont="1" applyFill="1" applyBorder="1" applyAlignment="1">
      <alignment vertical="center"/>
      <protection/>
    </xf>
    <xf numFmtId="3" fontId="43" fillId="0" borderId="75" xfId="96" applyNumberFormat="1" applyFont="1" applyFill="1" applyBorder="1" applyAlignment="1">
      <alignment vertical="center"/>
      <protection/>
    </xf>
    <xf numFmtId="0" fontId="92" fillId="0" borderId="20" xfId="96" applyFont="1" applyFill="1" applyBorder="1" applyAlignment="1">
      <alignment vertical="center" wrapText="1"/>
      <protection/>
    </xf>
    <xf numFmtId="0" fontId="93" fillId="0" borderId="19" xfId="96" applyFont="1" applyFill="1" applyBorder="1" applyAlignment="1">
      <alignment horizontal="center" vertical="center"/>
      <protection/>
    </xf>
    <xf numFmtId="3" fontId="44" fillId="0" borderId="22" xfId="96" applyNumberFormat="1" applyFont="1" applyFill="1" applyBorder="1" applyAlignment="1">
      <alignment vertical="center"/>
      <protection/>
    </xf>
    <xf numFmtId="0" fontId="93" fillId="0" borderId="20" xfId="96" applyFont="1" applyFill="1" applyBorder="1" applyAlignment="1">
      <alignment horizontal="center" vertical="center" wrapText="1"/>
      <protection/>
    </xf>
    <xf numFmtId="3" fontId="43" fillId="0" borderId="110" xfId="96" applyNumberFormat="1" applyFont="1" applyFill="1" applyBorder="1" applyAlignment="1">
      <alignment vertical="center"/>
      <protection/>
    </xf>
    <xf numFmtId="0" fontId="93" fillId="0" borderId="50" xfId="96" applyFont="1" applyFill="1" applyBorder="1" applyAlignment="1">
      <alignment horizontal="center" vertical="center"/>
      <protection/>
    </xf>
    <xf numFmtId="3" fontId="44" fillId="0" borderId="42" xfId="96" applyNumberFormat="1" applyFont="1" applyFill="1" applyBorder="1" applyAlignment="1">
      <alignment vertical="center"/>
      <protection/>
    </xf>
    <xf numFmtId="0" fontId="93" fillId="0" borderId="50" xfId="96" applyFont="1" applyFill="1" applyBorder="1" applyAlignment="1">
      <alignment horizontal="center" vertical="center" wrapText="1"/>
      <protection/>
    </xf>
    <xf numFmtId="3" fontId="14" fillId="0" borderId="110" xfId="96" applyNumberFormat="1" applyFont="1" applyFill="1" applyBorder="1" applyAlignment="1">
      <alignment vertical="center"/>
      <protection/>
    </xf>
    <xf numFmtId="3" fontId="14" fillId="0" borderId="0" xfId="96" applyNumberFormat="1" applyFont="1" applyFill="1" applyAlignment="1">
      <alignment vertical="center"/>
      <protection/>
    </xf>
    <xf numFmtId="3" fontId="14" fillId="0" borderId="154" xfId="96" applyNumberFormat="1" applyFont="1" applyFill="1" applyBorder="1" applyAlignment="1">
      <alignment vertical="center"/>
      <protection/>
    </xf>
    <xf numFmtId="0" fontId="91" fillId="0" borderId="25" xfId="96" applyFont="1" applyFill="1" applyBorder="1" applyAlignment="1">
      <alignment vertical="center" wrapText="1"/>
      <protection/>
    </xf>
    <xf numFmtId="0" fontId="92" fillId="0" borderId="19" xfId="96" applyFont="1" applyFill="1" applyBorder="1" applyAlignment="1">
      <alignment vertical="center" wrapText="1"/>
      <protection/>
    </xf>
    <xf numFmtId="0" fontId="92" fillId="0" borderId="20" xfId="96" applyFont="1" applyFill="1" applyBorder="1" applyAlignment="1">
      <alignment vertical="center"/>
      <protection/>
    </xf>
    <xf numFmtId="3" fontId="43" fillId="0" borderId="22" xfId="96" applyNumberFormat="1" applyFont="1" applyFill="1" applyBorder="1" applyAlignment="1">
      <alignment vertical="center"/>
      <protection/>
    </xf>
    <xf numFmtId="0" fontId="91" fillId="0" borderId="36" xfId="96" applyFont="1" applyFill="1" applyBorder="1" applyAlignment="1">
      <alignment vertical="center"/>
      <protection/>
    </xf>
    <xf numFmtId="3" fontId="44" fillId="0" borderId="79" xfId="96" applyNumberFormat="1" applyFont="1" applyFill="1" applyBorder="1" applyAlignment="1">
      <alignment vertical="center"/>
      <protection/>
    </xf>
    <xf numFmtId="0" fontId="91" fillId="0" borderId="37" xfId="96" applyFont="1" applyFill="1" applyBorder="1" applyAlignment="1">
      <alignment vertical="center"/>
      <protection/>
    </xf>
    <xf numFmtId="3" fontId="14" fillId="0" borderId="22" xfId="96" applyNumberFormat="1" applyFont="1" applyFill="1" applyBorder="1" applyAlignment="1">
      <alignment vertical="center"/>
      <protection/>
    </xf>
    <xf numFmtId="0" fontId="95" fillId="0" borderId="151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51" xfId="96" applyFont="1" applyFill="1" applyBorder="1" applyAlignment="1">
      <alignment horizontal="left" vertical="center"/>
      <protection/>
    </xf>
    <xf numFmtId="3" fontId="45" fillId="0" borderId="71" xfId="96" applyNumberFormat="1" applyFont="1" applyFill="1" applyBorder="1" applyAlignment="1">
      <alignment vertical="center"/>
      <protection/>
    </xf>
    <xf numFmtId="0" fontId="96" fillId="0" borderId="50" xfId="96" applyFont="1" applyFill="1" applyBorder="1" applyAlignment="1">
      <alignment horizontal="left" vertical="center"/>
      <protection/>
    </xf>
    <xf numFmtId="3" fontId="14" fillId="0" borderId="71" xfId="96" applyNumberFormat="1" applyFont="1" applyFill="1" applyBorder="1" applyAlignment="1">
      <alignment vertical="center"/>
      <protection/>
    </xf>
    <xf numFmtId="0" fontId="96" fillId="0" borderId="0" xfId="96" applyFont="1" applyFill="1" applyBorder="1" applyAlignment="1">
      <alignment horizontal="left" vertical="center"/>
      <protection/>
    </xf>
    <xf numFmtId="3" fontId="45" fillId="0" borderId="0" xfId="96" applyNumberFormat="1" applyFont="1" applyFill="1" applyBorder="1" applyAlignment="1">
      <alignment vertical="center"/>
      <protection/>
    </xf>
    <xf numFmtId="3" fontId="14" fillId="0" borderId="0" xfId="96" applyNumberFormat="1" applyFont="1" applyFill="1" applyBorder="1" applyAlignment="1">
      <alignment vertical="center"/>
      <protection/>
    </xf>
    <xf numFmtId="3" fontId="43" fillId="0" borderId="0" xfId="96" applyNumberFormat="1" applyFont="1" applyFill="1" applyAlignment="1">
      <alignment vertical="center"/>
      <protection/>
    </xf>
    <xf numFmtId="0" fontId="0" fillId="0" borderId="50" xfId="0" applyBorder="1" applyAlignment="1">
      <alignment/>
    </xf>
    <xf numFmtId="0" fontId="0" fillId="0" borderId="0" xfId="0" applyFont="1" applyBorder="1" applyAlignment="1">
      <alignment/>
    </xf>
    <xf numFmtId="3" fontId="25" fillId="35" borderId="75" xfId="0" applyNumberFormat="1" applyFont="1" applyFill="1" applyBorder="1" applyAlignment="1">
      <alignment horizontal="right" vertical="center" wrapText="1"/>
    </xf>
    <xf numFmtId="3" fontId="25" fillId="35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35" borderId="0" xfId="96" applyNumberFormat="1" applyFont="1" applyFill="1" applyBorder="1" applyAlignment="1">
      <alignment horizontal="center" vertical="center"/>
      <protection/>
    </xf>
    <xf numFmtId="0" fontId="43" fillId="0" borderId="80" xfId="96" applyFont="1" applyFill="1" applyBorder="1" applyAlignment="1">
      <alignment horizontal="center" vertical="center"/>
      <protection/>
    </xf>
    <xf numFmtId="3" fontId="79" fillId="0" borderId="46" xfId="96" applyNumberFormat="1" applyFont="1" applyBorder="1" applyAlignment="1">
      <alignment horizontal="right" vertical="center" wrapText="1"/>
      <protection/>
    </xf>
    <xf numFmtId="3" fontId="78" fillId="11" borderId="0" xfId="96" applyNumberFormat="1" applyFont="1" applyFill="1" applyBorder="1" applyAlignment="1">
      <alignment horizontal="center" vertical="center" wrapText="1"/>
      <protection/>
    </xf>
    <xf numFmtId="3" fontId="97" fillId="11" borderId="155" xfId="96" applyNumberFormat="1" applyFont="1" applyFill="1" applyBorder="1" applyAlignment="1">
      <alignment horizontal="right" vertical="center" wrapText="1"/>
      <protection/>
    </xf>
    <xf numFmtId="10" fontId="79" fillId="0" borderId="0" xfId="96" applyNumberFormat="1" applyFont="1" applyBorder="1" applyAlignment="1">
      <alignment horizontal="right" vertical="center" wrapText="1"/>
      <protection/>
    </xf>
    <xf numFmtId="10" fontId="46" fillId="11" borderId="0" xfId="96" applyNumberFormat="1" applyFont="1" applyFill="1" applyBorder="1" applyAlignment="1">
      <alignment horizontal="right" vertical="center" wrapText="1"/>
      <protection/>
    </xf>
    <xf numFmtId="10" fontId="79" fillId="0" borderId="92" xfId="96" applyNumberFormat="1" applyFont="1" applyBorder="1" applyAlignment="1">
      <alignment horizontal="right" vertical="center" wrapText="1"/>
      <protection/>
    </xf>
    <xf numFmtId="3" fontId="79" fillId="0" borderId="67" xfId="96" applyNumberFormat="1" applyFont="1" applyFill="1" applyBorder="1" applyAlignment="1">
      <alignment horizontal="right" vertical="center" wrapText="1"/>
      <protection/>
    </xf>
    <xf numFmtId="10" fontId="79" fillId="0" borderId="67" xfId="96" applyNumberFormat="1" applyFont="1" applyBorder="1" applyAlignment="1">
      <alignment horizontal="right" vertical="center" wrapText="1"/>
      <protection/>
    </xf>
    <xf numFmtId="0" fontId="76" fillId="49" borderId="39" xfId="96" applyFont="1" applyFill="1" applyBorder="1" applyAlignment="1">
      <alignment horizontal="center" vertical="center"/>
      <protection/>
    </xf>
    <xf numFmtId="0" fontId="14" fillId="0" borderId="63" xfId="96" applyFont="1" applyBorder="1">
      <alignment/>
      <protection/>
    </xf>
    <xf numFmtId="0" fontId="14" fillId="0" borderId="52" xfId="96" applyFont="1" applyBorder="1">
      <alignment/>
      <protection/>
    </xf>
    <xf numFmtId="0" fontId="14" fillId="51" borderId="54" xfId="96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35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35" borderId="23" xfId="0" applyNumberFormat="1" applyFont="1" applyFill="1" applyBorder="1" applyAlignment="1">
      <alignment horizontal="right" vertical="center" wrapText="1"/>
    </xf>
    <xf numFmtId="3" fontId="100" fillId="35" borderId="55" xfId="0" applyNumberFormat="1" applyFont="1" applyFill="1" applyBorder="1" applyAlignment="1">
      <alignment horizontal="right" vertical="center" wrapText="1"/>
    </xf>
    <xf numFmtId="3" fontId="100" fillId="35" borderId="65" xfId="0" applyNumberFormat="1" applyFont="1" applyFill="1" applyBorder="1" applyAlignment="1">
      <alignment horizontal="right" vertical="center" wrapText="1"/>
    </xf>
    <xf numFmtId="3" fontId="100" fillId="35" borderId="76" xfId="0" applyNumberFormat="1" applyFont="1" applyFill="1" applyBorder="1" applyAlignment="1">
      <alignment horizontal="right" vertical="center" wrapText="1"/>
    </xf>
    <xf numFmtId="3" fontId="100" fillId="35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56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5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5" fillId="0" borderId="20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13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164" fontId="27" fillId="0" borderId="0" xfId="100" applyNumberFormat="1" applyFont="1" applyFill="1" applyBorder="1" applyAlignment="1" applyProtection="1">
      <alignment horizontal="left" vertical="center"/>
      <protection/>
    </xf>
    <xf numFmtId="164" fontId="29" fillId="0" borderId="0" xfId="10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64" fontId="49" fillId="0" borderId="50" xfId="100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/>
    </xf>
    <xf numFmtId="0" fontId="29" fillId="0" borderId="0" xfId="100" applyFont="1" applyFill="1" applyBorder="1" applyAlignment="1">
      <alignment horizontal="center"/>
      <protection/>
    </xf>
    <xf numFmtId="0" fontId="29" fillId="0" borderId="38" xfId="100" applyFont="1" applyFill="1" applyBorder="1" applyAlignment="1" applyProtection="1">
      <alignment horizontal="left" vertical="center" wrapText="1"/>
      <protection/>
    </xf>
    <xf numFmtId="0" fontId="29" fillId="0" borderId="0" xfId="100" applyFont="1" applyFill="1" applyBorder="1" applyAlignment="1">
      <alignment horizontal="center" wrapText="1"/>
      <protection/>
    </xf>
    <xf numFmtId="164" fontId="49" fillId="0" borderId="0" xfId="100" applyNumberFormat="1" applyFont="1" applyFill="1" applyBorder="1" applyAlignment="1" applyProtection="1">
      <alignment horizontal="left" vertical="center"/>
      <protection/>
    </xf>
    <xf numFmtId="0" fontId="38" fillId="0" borderId="105" xfId="100" applyFont="1" applyFill="1" applyBorder="1" applyAlignment="1">
      <alignment horizontal="left"/>
      <protection/>
    </xf>
    <xf numFmtId="0" fontId="39" fillId="0" borderId="105" xfId="100" applyFont="1" applyFill="1" applyBorder="1" applyAlignment="1">
      <alignment horizontal="left"/>
      <protection/>
    </xf>
    <xf numFmtId="0" fontId="38" fillId="0" borderId="144" xfId="100" applyFont="1" applyFill="1" applyBorder="1" applyAlignment="1" applyProtection="1">
      <alignment horizontal="left" vertical="center" wrapText="1"/>
      <protection/>
    </xf>
    <xf numFmtId="0" fontId="38" fillId="0" borderId="157" xfId="100" applyFont="1" applyFill="1" applyBorder="1" applyAlignment="1" applyProtection="1">
      <alignment horizontal="left" vertical="center" wrapText="1"/>
      <protection/>
    </xf>
    <xf numFmtId="0" fontId="38" fillId="0" borderId="158" xfId="100" applyFont="1" applyFill="1" applyBorder="1" applyAlignment="1" applyProtection="1">
      <alignment horizontal="left" vertical="center" wrapText="1"/>
      <protection/>
    </xf>
    <xf numFmtId="0" fontId="38" fillId="0" borderId="145" xfId="100" applyFont="1" applyFill="1" applyBorder="1" applyAlignment="1" applyProtection="1">
      <alignment horizontal="left" vertical="center" wrapText="1"/>
      <protection/>
    </xf>
    <xf numFmtId="0" fontId="38" fillId="0" borderId="159" xfId="100" applyFont="1" applyFill="1" applyBorder="1" applyAlignment="1" applyProtection="1">
      <alignment horizontal="left" vertical="center" wrapText="1"/>
      <protection/>
    </xf>
    <xf numFmtId="0" fontId="38" fillId="0" borderId="160" xfId="100" applyFont="1" applyFill="1" applyBorder="1" applyAlignment="1" applyProtection="1">
      <alignment horizontal="left" vertical="center" wrapText="1"/>
      <protection/>
    </xf>
    <xf numFmtId="0" fontId="38" fillId="0" borderId="161" xfId="100" applyFont="1" applyFill="1" applyBorder="1" applyAlignment="1" applyProtection="1">
      <alignment horizontal="left" vertical="center" wrapText="1"/>
      <protection/>
    </xf>
    <xf numFmtId="0" fontId="38" fillId="0" borderId="162" xfId="100" applyFont="1" applyFill="1" applyBorder="1" applyAlignment="1" applyProtection="1">
      <alignment horizontal="left" vertical="center" wrapText="1"/>
      <protection/>
    </xf>
    <xf numFmtId="0" fontId="38" fillId="0" borderId="163" xfId="100" applyFont="1" applyFill="1" applyBorder="1" applyAlignment="1" applyProtection="1">
      <alignment horizontal="left" vertical="center" wrapText="1"/>
      <protection/>
    </xf>
    <xf numFmtId="0" fontId="39" fillId="0" borderId="106" xfId="100" applyFont="1" applyFill="1" applyBorder="1" applyAlignment="1">
      <alignment horizontal="left"/>
      <protection/>
    </xf>
    <xf numFmtId="0" fontId="38" fillId="0" borderId="164" xfId="100" applyFont="1" applyFill="1" applyBorder="1" applyAlignment="1" applyProtection="1">
      <alignment horizontal="left" vertical="center" wrapText="1"/>
      <protection/>
    </xf>
    <xf numFmtId="0" fontId="38" fillId="0" borderId="165" xfId="100" applyFont="1" applyFill="1" applyBorder="1" applyAlignment="1" applyProtection="1">
      <alignment horizontal="left" vertical="center" wrapText="1"/>
      <protection/>
    </xf>
    <xf numFmtId="0" fontId="38" fillId="0" borderId="166" xfId="100" applyFont="1" applyFill="1" applyBorder="1" applyAlignment="1" applyProtection="1">
      <alignment horizontal="left" vertical="center" wrapText="1"/>
      <protection/>
    </xf>
    <xf numFmtId="0" fontId="49" fillId="0" borderId="0" xfId="100" applyFont="1" applyFill="1" applyBorder="1" applyAlignment="1">
      <alignment horizontal="left"/>
      <protection/>
    </xf>
    <xf numFmtId="0" fontId="29" fillId="0" borderId="51" xfId="100" applyFont="1" applyFill="1" applyBorder="1" applyAlignment="1">
      <alignment horizontal="left" vertical="center"/>
      <protection/>
    </xf>
    <xf numFmtId="0" fontId="41" fillId="0" borderId="0" xfId="96" applyFont="1" applyFill="1" applyBorder="1" applyAlignment="1">
      <alignment horizontal="center" vertical="center"/>
      <protection/>
    </xf>
    <xf numFmtId="0" fontId="42" fillId="0" borderId="50" xfId="96" applyFont="1" applyFill="1" applyBorder="1" applyAlignment="1">
      <alignment horizontal="center" vertical="center"/>
      <protection/>
    </xf>
    <xf numFmtId="0" fontId="42" fillId="0" borderId="0" xfId="96" applyFont="1" applyFill="1" applyBorder="1" applyAlignment="1">
      <alignment horizontal="center" vertical="center"/>
      <protection/>
    </xf>
    <xf numFmtId="0" fontId="24" fillId="0" borderId="19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131" xfId="0" applyFont="1" applyBorder="1" applyAlignment="1">
      <alignment wrapText="1"/>
    </xf>
    <xf numFmtId="0" fontId="24" fillId="0" borderId="131" xfId="0" applyFont="1" applyFill="1" applyBorder="1" applyAlignment="1">
      <alignment horizontal="left" vertical="center"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32" xfId="0" applyFont="1" applyBorder="1" applyAlignment="1">
      <alignment horizontal="left" wrapText="1"/>
    </xf>
    <xf numFmtId="0" fontId="24" fillId="0" borderId="130" xfId="0" applyFont="1" applyBorder="1" applyAlignment="1">
      <alignment horizontal="left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67" xfId="0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25" fillId="0" borderId="168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162" xfId="0" applyBorder="1" applyAlignment="1">
      <alignment horizontal="right"/>
    </xf>
    <xf numFmtId="0" fontId="24" fillId="0" borderId="25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25" fillId="0" borderId="169" xfId="0" applyFont="1" applyFill="1" applyBorder="1" applyAlignment="1">
      <alignment horizontal="center" vertical="center" wrapText="1"/>
    </xf>
    <xf numFmtId="0" fontId="64" fillId="0" borderId="19" xfId="98" applyFont="1" applyBorder="1" applyAlignment="1">
      <alignment horizontal="center" vertical="center"/>
      <protection/>
    </xf>
    <xf numFmtId="0" fontId="64" fillId="0" borderId="20" xfId="98" applyFont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61" fillId="0" borderId="0" xfId="98" applyFont="1" applyBorder="1" applyAlignment="1">
      <alignment horizontal="right" vertical="center"/>
      <protection/>
    </xf>
    <xf numFmtId="0" fontId="62" fillId="0" borderId="0" xfId="98" applyFont="1" applyBorder="1" applyAlignment="1">
      <alignment horizontal="center" vertical="center"/>
      <protection/>
    </xf>
    <xf numFmtId="165" fontId="62" fillId="0" borderId="0" xfId="98" applyNumberFormat="1" applyFont="1" applyBorder="1" applyAlignment="1">
      <alignment horizontal="center" vertical="center" wrapText="1"/>
      <protection/>
    </xf>
    <xf numFmtId="0" fontId="63" fillId="0" borderId="0" xfId="98" applyFont="1" applyBorder="1" applyAlignment="1">
      <alignment horizontal="center" vertical="center"/>
      <protection/>
    </xf>
    <xf numFmtId="0" fontId="64" fillId="0" borderId="23" xfId="98" applyFont="1" applyBorder="1" applyAlignment="1">
      <alignment horizontal="center" vertical="center" wrapText="1"/>
      <protection/>
    </xf>
    <xf numFmtId="0" fontId="64" fillId="0" borderId="69" xfId="98" applyFont="1" applyFill="1" applyBorder="1" applyAlignment="1">
      <alignment horizontal="center" vertical="center" wrapText="1"/>
      <protection/>
    </xf>
    <xf numFmtId="0" fontId="64" fillId="0" borderId="26" xfId="98" applyFont="1" applyFill="1" applyBorder="1" applyAlignment="1">
      <alignment horizontal="center" vertical="center" wrapText="1"/>
      <protection/>
    </xf>
    <xf numFmtId="0" fontId="63" fillId="0" borderId="26" xfId="98" applyFont="1" applyBorder="1" applyAlignment="1">
      <alignment horizontal="center" vertical="center" wrapText="1"/>
      <protection/>
    </xf>
    <xf numFmtId="0" fontId="104" fillId="0" borderId="0" xfId="98" applyFont="1" applyAlignment="1">
      <alignment horizontal="right" vertical="center"/>
      <protection/>
    </xf>
    <xf numFmtId="0" fontId="76" fillId="35" borderId="19" xfId="96" applyFont="1" applyFill="1" applyBorder="1" applyAlignment="1">
      <alignment horizontal="center" vertical="center"/>
      <protection/>
    </xf>
    <xf numFmtId="0" fontId="76" fillId="35" borderId="80" xfId="96" applyFont="1" applyFill="1" applyBorder="1" applyAlignment="1">
      <alignment horizontal="center" vertical="center"/>
      <protection/>
    </xf>
    <xf numFmtId="0" fontId="76" fillId="0" borderId="23" xfId="96" applyFont="1" applyBorder="1" applyAlignment="1">
      <alignment horizontal="center" vertical="center"/>
      <protection/>
    </xf>
    <xf numFmtId="0" fontId="76" fillId="0" borderId="19" xfId="96" applyFont="1" applyBorder="1" applyAlignment="1">
      <alignment horizontal="center" vertical="center"/>
      <protection/>
    </xf>
    <xf numFmtId="0" fontId="82" fillId="0" borderId="0" xfId="96" applyFont="1" applyBorder="1" applyAlignment="1">
      <alignment horizontal="center" vertical="center"/>
      <protection/>
    </xf>
    <xf numFmtId="0" fontId="43" fillId="0" borderId="0" xfId="96" applyFont="1" applyBorder="1" applyAlignment="1">
      <alignment horizontal="center" vertical="center"/>
      <protection/>
    </xf>
    <xf numFmtId="3" fontId="76" fillId="35" borderId="20" xfId="96" applyNumberFormat="1" applyFont="1" applyFill="1" applyBorder="1" applyAlignment="1">
      <alignment horizontal="center" vertical="center"/>
      <protection/>
    </xf>
    <xf numFmtId="3" fontId="76" fillId="35" borderId="80" xfId="96" applyNumberFormat="1" applyFont="1" applyFill="1" applyBorder="1" applyAlignment="1">
      <alignment horizontal="center" vertical="center"/>
      <protection/>
    </xf>
    <xf numFmtId="3" fontId="71" fillId="0" borderId="19" xfId="99" applyNumberFormat="1" applyFont="1" applyBorder="1" applyAlignment="1">
      <alignment horizontal="center" vertical="center" wrapText="1"/>
      <protection/>
    </xf>
    <xf numFmtId="3" fontId="71" fillId="0" borderId="80" xfId="99" applyNumberFormat="1" applyFont="1" applyBorder="1" applyAlignment="1">
      <alignment horizontal="center" vertical="center" wrapText="1"/>
      <protection/>
    </xf>
    <xf numFmtId="0" fontId="14" fillId="0" borderId="19" xfId="96" applyFont="1" applyBorder="1" applyAlignment="1">
      <alignment/>
      <protection/>
    </xf>
    <xf numFmtId="0" fontId="0" fillId="0" borderId="20" xfId="0" applyBorder="1" applyAlignment="1">
      <alignment/>
    </xf>
    <xf numFmtId="0" fontId="69" fillId="0" borderId="0" xfId="96" applyFont="1" applyBorder="1" applyAlignment="1">
      <alignment horizontal="center"/>
      <protection/>
    </xf>
    <xf numFmtId="0" fontId="70" fillId="0" borderId="0" xfId="96" applyFont="1" applyBorder="1" applyAlignment="1">
      <alignment horizontal="center"/>
      <protection/>
    </xf>
    <xf numFmtId="0" fontId="15" fillId="0" borderId="0" xfId="96" applyFont="1" applyBorder="1" applyAlignment="1">
      <alignment horizontal="center"/>
      <protection/>
    </xf>
    <xf numFmtId="166" fontId="72" fillId="0" borderId="61" xfId="99" applyNumberFormat="1" applyFont="1" applyBorder="1" applyAlignment="1">
      <alignment horizontal="left" vertical="center" wrapText="1"/>
      <protection/>
    </xf>
    <xf numFmtId="166" fontId="72" fillId="0" borderId="20" xfId="99" applyNumberFormat="1" applyFont="1" applyBorder="1" applyAlignment="1">
      <alignment horizontal="left" vertical="center" wrapText="1"/>
      <protection/>
    </xf>
    <xf numFmtId="166" fontId="71" fillId="0" borderId="20" xfId="99" applyNumberFormat="1" applyFont="1" applyBorder="1" applyAlignment="1">
      <alignment horizontal="center" vertical="center" wrapText="1"/>
      <protection/>
    </xf>
    <xf numFmtId="0" fontId="72" fillId="0" borderId="21" xfId="99" applyFont="1" applyFill="1" applyBorder="1" applyAlignment="1">
      <alignment horizontal="left"/>
      <protection/>
    </xf>
    <xf numFmtId="0" fontId="72" fillId="0" borderId="19" xfId="99" applyFont="1" applyFill="1" applyBorder="1" applyAlignment="1">
      <alignment horizontal="left"/>
      <protection/>
    </xf>
    <xf numFmtId="0" fontId="74" fillId="0" borderId="50" xfId="99" applyFont="1" applyBorder="1" applyAlignment="1">
      <alignment horizontal="center" vertical="center" wrapText="1"/>
      <protection/>
    </xf>
    <xf numFmtId="166" fontId="72" fillId="0" borderId="21" xfId="99" applyNumberFormat="1" applyFont="1" applyBorder="1" applyAlignment="1">
      <alignment horizontal="left" wrapText="1"/>
      <protection/>
    </xf>
    <xf numFmtId="166" fontId="72" fillId="0" borderId="19" xfId="99" applyNumberFormat="1" applyFont="1" applyBorder="1" applyAlignment="1">
      <alignment horizontal="left" wrapText="1"/>
      <protection/>
    </xf>
    <xf numFmtId="166" fontId="72" fillId="0" borderId="21" xfId="99" applyNumberFormat="1" applyFont="1" applyBorder="1" applyAlignment="1">
      <alignment horizontal="left" vertical="center" wrapText="1"/>
      <protection/>
    </xf>
    <xf numFmtId="166" fontId="72" fillId="0" borderId="19" xfId="99" applyNumberFormat="1" applyFont="1" applyBorder="1" applyAlignment="1">
      <alignment horizontal="left" vertical="center" wrapText="1"/>
      <protection/>
    </xf>
    <xf numFmtId="0" fontId="72" fillId="0" borderId="21" xfId="99" applyFont="1" applyFill="1" applyBorder="1" applyAlignment="1">
      <alignment horizontal="left" vertical="center" wrapText="1"/>
      <protection/>
    </xf>
    <xf numFmtId="0" fontId="72" fillId="0" borderId="19" xfId="99" applyFont="1" applyFill="1" applyBorder="1" applyAlignment="1">
      <alignment horizontal="left" vertical="center" wrapText="1"/>
      <protection/>
    </xf>
    <xf numFmtId="3" fontId="78" fillId="11" borderId="59" xfId="96" applyNumberFormat="1" applyFont="1" applyFill="1" applyBorder="1" applyAlignment="1">
      <alignment horizontal="center" vertical="center" wrapText="1"/>
      <protection/>
    </xf>
    <xf numFmtId="3" fontId="78" fillId="11" borderId="89" xfId="96" applyNumberFormat="1" applyFont="1" applyFill="1" applyBorder="1" applyAlignment="1">
      <alignment horizontal="center" vertical="center" wrapText="1"/>
      <protection/>
    </xf>
    <xf numFmtId="3" fontId="78" fillId="11" borderId="88" xfId="96" applyNumberFormat="1" applyFont="1" applyFill="1" applyBorder="1" applyAlignment="1">
      <alignment horizontal="center" vertical="center" wrapText="1"/>
      <protection/>
    </xf>
    <xf numFmtId="3" fontId="78" fillId="11" borderId="87" xfId="96" applyNumberFormat="1" applyFont="1" applyFill="1" applyBorder="1" applyAlignment="1">
      <alignment horizontal="center" vertical="center" wrapText="1"/>
      <protection/>
    </xf>
    <xf numFmtId="3" fontId="78" fillId="11" borderId="170" xfId="96" applyNumberFormat="1" applyFont="1" applyFill="1" applyBorder="1" applyAlignment="1">
      <alignment horizontal="center" vertical="center" wrapText="1"/>
      <protection/>
    </xf>
    <xf numFmtId="3" fontId="78" fillId="11" borderId="149" xfId="96" applyNumberFormat="1" applyFont="1" applyFill="1" applyBorder="1" applyAlignment="1">
      <alignment horizontal="center" vertical="center" wrapText="1"/>
      <protection/>
    </xf>
    <xf numFmtId="0" fontId="75" fillId="0" borderId="0" xfId="96" applyFont="1" applyBorder="1" applyAlignment="1">
      <alignment horizontal="center" vertical="center" wrapText="1"/>
      <protection/>
    </xf>
    <xf numFmtId="0" fontId="76" fillId="0" borderId="0" xfId="96" applyFont="1" applyFill="1" applyBorder="1" applyAlignment="1">
      <alignment horizontal="center" vertical="center"/>
      <protection/>
    </xf>
    <xf numFmtId="0" fontId="73" fillId="0" borderId="0" xfId="96" applyFont="1" applyBorder="1" applyAlignment="1">
      <alignment horizontal="center" vertical="center"/>
      <protection/>
    </xf>
    <xf numFmtId="0" fontId="78" fillId="11" borderId="171" xfId="96" applyFont="1" applyFill="1" applyBorder="1" applyAlignment="1">
      <alignment horizontal="center" vertical="center" wrapText="1"/>
      <protection/>
    </xf>
    <xf numFmtId="0" fontId="55" fillId="11" borderId="172" xfId="96" applyFont="1" applyFill="1" applyBorder="1" applyAlignment="1">
      <alignment horizontal="center" vertical="center" wrapText="1"/>
      <protection/>
    </xf>
    <xf numFmtId="0" fontId="76" fillId="49" borderId="52" xfId="96" applyFont="1" applyFill="1" applyBorder="1" applyAlignment="1">
      <alignment horizontal="center" vertical="center" wrapText="1"/>
      <protection/>
    </xf>
    <xf numFmtId="0" fontId="76" fillId="49" borderId="67" xfId="96" applyFont="1" applyFill="1" applyBorder="1" applyAlignment="1">
      <alignment horizontal="center" vertical="center"/>
      <protection/>
    </xf>
    <xf numFmtId="0" fontId="76" fillId="49" borderId="56" xfId="96" applyFont="1" applyFill="1" applyBorder="1" applyAlignment="1">
      <alignment horizontal="center" vertical="center"/>
      <protection/>
    </xf>
    <xf numFmtId="0" fontId="76" fillId="49" borderId="67" xfId="96" applyFont="1" applyFill="1" applyBorder="1" applyAlignment="1">
      <alignment horizontal="center" vertical="center" wrapText="1"/>
      <protection/>
    </xf>
    <xf numFmtId="0" fontId="76" fillId="49" borderId="56" xfId="96" applyFont="1" applyFill="1" applyBorder="1" applyAlignment="1">
      <alignment horizontal="center" vertical="center" wrapText="1"/>
      <protection/>
    </xf>
    <xf numFmtId="0" fontId="76" fillId="49" borderId="68" xfId="96" applyFont="1" applyFill="1" applyBorder="1" applyAlignment="1">
      <alignment horizontal="center" vertical="center"/>
      <protection/>
    </xf>
    <xf numFmtId="0" fontId="76" fillId="49" borderId="25" xfId="96" applyFont="1" applyFill="1" applyBorder="1" applyAlignment="1">
      <alignment horizontal="center" vertical="center"/>
      <protection/>
    </xf>
    <xf numFmtId="0" fontId="76" fillId="49" borderId="90" xfId="96" applyFont="1" applyFill="1" applyBorder="1" applyAlignment="1">
      <alignment horizontal="center" vertical="center"/>
      <protection/>
    </xf>
    <xf numFmtId="0" fontId="76" fillId="49" borderId="51" xfId="96" applyFont="1" applyFill="1" applyBorder="1" applyAlignment="1">
      <alignment horizontal="center" vertical="center"/>
      <protection/>
    </xf>
    <xf numFmtId="0" fontId="76" fillId="49" borderId="69" xfId="96" applyFont="1" applyFill="1" applyBorder="1" applyAlignment="1">
      <alignment horizontal="center" vertical="center"/>
      <protection/>
    </xf>
    <xf numFmtId="0" fontId="76" fillId="49" borderId="46" xfId="96" applyFont="1" applyFill="1" applyBorder="1" applyAlignment="1">
      <alignment horizontal="center" vertical="center" wrapText="1"/>
      <protection/>
    </xf>
    <xf numFmtId="0" fontId="76" fillId="49" borderId="79" xfId="96" applyFont="1" applyFill="1" applyBorder="1" applyAlignment="1">
      <alignment horizontal="center" vertical="center" wrapText="1"/>
      <protection/>
    </xf>
    <xf numFmtId="0" fontId="76" fillId="49" borderId="39" xfId="96" applyFont="1" applyFill="1" applyBorder="1" applyAlignment="1">
      <alignment horizontal="center" vertical="center" wrapText="1"/>
      <protection/>
    </xf>
    <xf numFmtId="0" fontId="76" fillId="0" borderId="0" xfId="96" applyFont="1" applyBorder="1" applyAlignment="1">
      <alignment horizontal="left"/>
      <protection/>
    </xf>
    <xf numFmtId="0" fontId="76" fillId="49" borderId="55" xfId="96" applyFont="1" applyFill="1" applyBorder="1" applyAlignment="1">
      <alignment horizontal="center" vertical="center" wrapText="1"/>
      <protection/>
    </xf>
    <xf numFmtId="0" fontId="76" fillId="49" borderId="65" xfId="96" applyFont="1" applyFill="1" applyBorder="1" applyAlignment="1">
      <alignment horizontal="center" vertical="center" wrapText="1"/>
      <protection/>
    </xf>
    <xf numFmtId="0" fontId="82" fillId="0" borderId="0" xfId="96" applyFont="1" applyBorder="1" applyAlignment="1">
      <alignment horizontal="center"/>
      <protection/>
    </xf>
    <xf numFmtId="0" fontId="81" fillId="0" borderId="0" xfId="96" applyFont="1" applyBorder="1" applyAlignment="1">
      <alignment horizontal="center"/>
      <protection/>
    </xf>
    <xf numFmtId="0" fontId="76" fillId="0" borderId="0" xfId="96" applyFont="1" applyBorder="1" applyAlignment="1">
      <alignment horizontal="center"/>
      <protection/>
    </xf>
    <xf numFmtId="0" fontId="82" fillId="0" borderId="0" xfId="96" applyFont="1" applyBorder="1" applyAlignment="1">
      <alignment horizontal="center" wrapText="1"/>
      <protection/>
    </xf>
    <xf numFmtId="0" fontId="38" fillId="0" borderId="0" xfId="101" applyFont="1" applyFill="1" applyAlignment="1">
      <alignment horizontal="left" wrapText="1"/>
      <protection/>
    </xf>
    <xf numFmtId="0" fontId="38" fillId="0" borderId="0" xfId="101" applyFont="1" applyFill="1" applyAlignment="1">
      <alignment horizontal="left"/>
      <protection/>
    </xf>
    <xf numFmtId="0" fontId="27" fillId="0" borderId="0" xfId="101" applyFont="1" applyFill="1" applyAlignment="1">
      <alignment horizontal="right"/>
      <protection/>
    </xf>
    <xf numFmtId="164" fontId="107" fillId="0" borderId="0" xfId="101" applyNumberFormat="1" applyFont="1" applyFill="1" applyBorder="1" applyAlignment="1" applyProtection="1">
      <alignment horizontal="center" vertical="center" wrapText="1"/>
      <protection/>
    </xf>
    <xf numFmtId="0" fontId="37" fillId="0" borderId="162" xfId="93" applyFont="1" applyFill="1" applyBorder="1" applyAlignment="1" applyProtection="1">
      <alignment horizontal="right"/>
      <protection/>
    </xf>
    <xf numFmtId="0" fontId="29" fillId="0" borderId="102" xfId="101" applyFont="1" applyFill="1" applyBorder="1" applyAlignment="1">
      <alignment horizontal="center" vertical="center" wrapText="1"/>
      <protection/>
    </xf>
    <xf numFmtId="0" fontId="29" fillId="0" borderId="143" xfId="101" applyFont="1" applyFill="1" applyBorder="1" applyAlignment="1">
      <alignment horizontal="center" vertical="center" wrapText="1"/>
      <protection/>
    </xf>
    <xf numFmtId="0" fontId="29" fillId="0" borderId="142" xfId="101" applyFont="1" applyFill="1" applyBorder="1" applyAlignment="1">
      <alignment horizontal="center" vertical="center" wrapText="1"/>
      <protection/>
    </xf>
    <xf numFmtId="0" fontId="29" fillId="0" borderId="140" xfId="101" applyFont="1" applyFill="1" applyBorder="1" applyAlignment="1">
      <alignment horizontal="center" vertical="center" wrapText="1"/>
      <protection/>
    </xf>
    <xf numFmtId="0" fontId="29" fillId="0" borderId="144" xfId="101" applyFont="1" applyFill="1" applyBorder="1" applyAlignment="1">
      <alignment horizontal="center" vertical="center" wrapText="1"/>
      <protection/>
    </xf>
    <xf numFmtId="0" fontId="29" fillId="0" borderId="157" xfId="101" applyFont="1" applyFill="1" applyBorder="1" applyAlignment="1">
      <alignment horizontal="center" vertical="center" wrapText="1"/>
      <protection/>
    </xf>
    <xf numFmtId="0" fontId="29" fillId="0" borderId="173" xfId="101" applyFont="1" applyFill="1" applyBorder="1" applyAlignment="1">
      <alignment horizontal="center" vertical="center" wrapText="1"/>
      <protection/>
    </xf>
    <xf numFmtId="0" fontId="29" fillId="0" borderId="23" xfId="100" applyFont="1" applyFill="1" applyBorder="1" applyAlignment="1" applyProtection="1">
      <alignment horizontal="left" vertical="center"/>
      <protection/>
    </xf>
    <xf numFmtId="0" fontId="88" fillId="0" borderId="174" xfId="100" applyFont="1" applyFill="1" applyBorder="1" applyAlignment="1">
      <alignment horizontal="justify" vertical="center" wrapText="1"/>
      <protection/>
    </xf>
    <xf numFmtId="0" fontId="88" fillId="0" borderId="175" xfId="100" applyFont="1" applyFill="1" applyBorder="1" applyAlignment="1">
      <alignment horizontal="justify" vertical="center" wrapText="1"/>
      <protection/>
    </xf>
    <xf numFmtId="164" fontId="88" fillId="0" borderId="0" xfId="100" applyNumberFormat="1" applyFont="1" applyFill="1" applyBorder="1" applyAlignment="1" applyProtection="1">
      <alignment horizontal="center" vertical="center" wrapText="1"/>
      <protection/>
    </xf>
    <xf numFmtId="3" fontId="37" fillId="0" borderId="22" xfId="102" applyNumberFormat="1" applyFont="1" applyFill="1" applyBorder="1" applyAlignment="1" applyProtection="1">
      <alignment horizontal="left" vertical="center" indent="1"/>
      <protection/>
    </xf>
    <xf numFmtId="3" fontId="87" fillId="0" borderId="0" xfId="102" applyNumberFormat="1" applyFont="1" applyFill="1" applyBorder="1" applyAlignment="1" applyProtection="1">
      <alignment horizontal="center"/>
      <protection locked="0"/>
    </xf>
    <xf numFmtId="3" fontId="29" fillId="0" borderId="0" xfId="102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3" fontId="1" fillId="0" borderId="75" xfId="94" applyNumberFormat="1" applyFont="1" applyFill="1" applyBorder="1" applyAlignment="1">
      <alignment horizontal="center"/>
      <protection/>
    </xf>
    <xf numFmtId="0" fontId="78" fillId="0" borderId="0" xfId="94" applyFont="1" applyFill="1" applyBorder="1" applyAlignment="1" applyProtection="1">
      <alignment horizontal="center" vertical="center" wrapText="1"/>
      <protection/>
    </xf>
    <xf numFmtId="0" fontId="89" fillId="0" borderId="0" xfId="94" applyFont="1" applyFill="1" applyBorder="1" applyAlignment="1">
      <alignment horizontal="right" vertical="center"/>
      <protection/>
    </xf>
    <xf numFmtId="0" fontId="103" fillId="0" borderId="50" xfId="94" applyFont="1" applyFill="1" applyBorder="1" applyAlignment="1">
      <alignment horizontal="right"/>
      <protection/>
    </xf>
    <xf numFmtId="3" fontId="40" fillId="0" borderId="0" xfId="95" applyNumberFormat="1" applyFont="1" applyBorder="1" applyAlignment="1">
      <alignment horizontal="center" vertical="center"/>
      <protection/>
    </xf>
    <xf numFmtId="3" fontId="69" fillId="0" borderId="0" xfId="95" applyNumberFormat="1" applyFont="1" applyBorder="1" applyAlignment="1">
      <alignment horizontal="center" vertical="center"/>
      <protection/>
    </xf>
    <xf numFmtId="0" fontId="105" fillId="0" borderId="0" xfId="95" applyNumberFormat="1" applyFont="1" applyBorder="1" applyAlignment="1">
      <alignment horizontal="center" vertical="center"/>
      <protection/>
    </xf>
    <xf numFmtId="3" fontId="105" fillId="0" borderId="0" xfId="95" applyNumberFormat="1" applyFont="1" applyBorder="1" applyAlignment="1">
      <alignment horizontal="center" vertical="center"/>
      <protection/>
    </xf>
    <xf numFmtId="3" fontId="106" fillId="0" borderId="23" xfId="95" applyNumberFormat="1" applyFont="1" applyFill="1" applyBorder="1" applyAlignment="1">
      <alignment horizontal="center" vertical="center" wrapText="1"/>
      <protection/>
    </xf>
    <xf numFmtId="3" fontId="106" fillId="0" borderId="51" xfId="95" applyNumberFormat="1" applyFont="1" applyFill="1" applyBorder="1" applyAlignment="1">
      <alignment horizontal="center" vertical="center"/>
      <protection/>
    </xf>
    <xf numFmtId="3" fontId="1" fillId="0" borderId="50" xfId="95" applyNumberFormat="1" applyFont="1" applyBorder="1" applyAlignment="1">
      <alignment horizontal="right" vertical="center"/>
      <protection/>
    </xf>
    <xf numFmtId="3" fontId="106" fillId="0" borderId="130" xfId="95" applyNumberFormat="1" applyFont="1" applyFill="1" applyBorder="1" applyAlignment="1">
      <alignment horizontal="center" vertical="center"/>
      <protection/>
    </xf>
    <xf numFmtId="3" fontId="105" fillId="0" borderId="0" xfId="95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 2" xfId="92"/>
    <cellStyle name="Normál 3" xfId="93"/>
    <cellStyle name="Normál_1_-_II_Tajekoztato_tablak" xfId="94"/>
    <cellStyle name="Normál_1_-_II_Tajekoztato_tablak 2" xfId="95"/>
    <cellStyle name="Normál_2007. év költségvetés terv 1.mellékletek" xfId="96"/>
    <cellStyle name="Normál_2007. év költségvetés terv 1.mellékletek 2" xfId="97"/>
    <cellStyle name="Normál_2008. év költségvetés terv 1. sz. melléklet" xfId="98"/>
    <cellStyle name="Normál_Dologi kiadás" xfId="99"/>
    <cellStyle name="Normál_KVRENMUNKA" xfId="100"/>
    <cellStyle name="Normál_KVRENMUNKA 2" xfId="101"/>
    <cellStyle name="Normál_SEGEDLETEK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70" zoomScaleNormal="70" zoomScalePageLayoutView="0" workbookViewId="0" topLeftCell="A1">
      <selection activeCell="D71" sqref="D7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7" width="17.7109375" style="3" customWidth="1"/>
    <col min="8" max="9" width="18.00390625" style="4" customWidth="1"/>
    <col min="10" max="11" width="17.28125" style="5" customWidth="1"/>
    <col min="12" max="12" width="11.7109375" style="5" customWidth="1"/>
    <col min="13" max="13" width="10.28125" style="5" bestFit="1" customWidth="1"/>
    <col min="14" max="16384" width="9.140625" style="5" customWidth="1"/>
  </cols>
  <sheetData>
    <row r="1" spans="1:5" ht="12.75">
      <c r="A1" s="6"/>
      <c r="B1" s="6"/>
      <c r="C1" s="6"/>
      <c r="D1" s="7"/>
      <c r="E1" s="7"/>
    </row>
    <row r="2" spans="1:9" s="8" customFormat="1" ht="34.5" customHeight="1">
      <c r="A2" s="1096" t="s">
        <v>564</v>
      </c>
      <c r="B2" s="1096"/>
      <c r="C2" s="1096"/>
      <c r="D2" s="1096"/>
      <c r="E2" s="1096"/>
      <c r="F2" s="1096"/>
      <c r="G2" s="1096"/>
      <c r="H2" s="1096"/>
      <c r="I2" s="945"/>
    </row>
    <row r="3" spans="1:12" ht="13.5" thickBot="1">
      <c r="A3" s="9"/>
      <c r="B3" s="9"/>
      <c r="C3" s="9"/>
      <c r="D3" s="10"/>
      <c r="E3" s="11"/>
      <c r="H3" s="12"/>
      <c r="I3" s="12"/>
      <c r="J3" s="1104" t="s">
        <v>601</v>
      </c>
      <c r="K3" s="1104"/>
      <c r="L3" s="1105"/>
    </row>
    <row r="4" spans="1:12" ht="45.75" customHeight="1" thickBot="1">
      <c r="A4" s="1097" t="s">
        <v>1</v>
      </c>
      <c r="B4" s="1097"/>
      <c r="C4" s="1097"/>
      <c r="D4" s="14" t="s">
        <v>2</v>
      </c>
      <c r="E4" s="15" t="s">
        <v>3</v>
      </c>
      <c r="F4" s="1084" t="s">
        <v>4</v>
      </c>
      <c r="G4" s="1085"/>
      <c r="H4" s="1084" t="s">
        <v>245</v>
      </c>
      <c r="I4" s="1085"/>
      <c r="J4" s="1084" t="s">
        <v>301</v>
      </c>
      <c r="K4" s="1085"/>
      <c r="L4" s="708" t="s">
        <v>5</v>
      </c>
    </row>
    <row r="5" spans="1:12" ht="36.75" customHeight="1" thickBot="1">
      <c r="A5" s="13"/>
      <c r="B5" s="16"/>
      <c r="C5" s="16"/>
      <c r="D5" s="14"/>
      <c r="E5" s="15"/>
      <c r="F5" s="1049" t="s">
        <v>6</v>
      </c>
      <c r="G5" s="17" t="s">
        <v>137</v>
      </c>
      <c r="H5" s="1049" t="s">
        <v>6</v>
      </c>
      <c r="I5" s="17" t="s">
        <v>137</v>
      </c>
      <c r="J5" s="1049" t="s">
        <v>6</v>
      </c>
      <c r="K5" s="17" t="s">
        <v>137</v>
      </c>
      <c r="L5" s="824" t="s">
        <v>506</v>
      </c>
    </row>
    <row r="6" spans="1:12" s="21" customFormat="1" ht="21.75" customHeight="1" thickBot="1">
      <c r="A6" s="18"/>
      <c r="B6" s="1094"/>
      <c r="C6" s="1094"/>
      <c r="D6" s="1094"/>
      <c r="E6" s="19"/>
      <c r="F6" s="20"/>
      <c r="G6" s="684"/>
      <c r="H6" s="20"/>
      <c r="I6" s="684"/>
      <c r="J6" s="20"/>
      <c r="K6" s="684"/>
      <c r="L6" s="848"/>
    </row>
    <row r="7" spans="1:12" s="21" customFormat="1" ht="21.75" customHeight="1" thickBot="1">
      <c r="A7" s="18" t="s">
        <v>10</v>
      </c>
      <c r="B7" s="1094" t="s">
        <v>11</v>
      </c>
      <c r="C7" s="1094"/>
      <c r="D7" s="1094"/>
      <c r="E7" s="22" t="s">
        <v>12</v>
      </c>
      <c r="F7" s="1050">
        <f>F8+F13+F16+F17+F20</f>
        <v>17008628</v>
      </c>
      <c r="G7" s="709">
        <f>G8+G13+G16+G17+G20</f>
        <v>17167370</v>
      </c>
      <c r="H7" s="1050">
        <f aca="true" t="shared" si="0" ref="H7:I12">F7-J7</f>
        <v>10465842</v>
      </c>
      <c r="I7" s="709">
        <f t="shared" si="0"/>
        <v>10842549</v>
      </c>
      <c r="J7" s="1050">
        <f>J8+J13+J16+J17+J20</f>
        <v>6542786</v>
      </c>
      <c r="K7" s="709">
        <f>K8+K13+K16+K17+K20</f>
        <v>6324821</v>
      </c>
      <c r="L7" s="849">
        <f>L8+L13+L16+L17+L20</f>
        <v>0</v>
      </c>
    </row>
    <row r="8" spans="1:12" ht="21.75" customHeight="1">
      <c r="A8" s="23"/>
      <c r="B8" s="24" t="s">
        <v>13</v>
      </c>
      <c r="C8" s="1098" t="s">
        <v>14</v>
      </c>
      <c r="D8" s="1098"/>
      <c r="E8" s="25" t="s">
        <v>15</v>
      </c>
      <c r="F8" s="1051">
        <f>'3.sz.m Önk  bev.'!F8</f>
        <v>2003046</v>
      </c>
      <c r="G8" s="710">
        <f>'3.sz.m Önk  bev.'!G8</f>
        <v>2008446</v>
      </c>
      <c r="H8" s="1051">
        <f t="shared" si="0"/>
        <v>2003046</v>
      </c>
      <c r="I8" s="710">
        <f t="shared" si="0"/>
        <v>2008446</v>
      </c>
      <c r="J8" s="1051"/>
      <c r="K8" s="710"/>
      <c r="L8" s="850"/>
    </row>
    <row r="9" spans="1:12" ht="21.75" customHeight="1">
      <c r="A9" s="26"/>
      <c r="B9" s="27"/>
      <c r="C9" s="27" t="s">
        <v>16</v>
      </c>
      <c r="D9" s="28" t="s">
        <v>17</v>
      </c>
      <c r="E9" s="29"/>
      <c r="F9" s="1052"/>
      <c r="G9" s="711"/>
      <c r="H9" s="1052">
        <f t="shared" si="0"/>
        <v>0</v>
      </c>
      <c r="I9" s="711">
        <f t="shared" si="0"/>
        <v>0</v>
      </c>
      <c r="J9" s="1052"/>
      <c r="K9" s="711"/>
      <c r="L9" s="851"/>
    </row>
    <row r="10" spans="1:12" ht="21.75" customHeight="1">
      <c r="A10" s="26"/>
      <c r="B10" s="27"/>
      <c r="C10" s="27" t="s">
        <v>18</v>
      </c>
      <c r="D10" s="28" t="s">
        <v>19</v>
      </c>
      <c r="E10" s="29"/>
      <c r="F10" s="1052">
        <f>'3.sz.m Önk  bev.'!F10</f>
        <v>2003046</v>
      </c>
      <c r="G10" s="711">
        <f>'3.sz.m Önk  bev.'!G10</f>
        <v>2003046</v>
      </c>
      <c r="H10" s="1052">
        <f t="shared" si="0"/>
        <v>2003046</v>
      </c>
      <c r="I10" s="711">
        <f t="shared" si="0"/>
        <v>2003046</v>
      </c>
      <c r="J10" s="1052"/>
      <c r="K10" s="711"/>
      <c r="L10" s="851"/>
    </row>
    <row r="11" spans="1:12" ht="21.75" customHeight="1">
      <c r="A11" s="26"/>
      <c r="B11" s="27"/>
      <c r="C11" s="27" t="s">
        <v>20</v>
      </c>
      <c r="D11" s="28" t="s">
        <v>21</v>
      </c>
      <c r="E11" s="29"/>
      <c r="F11" s="1052">
        <f>'3.sz.m Önk  bev.'!F11</f>
        <v>0</v>
      </c>
      <c r="G11" s="711">
        <f>'3.sz.m Önk  bev.'!G11</f>
        <v>0</v>
      </c>
      <c r="H11" s="1052">
        <f t="shared" si="0"/>
        <v>0</v>
      </c>
      <c r="I11" s="711">
        <f t="shared" si="0"/>
        <v>0</v>
      </c>
      <c r="J11" s="1052"/>
      <c r="K11" s="711"/>
      <c r="L11" s="851"/>
    </row>
    <row r="12" spans="1:21" ht="21.75" customHeight="1" hidden="1">
      <c r="A12" s="26"/>
      <c r="B12" s="27"/>
      <c r="C12" s="27"/>
      <c r="D12" s="28"/>
      <c r="E12" s="29"/>
      <c r="F12" s="1052">
        <f>'3.sz.m Önk  bev.'!F12</f>
        <v>0</v>
      </c>
      <c r="G12" s="711">
        <f>'3.sz.m Önk  bev.'!G12</f>
        <v>0</v>
      </c>
      <c r="H12" s="1052">
        <f t="shared" si="0"/>
        <v>0</v>
      </c>
      <c r="I12" s="711">
        <f t="shared" si="0"/>
        <v>0</v>
      </c>
      <c r="J12" s="1052"/>
      <c r="K12" s="711"/>
      <c r="L12" s="851"/>
      <c r="U12" s="5" t="s">
        <v>22</v>
      </c>
    </row>
    <row r="13" spans="1:12" ht="21.75" customHeight="1">
      <c r="A13" s="26"/>
      <c r="B13" s="27" t="s">
        <v>23</v>
      </c>
      <c r="C13" s="1090" t="s">
        <v>24</v>
      </c>
      <c r="D13" s="1090"/>
      <c r="E13" s="31" t="s">
        <v>25</v>
      </c>
      <c r="F13" s="1052">
        <f>'3.sz.m Önk  bev.'!F13</f>
        <v>12879382</v>
      </c>
      <c r="G13" s="711">
        <f>'3.sz.m Önk  bev.'!G13</f>
        <v>12879382</v>
      </c>
      <c r="H13" s="1052">
        <f>SUM(H14:H15)</f>
        <v>6336596</v>
      </c>
      <c r="I13" s="711">
        <f>SUM(I14:I15)</f>
        <v>6554561</v>
      </c>
      <c r="J13" s="1052">
        <f>SUM(J14:J15)</f>
        <v>6542786</v>
      </c>
      <c r="K13" s="711">
        <f>SUM(K14:K15)</f>
        <v>6324821</v>
      </c>
      <c r="L13" s="851"/>
    </row>
    <row r="14" spans="1:12" ht="21.75" customHeight="1">
      <c r="A14" s="26"/>
      <c r="B14" s="27"/>
      <c r="C14" s="27" t="s">
        <v>26</v>
      </c>
      <c r="D14" s="30" t="s">
        <v>27</v>
      </c>
      <c r="E14" s="31"/>
      <c r="F14" s="1052">
        <f>'3.sz.m Önk  bev.'!F14</f>
        <v>12879382</v>
      </c>
      <c r="G14" s="711">
        <f>'3.sz.m Önk  bev.'!G14</f>
        <v>12879382</v>
      </c>
      <c r="H14" s="1052">
        <f aca="true" t="shared" si="1" ref="H14:I20">F14-J14</f>
        <v>6336596</v>
      </c>
      <c r="I14" s="711">
        <f t="shared" si="1"/>
        <v>6554561</v>
      </c>
      <c r="J14" s="1052">
        <f>'3.sz.m Önk  bev.'!J14</f>
        <v>6542786</v>
      </c>
      <c r="K14" s="711">
        <f>'3.sz.m Önk  bev.'!K14</f>
        <v>6324821</v>
      </c>
      <c r="L14" s="851"/>
    </row>
    <row r="15" spans="1:12" ht="21.75" customHeight="1">
      <c r="A15" s="26"/>
      <c r="B15" s="27"/>
      <c r="C15" s="27" t="s">
        <v>28</v>
      </c>
      <c r="D15" s="30" t="s">
        <v>29</v>
      </c>
      <c r="E15" s="31"/>
      <c r="F15" s="1052">
        <f>'3.sz.m Önk  bev.'!F15</f>
        <v>0</v>
      </c>
      <c r="G15" s="711">
        <f>'3.sz.m Önk  bev.'!G15</f>
        <v>0</v>
      </c>
      <c r="H15" s="1052">
        <f t="shared" si="1"/>
        <v>0</v>
      </c>
      <c r="I15" s="711">
        <f t="shared" si="1"/>
        <v>0</v>
      </c>
      <c r="J15" s="1052"/>
      <c r="K15" s="711"/>
      <c r="L15" s="851"/>
    </row>
    <row r="16" spans="1:12" ht="29.25" customHeight="1">
      <c r="A16" s="26"/>
      <c r="B16" s="27" t="s">
        <v>30</v>
      </c>
      <c r="C16" s="1090" t="s">
        <v>31</v>
      </c>
      <c r="D16" s="1090"/>
      <c r="E16" s="31" t="s">
        <v>32</v>
      </c>
      <c r="F16" s="1052">
        <f>'3.sz.m Önk  bev.'!F16</f>
        <v>1722000</v>
      </c>
      <c r="G16" s="711">
        <f>'3.sz.m Önk  bev.'!G16</f>
        <v>1722000</v>
      </c>
      <c r="H16" s="1052">
        <f t="shared" si="1"/>
        <v>1722000</v>
      </c>
      <c r="I16" s="711">
        <f t="shared" si="1"/>
        <v>1722000</v>
      </c>
      <c r="J16" s="1052"/>
      <c r="K16" s="711"/>
      <c r="L16" s="851"/>
    </row>
    <row r="17" spans="1:12" ht="29.25" customHeight="1">
      <c r="A17" s="26"/>
      <c r="B17" s="27" t="s">
        <v>33</v>
      </c>
      <c r="C17" s="1093" t="s">
        <v>34</v>
      </c>
      <c r="D17" s="1093"/>
      <c r="E17" s="32" t="s">
        <v>35</v>
      </c>
      <c r="F17" s="1052">
        <f>'3.sz.m Önk  bev.'!F17</f>
        <v>0</v>
      </c>
      <c r="G17" s="711">
        <f>'3.sz.m Önk  bev.'!G17</f>
        <v>0</v>
      </c>
      <c r="H17" s="1052">
        <f t="shared" si="1"/>
        <v>0</v>
      </c>
      <c r="I17" s="711">
        <f t="shared" si="1"/>
        <v>0</v>
      </c>
      <c r="J17" s="1052"/>
      <c r="K17" s="711"/>
      <c r="L17" s="851"/>
    </row>
    <row r="18" spans="1:12" ht="31.5" customHeight="1">
      <c r="A18" s="26"/>
      <c r="B18" s="27"/>
      <c r="C18" s="27" t="s">
        <v>36</v>
      </c>
      <c r="D18" s="30" t="s">
        <v>37</v>
      </c>
      <c r="E18" s="31"/>
      <c r="F18" s="1052">
        <f>'3.sz.m Önk  bev.'!F18</f>
        <v>0</v>
      </c>
      <c r="G18" s="711">
        <f>'3.sz.m Önk  bev.'!G18</f>
        <v>0</v>
      </c>
      <c r="H18" s="1052">
        <f t="shared" si="1"/>
        <v>0</v>
      </c>
      <c r="I18" s="711">
        <f t="shared" si="1"/>
        <v>0</v>
      </c>
      <c r="J18" s="1052"/>
      <c r="K18" s="711"/>
      <c r="L18" s="851"/>
    </row>
    <row r="19" spans="1:12" ht="21.75" customHeight="1">
      <c r="A19" s="26"/>
      <c r="B19" s="27"/>
      <c r="C19" s="27" t="s">
        <v>38</v>
      </c>
      <c r="D19" s="30" t="s">
        <v>39</v>
      </c>
      <c r="E19" s="31"/>
      <c r="F19" s="1052">
        <f>'3.sz.m Önk  bev.'!F19</f>
        <v>0</v>
      </c>
      <c r="G19" s="711">
        <f>'3.sz.m Önk  bev.'!G19</f>
        <v>0</v>
      </c>
      <c r="H19" s="1052">
        <f t="shared" si="1"/>
        <v>0</v>
      </c>
      <c r="I19" s="711">
        <f t="shared" si="1"/>
        <v>0</v>
      </c>
      <c r="J19" s="1052"/>
      <c r="K19" s="711"/>
      <c r="L19" s="851"/>
    </row>
    <row r="20" spans="1:12" ht="21.75" customHeight="1" thickBot="1">
      <c r="A20" s="33"/>
      <c r="B20" s="34" t="s">
        <v>40</v>
      </c>
      <c r="C20" s="1091" t="s">
        <v>41</v>
      </c>
      <c r="D20" s="1091"/>
      <c r="E20" s="35" t="s">
        <v>42</v>
      </c>
      <c r="F20" s="1053">
        <f>'3.sz.m Önk  bev.'!F20</f>
        <v>404200</v>
      </c>
      <c r="G20" s="717">
        <f>'3.sz.m Önk  bev.'!G20</f>
        <v>557542</v>
      </c>
      <c r="H20" s="1053">
        <f t="shared" si="1"/>
        <v>404200</v>
      </c>
      <c r="I20" s="717">
        <f t="shared" si="1"/>
        <v>557542</v>
      </c>
      <c r="J20" s="1053"/>
      <c r="K20" s="717"/>
      <c r="L20" s="852"/>
    </row>
    <row r="21" spans="1:12" ht="21.75" customHeight="1" thickBot="1">
      <c r="A21" s="18" t="s">
        <v>43</v>
      </c>
      <c r="B21" s="1094" t="s">
        <v>44</v>
      </c>
      <c r="C21" s="1094"/>
      <c r="D21" s="1094"/>
      <c r="E21" s="19" t="s">
        <v>45</v>
      </c>
      <c r="F21" s="1050">
        <f aca="true" t="shared" si="2" ref="F21:K21">F22+F25+F26+F27+F34+F35+F36+F23</f>
        <v>10778751</v>
      </c>
      <c r="G21" s="709">
        <f t="shared" si="2"/>
        <v>10902417</v>
      </c>
      <c r="H21" s="1050">
        <f t="shared" si="2"/>
        <v>7310271</v>
      </c>
      <c r="I21" s="709">
        <f t="shared" si="2"/>
        <v>7433936</v>
      </c>
      <c r="J21" s="1050">
        <f t="shared" si="2"/>
        <v>3468480</v>
      </c>
      <c r="K21" s="709">
        <f t="shared" si="2"/>
        <v>3468481</v>
      </c>
      <c r="L21" s="849">
        <f>L25+L26+L27+L32+L33+L34+L35</f>
        <v>0</v>
      </c>
    </row>
    <row r="22" spans="1:12" ht="21.75" customHeight="1">
      <c r="A22" s="581"/>
      <c r="B22" s="27" t="s">
        <v>46</v>
      </c>
      <c r="C22" s="1087" t="s">
        <v>450</v>
      </c>
      <c r="D22" s="1088"/>
      <c r="E22" s="25" t="s">
        <v>453</v>
      </c>
      <c r="F22" s="1051">
        <f>'3.sz.m Önk  bev.'!F22</f>
        <v>0</v>
      </c>
      <c r="G22" s="710">
        <f>'3.sz.m Önk  bev.'!G22</f>
        <v>0</v>
      </c>
      <c r="H22" s="1051">
        <f>F22-J22</f>
        <v>0</v>
      </c>
      <c r="I22" s="710">
        <f>G22-K22</f>
        <v>0</v>
      </c>
      <c r="J22" s="1051"/>
      <c r="K22" s="710"/>
      <c r="L22" s="850"/>
    </row>
    <row r="23" spans="1:12" ht="21.75" customHeight="1">
      <c r="A23" s="26"/>
      <c r="B23" s="27" t="s">
        <v>49</v>
      </c>
      <c r="C23" s="1086" t="s">
        <v>460</v>
      </c>
      <c r="D23" s="1086"/>
      <c r="E23" s="39"/>
      <c r="F23" s="1054">
        <f>'5. sz. m óvoda'!J11</f>
        <v>398373</v>
      </c>
      <c r="G23" s="712">
        <f>'5. sz. m óvoda'!K11</f>
        <v>398373</v>
      </c>
      <c r="H23" s="1054">
        <f>'5. sz. m óvoda'!L11</f>
        <v>398373</v>
      </c>
      <c r="I23" s="712">
        <f>'5. sz. m óvoda'!M11</f>
        <v>398373</v>
      </c>
      <c r="J23" s="1054"/>
      <c r="K23" s="712"/>
      <c r="L23" s="853"/>
    </row>
    <row r="24" spans="1:12" ht="21.75" customHeight="1" hidden="1">
      <c r="A24" s="581"/>
      <c r="B24" s="580"/>
      <c r="C24" s="580"/>
      <c r="D24" s="580"/>
      <c r="E24" s="39"/>
      <c r="F24" s="1054"/>
      <c r="G24" s="712"/>
      <c r="H24" s="1054"/>
      <c r="I24" s="712"/>
      <c r="J24" s="1054"/>
      <c r="K24" s="712"/>
      <c r="L24" s="853"/>
    </row>
    <row r="25" spans="1:12" ht="21.75" customHeight="1">
      <c r="A25" s="36"/>
      <c r="B25" s="37" t="s">
        <v>52</v>
      </c>
      <c r="C25" s="1092" t="s">
        <v>47</v>
      </c>
      <c r="D25" s="1092"/>
      <c r="E25" s="39" t="s">
        <v>48</v>
      </c>
      <c r="F25" s="1054">
        <f>'3.sz.m Önk  bev.'!F23+'5. sz. m óvoda'!J10</f>
        <v>7523880</v>
      </c>
      <c r="G25" s="712">
        <f>'3.sz.m Önk  bev.'!G23+'5. sz. m óvoda'!K10</f>
        <v>7523880</v>
      </c>
      <c r="H25" s="1054">
        <f>'3.sz.m Önk  bev.'!H23+'5. sz. m óvoda'!L10</f>
        <v>4055400</v>
      </c>
      <c r="I25" s="712">
        <f>'3.sz.m Önk  bev.'!I23+'5. sz. m óvoda'!M10</f>
        <v>4055399</v>
      </c>
      <c r="J25" s="1054">
        <f>'3.sz.m Önk  bev.'!J23</f>
        <v>3468480</v>
      </c>
      <c r="K25" s="712">
        <f>'3.sz.m Önk  bev.'!K23</f>
        <v>3468481</v>
      </c>
      <c r="L25" s="853"/>
    </row>
    <row r="26" spans="1:12" ht="21.75" customHeight="1">
      <c r="A26" s="26"/>
      <c r="B26" s="27" t="s">
        <v>61</v>
      </c>
      <c r="C26" s="1086" t="s">
        <v>50</v>
      </c>
      <c r="D26" s="1086"/>
      <c r="E26" s="29" t="s">
        <v>51</v>
      </c>
      <c r="F26" s="1055">
        <f>'3.sz.m Önk  bev.'!F24</f>
        <v>0</v>
      </c>
      <c r="G26" s="577">
        <f>'3.sz.m Önk  bev.'!G24</f>
        <v>100000</v>
      </c>
      <c r="H26" s="1055">
        <f aca="true" t="shared" si="3" ref="H26:I30">F26-J26</f>
        <v>0</v>
      </c>
      <c r="I26" s="577">
        <f t="shared" si="3"/>
        <v>100000</v>
      </c>
      <c r="J26" s="1055"/>
      <c r="K26" s="577"/>
      <c r="L26" s="854"/>
    </row>
    <row r="27" spans="1:12" ht="21.75" customHeight="1">
      <c r="A27" s="26"/>
      <c r="B27" s="27" t="s">
        <v>63</v>
      </c>
      <c r="C27" s="1086" t="s">
        <v>53</v>
      </c>
      <c r="D27" s="1086"/>
      <c r="E27" s="29" t="s">
        <v>54</v>
      </c>
      <c r="F27" s="1055">
        <f>SUM(F28:F31)</f>
        <v>2585700</v>
      </c>
      <c r="G27" s="577">
        <f>SUM(G28:G31)</f>
        <v>2643234</v>
      </c>
      <c r="H27" s="1055">
        <f t="shared" si="3"/>
        <v>2585700</v>
      </c>
      <c r="I27" s="577">
        <f t="shared" si="3"/>
        <v>2643234</v>
      </c>
      <c r="J27" s="1055"/>
      <c r="K27" s="577"/>
      <c r="L27" s="854"/>
    </row>
    <row r="28" spans="1:12" ht="31.5" customHeight="1">
      <c r="A28" s="26"/>
      <c r="B28" s="27"/>
      <c r="C28" s="27" t="s">
        <v>465</v>
      </c>
      <c r="D28" s="28" t="s">
        <v>56</v>
      </c>
      <c r="E28" s="29"/>
      <c r="F28" s="1055">
        <f>'3.sz.m Önk  bev.'!F26</f>
        <v>2585700</v>
      </c>
      <c r="G28" s="577">
        <f>'3.sz.m Önk  bev.'!G26</f>
        <v>2585700</v>
      </c>
      <c r="H28" s="1055">
        <f t="shared" si="3"/>
        <v>2585700</v>
      </c>
      <c r="I28" s="577">
        <f t="shared" si="3"/>
        <v>2585700</v>
      </c>
      <c r="J28" s="1055"/>
      <c r="K28" s="577"/>
      <c r="L28" s="854"/>
    </row>
    <row r="29" spans="1:12" ht="41.25" customHeight="1">
      <c r="A29" s="26"/>
      <c r="B29" s="27"/>
      <c r="C29" s="27" t="s">
        <v>466</v>
      </c>
      <c r="D29" s="28" t="s">
        <v>58</v>
      </c>
      <c r="E29" s="29"/>
      <c r="F29" s="1055">
        <f>'3.sz.m Önk  bev.'!F27</f>
        <v>0</v>
      </c>
      <c r="G29" s="577">
        <f>'3.sz.m Önk  bev.'!G27</f>
        <v>57534</v>
      </c>
      <c r="H29" s="1055">
        <f t="shared" si="3"/>
        <v>0</v>
      </c>
      <c r="I29" s="577">
        <f t="shared" si="3"/>
        <v>57534</v>
      </c>
      <c r="J29" s="1055"/>
      <c r="K29" s="577"/>
      <c r="L29" s="854"/>
    </row>
    <row r="30" spans="1:12" ht="21.75" customHeight="1">
      <c r="A30" s="26"/>
      <c r="B30" s="27"/>
      <c r="C30" s="27" t="s">
        <v>467</v>
      </c>
      <c r="D30" s="28" t="s">
        <v>60</v>
      </c>
      <c r="E30" s="29"/>
      <c r="F30" s="1055">
        <f>'3.sz.m Önk  bev.'!F28</f>
        <v>0</v>
      </c>
      <c r="G30" s="577">
        <f>'3.sz.m Önk  bev.'!G28</f>
        <v>0</v>
      </c>
      <c r="H30" s="1055">
        <f t="shared" si="3"/>
        <v>0</v>
      </c>
      <c r="I30" s="577">
        <f t="shared" si="3"/>
        <v>0</v>
      </c>
      <c r="J30" s="1055"/>
      <c r="K30" s="577"/>
      <c r="L30" s="854"/>
    </row>
    <row r="31" spans="1:12" ht="21.75" customHeight="1">
      <c r="A31" s="26"/>
      <c r="B31" s="27"/>
      <c r="C31" s="27" t="s">
        <v>544</v>
      </c>
      <c r="D31" s="28" t="s">
        <v>543</v>
      </c>
      <c r="E31" s="29"/>
      <c r="F31" s="1055">
        <f>'3.sz.m Önk  bev.'!F29</f>
        <v>0</v>
      </c>
      <c r="G31" s="577">
        <f>'3.sz.m Önk  bev.'!G29</f>
        <v>0</v>
      </c>
      <c r="H31" s="1055"/>
      <c r="I31" s="577"/>
      <c r="J31" s="1055"/>
      <c r="K31" s="577"/>
      <c r="L31" s="854"/>
    </row>
    <row r="32" spans="1:12" ht="21.75" customHeight="1">
      <c r="A32" s="26"/>
      <c r="B32" s="27" t="s">
        <v>65</v>
      </c>
      <c r="C32" s="1086" t="s">
        <v>62</v>
      </c>
      <c r="D32" s="1086"/>
      <c r="E32" s="29"/>
      <c r="F32" s="1055"/>
      <c r="G32" s="577"/>
      <c r="H32" s="1055">
        <f aca="true" t="shared" si="4" ref="H32:I59">F32-J32</f>
        <v>0</v>
      </c>
      <c r="I32" s="577">
        <f t="shared" si="4"/>
        <v>0</v>
      </c>
      <c r="J32" s="1055"/>
      <c r="K32" s="577"/>
      <c r="L32" s="854"/>
    </row>
    <row r="33" spans="1:12" ht="21.75" customHeight="1">
      <c r="A33" s="40"/>
      <c r="B33" s="41" t="s">
        <v>461</v>
      </c>
      <c r="C33" s="1086" t="s">
        <v>64</v>
      </c>
      <c r="D33" s="1086"/>
      <c r="E33" s="29"/>
      <c r="F33" s="1055"/>
      <c r="G33" s="577"/>
      <c r="H33" s="1055">
        <f t="shared" si="4"/>
        <v>0</v>
      </c>
      <c r="I33" s="577">
        <f t="shared" si="4"/>
        <v>0</v>
      </c>
      <c r="J33" s="1055"/>
      <c r="K33" s="577"/>
      <c r="L33" s="854"/>
    </row>
    <row r="34" spans="1:12" ht="21.75" customHeight="1">
      <c r="A34" s="40"/>
      <c r="B34" s="41" t="s">
        <v>462</v>
      </c>
      <c r="C34" s="1086" t="s">
        <v>66</v>
      </c>
      <c r="D34" s="1086"/>
      <c r="E34" s="29" t="s">
        <v>67</v>
      </c>
      <c r="F34" s="1055">
        <f>'3.sz.m Önk  bev.'!F32+'5. sz. m óvoda'!J12</f>
        <v>70798</v>
      </c>
      <c r="G34" s="577">
        <f>'3.sz.m Önk  bev.'!G32+'5. sz. m óvoda'!K12</f>
        <v>71298</v>
      </c>
      <c r="H34" s="1055">
        <f t="shared" si="4"/>
        <v>70798</v>
      </c>
      <c r="I34" s="577">
        <f t="shared" si="4"/>
        <v>71298</v>
      </c>
      <c r="J34" s="1055"/>
      <c r="K34" s="577"/>
      <c r="L34" s="854"/>
    </row>
    <row r="35" spans="1:12" ht="21.75" customHeight="1">
      <c r="A35" s="40"/>
      <c r="B35" s="41" t="s">
        <v>463</v>
      </c>
      <c r="C35" s="1089" t="s">
        <v>69</v>
      </c>
      <c r="D35" s="1089"/>
      <c r="E35" s="42" t="s">
        <v>449</v>
      </c>
      <c r="F35" s="1055">
        <f>'3.sz.m Önk  bev.'!F33+'5. sz. m óvoda'!J13</f>
        <v>200000</v>
      </c>
      <c r="G35" s="577">
        <f>'3.sz.m Önk  bev.'!G33+'5. sz. m óvoda'!K13</f>
        <v>165632</v>
      </c>
      <c r="H35" s="1055">
        <f t="shared" si="4"/>
        <v>200000</v>
      </c>
      <c r="I35" s="577">
        <f t="shared" si="4"/>
        <v>165632</v>
      </c>
      <c r="J35" s="1055"/>
      <c r="K35" s="577"/>
      <c r="L35" s="854"/>
    </row>
    <row r="36" spans="1:12" ht="21.75" customHeight="1" thickBot="1">
      <c r="A36" s="33"/>
      <c r="B36" s="34" t="s">
        <v>464</v>
      </c>
      <c r="C36" s="1102" t="s">
        <v>448</v>
      </c>
      <c r="D36" s="1103"/>
      <c r="E36" s="51" t="s">
        <v>449</v>
      </c>
      <c r="F36" s="1056">
        <f>'3.sz.m Önk  bev.'!F34</f>
        <v>0</v>
      </c>
      <c r="G36" s="713">
        <f>'3.sz.m Önk  bev.'!G34</f>
        <v>0</v>
      </c>
      <c r="H36" s="1056">
        <f t="shared" si="4"/>
        <v>0</v>
      </c>
      <c r="I36" s="713">
        <f t="shared" si="4"/>
        <v>0</v>
      </c>
      <c r="J36" s="1056"/>
      <c r="K36" s="713"/>
      <c r="L36" s="855"/>
    </row>
    <row r="37" spans="1:12" ht="30.75" customHeight="1" thickBot="1">
      <c r="A37" s="43" t="s">
        <v>70</v>
      </c>
      <c r="B37" s="1094" t="s">
        <v>71</v>
      </c>
      <c r="C37" s="1094"/>
      <c r="D37" s="1094"/>
      <c r="E37" s="19" t="s">
        <v>72</v>
      </c>
      <c r="F37" s="1057">
        <f>F38+F41+F39</f>
        <v>41869553</v>
      </c>
      <c r="G37" s="702">
        <f>G38+G41+G39</f>
        <v>42309361</v>
      </c>
      <c r="H37" s="1057">
        <f t="shared" si="4"/>
        <v>41869553</v>
      </c>
      <c r="I37" s="702">
        <f t="shared" si="4"/>
        <v>42309361</v>
      </c>
      <c r="J37" s="1057">
        <f>SUM(J38:J41)</f>
        <v>0</v>
      </c>
      <c r="K37" s="702">
        <f>SUM(K38:K41)</f>
        <v>0</v>
      </c>
      <c r="L37" s="856">
        <f>L38+L39+L40+L41</f>
        <v>0</v>
      </c>
    </row>
    <row r="38" spans="1:12" ht="21.75" customHeight="1">
      <c r="A38" s="36"/>
      <c r="B38" s="41" t="s">
        <v>73</v>
      </c>
      <c r="C38" s="1095" t="s">
        <v>74</v>
      </c>
      <c r="D38" s="1095"/>
      <c r="E38" s="44" t="s">
        <v>75</v>
      </c>
      <c r="F38" s="1058">
        <f>'3.sz.m Önk  bev.'!F36</f>
        <v>27280524</v>
      </c>
      <c r="G38" s="718">
        <f>'3.sz.m Önk  bev.'!G36</f>
        <v>27280524</v>
      </c>
      <c r="H38" s="1058">
        <f t="shared" si="4"/>
        <v>27280524</v>
      </c>
      <c r="I38" s="718">
        <f t="shared" si="4"/>
        <v>27280524</v>
      </c>
      <c r="J38" s="1058">
        <f>'3.sz.m Önk  bev.'!J36</f>
        <v>0</v>
      </c>
      <c r="K38" s="718">
        <f>'3.sz.m Önk  bev.'!K36</f>
        <v>0</v>
      </c>
      <c r="L38" s="857"/>
    </row>
    <row r="39" spans="1:12" ht="21.75" customHeight="1">
      <c r="A39" s="26"/>
      <c r="B39" s="41" t="s">
        <v>76</v>
      </c>
      <c r="C39" s="1086" t="s">
        <v>77</v>
      </c>
      <c r="D39" s="1086"/>
      <c r="E39" s="29"/>
      <c r="F39" s="1059">
        <f>'3.sz.m Önk  bev.'!F37</f>
        <v>0</v>
      </c>
      <c r="G39" s="719">
        <f>'3.sz.m Önk  bev.'!G37</f>
        <v>439808</v>
      </c>
      <c r="H39" s="1059">
        <f t="shared" si="4"/>
        <v>0</v>
      </c>
      <c r="I39" s="719">
        <f t="shared" si="4"/>
        <v>439808</v>
      </c>
      <c r="J39" s="1059"/>
      <c r="K39" s="719"/>
      <c r="L39" s="858"/>
    </row>
    <row r="40" spans="1:12" ht="21.75" customHeight="1">
      <c r="A40" s="26"/>
      <c r="B40" s="41" t="s">
        <v>78</v>
      </c>
      <c r="C40" s="1086" t="s">
        <v>79</v>
      </c>
      <c r="D40" s="1086"/>
      <c r="E40" s="29"/>
      <c r="F40" s="1059"/>
      <c r="G40" s="719"/>
      <c r="H40" s="1059">
        <f t="shared" si="4"/>
        <v>0</v>
      </c>
      <c r="I40" s="719">
        <f t="shared" si="4"/>
        <v>0</v>
      </c>
      <c r="J40" s="1059"/>
      <c r="K40" s="719"/>
      <c r="L40" s="858"/>
    </row>
    <row r="41" spans="1:13" ht="33.75" customHeight="1">
      <c r="A41" s="26"/>
      <c r="B41" s="41" t="s">
        <v>80</v>
      </c>
      <c r="C41" s="1086" t="s">
        <v>81</v>
      </c>
      <c r="D41" s="1086"/>
      <c r="E41" s="29" t="s">
        <v>82</v>
      </c>
      <c r="F41" s="1059">
        <f>SUM(F42:F44)</f>
        <v>14589029</v>
      </c>
      <c r="G41" s="719">
        <f>SUM(G42:G44)</f>
        <v>14589029</v>
      </c>
      <c r="H41" s="1059">
        <f t="shared" si="4"/>
        <v>14589029</v>
      </c>
      <c r="I41" s="719">
        <f t="shared" si="4"/>
        <v>14589029</v>
      </c>
      <c r="J41" s="1059"/>
      <c r="K41" s="719"/>
      <c r="L41" s="858"/>
      <c r="M41" s="4"/>
    </row>
    <row r="42" spans="1:13" ht="31.5">
      <c r="A42" s="26"/>
      <c r="B42" s="41"/>
      <c r="C42" s="37" t="s">
        <v>83</v>
      </c>
      <c r="D42" s="38" t="s">
        <v>84</v>
      </c>
      <c r="E42" s="39"/>
      <c r="F42" s="1059">
        <f>'3.sz.m Önk  bev.'!F40</f>
        <v>10724400</v>
      </c>
      <c r="G42" s="719">
        <f>'3.sz.m Önk  bev.'!G40</f>
        <v>10724400</v>
      </c>
      <c r="H42" s="1059">
        <f t="shared" si="4"/>
        <v>10724400</v>
      </c>
      <c r="I42" s="719">
        <f t="shared" si="4"/>
        <v>10724400</v>
      </c>
      <c r="J42" s="1059"/>
      <c r="K42" s="719"/>
      <c r="L42" s="858"/>
      <c r="M42" s="4"/>
    </row>
    <row r="43" spans="1:12" ht="21.75" customHeight="1">
      <c r="A43" s="26"/>
      <c r="B43" s="41"/>
      <c r="C43" s="27" t="s">
        <v>85</v>
      </c>
      <c r="D43" s="28" t="s">
        <v>86</v>
      </c>
      <c r="E43" s="29"/>
      <c r="F43" s="1059"/>
      <c r="G43" s="719"/>
      <c r="H43" s="1059">
        <f t="shared" si="4"/>
        <v>0</v>
      </c>
      <c r="I43" s="719">
        <f t="shared" si="4"/>
        <v>0</v>
      </c>
      <c r="J43" s="1059"/>
      <c r="K43" s="719"/>
      <c r="L43" s="858"/>
    </row>
    <row r="44" spans="1:12" ht="45.75" customHeight="1" thickBot="1">
      <c r="A44" s="26"/>
      <c r="B44" s="41"/>
      <c r="C44" s="27" t="s">
        <v>87</v>
      </c>
      <c r="D44" s="28" t="s">
        <v>88</v>
      </c>
      <c r="E44" s="29"/>
      <c r="F44" s="1060">
        <f>'3.sz.m Önk  bev.'!F42+'5. sz. m óvoda'!J15</f>
        <v>3864629</v>
      </c>
      <c r="G44" s="720">
        <f>'3.sz.m Önk  bev.'!G42+'5. sz. m óvoda'!K15</f>
        <v>3864629</v>
      </c>
      <c r="H44" s="1060">
        <f t="shared" si="4"/>
        <v>3864629</v>
      </c>
      <c r="I44" s="720">
        <f t="shared" si="4"/>
        <v>3864629</v>
      </c>
      <c r="J44" s="1060"/>
      <c r="K44" s="720"/>
      <c r="L44" s="859"/>
    </row>
    <row r="45" spans="1:12" ht="32.25" customHeight="1" thickBot="1">
      <c r="A45" s="43" t="s">
        <v>89</v>
      </c>
      <c r="B45" s="1107" t="s">
        <v>90</v>
      </c>
      <c r="C45" s="1107"/>
      <c r="D45" s="1107"/>
      <c r="E45" s="46" t="s">
        <v>91</v>
      </c>
      <c r="F45" s="1057">
        <f>F46+F47</f>
        <v>0</v>
      </c>
      <c r="G45" s="702">
        <f>G46+G47</f>
        <v>0</v>
      </c>
      <c r="H45" s="1057">
        <f t="shared" si="4"/>
        <v>0</v>
      </c>
      <c r="I45" s="702">
        <f t="shared" si="4"/>
        <v>0</v>
      </c>
      <c r="J45" s="1057"/>
      <c r="K45" s="702"/>
      <c r="L45" s="856">
        <f>L46+L47</f>
        <v>0</v>
      </c>
    </row>
    <row r="46" spans="1:12" ht="21.75" customHeight="1">
      <c r="A46" s="36"/>
      <c r="B46" s="47" t="s">
        <v>92</v>
      </c>
      <c r="C46" s="1092" t="s">
        <v>93</v>
      </c>
      <c r="D46" s="1092"/>
      <c r="E46" s="39" t="s">
        <v>94</v>
      </c>
      <c r="F46" s="1061"/>
      <c r="G46" s="714"/>
      <c r="H46" s="1061">
        <f t="shared" si="4"/>
        <v>0</v>
      </c>
      <c r="I46" s="714">
        <f t="shared" si="4"/>
        <v>0</v>
      </c>
      <c r="J46" s="1061"/>
      <c r="K46" s="714"/>
      <c r="L46" s="860"/>
    </row>
    <row r="47" spans="1:12" ht="36" customHeight="1">
      <c r="A47" s="26"/>
      <c r="B47" s="48" t="s">
        <v>95</v>
      </c>
      <c r="C47" s="1086" t="s">
        <v>96</v>
      </c>
      <c r="D47" s="1086"/>
      <c r="E47" s="29" t="s">
        <v>97</v>
      </c>
      <c r="F47" s="1055">
        <f>F50</f>
        <v>0</v>
      </c>
      <c r="G47" s="577">
        <f>G50</f>
        <v>0</v>
      </c>
      <c r="H47" s="1055">
        <f t="shared" si="4"/>
        <v>0</v>
      </c>
      <c r="I47" s="577">
        <f t="shared" si="4"/>
        <v>0</v>
      </c>
      <c r="J47" s="1055"/>
      <c r="K47" s="577"/>
      <c r="L47" s="854"/>
    </row>
    <row r="48" spans="1:12" ht="33.75" customHeight="1">
      <c r="A48" s="26"/>
      <c r="B48" s="47"/>
      <c r="C48" s="37" t="s">
        <v>98</v>
      </c>
      <c r="D48" s="38" t="s">
        <v>84</v>
      </c>
      <c r="E48" s="39"/>
      <c r="F48" s="1055"/>
      <c r="G48" s="577"/>
      <c r="H48" s="1055">
        <f t="shared" si="4"/>
        <v>0</v>
      </c>
      <c r="I48" s="577">
        <f t="shared" si="4"/>
        <v>0</v>
      </c>
      <c r="J48" s="1055"/>
      <c r="K48" s="577"/>
      <c r="L48" s="854"/>
    </row>
    <row r="49" spans="1:12" ht="21.75" customHeight="1">
      <c r="A49" s="26"/>
      <c r="B49" s="48"/>
      <c r="C49" s="27" t="s">
        <v>99</v>
      </c>
      <c r="D49" s="38" t="s">
        <v>86</v>
      </c>
      <c r="E49" s="39"/>
      <c r="F49" s="1055"/>
      <c r="G49" s="577"/>
      <c r="H49" s="1055">
        <f t="shared" si="4"/>
        <v>0</v>
      </c>
      <c r="I49" s="577">
        <f t="shared" si="4"/>
        <v>0</v>
      </c>
      <c r="J49" s="1055"/>
      <c r="K49" s="577"/>
      <c r="L49" s="854"/>
    </row>
    <row r="50" spans="1:12" ht="21.75" customHeight="1" thickBot="1">
      <c r="A50" s="40"/>
      <c r="B50" s="47"/>
      <c r="C50" s="37" t="s">
        <v>100</v>
      </c>
      <c r="D50" s="38" t="s">
        <v>101</v>
      </c>
      <c r="E50" s="39"/>
      <c r="F50" s="1062">
        <f>'3.sz.m Önk  bev.'!F48</f>
        <v>0</v>
      </c>
      <c r="G50" s="721">
        <f>'3.sz.m Önk  bev.'!G48</f>
        <v>0</v>
      </c>
      <c r="H50" s="1062">
        <f t="shared" si="4"/>
        <v>0</v>
      </c>
      <c r="I50" s="721">
        <f t="shared" si="4"/>
        <v>0</v>
      </c>
      <c r="J50" s="1062"/>
      <c r="K50" s="721"/>
      <c r="L50" s="861"/>
    </row>
    <row r="51" spans="1:12" ht="21.75" customHeight="1" hidden="1">
      <c r="A51" s="50"/>
      <c r="B51" s="48"/>
      <c r="C51" s="1086"/>
      <c r="D51" s="1086"/>
      <c r="E51" s="29"/>
      <c r="F51" s="1056"/>
      <c r="G51" s="713"/>
      <c r="H51" s="1056">
        <f t="shared" si="4"/>
        <v>0</v>
      </c>
      <c r="I51" s="713">
        <f t="shared" si="4"/>
        <v>0</v>
      </c>
      <c r="J51" s="1056"/>
      <c r="K51" s="713"/>
      <c r="L51" s="855"/>
    </row>
    <row r="52" spans="1:12" ht="21.75" customHeight="1" hidden="1">
      <c r="A52" s="50"/>
      <c r="B52" s="47"/>
      <c r="C52" s="1102"/>
      <c r="D52" s="1102"/>
      <c r="E52" s="51"/>
      <c r="F52" s="1056"/>
      <c r="G52" s="713"/>
      <c r="H52" s="1056">
        <f t="shared" si="4"/>
        <v>0</v>
      </c>
      <c r="I52" s="713">
        <f t="shared" si="4"/>
        <v>0</v>
      </c>
      <c r="J52" s="1056"/>
      <c r="K52" s="713"/>
      <c r="L52" s="855"/>
    </row>
    <row r="53" spans="1:12" ht="21.75" customHeight="1" thickBot="1">
      <c r="A53" s="43" t="s">
        <v>102</v>
      </c>
      <c r="B53" s="1094" t="s">
        <v>103</v>
      </c>
      <c r="C53" s="1094"/>
      <c r="D53" s="1094"/>
      <c r="E53" s="19"/>
      <c r="F53" s="1057">
        <f>SUM(F54:F56)</f>
        <v>772998</v>
      </c>
      <c r="G53" s="702">
        <f>SUM(G54:G56)</f>
        <v>772998</v>
      </c>
      <c r="H53" s="1057">
        <f t="shared" si="4"/>
        <v>772998</v>
      </c>
      <c r="I53" s="702">
        <f t="shared" si="4"/>
        <v>772998</v>
      </c>
      <c r="J53" s="1057"/>
      <c r="K53" s="702"/>
      <c r="L53" s="856">
        <f>L54+L56</f>
        <v>0</v>
      </c>
    </row>
    <row r="54" spans="1:12" s="21" customFormat="1" ht="21.75" customHeight="1">
      <c r="A54" s="53"/>
      <c r="B54" s="47" t="s">
        <v>104</v>
      </c>
      <c r="C54" s="1092" t="s">
        <v>451</v>
      </c>
      <c r="D54" s="1092"/>
      <c r="E54" s="39" t="s">
        <v>106</v>
      </c>
      <c r="F54" s="1063">
        <f>'3.sz.m Önk  bev.'!F52</f>
        <v>73006</v>
      </c>
      <c r="G54" s="722">
        <f>'3.sz.m Önk  bev.'!G52</f>
        <v>73006</v>
      </c>
      <c r="H54" s="1063">
        <f t="shared" si="4"/>
        <v>73006</v>
      </c>
      <c r="I54" s="722">
        <f t="shared" si="4"/>
        <v>73006</v>
      </c>
      <c r="J54" s="1063"/>
      <c r="K54" s="722"/>
      <c r="L54" s="862"/>
    </row>
    <row r="55" spans="1:12" s="21" customFormat="1" ht="34.5" customHeight="1">
      <c r="A55" s="53"/>
      <c r="B55" s="47" t="s">
        <v>107</v>
      </c>
      <c r="C55" s="1092" t="s">
        <v>561</v>
      </c>
      <c r="D55" s="1092"/>
      <c r="E55" s="39"/>
      <c r="F55" s="1063">
        <f>'3.sz.m Önk  bev.'!F53</f>
        <v>500000</v>
      </c>
      <c r="G55" s="722">
        <f>'3.sz.m Önk  bev.'!G53</f>
        <v>500000</v>
      </c>
      <c r="H55" s="1063">
        <f t="shared" si="4"/>
        <v>500000</v>
      </c>
      <c r="I55" s="722">
        <f t="shared" si="4"/>
        <v>500000</v>
      </c>
      <c r="J55" s="1070"/>
      <c r="K55" s="877"/>
      <c r="L55" s="878"/>
    </row>
    <row r="56" spans="1:12" ht="21.75" customHeight="1" thickBot="1">
      <c r="A56" s="26"/>
      <c r="B56" s="27" t="s">
        <v>264</v>
      </c>
      <c r="C56" s="1086" t="s">
        <v>452</v>
      </c>
      <c r="D56" s="1086"/>
      <c r="E56" s="29" t="s">
        <v>109</v>
      </c>
      <c r="F56" s="1064">
        <f>'3.sz.m Önk  bev.'!F54</f>
        <v>199992</v>
      </c>
      <c r="G56" s="723">
        <f>'3.sz.m Önk  bev.'!G54</f>
        <v>199992</v>
      </c>
      <c r="H56" s="1064">
        <f t="shared" si="4"/>
        <v>199992</v>
      </c>
      <c r="I56" s="723">
        <f t="shared" si="4"/>
        <v>199992</v>
      </c>
      <c r="J56" s="1064"/>
      <c r="K56" s="723"/>
      <c r="L56" s="863"/>
    </row>
    <row r="57" spans="1:12" ht="21.75" customHeight="1" thickBot="1">
      <c r="A57" s="43" t="s">
        <v>110</v>
      </c>
      <c r="B57" s="1094" t="s">
        <v>111</v>
      </c>
      <c r="C57" s="1094"/>
      <c r="D57" s="1094"/>
      <c r="E57" s="19" t="s">
        <v>112</v>
      </c>
      <c r="F57" s="1065"/>
      <c r="G57" s="699"/>
      <c r="H57" s="1065">
        <f t="shared" si="4"/>
        <v>0</v>
      </c>
      <c r="I57" s="699">
        <f t="shared" si="4"/>
        <v>0</v>
      </c>
      <c r="J57" s="1065"/>
      <c r="K57" s="699"/>
      <c r="L57" s="864">
        <f>L58+L59</f>
        <v>0</v>
      </c>
    </row>
    <row r="58" spans="1:12" s="21" customFormat="1" ht="21.75" customHeight="1">
      <c r="A58" s="53"/>
      <c r="B58" s="37" t="s">
        <v>113</v>
      </c>
      <c r="C58" s="1092" t="s">
        <v>114</v>
      </c>
      <c r="D58" s="1092"/>
      <c r="E58" s="39" t="s">
        <v>115</v>
      </c>
      <c r="F58" s="1066"/>
      <c r="G58" s="716"/>
      <c r="H58" s="1066">
        <f t="shared" si="4"/>
        <v>0</v>
      </c>
      <c r="I58" s="716">
        <f t="shared" si="4"/>
        <v>0</v>
      </c>
      <c r="J58" s="1066"/>
      <c r="K58" s="716"/>
      <c r="L58" s="865"/>
    </row>
    <row r="59" spans="1:12" ht="21.75" customHeight="1" thickBot="1">
      <c r="A59" s="40"/>
      <c r="B59" s="41" t="s">
        <v>116</v>
      </c>
      <c r="C59" s="1089" t="s">
        <v>117</v>
      </c>
      <c r="D59" s="1089"/>
      <c r="E59" s="42" t="s">
        <v>118</v>
      </c>
      <c r="F59" s="1067"/>
      <c r="G59" s="715"/>
      <c r="H59" s="1067">
        <f t="shared" si="4"/>
        <v>0</v>
      </c>
      <c r="I59" s="715">
        <f t="shared" si="4"/>
        <v>0</v>
      </c>
      <c r="J59" s="1067"/>
      <c r="K59" s="715"/>
      <c r="L59" s="866"/>
    </row>
    <row r="60" spans="1:12" ht="21.75" customHeight="1" thickBot="1">
      <c r="A60" s="43" t="s">
        <v>119</v>
      </c>
      <c r="B60" s="1100" t="s">
        <v>120</v>
      </c>
      <c r="C60" s="1100"/>
      <c r="D60" s="1100"/>
      <c r="E60" s="55"/>
      <c r="F60" s="1065">
        <f>F7+F21+F37+F53+F57+F45</f>
        <v>70429930</v>
      </c>
      <c r="G60" s="699">
        <f>G7+G21+G37+G53+G57+G45</f>
        <v>71152146</v>
      </c>
      <c r="H60" s="1065">
        <f>H7+H21+H37+H53+H57</f>
        <v>60418664</v>
      </c>
      <c r="I60" s="699">
        <f>I7+I21+I37+I53+I57</f>
        <v>61358844</v>
      </c>
      <c r="J60" s="1065">
        <f>J7+J21+J37</f>
        <v>10011266</v>
      </c>
      <c r="K60" s="699">
        <f>K7+K21+K37</f>
        <v>9793302</v>
      </c>
      <c r="L60" s="864">
        <f>L7+L21+L37+L45+L53+L57</f>
        <v>0</v>
      </c>
    </row>
    <row r="61" spans="1:12" ht="24" customHeight="1" thickBot="1">
      <c r="A61" s="18" t="s">
        <v>121</v>
      </c>
      <c r="B61" s="1094" t="s">
        <v>122</v>
      </c>
      <c r="C61" s="1094"/>
      <c r="D61" s="1094"/>
      <c r="E61" s="19"/>
      <c r="F61" s="1065">
        <f>SUM(F62:F64)</f>
        <v>61726536</v>
      </c>
      <c r="G61" s="699">
        <f>SUM(G62:G64)</f>
        <v>61848085</v>
      </c>
      <c r="H61" s="1065">
        <f>SUM(H62:H64)</f>
        <v>61726536</v>
      </c>
      <c r="I61" s="699">
        <f>SUM(I62:I64)</f>
        <v>61848085</v>
      </c>
      <c r="J61" s="1065"/>
      <c r="K61" s="699"/>
      <c r="L61" s="864"/>
    </row>
    <row r="62" spans="1:12" ht="27.75" customHeight="1">
      <c r="A62" s="36"/>
      <c r="B62" s="37" t="s">
        <v>123</v>
      </c>
      <c r="C62" s="1092" t="s">
        <v>124</v>
      </c>
      <c r="D62" s="1092"/>
      <c r="E62" s="39" t="s">
        <v>125</v>
      </c>
      <c r="F62" s="1066">
        <f>'3.sz.m Önk  bev.'!F60</f>
        <v>42240768</v>
      </c>
      <c r="G62" s="716">
        <f>'3.sz.m Önk  bev.'!G60</f>
        <v>42240768</v>
      </c>
      <c r="H62" s="1066">
        <f aca="true" t="shared" si="5" ref="H62:I64">F62-J62</f>
        <v>42240768</v>
      </c>
      <c r="I62" s="716">
        <f t="shared" si="5"/>
        <v>42240768</v>
      </c>
      <c r="J62" s="1066"/>
      <c r="K62" s="716"/>
      <c r="L62" s="865"/>
    </row>
    <row r="63" spans="1:12" ht="24" customHeight="1">
      <c r="A63" s="26"/>
      <c r="B63" s="48" t="s">
        <v>126</v>
      </c>
      <c r="C63" s="1092" t="s">
        <v>545</v>
      </c>
      <c r="D63" s="1092"/>
      <c r="E63" s="39" t="s">
        <v>127</v>
      </c>
      <c r="F63" s="1068">
        <f>'3.sz.m Önk  bev.'!F61</f>
        <v>0</v>
      </c>
      <c r="G63" s="706">
        <f>'3.sz.m Önk  bev.'!G61</f>
        <v>0</v>
      </c>
      <c r="H63" s="1068">
        <f t="shared" si="5"/>
        <v>0</v>
      </c>
      <c r="I63" s="706">
        <f t="shared" si="5"/>
        <v>0</v>
      </c>
      <c r="J63" s="1068"/>
      <c r="K63" s="706"/>
      <c r="L63" s="867"/>
    </row>
    <row r="64" spans="1:12" ht="39" customHeight="1" thickBot="1">
      <c r="A64" s="26"/>
      <c r="B64" s="48" t="s">
        <v>128</v>
      </c>
      <c r="C64" s="1092" t="s">
        <v>129</v>
      </c>
      <c r="D64" s="1092"/>
      <c r="E64" s="39" t="s">
        <v>130</v>
      </c>
      <c r="F64" s="1067">
        <f>'3.sz.m Önk  bev.'!F62+'5. sz. m óvoda'!J25</f>
        <v>19485768</v>
      </c>
      <c r="G64" s="715">
        <f>'3.sz.m Önk  bev.'!G62+'5. sz. m óvoda'!K25</f>
        <v>19607317</v>
      </c>
      <c r="H64" s="1067">
        <f t="shared" si="5"/>
        <v>19485768</v>
      </c>
      <c r="I64" s="715">
        <f t="shared" si="5"/>
        <v>19607317</v>
      </c>
      <c r="J64" s="1067"/>
      <c r="K64" s="715"/>
      <c r="L64" s="866"/>
    </row>
    <row r="65" spans="1:12" ht="35.25" customHeight="1" thickBot="1">
      <c r="A65" s="56" t="s">
        <v>131</v>
      </c>
      <c r="B65" s="1101" t="s">
        <v>132</v>
      </c>
      <c r="C65" s="1101"/>
      <c r="D65" s="1101"/>
      <c r="E65" s="57"/>
      <c r="F65" s="1069">
        <f>F60+F61</f>
        <v>132156466</v>
      </c>
      <c r="G65" s="701">
        <f>G60+G61</f>
        <v>133000231</v>
      </c>
      <c r="H65" s="1069">
        <f>H60+H61</f>
        <v>122145200</v>
      </c>
      <c r="I65" s="701">
        <f>I60+I61</f>
        <v>123206929</v>
      </c>
      <c r="J65" s="1069">
        <f>J60</f>
        <v>10011266</v>
      </c>
      <c r="K65" s="701">
        <f>K60</f>
        <v>9793302</v>
      </c>
      <c r="L65" s="868">
        <f>L60+L61</f>
        <v>0</v>
      </c>
    </row>
    <row r="66" spans="1:11" ht="21.75" customHeight="1" hidden="1">
      <c r="A66" s="1106" t="s">
        <v>133</v>
      </c>
      <c r="B66" s="1106"/>
      <c r="C66" s="1106"/>
      <c r="D66" s="1106"/>
      <c r="E66" s="58"/>
      <c r="F66" s="543"/>
      <c r="G66" s="543"/>
      <c r="H66" s="709">
        <f>F66-J66</f>
        <v>0</v>
      </c>
      <c r="I66" s="545"/>
      <c r="J66" s="545"/>
      <c r="K66" s="545"/>
    </row>
    <row r="67" spans="1:11" ht="21.75" customHeight="1" hidden="1">
      <c r="A67" s="1099" t="s">
        <v>134</v>
      </c>
      <c r="B67" s="1099"/>
      <c r="C67" s="1099"/>
      <c r="D67" s="1099"/>
      <c r="E67" s="59"/>
      <c r="F67" s="544"/>
      <c r="G67" s="544"/>
      <c r="H67" s="710">
        <f>F67-J67</f>
        <v>0</v>
      </c>
      <c r="I67" s="546"/>
      <c r="J67" s="546"/>
      <c r="K67" s="546"/>
    </row>
    <row r="68" spans="1:11" ht="21.75" customHeight="1">
      <c r="A68" s="60"/>
      <c r="B68" s="61"/>
      <c r="C68" s="61"/>
      <c r="D68" s="61"/>
      <c r="E68" s="61"/>
      <c r="F68" s="62"/>
      <c r="G68" s="62"/>
      <c r="H68" s="62"/>
      <c r="I68" s="547"/>
      <c r="J68" s="547"/>
      <c r="K68" s="547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J3:L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  <mergeCell ref="B57:D57"/>
    <mergeCell ref="C36:D36"/>
    <mergeCell ref="C51:D51"/>
    <mergeCell ref="C39:D39"/>
    <mergeCell ref="C52:D52"/>
    <mergeCell ref="C55:D55"/>
    <mergeCell ref="A67:D67"/>
    <mergeCell ref="B60:D60"/>
    <mergeCell ref="B61:D61"/>
    <mergeCell ref="C62:D62"/>
    <mergeCell ref="C63:D63"/>
    <mergeCell ref="B53:D53"/>
    <mergeCell ref="B65:D65"/>
    <mergeCell ref="B37:D37"/>
    <mergeCell ref="C38:D38"/>
    <mergeCell ref="A2:H2"/>
    <mergeCell ref="A4:C4"/>
    <mergeCell ref="B6:D6"/>
    <mergeCell ref="B7:D7"/>
    <mergeCell ref="C8:D8"/>
    <mergeCell ref="C13:D13"/>
    <mergeCell ref="F4:G4"/>
    <mergeCell ref="H4:I4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J4:K4"/>
    <mergeCell ref="C26:D26"/>
    <mergeCell ref="C23:D23"/>
    <mergeCell ref="C22:D22"/>
    <mergeCell ref="C27:D27"/>
    <mergeCell ref="C32:D32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4.8515625" style="166" bestFit="1" customWidth="1"/>
    <col min="4" max="4" width="14.8515625" style="166" customWidth="1"/>
    <col min="5" max="6" width="13.7109375" style="166" customWidth="1"/>
    <col min="7" max="7" width="13.28125" style="165" customWidth="1"/>
    <col min="8" max="8" width="15.57421875" style="165" customWidth="1"/>
    <col min="9" max="16384" width="9.140625" style="165" customWidth="1"/>
  </cols>
  <sheetData>
    <row r="1" spans="5:6" ht="24.75" customHeight="1">
      <c r="E1" s="874"/>
      <c r="F1" s="874"/>
    </row>
    <row r="2" spans="1:6" ht="37.5" customHeight="1">
      <c r="A2" s="1215" t="s">
        <v>150</v>
      </c>
      <c r="B2" s="1215"/>
      <c r="C2" s="1215"/>
      <c r="D2" s="1215"/>
      <c r="E2" s="1215"/>
      <c r="F2" s="955"/>
    </row>
    <row r="3" spans="1:6" ht="18.75" customHeight="1">
      <c r="A3" s="1216" t="s">
        <v>558</v>
      </c>
      <c r="B3" s="1216"/>
      <c r="C3" s="1216"/>
      <c r="D3" s="1216"/>
      <c r="E3" s="1216"/>
      <c r="F3" s="956"/>
    </row>
    <row r="4" spans="1:6" ht="15.75" customHeight="1">
      <c r="A4" s="1217" t="s">
        <v>314</v>
      </c>
      <c r="B4" s="1217"/>
      <c r="C4" s="1217"/>
      <c r="D4" s="1217"/>
      <c r="E4" s="1217"/>
      <c r="F4" s="957"/>
    </row>
    <row r="5" spans="1:7" ht="19.5" thickBot="1">
      <c r="A5" s="337"/>
      <c r="B5" s="337"/>
      <c r="G5" s="165" t="s">
        <v>601</v>
      </c>
    </row>
    <row r="6" spans="1:8" ht="19.5" customHeight="1" thickBot="1">
      <c r="A6" s="1218" t="s">
        <v>315</v>
      </c>
      <c r="B6" s="1219" t="s">
        <v>316</v>
      </c>
      <c r="C6" s="1209" t="s">
        <v>4</v>
      </c>
      <c r="D6" s="1210"/>
      <c r="E6" s="1209" t="s">
        <v>572</v>
      </c>
      <c r="F6" s="1210"/>
      <c r="G6" s="1209" t="s">
        <v>317</v>
      </c>
      <c r="H6" s="1210"/>
    </row>
    <row r="7" spans="1:8" ht="12.75" customHeight="1" thickBot="1" thickTop="1">
      <c r="A7" s="1218"/>
      <c r="B7" s="1219"/>
      <c r="C7" s="1211"/>
      <c r="D7" s="1212"/>
      <c r="E7" s="1211"/>
      <c r="F7" s="1212"/>
      <c r="G7" s="1211"/>
      <c r="H7" s="1212"/>
    </row>
    <row r="8" spans="1:8" ht="20.25" customHeight="1" thickBot="1" thickTop="1">
      <c r="A8" s="1218"/>
      <c r="B8" s="1219"/>
      <c r="C8" s="1213"/>
      <c r="D8" s="1214"/>
      <c r="E8" s="1213"/>
      <c r="F8" s="1214"/>
      <c r="G8" s="1213"/>
      <c r="H8" s="1214"/>
    </row>
    <row r="9" spans="1:6" ht="19.5" hidden="1" thickTop="1">
      <c r="A9" s="338"/>
      <c r="B9" s="339"/>
      <c r="C9" s="340"/>
      <c r="D9" s="340"/>
      <c r="E9" s="340"/>
      <c r="F9" s="1033"/>
    </row>
    <row r="10" spans="1:8" ht="27" customHeight="1" thickTop="1">
      <c r="A10" s="338"/>
      <c r="B10" s="339"/>
      <c r="C10" s="560" t="s">
        <v>338</v>
      </c>
      <c r="D10" s="560" t="s">
        <v>7</v>
      </c>
      <c r="E10" s="560" t="s">
        <v>338</v>
      </c>
      <c r="F10" s="560" t="s">
        <v>7</v>
      </c>
      <c r="G10" s="560" t="s">
        <v>338</v>
      </c>
      <c r="H10" s="560" t="s">
        <v>7</v>
      </c>
    </row>
    <row r="11" spans="1:8" ht="27" customHeight="1">
      <c r="A11" s="342" t="s">
        <v>318</v>
      </c>
      <c r="B11" s="343" t="s">
        <v>319</v>
      </c>
      <c r="C11" s="344">
        <v>1471000</v>
      </c>
      <c r="D11" s="344">
        <v>1471000</v>
      </c>
      <c r="E11" s="344">
        <v>0</v>
      </c>
      <c r="F11" s="344"/>
      <c r="G11" s="344">
        <v>410000</v>
      </c>
      <c r="H11" s="344">
        <v>410000</v>
      </c>
    </row>
    <row r="12" spans="1:8" ht="15.75" customHeight="1" hidden="1">
      <c r="A12" s="342" t="s">
        <v>320</v>
      </c>
      <c r="B12" s="343" t="s">
        <v>319</v>
      </c>
      <c r="C12" s="344"/>
      <c r="D12" s="344"/>
      <c r="E12" s="344"/>
      <c r="F12" s="344"/>
      <c r="G12" s="344"/>
      <c r="H12" s="344"/>
    </row>
    <row r="13" spans="1:8" ht="27" customHeight="1" hidden="1">
      <c r="A13" s="342" t="s">
        <v>321</v>
      </c>
      <c r="B13" s="343" t="s">
        <v>319</v>
      </c>
      <c r="C13" s="344"/>
      <c r="D13" s="344"/>
      <c r="E13" s="344"/>
      <c r="F13" s="344"/>
      <c r="G13" s="344"/>
      <c r="H13" s="344"/>
    </row>
    <row r="14" spans="1:8" ht="28.5" customHeight="1">
      <c r="A14" s="342" t="s">
        <v>322</v>
      </c>
      <c r="B14" s="343" t="s">
        <v>319</v>
      </c>
      <c r="C14" s="344">
        <v>410000</v>
      </c>
      <c r="D14" s="344">
        <v>410000</v>
      </c>
      <c r="E14" s="358">
        <v>0</v>
      </c>
      <c r="F14" s="358"/>
      <c r="G14" s="344">
        <f>1246000+225000</f>
        <v>1471000</v>
      </c>
      <c r="H14" s="344">
        <f>1246000+225000</f>
        <v>1471000</v>
      </c>
    </row>
    <row r="15" spans="1:8" ht="32.25" customHeight="1" hidden="1">
      <c r="A15" s="342" t="s">
        <v>547</v>
      </c>
      <c r="B15" s="343" t="s">
        <v>319</v>
      </c>
      <c r="C15" s="358"/>
      <c r="D15" s="358"/>
      <c r="E15" s="344"/>
      <c r="F15" s="344"/>
      <c r="G15" s="358"/>
      <c r="H15" s="358"/>
    </row>
    <row r="16" spans="1:8" ht="32.25" customHeight="1" hidden="1">
      <c r="A16" s="342" t="s">
        <v>546</v>
      </c>
      <c r="B16" s="343" t="s">
        <v>325</v>
      </c>
      <c r="C16" s="344"/>
      <c r="D16" s="344"/>
      <c r="E16" s="344"/>
      <c r="F16" s="344"/>
      <c r="G16" s="344"/>
      <c r="H16" s="344"/>
    </row>
    <row r="17" spans="1:8" ht="33" customHeight="1" thickBot="1">
      <c r="A17" s="342" t="s">
        <v>441</v>
      </c>
      <c r="B17" s="343" t="s">
        <v>319</v>
      </c>
      <c r="C17" s="347">
        <v>290000</v>
      </c>
      <c r="D17" s="347">
        <v>290000</v>
      </c>
      <c r="E17" s="344">
        <v>0</v>
      </c>
      <c r="F17" s="344"/>
      <c r="G17" s="347">
        <v>290000</v>
      </c>
      <c r="H17" s="347">
        <v>290000</v>
      </c>
    </row>
    <row r="18" spans="1:8" ht="39" customHeight="1" thickBot="1" thickTop="1">
      <c r="A18" s="348" t="s">
        <v>323</v>
      </c>
      <c r="B18" s="349"/>
      <c r="C18" s="557">
        <f>SUM(C11:C17)</f>
        <v>2171000</v>
      </c>
      <c r="D18" s="557">
        <f>SUM(D11:D17)</f>
        <v>2171000</v>
      </c>
      <c r="E18" s="557">
        <f>SUM(E11:E17)</f>
        <v>0</v>
      </c>
      <c r="F18" s="1034"/>
      <c r="G18" s="662">
        <f>SUM(G11:G17)</f>
        <v>2171000</v>
      </c>
      <c r="H18" s="662">
        <f>SUM(H11:H17)</f>
        <v>2171000</v>
      </c>
    </row>
    <row r="19" spans="1:6" ht="19.5" customHeight="1">
      <c r="A19" s="351"/>
      <c r="B19" s="351"/>
      <c r="C19" s="352"/>
      <c r="D19" s="352"/>
      <c r="E19" s="352"/>
      <c r="F19" s="352"/>
    </row>
    <row r="20" spans="1:6" ht="28.5" customHeight="1" hidden="1" thickBot="1">
      <c r="A20" s="1215" t="s">
        <v>150</v>
      </c>
      <c r="B20" s="1215"/>
      <c r="C20" s="1215"/>
      <c r="D20" s="1215"/>
      <c r="E20" s="1215"/>
      <c r="F20" s="955"/>
    </row>
    <row r="21" spans="1:6" ht="19.5" customHeight="1" hidden="1" thickBot="1">
      <c r="A21" s="1218" t="s">
        <v>315</v>
      </c>
      <c r="B21" s="1219" t="s">
        <v>316</v>
      </c>
      <c r="C21" s="653"/>
      <c r="D21" s="653"/>
      <c r="E21" s="653"/>
      <c r="F21" s="659"/>
    </row>
    <row r="22" spans="1:6" s="353" customFormat="1" ht="19.5" customHeight="1" hidden="1" thickBot="1" thickTop="1">
      <c r="A22" s="1218"/>
      <c r="B22" s="1219"/>
      <c r="C22" s="659"/>
      <c r="D22" s="659"/>
      <c r="E22" s="659"/>
      <c r="F22" s="659"/>
    </row>
    <row r="23" spans="1:6" s="353" customFormat="1" ht="19.5" customHeight="1" hidden="1" thickBot="1" thickTop="1">
      <c r="A23" s="1218"/>
      <c r="B23" s="1219"/>
      <c r="C23" s="660"/>
      <c r="D23" s="660"/>
      <c r="E23" s="660"/>
      <c r="F23" s="659"/>
    </row>
    <row r="24" spans="1:6" s="353" customFormat="1" ht="57.75" customHeight="1" hidden="1">
      <c r="A24" s="354"/>
      <c r="B24" s="355"/>
      <c r="C24" s="341"/>
      <c r="D24" s="561"/>
      <c r="E24" s="561"/>
      <c r="F24" s="1033"/>
    </row>
    <row r="25" spans="1:6" s="353" customFormat="1" ht="31.5" customHeight="1" hidden="1" thickTop="1">
      <c r="A25" s="562"/>
      <c r="B25" s="563"/>
      <c r="C25" s="561"/>
      <c r="D25" s="561"/>
      <c r="E25" s="561"/>
      <c r="F25" s="1033"/>
    </row>
    <row r="26" spans="1:6" s="353" customFormat="1" ht="34.5" customHeight="1" hidden="1">
      <c r="A26" s="356" t="s">
        <v>324</v>
      </c>
      <c r="B26" s="357" t="s">
        <v>325</v>
      </c>
      <c r="C26" s="345"/>
      <c r="D26" s="345"/>
      <c r="E26" s="345"/>
      <c r="F26" s="1035"/>
    </row>
    <row r="27" spans="1:6" s="353" customFormat="1" ht="30.75" customHeight="1" hidden="1">
      <c r="A27" s="359" t="s">
        <v>326</v>
      </c>
      <c r="B27" s="360" t="s">
        <v>325</v>
      </c>
      <c r="C27" s="346"/>
      <c r="D27" s="345"/>
      <c r="E27" s="345"/>
      <c r="F27" s="1035"/>
    </row>
    <row r="28" spans="1:6" s="353" customFormat="1" ht="31.5" customHeight="1" hidden="1" thickBot="1">
      <c r="A28" s="359" t="s">
        <v>327</v>
      </c>
      <c r="B28" s="360" t="s">
        <v>325</v>
      </c>
      <c r="C28" s="346"/>
      <c r="D28" s="345"/>
      <c r="E28" s="345"/>
      <c r="F28" s="1035"/>
    </row>
    <row r="29" spans="1:6" s="353" customFormat="1" ht="31.5" customHeight="1" hidden="1">
      <c r="A29" s="359" t="s">
        <v>328</v>
      </c>
      <c r="B29" s="360" t="s">
        <v>325</v>
      </c>
      <c r="C29" s="346"/>
      <c r="D29" s="346"/>
      <c r="E29" s="346"/>
      <c r="F29" s="1035"/>
    </row>
    <row r="30" spans="1:6" s="353" customFormat="1" ht="27.75" customHeight="1" hidden="1">
      <c r="A30" s="359" t="s">
        <v>329</v>
      </c>
      <c r="B30" s="360" t="s">
        <v>325</v>
      </c>
      <c r="C30" s="346"/>
      <c r="D30" s="346"/>
      <c r="E30" s="346"/>
      <c r="F30" s="1035"/>
    </row>
    <row r="31" spans="1:6" ht="33" customHeight="1" hidden="1">
      <c r="A31" s="361" t="s">
        <v>330</v>
      </c>
      <c r="B31" s="362" t="s">
        <v>325</v>
      </c>
      <c r="C31" s="558"/>
      <c r="D31" s="558"/>
      <c r="E31" s="558"/>
      <c r="F31" s="1035"/>
    </row>
    <row r="32" spans="1:6" ht="33" customHeight="1" hidden="1">
      <c r="A32" s="363"/>
      <c r="B32" s="364"/>
      <c r="C32" s="559"/>
      <c r="D32" s="559"/>
      <c r="E32" s="559"/>
      <c r="F32" s="1035"/>
    </row>
    <row r="33" spans="1:6" ht="33" customHeight="1" hidden="1" thickBot="1" thickTop="1">
      <c r="A33" s="348" t="s">
        <v>323</v>
      </c>
      <c r="B33" s="349"/>
      <c r="C33" s="350"/>
      <c r="D33" s="350"/>
      <c r="E33" s="350"/>
      <c r="F33" s="1036"/>
    </row>
    <row r="35" ht="31.5" customHeight="1" hidden="1" thickBot="1">
      <c r="B35" s="365" t="s">
        <v>331</v>
      </c>
    </row>
    <row r="36" spans="1:7" ht="12.75" customHeight="1" hidden="1" thickBot="1">
      <c r="A36" s="1218" t="s">
        <v>331</v>
      </c>
      <c r="B36" s="1219" t="s">
        <v>316</v>
      </c>
      <c r="C36" s="1210"/>
      <c r="D36" s="958"/>
      <c r="E36" s="1210"/>
      <c r="F36" s="958"/>
      <c r="G36" s="1210"/>
    </row>
    <row r="37" spans="1:7" ht="14.25" customHeight="1" hidden="1" thickBot="1" thickTop="1">
      <c r="A37" s="1218"/>
      <c r="B37" s="1219"/>
      <c r="C37" s="1212"/>
      <c r="D37" s="959"/>
      <c r="E37" s="1212"/>
      <c r="F37" s="959"/>
      <c r="G37" s="1212"/>
    </row>
    <row r="38" spans="1:7" ht="14.25" customHeight="1" hidden="1" thickBot="1" thickTop="1">
      <c r="A38" s="1218"/>
      <c r="B38" s="1219"/>
      <c r="C38" s="1214"/>
      <c r="D38" s="960"/>
      <c r="E38" s="1214"/>
      <c r="F38" s="960"/>
      <c r="G38" s="1214"/>
    </row>
    <row r="39" spans="1:7" ht="33" customHeight="1" hidden="1" thickTop="1">
      <c r="A39" s="338"/>
      <c r="B39" s="339"/>
      <c r="C39" s="560" t="s">
        <v>338</v>
      </c>
      <c r="D39" s="560"/>
      <c r="E39" s="560" t="s">
        <v>338</v>
      </c>
      <c r="F39" s="560"/>
      <c r="G39" s="560" t="s">
        <v>338</v>
      </c>
    </row>
    <row r="40" spans="1:7" ht="30" hidden="1">
      <c r="A40" s="342" t="s">
        <v>332</v>
      </c>
      <c r="B40" s="343" t="s">
        <v>325</v>
      </c>
      <c r="C40" s="344"/>
      <c r="D40" s="1032"/>
      <c r="E40" s="558"/>
      <c r="F40" s="1037"/>
      <c r="G40" s="661"/>
    </row>
    <row r="41" spans="1:7" ht="24" customHeight="1" hidden="1">
      <c r="A41" s="342" t="s">
        <v>333</v>
      </c>
      <c r="B41" s="343" t="s">
        <v>325</v>
      </c>
      <c r="C41" s="344"/>
      <c r="D41" s="344"/>
      <c r="E41" s="358"/>
      <c r="F41" s="1038"/>
      <c r="G41" s="661"/>
    </row>
    <row r="42" spans="1:7" ht="27" customHeight="1" hidden="1" thickBot="1">
      <c r="A42" s="342" t="s">
        <v>553</v>
      </c>
      <c r="B42" s="343" t="s">
        <v>325</v>
      </c>
      <c r="C42" s="344"/>
      <c r="D42" s="344"/>
      <c r="E42" s="346"/>
      <c r="F42" s="1039"/>
      <c r="G42" s="661"/>
    </row>
    <row r="43" spans="1:7" ht="30" customHeight="1" hidden="1" thickBot="1" thickTop="1">
      <c r="A43" s="348" t="s">
        <v>323</v>
      </c>
      <c r="B43" s="349"/>
      <c r="C43" s="557">
        <f>SUM(C41:C42)</f>
        <v>0</v>
      </c>
      <c r="D43" s="557"/>
      <c r="E43" s="557">
        <f>SUM(E41)</f>
        <v>0</v>
      </c>
      <c r="F43" s="1034"/>
      <c r="G43" s="825">
        <f>SUM(G41:G42)</f>
        <v>0</v>
      </c>
    </row>
  </sheetData>
  <sheetProtection selectLockedCells="1" selectUnlockedCells="1"/>
  <mergeCells count="16">
    <mergeCell ref="G36:G38"/>
    <mergeCell ref="E36:E38"/>
    <mergeCell ref="C36:C38"/>
    <mergeCell ref="C6:D8"/>
    <mergeCell ref="E6:F8"/>
    <mergeCell ref="A36:A38"/>
    <mergeCell ref="B36:B38"/>
    <mergeCell ref="A20:E20"/>
    <mergeCell ref="A21:A23"/>
    <mergeCell ref="B21:B23"/>
    <mergeCell ref="G6:H8"/>
    <mergeCell ref="A2:E2"/>
    <mergeCell ref="A3:E3"/>
    <mergeCell ref="A4:E4"/>
    <mergeCell ref="A6:A8"/>
    <mergeCell ref="B6:B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73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="75" zoomScaleNormal="75" workbookViewId="0" topLeftCell="A6">
      <selection activeCell="O32" sqref="O32"/>
    </sheetView>
  </sheetViews>
  <sheetFormatPr defaultColWidth="9.140625" defaultRowHeight="12.75"/>
  <cols>
    <col min="1" max="1" width="42.421875" style="366" customWidth="1"/>
    <col min="2" max="3" width="12.57421875" style="367" customWidth="1"/>
    <col min="4" max="5" width="13.421875" style="367" customWidth="1"/>
    <col min="6" max="7" width="12.00390625" style="367" customWidth="1"/>
    <col min="8" max="11" width="9.140625" style="367" hidden="1" customWidth="1"/>
    <col min="12" max="12" width="14.140625" style="367" customWidth="1"/>
    <col min="13" max="13" width="13.8515625" style="367" customWidth="1"/>
    <col min="14" max="16384" width="9.140625" style="367" customWidth="1"/>
  </cols>
  <sheetData>
    <row r="1" spans="6:7" ht="12.75" customHeight="1">
      <c r="F1" s="872"/>
      <c r="G1" s="872"/>
    </row>
    <row r="2" spans="1:7" ht="30">
      <c r="A2" s="1237" t="s">
        <v>498</v>
      </c>
      <c r="B2" s="1237"/>
      <c r="C2" s="1237"/>
      <c r="D2" s="1237"/>
      <c r="E2" s="1237"/>
      <c r="F2" s="1237"/>
      <c r="G2" s="964"/>
    </row>
    <row r="3" spans="1:7" ht="15.75">
      <c r="A3" s="1238" t="s">
        <v>558</v>
      </c>
      <c r="B3" s="1238"/>
      <c r="C3" s="1238"/>
      <c r="D3" s="1238"/>
      <c r="E3" s="1238"/>
      <c r="F3" s="1238"/>
      <c r="G3" s="654"/>
    </row>
    <row r="4" spans="1:7" ht="15.75">
      <c r="A4" s="654"/>
      <c r="B4" s="654"/>
      <c r="C4" s="654"/>
      <c r="D4" s="654"/>
      <c r="E4" s="654"/>
      <c r="F4" s="654"/>
      <c r="G4" s="654"/>
    </row>
    <row r="5" spans="1:7" ht="15.75">
      <c r="A5" s="654" t="s">
        <v>499</v>
      </c>
      <c r="B5" s="654"/>
      <c r="C5" s="654"/>
      <c r="D5" s="654"/>
      <c r="E5" s="654"/>
      <c r="F5" s="654"/>
      <c r="G5" s="654"/>
    </row>
    <row r="6" spans="1:7" ht="14.25" customHeight="1">
      <c r="A6" s="1236" t="s">
        <v>334</v>
      </c>
      <c r="B6" s="1236"/>
      <c r="C6" s="1236"/>
      <c r="D6" s="1236"/>
      <c r="E6" s="1236"/>
      <c r="F6" s="1236"/>
      <c r="G6" s="963"/>
    </row>
    <row r="7" ht="13.5" thickBot="1">
      <c r="L7" s="367" t="s">
        <v>601</v>
      </c>
    </row>
    <row r="8" spans="1:13" ht="24.75" customHeight="1">
      <c r="A8" s="1234" t="s">
        <v>335</v>
      </c>
      <c r="B8" s="1225" t="s">
        <v>336</v>
      </c>
      <c r="C8" s="1226"/>
      <c r="D8" s="1226"/>
      <c r="E8" s="1227"/>
      <c r="F8" s="1228" t="s">
        <v>559</v>
      </c>
      <c r="G8" s="1228"/>
      <c r="H8" s="1228"/>
      <c r="I8" s="1228"/>
      <c r="J8" s="1228"/>
      <c r="K8" s="1228"/>
      <c r="L8" s="1228"/>
      <c r="M8" s="1229"/>
    </row>
    <row r="9" spans="1:13" ht="36.75" customHeight="1">
      <c r="A9" s="1235"/>
      <c r="B9" s="1221" t="s">
        <v>337</v>
      </c>
      <c r="C9" s="1222"/>
      <c r="D9" s="1223" t="s">
        <v>560</v>
      </c>
      <c r="E9" s="1224"/>
      <c r="F9" s="1220" t="s">
        <v>337</v>
      </c>
      <c r="G9" s="1220"/>
      <c r="H9" s="1230" t="s">
        <v>560</v>
      </c>
      <c r="I9" s="1230"/>
      <c r="J9" s="1230"/>
      <c r="K9" s="1230"/>
      <c r="L9" s="1230"/>
      <c r="M9" s="1231"/>
    </row>
    <row r="10" spans="1:13" ht="42" customHeight="1" hidden="1">
      <c r="A10" s="666"/>
      <c r="B10" s="368"/>
      <c r="C10" s="368"/>
      <c r="D10" s="368"/>
      <c r="E10" s="368"/>
      <c r="F10" s="368"/>
      <c r="G10" s="368"/>
      <c r="H10" s="368" t="s">
        <v>7</v>
      </c>
      <c r="I10" s="667" t="s">
        <v>339</v>
      </c>
      <c r="J10" s="368" t="s">
        <v>340</v>
      </c>
      <c r="K10" s="368" t="s">
        <v>9</v>
      </c>
      <c r="L10" s="1041"/>
      <c r="M10" s="566"/>
    </row>
    <row r="11" spans="1:13" ht="18" customHeight="1">
      <c r="A11" s="666"/>
      <c r="B11" s="368" t="s">
        <v>338</v>
      </c>
      <c r="C11" s="368" t="s">
        <v>7</v>
      </c>
      <c r="D11" s="368" t="s">
        <v>338</v>
      </c>
      <c r="E11" s="368" t="s">
        <v>7</v>
      </c>
      <c r="F11" s="368" t="s">
        <v>338</v>
      </c>
      <c r="G11" s="368" t="s">
        <v>7</v>
      </c>
      <c r="H11" s="368"/>
      <c r="I11" s="667"/>
      <c r="J11" s="368"/>
      <c r="K11" s="368"/>
      <c r="L11" s="368" t="s">
        <v>338</v>
      </c>
      <c r="M11" s="368" t="s">
        <v>7</v>
      </c>
    </row>
    <row r="12" spans="1:13" ht="18">
      <c r="A12" s="371" t="s">
        <v>575</v>
      </c>
      <c r="B12" s="372"/>
      <c r="C12" s="372"/>
      <c r="D12" s="372">
        <v>86266</v>
      </c>
      <c r="E12" s="372">
        <v>86266</v>
      </c>
      <c r="F12" s="373"/>
      <c r="G12" s="373"/>
      <c r="H12" s="374"/>
      <c r="I12" s="374"/>
      <c r="J12" s="372"/>
      <c r="K12" s="372"/>
      <c r="L12" s="1042"/>
      <c r="M12" s="564"/>
    </row>
    <row r="13" spans="1:13" ht="30.75" hidden="1">
      <c r="A13" s="371" t="s">
        <v>341</v>
      </c>
      <c r="B13" s="372"/>
      <c r="C13" s="372"/>
      <c r="D13" s="372"/>
      <c r="E13" s="372"/>
      <c r="F13" s="373"/>
      <c r="G13" s="373"/>
      <c r="H13" s="374"/>
      <c r="I13" s="374"/>
      <c r="J13" s="372"/>
      <c r="K13" s="372"/>
      <c r="L13" s="1042"/>
      <c r="M13" s="564"/>
    </row>
    <row r="14" spans="1:13" ht="18" hidden="1">
      <c r="A14" s="371" t="s">
        <v>342</v>
      </c>
      <c r="B14" s="372"/>
      <c r="C14" s="372"/>
      <c r="D14" s="372"/>
      <c r="E14" s="372"/>
      <c r="F14" s="373"/>
      <c r="G14" s="373"/>
      <c r="H14" s="374"/>
      <c r="I14" s="374"/>
      <c r="J14" s="372"/>
      <c r="K14" s="372"/>
      <c r="L14" s="1042"/>
      <c r="M14" s="564"/>
    </row>
    <row r="15" spans="1:13" ht="18">
      <c r="A15" s="376" t="s">
        <v>343</v>
      </c>
      <c r="B15" s="372"/>
      <c r="C15" s="372"/>
      <c r="D15" s="372">
        <v>30000</v>
      </c>
      <c r="E15" s="372">
        <v>30000</v>
      </c>
      <c r="F15" s="373"/>
      <c r="G15" s="373"/>
      <c r="H15" s="374"/>
      <c r="I15" s="374"/>
      <c r="J15" s="372"/>
      <c r="K15" s="372"/>
      <c r="L15" s="1042"/>
      <c r="M15" s="564"/>
    </row>
    <row r="16" spans="1:13" ht="45.75">
      <c r="A16" s="376" t="s">
        <v>574</v>
      </c>
      <c r="B16" s="372"/>
      <c r="C16" s="372"/>
      <c r="D16" s="372">
        <v>1500000</v>
      </c>
      <c r="E16" s="372">
        <f>1500000-217964</f>
        <v>1282036</v>
      </c>
      <c r="F16" s="373"/>
      <c r="G16" s="373"/>
      <c r="H16" s="374"/>
      <c r="I16" s="374"/>
      <c r="J16" s="372"/>
      <c r="K16" s="372"/>
      <c r="L16" s="1042"/>
      <c r="M16" s="564"/>
    </row>
    <row r="17" spans="1:13" ht="18">
      <c r="A17" s="376" t="s">
        <v>344</v>
      </c>
      <c r="B17" s="372"/>
      <c r="C17" s="372"/>
      <c r="D17" s="372"/>
      <c r="E17" s="372"/>
      <c r="F17" s="373"/>
      <c r="G17" s="373"/>
      <c r="H17" s="374"/>
      <c r="I17" s="374"/>
      <c r="J17" s="372"/>
      <c r="K17" s="372"/>
      <c r="L17" s="374">
        <v>800000</v>
      </c>
      <c r="M17" s="379">
        <v>800000</v>
      </c>
    </row>
    <row r="18" spans="1:13" ht="34.5" customHeight="1">
      <c r="A18" s="376" t="s">
        <v>608</v>
      </c>
      <c r="B18" s="372"/>
      <c r="C18" s="372"/>
      <c r="D18" s="372">
        <v>500000</v>
      </c>
      <c r="E18" s="372">
        <v>500000</v>
      </c>
      <c r="F18" s="374"/>
      <c r="G18" s="374"/>
      <c r="H18" s="374"/>
      <c r="I18" s="374"/>
      <c r="J18" s="372"/>
      <c r="K18" s="372"/>
      <c r="L18" s="374"/>
      <c r="M18" s="379"/>
    </row>
    <row r="19" spans="1:13" ht="17.25" customHeight="1">
      <c r="A19" s="663" t="s">
        <v>490</v>
      </c>
      <c r="B19" s="664"/>
      <c r="C19" s="664"/>
      <c r="D19" s="886"/>
      <c r="E19" s="886">
        <v>60000</v>
      </c>
      <c r="F19" s="374"/>
      <c r="G19" s="374"/>
      <c r="H19" s="374"/>
      <c r="I19" s="374"/>
      <c r="J19" s="372"/>
      <c r="K19" s="372"/>
      <c r="L19" s="374"/>
      <c r="M19" s="379"/>
    </row>
    <row r="20" spans="1:13" ht="39" customHeight="1" hidden="1">
      <c r="A20" s="663" t="s">
        <v>491</v>
      </c>
      <c r="B20" s="664"/>
      <c r="C20" s="664"/>
      <c r="D20" s="886"/>
      <c r="E20" s="886"/>
      <c r="F20" s="374"/>
      <c r="G20" s="374"/>
      <c r="H20" s="374"/>
      <c r="I20" s="374"/>
      <c r="J20" s="372"/>
      <c r="K20" s="372"/>
      <c r="L20" s="374"/>
      <c r="M20" s="379"/>
    </row>
    <row r="21" spans="1:13" ht="18.75">
      <c r="A21" s="663" t="s">
        <v>492</v>
      </c>
      <c r="B21" s="664"/>
      <c r="C21" s="664"/>
      <c r="D21" s="886"/>
      <c r="E21" s="886">
        <v>50000</v>
      </c>
      <c r="F21" s="374"/>
      <c r="G21" s="374"/>
      <c r="H21" s="374"/>
      <c r="I21" s="374"/>
      <c r="J21" s="372"/>
      <c r="K21" s="372"/>
      <c r="L21" s="374"/>
      <c r="M21" s="379"/>
    </row>
    <row r="22" spans="1:13" ht="31.5">
      <c r="A22" s="663" t="s">
        <v>610</v>
      </c>
      <c r="B22" s="664"/>
      <c r="C22" s="664"/>
      <c r="D22" s="886"/>
      <c r="E22" s="886">
        <v>130000</v>
      </c>
      <c r="F22" s="374"/>
      <c r="G22" s="374"/>
      <c r="H22" s="374"/>
      <c r="I22" s="374"/>
      <c r="J22" s="372"/>
      <c r="K22" s="372"/>
      <c r="L22" s="374"/>
      <c r="M22" s="379"/>
    </row>
    <row r="23" spans="1:13" ht="18.75" hidden="1">
      <c r="A23" s="663" t="s">
        <v>493</v>
      </c>
      <c r="B23" s="664"/>
      <c r="C23" s="664"/>
      <c r="D23" s="886"/>
      <c r="E23" s="886"/>
      <c r="F23" s="374"/>
      <c r="G23" s="374"/>
      <c r="H23" s="374"/>
      <c r="I23" s="374"/>
      <c r="J23" s="372"/>
      <c r="K23" s="372"/>
      <c r="L23" s="374"/>
      <c r="M23" s="379"/>
    </row>
    <row r="24" spans="1:13" ht="18.75" hidden="1">
      <c r="A24" s="663" t="s">
        <v>494</v>
      </c>
      <c r="B24" s="664"/>
      <c r="C24" s="664"/>
      <c r="D24" s="886"/>
      <c r="E24" s="886"/>
      <c r="F24" s="374"/>
      <c r="G24" s="374"/>
      <c r="H24" s="374"/>
      <c r="I24" s="374"/>
      <c r="J24" s="372"/>
      <c r="K24" s="372"/>
      <c r="L24" s="374"/>
      <c r="M24" s="379"/>
    </row>
    <row r="25" spans="1:13" ht="18.75">
      <c r="A25" s="663" t="s">
        <v>609</v>
      </c>
      <c r="B25" s="664"/>
      <c r="C25" s="664"/>
      <c r="D25" s="886"/>
      <c r="E25" s="886">
        <v>100000</v>
      </c>
      <c r="F25" s="374"/>
      <c r="G25" s="374"/>
      <c r="H25" s="374"/>
      <c r="I25" s="374"/>
      <c r="J25" s="372"/>
      <c r="K25" s="372"/>
      <c r="L25" s="374"/>
      <c r="M25" s="379"/>
    </row>
    <row r="26" spans="1:13" ht="39" customHeight="1">
      <c r="A26" s="663" t="s">
        <v>495</v>
      </c>
      <c r="B26" s="664"/>
      <c r="C26" s="664"/>
      <c r="D26" s="886"/>
      <c r="E26" s="886">
        <v>60000</v>
      </c>
      <c r="F26" s="374"/>
      <c r="G26" s="374"/>
      <c r="H26" s="374"/>
      <c r="I26" s="374"/>
      <c r="J26" s="372"/>
      <c r="K26" s="372"/>
      <c r="L26" s="374"/>
      <c r="M26" s="379"/>
    </row>
    <row r="27" spans="1:13" ht="17.25" customHeight="1">
      <c r="A27" s="663" t="s">
        <v>496</v>
      </c>
      <c r="B27" s="664"/>
      <c r="C27" s="664"/>
      <c r="D27" s="886"/>
      <c r="E27" s="886">
        <v>100000</v>
      </c>
      <c r="F27" s="374"/>
      <c r="G27" s="374"/>
      <c r="H27" s="374"/>
      <c r="I27" s="374"/>
      <c r="J27" s="372"/>
      <c r="K27" s="372"/>
      <c r="L27" s="374"/>
      <c r="M27" s="379"/>
    </row>
    <row r="28" spans="1:13" ht="33" customHeight="1">
      <c r="A28" s="377" t="s">
        <v>345</v>
      </c>
      <c r="B28" s="372"/>
      <c r="C28" s="372"/>
      <c r="D28" s="372">
        <v>12000</v>
      </c>
      <c r="E28" s="372">
        <v>12000</v>
      </c>
      <c r="F28" s="374"/>
      <c r="G28" s="374"/>
      <c r="H28" s="374"/>
      <c r="I28" s="374"/>
      <c r="J28" s="372"/>
      <c r="K28" s="372"/>
      <c r="L28" s="374"/>
      <c r="M28" s="379"/>
    </row>
    <row r="29" spans="1:13" s="378" customFormat="1" ht="18">
      <c r="A29" s="377" t="s">
        <v>502</v>
      </c>
      <c r="B29" s="372"/>
      <c r="C29" s="372"/>
      <c r="D29" s="372">
        <v>718000</v>
      </c>
      <c r="E29" s="372">
        <v>718000</v>
      </c>
      <c r="F29" s="372"/>
      <c r="G29" s="372"/>
      <c r="H29" s="372"/>
      <c r="I29" s="372"/>
      <c r="J29" s="372"/>
      <c r="K29" s="372"/>
      <c r="L29" s="372"/>
      <c r="M29" s="375"/>
    </row>
    <row r="30" spans="1:13" ht="18" hidden="1">
      <c r="A30" s="371"/>
      <c r="B30" s="374"/>
      <c r="C30" s="374"/>
      <c r="D30" s="374"/>
      <c r="E30" s="374"/>
      <c r="F30" s="372"/>
      <c r="G30" s="372"/>
      <c r="H30" s="374"/>
      <c r="I30" s="374"/>
      <c r="J30" s="374"/>
      <c r="K30" s="374"/>
      <c r="L30" s="374"/>
      <c r="M30" s="379"/>
    </row>
    <row r="31" spans="1:13" ht="18" hidden="1">
      <c r="A31" s="371"/>
      <c r="B31" s="374"/>
      <c r="C31" s="374"/>
      <c r="D31" s="374"/>
      <c r="E31" s="374"/>
      <c r="F31" s="372"/>
      <c r="G31" s="372"/>
      <c r="H31" s="374"/>
      <c r="I31" s="374"/>
      <c r="J31" s="374"/>
      <c r="K31" s="374"/>
      <c r="L31" s="374"/>
      <c r="M31" s="379"/>
    </row>
    <row r="32" spans="1:13" ht="45.75">
      <c r="A32" s="665" t="s">
        <v>497</v>
      </c>
      <c r="B32" s="384"/>
      <c r="C32" s="384"/>
      <c r="D32" s="384"/>
      <c r="E32" s="384"/>
      <c r="F32" s="619"/>
      <c r="G32" s="619"/>
      <c r="H32" s="384"/>
      <c r="I32" s="384"/>
      <c r="J32" s="384"/>
      <c r="K32" s="384"/>
      <c r="L32" s="384"/>
      <c r="M32" s="565"/>
    </row>
    <row r="33" spans="1:13" ht="18">
      <c r="A33" s="665" t="s">
        <v>552</v>
      </c>
      <c r="B33" s="384"/>
      <c r="C33" s="384"/>
      <c r="D33" s="384">
        <v>43000</v>
      </c>
      <c r="E33" s="384">
        <v>43000</v>
      </c>
      <c r="F33" s="619"/>
      <c r="G33" s="619"/>
      <c r="H33" s="384"/>
      <c r="I33" s="384"/>
      <c r="J33" s="384"/>
      <c r="K33" s="384"/>
      <c r="L33" s="384"/>
      <c r="M33" s="565"/>
    </row>
    <row r="34" spans="1:13" ht="18">
      <c r="A34" s="377" t="s">
        <v>456</v>
      </c>
      <c r="B34" s="384"/>
      <c r="C34" s="384"/>
      <c r="D34" s="828"/>
      <c r="E34" s="828"/>
      <c r="F34" s="619"/>
      <c r="G34" s="619"/>
      <c r="H34" s="384"/>
      <c r="I34" s="384"/>
      <c r="J34" s="384"/>
      <c r="K34" s="384"/>
      <c r="L34" s="384"/>
      <c r="M34" s="565"/>
    </row>
    <row r="35" spans="1:13" ht="23.25" customHeight="1" thickBot="1">
      <c r="A35" s="570" t="s">
        <v>295</v>
      </c>
      <c r="B35" s="571"/>
      <c r="C35" s="571"/>
      <c r="D35" s="571">
        <f>D12+D15+D18+D28+D29+D34+D32+D16+D33</f>
        <v>2889266</v>
      </c>
      <c r="E35" s="571">
        <f>E12+E15+E18+E28+E29+E34+E32+E16+E33</f>
        <v>2671302</v>
      </c>
      <c r="F35" s="571"/>
      <c r="G35" s="571"/>
      <c r="H35" s="571">
        <f>SUM(H12:H31)</f>
        <v>0</v>
      </c>
      <c r="I35" s="571">
        <f>SUM(I12:I31)</f>
        <v>0</v>
      </c>
      <c r="J35" s="571">
        <f>SUM(J12:J31)</f>
        <v>0</v>
      </c>
      <c r="K35" s="571">
        <f>SUM(K12:K31)</f>
        <v>0</v>
      </c>
      <c r="L35" s="571">
        <f>SUM(L17:L31)</f>
        <v>800000</v>
      </c>
      <c r="M35" s="572">
        <f>SUM(M17:M31)</f>
        <v>800000</v>
      </c>
    </row>
    <row r="36" spans="1:11" ht="15">
      <c r="A36" s="380"/>
      <c r="B36" s="381"/>
      <c r="C36" s="381"/>
      <c r="D36" s="382"/>
      <c r="E36" s="382"/>
      <c r="F36" s="381"/>
      <c r="G36" s="381"/>
      <c r="J36" s="383"/>
      <c r="K36" s="383"/>
    </row>
    <row r="37" spans="1:7" ht="14.25" customHeight="1">
      <c r="A37" s="1239" t="s">
        <v>346</v>
      </c>
      <c r="B37" s="1239"/>
      <c r="C37" s="1239"/>
      <c r="D37" s="1239"/>
      <c r="E37" s="1239"/>
      <c r="F37" s="1239"/>
      <c r="G37" s="965"/>
    </row>
    <row r="38" ht="13.5" thickBot="1"/>
    <row r="39" spans="1:13" ht="29.25" customHeight="1">
      <c r="A39" s="1234" t="s">
        <v>347</v>
      </c>
      <c r="B39" s="1225" t="s">
        <v>336</v>
      </c>
      <c r="C39" s="1226"/>
      <c r="D39" s="1226"/>
      <c r="E39" s="1227"/>
      <c r="F39" s="1228" t="s">
        <v>559</v>
      </c>
      <c r="G39" s="1228"/>
      <c r="H39" s="1228"/>
      <c r="I39" s="1228"/>
      <c r="J39" s="1228"/>
      <c r="K39" s="1228"/>
      <c r="L39" s="1228"/>
      <c r="M39" s="1229"/>
    </row>
    <row r="40" spans="1:13" ht="36" customHeight="1">
      <c r="A40" s="1235"/>
      <c r="B40" s="1221" t="s">
        <v>337</v>
      </c>
      <c r="C40" s="1222"/>
      <c r="D40" s="1223" t="s">
        <v>560</v>
      </c>
      <c r="E40" s="1224"/>
      <c r="F40" s="1220" t="s">
        <v>337</v>
      </c>
      <c r="G40" s="1220"/>
      <c r="H40" s="1230" t="s">
        <v>560</v>
      </c>
      <c r="I40" s="1230"/>
      <c r="J40" s="1230"/>
      <c r="K40" s="1230"/>
      <c r="L40" s="1230"/>
      <c r="M40" s="1231"/>
    </row>
    <row r="41" spans="1:13" ht="29.25" customHeight="1" hidden="1">
      <c r="A41" s="369"/>
      <c r="B41" s="370"/>
      <c r="C41" s="370"/>
      <c r="D41" s="370"/>
      <c r="E41" s="370"/>
      <c r="F41" s="368"/>
      <c r="G41" s="368"/>
      <c r="H41" s="368" t="s">
        <v>7</v>
      </c>
      <c r="I41" s="667" t="s">
        <v>339</v>
      </c>
      <c r="J41" s="368" t="s">
        <v>8</v>
      </c>
      <c r="K41" s="368" t="s">
        <v>9</v>
      </c>
      <c r="L41" s="1041"/>
      <c r="M41" s="566"/>
    </row>
    <row r="42" spans="1:13" ht="18" customHeight="1" hidden="1">
      <c r="A42" s="371" t="s">
        <v>348</v>
      </c>
      <c r="B42" s="374"/>
      <c r="C42" s="374"/>
      <c r="D42" s="374"/>
      <c r="E42" s="374"/>
      <c r="F42" s="368"/>
      <c r="G42" s="368"/>
      <c r="H42" s="368"/>
      <c r="I42" s="667"/>
      <c r="J42" s="368"/>
      <c r="K42" s="368"/>
      <c r="L42" s="368"/>
      <c r="M42" s="1040"/>
    </row>
    <row r="43" spans="1:13" ht="18" customHeight="1" hidden="1">
      <c r="A43" s="377" t="s">
        <v>349</v>
      </c>
      <c r="B43" s="384"/>
      <c r="C43" s="384"/>
      <c r="D43" s="384"/>
      <c r="E43" s="384"/>
      <c r="F43" s="1228"/>
      <c r="G43" s="1228"/>
      <c r="H43" s="1228"/>
      <c r="I43" s="1228"/>
      <c r="J43" s="1228"/>
      <c r="K43" s="1228"/>
      <c r="L43" s="1228"/>
      <c r="M43" s="1229"/>
    </row>
    <row r="44" spans="1:13" ht="15.75">
      <c r="A44" s="666"/>
      <c r="B44" s="368" t="s">
        <v>338</v>
      </c>
      <c r="C44" s="368" t="s">
        <v>7</v>
      </c>
      <c r="D44" s="368" t="s">
        <v>338</v>
      </c>
      <c r="E44" s="368" t="s">
        <v>7</v>
      </c>
      <c r="F44" s="368" t="s">
        <v>338</v>
      </c>
      <c r="G44" s="368" t="s">
        <v>7</v>
      </c>
      <c r="H44" s="368"/>
      <c r="I44" s="667"/>
      <c r="J44" s="368"/>
      <c r="K44" s="368"/>
      <c r="L44" s="368" t="s">
        <v>338</v>
      </c>
      <c r="M44" s="368" t="s">
        <v>7</v>
      </c>
    </row>
    <row r="45" spans="1:13" ht="18">
      <c r="A45" s="377" t="s">
        <v>549</v>
      </c>
      <c r="B45" s="384"/>
      <c r="C45" s="384"/>
      <c r="D45" s="384"/>
      <c r="E45" s="384"/>
      <c r="F45" s="372"/>
      <c r="G45" s="372"/>
      <c r="H45" s="374"/>
      <c r="I45" s="374"/>
      <c r="J45" s="372"/>
      <c r="K45" s="372"/>
      <c r="L45" s="1042"/>
      <c r="M45" s="564"/>
    </row>
    <row r="46" spans="1:13" ht="18">
      <c r="A46" s="377" t="s">
        <v>550</v>
      </c>
      <c r="B46" s="384"/>
      <c r="C46" s="384"/>
      <c r="D46" s="384">
        <v>233280</v>
      </c>
      <c r="E46" s="384">
        <v>233280</v>
      </c>
      <c r="F46" s="372"/>
      <c r="G46" s="372"/>
      <c r="H46" s="374"/>
      <c r="I46" s="374"/>
      <c r="J46" s="372"/>
      <c r="K46" s="372"/>
      <c r="L46" s="1042"/>
      <c r="M46" s="564"/>
    </row>
    <row r="47" spans="1:13" ht="18">
      <c r="A47" s="377" t="s">
        <v>351</v>
      </c>
      <c r="B47" s="384"/>
      <c r="C47" s="384"/>
      <c r="D47" s="384">
        <v>14520</v>
      </c>
      <c r="E47" s="384">
        <v>14520</v>
      </c>
      <c r="F47" s="372"/>
      <c r="G47" s="372"/>
      <c r="H47" s="374"/>
      <c r="I47" s="374"/>
      <c r="J47" s="372"/>
      <c r="K47" s="372"/>
      <c r="L47" s="1042"/>
      <c r="M47" s="564"/>
    </row>
    <row r="48" spans="1:13" ht="18" hidden="1">
      <c r="A48" s="377" t="s">
        <v>548</v>
      </c>
      <c r="B48" s="384"/>
      <c r="C48" s="384"/>
      <c r="D48" s="384"/>
      <c r="E48" s="384"/>
      <c r="F48" s="372"/>
      <c r="G48" s="372"/>
      <c r="H48" s="374"/>
      <c r="I48" s="374"/>
      <c r="J48" s="372"/>
      <c r="K48" s="372"/>
      <c r="L48" s="1042"/>
      <c r="M48" s="564"/>
    </row>
    <row r="49" spans="1:13" ht="18">
      <c r="A49" s="377" t="s">
        <v>551</v>
      </c>
      <c r="B49" s="384">
        <v>94380</v>
      </c>
      <c r="C49" s="384">
        <v>94380</v>
      </c>
      <c r="D49" s="384"/>
      <c r="E49" s="384"/>
      <c r="F49" s="372"/>
      <c r="G49" s="372"/>
      <c r="H49" s="374"/>
      <c r="I49" s="374"/>
      <c r="J49" s="372"/>
      <c r="K49" s="372"/>
      <c r="L49" s="1042"/>
      <c r="M49" s="564"/>
    </row>
    <row r="50" spans="1:13" ht="18">
      <c r="A50" s="377" t="s">
        <v>354</v>
      </c>
      <c r="B50" s="384"/>
      <c r="C50" s="384"/>
      <c r="D50" s="384">
        <v>14520</v>
      </c>
      <c r="E50" s="384">
        <v>14520</v>
      </c>
      <c r="F50" s="372"/>
      <c r="G50" s="372"/>
      <c r="H50" s="374"/>
      <c r="I50" s="374"/>
      <c r="J50" s="372"/>
      <c r="K50" s="372"/>
      <c r="L50" s="1042"/>
      <c r="M50" s="564"/>
    </row>
    <row r="51" spans="1:13" ht="18" hidden="1">
      <c r="A51" s="377" t="s">
        <v>355</v>
      </c>
      <c r="B51" s="384"/>
      <c r="C51" s="384"/>
      <c r="D51" s="384"/>
      <c r="E51" s="384"/>
      <c r="F51" s="372"/>
      <c r="G51" s="372"/>
      <c r="H51" s="374"/>
      <c r="I51" s="374"/>
      <c r="J51" s="372"/>
      <c r="K51" s="372"/>
      <c r="L51" s="1042"/>
      <c r="M51" s="564"/>
    </row>
    <row r="52" spans="1:13" ht="30.75">
      <c r="A52" s="377" t="s">
        <v>573</v>
      </c>
      <c r="B52" s="619"/>
      <c r="C52" s="619"/>
      <c r="D52" s="384">
        <v>50000</v>
      </c>
      <c r="E52" s="384">
        <v>50000</v>
      </c>
      <c r="F52" s="372"/>
      <c r="G52" s="372"/>
      <c r="H52" s="374"/>
      <c r="I52" s="374"/>
      <c r="J52" s="372"/>
      <c r="K52" s="372"/>
      <c r="L52" s="1042"/>
      <c r="M52" s="564"/>
    </row>
    <row r="53" spans="1:13" ht="39" customHeight="1">
      <c r="A53" s="371" t="s">
        <v>357</v>
      </c>
      <c r="B53" s="384">
        <f>437000+114725+122985</f>
        <v>674710</v>
      </c>
      <c r="C53" s="384">
        <f>437000+114725+122985</f>
        <v>674710</v>
      </c>
      <c r="D53" s="384"/>
      <c r="E53" s="384"/>
      <c r="F53" s="372"/>
      <c r="G53" s="372"/>
      <c r="H53" s="374"/>
      <c r="I53" s="374"/>
      <c r="J53" s="372"/>
      <c r="K53" s="372"/>
      <c r="L53" s="1042"/>
      <c r="M53" s="564"/>
    </row>
    <row r="54" spans="1:13" ht="18">
      <c r="A54" s="668"/>
      <c r="B54" s="384"/>
      <c r="C54" s="384"/>
      <c r="D54" s="384"/>
      <c r="E54" s="384"/>
      <c r="F54" s="372"/>
      <c r="G54" s="372"/>
      <c r="H54" s="374"/>
      <c r="I54" s="374"/>
      <c r="J54" s="372"/>
      <c r="K54" s="372"/>
      <c r="L54" s="1042"/>
      <c r="M54" s="564"/>
    </row>
    <row r="55" spans="1:13" ht="18" customHeight="1" hidden="1">
      <c r="A55" s="377" t="s">
        <v>358</v>
      </c>
      <c r="B55" s="384"/>
      <c r="C55" s="384"/>
      <c r="D55" s="384"/>
      <c r="E55" s="384"/>
      <c r="F55" s="372"/>
      <c r="G55" s="372"/>
      <c r="H55" s="374"/>
      <c r="I55" s="374"/>
      <c r="J55" s="372"/>
      <c r="K55" s="372"/>
      <c r="L55" s="1042"/>
      <c r="M55" s="564"/>
    </row>
    <row r="56" spans="1:13" ht="47.25" customHeight="1" hidden="1">
      <c r="A56" s="377" t="s">
        <v>359</v>
      </c>
      <c r="B56" s="384"/>
      <c r="C56" s="384"/>
      <c r="D56" s="384"/>
      <c r="E56" s="384"/>
      <c r="F56" s="372"/>
      <c r="G56" s="372"/>
      <c r="H56" s="374"/>
      <c r="I56" s="374"/>
      <c r="J56" s="372"/>
      <c r="K56" s="372"/>
      <c r="L56" s="1042"/>
      <c r="M56" s="564"/>
    </row>
    <row r="57" spans="1:13" ht="39" customHeight="1" hidden="1">
      <c r="A57" s="385"/>
      <c r="B57" s="384"/>
      <c r="C57" s="384"/>
      <c r="D57" s="384"/>
      <c r="E57" s="384"/>
      <c r="F57" s="372"/>
      <c r="G57" s="372"/>
      <c r="H57" s="374"/>
      <c r="I57" s="374"/>
      <c r="J57" s="372"/>
      <c r="K57" s="372"/>
      <c r="L57" s="1042"/>
      <c r="M57" s="564"/>
    </row>
    <row r="58" spans="1:13" ht="39" customHeight="1" hidden="1">
      <c r="A58" s="385"/>
      <c r="B58" s="384"/>
      <c r="C58" s="384"/>
      <c r="D58" s="384"/>
      <c r="E58" s="384"/>
      <c r="F58" s="372"/>
      <c r="G58" s="372"/>
      <c r="H58" s="374"/>
      <c r="I58" s="374"/>
      <c r="J58" s="372"/>
      <c r="K58" s="372"/>
      <c r="L58" s="1042"/>
      <c r="M58" s="564"/>
    </row>
    <row r="59" spans="1:13" ht="39" customHeight="1" hidden="1">
      <c r="A59" s="385"/>
      <c r="B59" s="384"/>
      <c r="C59" s="384"/>
      <c r="D59" s="384"/>
      <c r="E59" s="384"/>
      <c r="F59" s="372"/>
      <c r="G59" s="372"/>
      <c r="H59" s="374"/>
      <c r="I59" s="374"/>
      <c r="J59" s="372"/>
      <c r="K59" s="372"/>
      <c r="L59" s="1042"/>
      <c r="M59" s="564"/>
    </row>
    <row r="60" spans="1:13" ht="39" customHeight="1" hidden="1">
      <c r="A60" s="385"/>
      <c r="B60" s="384"/>
      <c r="C60" s="384"/>
      <c r="D60" s="384"/>
      <c r="E60" s="384"/>
      <c r="F60" s="372"/>
      <c r="G60" s="372"/>
      <c r="H60" s="374"/>
      <c r="I60" s="374"/>
      <c r="J60" s="372"/>
      <c r="K60" s="372"/>
      <c r="L60" s="1042"/>
      <c r="M60" s="564"/>
    </row>
    <row r="61" spans="1:13" ht="39" customHeight="1" hidden="1">
      <c r="A61" s="385"/>
      <c r="B61" s="384"/>
      <c r="C61" s="384"/>
      <c r="D61" s="384"/>
      <c r="E61" s="384"/>
      <c r="F61" s="372"/>
      <c r="G61" s="372"/>
      <c r="H61" s="374"/>
      <c r="I61" s="374"/>
      <c r="J61" s="372"/>
      <c r="K61" s="372"/>
      <c r="L61" s="1042"/>
      <c r="M61" s="564"/>
    </row>
    <row r="62" spans="1:13" ht="39" customHeight="1" hidden="1">
      <c r="A62" s="385"/>
      <c r="B62" s="384"/>
      <c r="C62" s="384"/>
      <c r="D62" s="384"/>
      <c r="E62" s="384"/>
      <c r="F62" s="372"/>
      <c r="G62" s="372"/>
      <c r="H62" s="374"/>
      <c r="I62" s="374"/>
      <c r="J62" s="372"/>
      <c r="K62" s="372"/>
      <c r="L62" s="1042"/>
      <c r="M62" s="564"/>
    </row>
    <row r="63" spans="1:13" s="386" customFormat="1" ht="27" customHeight="1" thickBot="1">
      <c r="A63" s="567" t="s">
        <v>295</v>
      </c>
      <c r="B63" s="568">
        <f>SUM(B45:B62)</f>
        <v>769090</v>
      </c>
      <c r="C63" s="568">
        <f>SUM(C45:C62)</f>
        <v>769090</v>
      </c>
      <c r="D63" s="568">
        <f>SUM(D45:D62)</f>
        <v>312320</v>
      </c>
      <c r="E63" s="568">
        <f>SUM(E45:E62)</f>
        <v>312320</v>
      </c>
      <c r="F63" s="568"/>
      <c r="G63" s="568"/>
      <c r="H63" s="568"/>
      <c r="I63" s="568"/>
      <c r="J63" s="568"/>
      <c r="K63" s="568"/>
      <c r="L63" s="1043"/>
      <c r="M63" s="569"/>
    </row>
    <row r="64" spans="4:5" ht="12.75" hidden="1">
      <c r="D64" s="383">
        <f>SUM(B63:D63)</f>
        <v>1850500</v>
      </c>
      <c r="E64" s="383"/>
    </row>
    <row r="65" spans="4:5" ht="12.75" hidden="1">
      <c r="D65" s="383">
        <f>'4.sz.m.ÖNK kiadás'!F14</f>
        <v>1081410</v>
      </c>
      <c r="E65" s="383"/>
    </row>
    <row r="66" spans="1:3" ht="15.75" hidden="1">
      <c r="A66" s="1233" t="s">
        <v>500</v>
      </c>
      <c r="B66" s="1233"/>
      <c r="C66" s="962"/>
    </row>
    <row r="67" spans="1:7" ht="14.25" hidden="1">
      <c r="A67" s="1236" t="s">
        <v>501</v>
      </c>
      <c r="B67" s="1236"/>
      <c r="C67" s="1236"/>
      <c r="D67" s="1236"/>
      <c r="E67" s="1236"/>
      <c r="F67" s="1236"/>
      <c r="G67" s="963"/>
    </row>
    <row r="68" ht="12.75" hidden="1"/>
    <row r="69" spans="1:12" ht="15.75" hidden="1">
      <c r="A69" s="1234" t="s">
        <v>335</v>
      </c>
      <c r="B69" s="1226" t="s">
        <v>336</v>
      </c>
      <c r="C69" s="1226"/>
      <c r="D69" s="1227"/>
      <c r="E69" s="961"/>
      <c r="F69" s="1228" t="s">
        <v>559</v>
      </c>
      <c r="G69" s="1228"/>
      <c r="H69" s="1228"/>
      <c r="I69" s="1228"/>
      <c r="J69" s="1228"/>
      <c r="K69" s="1228"/>
      <c r="L69" s="1229"/>
    </row>
    <row r="70" spans="1:12" ht="31.5" hidden="1">
      <c r="A70" s="1235"/>
      <c r="B70" s="871" t="s">
        <v>337</v>
      </c>
      <c r="C70" s="871"/>
      <c r="D70" s="875" t="s">
        <v>560</v>
      </c>
      <c r="E70" s="875"/>
      <c r="F70" s="875" t="s">
        <v>337</v>
      </c>
      <c r="G70" s="875"/>
      <c r="H70" s="1220" t="s">
        <v>560</v>
      </c>
      <c r="I70" s="1220"/>
      <c r="J70" s="1220"/>
      <c r="K70" s="1220"/>
      <c r="L70" s="1232"/>
    </row>
    <row r="71" spans="1:12" ht="15.75" hidden="1">
      <c r="A71" s="666"/>
      <c r="B71" s="368" t="s">
        <v>338</v>
      </c>
      <c r="C71" s="368"/>
      <c r="D71" s="368" t="s">
        <v>338</v>
      </c>
      <c r="E71" s="368"/>
      <c r="F71" s="368" t="s">
        <v>338</v>
      </c>
      <c r="G71" s="368"/>
      <c r="H71" s="368"/>
      <c r="I71" s="667"/>
      <c r="J71" s="368"/>
      <c r="K71" s="368"/>
      <c r="L71" s="368" t="s">
        <v>338</v>
      </c>
    </row>
    <row r="72" spans="1:12" ht="18" hidden="1">
      <c r="A72" s="377" t="s">
        <v>502</v>
      </c>
      <c r="B72" s="384"/>
      <c r="C72" s="384"/>
      <c r="D72" s="826"/>
      <c r="E72" s="826"/>
      <c r="F72" s="372"/>
      <c r="G72" s="372"/>
      <c r="H72" s="372"/>
      <c r="I72" s="372"/>
      <c r="J72" s="372"/>
      <c r="K72" s="372"/>
      <c r="L72" s="372"/>
    </row>
    <row r="73" spans="1:12" ht="18" customHeight="1" hidden="1">
      <c r="A73" s="377" t="s">
        <v>350</v>
      </c>
      <c r="B73" s="384"/>
      <c r="C73" s="384"/>
      <c r="D73" s="384"/>
      <c r="E73" s="384"/>
      <c r="F73" s="372"/>
      <c r="G73" s="372"/>
      <c r="H73" s="372"/>
      <c r="I73" s="372"/>
      <c r="J73" s="372"/>
      <c r="K73" s="372"/>
      <c r="L73" s="372"/>
    </row>
    <row r="74" spans="1:12" ht="18" customHeight="1" hidden="1">
      <c r="A74" s="377" t="s">
        <v>351</v>
      </c>
      <c r="B74" s="384"/>
      <c r="C74" s="384"/>
      <c r="D74" s="384"/>
      <c r="E74" s="384"/>
      <c r="F74" s="372"/>
      <c r="G74" s="372"/>
      <c r="H74" s="372"/>
      <c r="I74" s="372"/>
      <c r="J74" s="372"/>
      <c r="K74" s="372"/>
      <c r="L74" s="372"/>
    </row>
    <row r="75" spans="1:12" ht="18" customHeight="1" hidden="1">
      <c r="A75" s="377" t="s">
        <v>352</v>
      </c>
      <c r="B75" s="384"/>
      <c r="C75" s="384"/>
      <c r="D75" s="384"/>
      <c r="E75" s="384"/>
      <c r="F75" s="372"/>
      <c r="G75" s="372"/>
      <c r="H75" s="372"/>
      <c r="I75" s="372"/>
      <c r="J75" s="372"/>
      <c r="K75" s="372"/>
      <c r="L75" s="372"/>
    </row>
    <row r="76" spans="1:12" ht="18" customHeight="1" hidden="1">
      <c r="A76" s="377" t="s">
        <v>353</v>
      </c>
      <c r="B76" s="384"/>
      <c r="C76" s="384"/>
      <c r="D76" s="384"/>
      <c r="E76" s="384"/>
      <c r="F76" s="372"/>
      <c r="G76" s="372"/>
      <c r="H76" s="372"/>
      <c r="I76" s="372"/>
      <c r="J76" s="372"/>
      <c r="K76" s="372"/>
      <c r="L76" s="372"/>
    </row>
    <row r="77" spans="1:12" ht="18" customHeight="1" hidden="1">
      <c r="A77" s="377" t="s">
        <v>354</v>
      </c>
      <c r="B77" s="384"/>
      <c r="C77" s="384"/>
      <c r="D77" s="384"/>
      <c r="E77" s="384"/>
      <c r="F77" s="372"/>
      <c r="G77" s="372"/>
      <c r="H77" s="372"/>
      <c r="I77" s="372"/>
      <c r="J77" s="372"/>
      <c r="K77" s="372"/>
      <c r="L77" s="372"/>
    </row>
    <row r="78" spans="1:12" ht="18" customHeight="1" hidden="1">
      <c r="A78" s="377" t="s">
        <v>355</v>
      </c>
      <c r="B78" s="384"/>
      <c r="C78" s="384"/>
      <c r="D78" s="384"/>
      <c r="E78" s="384"/>
      <c r="F78" s="372"/>
      <c r="G78" s="372"/>
      <c r="H78" s="372"/>
      <c r="I78" s="372"/>
      <c r="J78" s="372"/>
      <c r="K78" s="372"/>
      <c r="L78" s="372"/>
    </row>
    <row r="79" spans="1:12" ht="18" customHeight="1" hidden="1">
      <c r="A79" s="377" t="s">
        <v>356</v>
      </c>
      <c r="B79" s="384"/>
      <c r="C79" s="384"/>
      <c r="D79" s="384"/>
      <c r="E79" s="384"/>
      <c r="F79" s="372"/>
      <c r="G79" s="372"/>
      <c r="H79" s="372"/>
      <c r="I79" s="372"/>
      <c r="J79" s="372"/>
      <c r="K79" s="372"/>
      <c r="L79" s="372"/>
    </row>
    <row r="80" spans="1:12" ht="30.75" customHeight="1" hidden="1">
      <c r="A80" s="371" t="s">
        <v>357</v>
      </c>
      <c r="B80" s="384"/>
      <c r="C80" s="384"/>
      <c r="D80" s="384"/>
      <c r="E80" s="384"/>
      <c r="F80" s="372"/>
      <c r="G80" s="372"/>
      <c r="H80" s="372"/>
      <c r="I80" s="372"/>
      <c r="J80" s="372"/>
      <c r="K80" s="372"/>
      <c r="L80" s="372"/>
    </row>
    <row r="81" spans="1:12" ht="18" customHeight="1" hidden="1">
      <c r="A81" s="668"/>
      <c r="B81" s="384"/>
      <c r="C81" s="384"/>
      <c r="D81" s="384"/>
      <c r="E81" s="384"/>
      <c r="F81" s="372"/>
      <c r="G81" s="372"/>
      <c r="H81" s="372"/>
      <c r="I81" s="372"/>
      <c r="J81" s="372"/>
      <c r="K81" s="372"/>
      <c r="L81" s="372"/>
    </row>
    <row r="82" spans="1:12" ht="18" customHeight="1" hidden="1">
      <c r="A82" s="377" t="s">
        <v>358</v>
      </c>
      <c r="B82" s="384"/>
      <c r="C82" s="384"/>
      <c r="D82" s="384"/>
      <c r="E82" s="384"/>
      <c r="F82" s="372"/>
      <c r="G82" s="372"/>
      <c r="H82" s="372"/>
      <c r="I82" s="372"/>
      <c r="J82" s="372"/>
      <c r="K82" s="372"/>
      <c r="L82" s="372"/>
    </row>
    <row r="83" spans="1:12" ht="30.75" customHeight="1" hidden="1">
      <c r="A83" s="377" t="s">
        <v>359</v>
      </c>
      <c r="B83" s="384"/>
      <c r="C83" s="384"/>
      <c r="D83" s="384"/>
      <c r="E83" s="384"/>
      <c r="F83" s="372"/>
      <c r="G83" s="372"/>
      <c r="H83" s="372"/>
      <c r="I83" s="372"/>
      <c r="J83" s="372"/>
      <c r="K83" s="372"/>
      <c r="L83" s="372"/>
    </row>
    <row r="84" spans="1:12" ht="18" customHeight="1" hidden="1">
      <c r="A84" s="385"/>
      <c r="B84" s="384"/>
      <c r="C84" s="384"/>
      <c r="D84" s="384"/>
      <c r="E84" s="384"/>
      <c r="F84" s="372"/>
      <c r="G84" s="372"/>
      <c r="H84" s="372"/>
      <c r="I84" s="372"/>
      <c r="J84" s="372"/>
      <c r="K84" s="372"/>
      <c r="L84" s="372"/>
    </row>
    <row r="85" spans="1:12" ht="18" customHeight="1" hidden="1">
      <c r="A85" s="385"/>
      <c r="B85" s="384"/>
      <c r="C85" s="384"/>
      <c r="D85" s="384"/>
      <c r="E85" s="384"/>
      <c r="F85" s="372"/>
      <c r="G85" s="372"/>
      <c r="H85" s="372"/>
      <c r="I85" s="372"/>
      <c r="J85" s="372"/>
      <c r="K85" s="372"/>
      <c r="L85" s="372"/>
    </row>
    <row r="86" spans="1:12" ht="18" customHeight="1" hidden="1">
      <c r="A86" s="385"/>
      <c r="B86" s="384"/>
      <c r="C86" s="384"/>
      <c r="D86" s="384"/>
      <c r="E86" s="384"/>
      <c r="F86" s="372"/>
      <c r="G86" s="372"/>
      <c r="H86" s="372"/>
      <c r="I86" s="372"/>
      <c r="J86" s="372"/>
      <c r="K86" s="372"/>
      <c r="L86" s="372"/>
    </row>
    <row r="87" spans="1:12" ht="18" customHeight="1" hidden="1">
      <c r="A87" s="385"/>
      <c r="B87" s="384"/>
      <c r="C87" s="384"/>
      <c r="D87" s="384"/>
      <c r="E87" s="384"/>
      <c r="F87" s="372"/>
      <c r="G87" s="372"/>
      <c r="H87" s="372"/>
      <c r="I87" s="372"/>
      <c r="J87" s="372"/>
      <c r="K87" s="372"/>
      <c r="L87" s="372"/>
    </row>
    <row r="88" spans="1:12" ht="18" customHeight="1" hidden="1">
      <c r="A88" s="385"/>
      <c r="B88" s="384"/>
      <c r="C88" s="384"/>
      <c r="D88" s="384"/>
      <c r="E88" s="384"/>
      <c r="F88" s="372"/>
      <c r="G88" s="372"/>
      <c r="H88" s="372"/>
      <c r="I88" s="372"/>
      <c r="J88" s="372"/>
      <c r="K88" s="372"/>
      <c r="L88" s="372"/>
    </row>
    <row r="89" spans="1:12" ht="18" customHeight="1" hidden="1">
      <c r="A89" s="385"/>
      <c r="B89" s="384"/>
      <c r="C89" s="384"/>
      <c r="D89" s="384"/>
      <c r="E89" s="384"/>
      <c r="F89" s="372"/>
      <c r="G89" s="372"/>
      <c r="H89" s="372"/>
      <c r="I89" s="372"/>
      <c r="J89" s="372"/>
      <c r="K89" s="372"/>
      <c r="L89" s="372"/>
    </row>
    <row r="90" spans="1:12" ht="18.75" hidden="1" thickBot="1">
      <c r="A90" s="567" t="s">
        <v>295</v>
      </c>
      <c r="B90" s="568"/>
      <c r="C90" s="568"/>
      <c r="D90" s="568">
        <f>SUM(D72:D89)</f>
        <v>0</v>
      </c>
      <c r="E90" s="568"/>
      <c r="F90" s="568"/>
      <c r="G90" s="568"/>
      <c r="H90" s="568"/>
      <c r="I90" s="568"/>
      <c r="J90" s="568"/>
      <c r="K90" s="568"/>
      <c r="L90" s="568"/>
    </row>
    <row r="91" spans="4:5" ht="12.75" hidden="1">
      <c r="D91" s="383">
        <f>D65-D64</f>
        <v>-769090</v>
      </c>
      <c r="E91" s="383"/>
    </row>
    <row r="94" ht="12.75">
      <c r="E94" s="383"/>
    </row>
  </sheetData>
  <sheetProtection selectLockedCells="1" selectUnlockedCells="1"/>
  <mergeCells count="25">
    <mergeCell ref="A39:A40"/>
    <mergeCell ref="F43:M43"/>
    <mergeCell ref="A2:F2"/>
    <mergeCell ref="A3:F3"/>
    <mergeCell ref="A6:F6"/>
    <mergeCell ref="A37:F37"/>
    <mergeCell ref="A8:A9"/>
    <mergeCell ref="F9:G9"/>
    <mergeCell ref="H9:M9"/>
    <mergeCell ref="H70:L70"/>
    <mergeCell ref="F69:L69"/>
    <mergeCell ref="B69:D69"/>
    <mergeCell ref="A66:B66"/>
    <mergeCell ref="A69:A70"/>
    <mergeCell ref="A67:F67"/>
    <mergeCell ref="F40:G40"/>
    <mergeCell ref="B9:C9"/>
    <mergeCell ref="D9:E9"/>
    <mergeCell ref="B8:E8"/>
    <mergeCell ref="B39:E39"/>
    <mergeCell ref="B40:C40"/>
    <mergeCell ref="D40:E40"/>
    <mergeCell ref="F8:M8"/>
    <mergeCell ref="F39:M39"/>
    <mergeCell ref="H40:M40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4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5" sqref="B25"/>
    </sheetView>
  </sheetViews>
  <sheetFormatPr defaultColWidth="9.140625" defaultRowHeight="12.75"/>
  <cols>
    <col min="1" max="1" width="9.00390625" style="887" customWidth="1"/>
    <col min="2" max="2" width="58.57421875" style="888" customWidth="1"/>
    <col min="3" max="3" width="17.00390625" style="888" customWidth="1"/>
    <col min="4" max="6" width="14.7109375" style="887" customWidth="1"/>
    <col min="7" max="7" width="14.7109375" style="887" hidden="1" customWidth="1"/>
    <col min="8" max="9" width="9.140625" style="887" customWidth="1"/>
    <col min="10" max="16384" width="9.140625" style="887" customWidth="1"/>
  </cols>
  <sheetData>
    <row r="1" spans="5:6" ht="15">
      <c r="E1" s="1242" t="s">
        <v>584</v>
      </c>
      <c r="F1" s="1242"/>
    </row>
    <row r="2" spans="1:7" ht="48.75" customHeight="1">
      <c r="A2" s="1243" t="s">
        <v>585</v>
      </c>
      <c r="B2" s="1243"/>
      <c r="C2" s="1243"/>
      <c r="D2" s="1243"/>
      <c r="E2" s="1243"/>
      <c r="F2" s="1243"/>
      <c r="G2" s="889"/>
    </row>
    <row r="3" spans="1:8" ht="15.75" customHeight="1" thickBot="1">
      <c r="A3" s="890"/>
      <c r="B3" s="891"/>
      <c r="C3" s="891"/>
      <c r="D3" s="890"/>
      <c r="E3" s="1244" t="s">
        <v>586</v>
      </c>
      <c r="F3" s="1244"/>
      <c r="H3" s="892"/>
    </row>
    <row r="4" spans="1:7" ht="63" customHeight="1">
      <c r="A4" s="1245" t="s">
        <v>369</v>
      </c>
      <c r="B4" s="1247" t="s">
        <v>587</v>
      </c>
      <c r="C4" s="1249" t="s">
        <v>588</v>
      </c>
      <c r="D4" s="1250"/>
      <c r="E4" s="1250"/>
      <c r="F4" s="1251"/>
      <c r="G4" s="893"/>
    </row>
    <row r="5" spans="1:6" ht="16.5" thickBot="1">
      <c r="A5" s="1246"/>
      <c r="B5" s="1248"/>
      <c r="C5" s="894">
        <v>2017</v>
      </c>
      <c r="D5" s="894">
        <v>2018</v>
      </c>
      <c r="E5" s="894">
        <v>2019</v>
      </c>
      <c r="F5" s="894">
        <v>2020</v>
      </c>
    </row>
    <row r="6" spans="1:6" ht="16.5" thickBot="1">
      <c r="A6" s="895">
        <v>1</v>
      </c>
      <c r="B6" s="896">
        <v>2</v>
      </c>
      <c r="C6" s="896">
        <v>3</v>
      </c>
      <c r="D6" s="897">
        <v>4</v>
      </c>
      <c r="E6" s="897">
        <v>5</v>
      </c>
      <c r="F6" s="898">
        <v>6</v>
      </c>
    </row>
    <row r="7" spans="1:9" ht="57.75">
      <c r="A7" s="899" t="s">
        <v>10</v>
      </c>
      <c r="B7" s="918" t="s">
        <v>603</v>
      </c>
      <c r="C7" s="924">
        <v>156628</v>
      </c>
      <c r="D7" s="900">
        <v>25307282</v>
      </c>
      <c r="E7" s="900">
        <v>0</v>
      </c>
      <c r="F7" s="925">
        <v>0</v>
      </c>
      <c r="G7" s="887">
        <f>SUM(C7:F7)</f>
        <v>25463910</v>
      </c>
      <c r="I7" s="901"/>
    </row>
    <row r="8" spans="1:7" ht="43.5">
      <c r="A8" s="902" t="s">
        <v>164</v>
      </c>
      <c r="B8" s="919" t="s">
        <v>604</v>
      </c>
      <c r="C8" s="926">
        <v>52208</v>
      </c>
      <c r="D8" s="927">
        <f>707331+11965+11965+706244+10877*2+705156+9789*2+704068+2*8702</f>
        <v>2905465</v>
      </c>
      <c r="E8" s="927">
        <f>702981+2*7614+701893+6526*2+700805+5439*2+699718+4351*2</f>
        <v>2853257</v>
      </c>
      <c r="F8" s="928">
        <f>698630+3263*2+697542+2175*2+696454+1088*2+695361</f>
        <v>2801039</v>
      </c>
      <c r="G8" s="887">
        <f>SUM(C8:F8)</f>
        <v>8611969</v>
      </c>
    </row>
    <row r="9" spans="1:7" ht="72">
      <c r="A9" s="902" t="s">
        <v>70</v>
      </c>
      <c r="B9" s="919" t="s">
        <v>605</v>
      </c>
      <c r="C9" s="926">
        <f>4*11872</f>
        <v>47488</v>
      </c>
      <c r="D9" s="927">
        <f>8*11872+7578090</f>
        <v>7673066</v>
      </c>
      <c r="E9" s="927">
        <v>0</v>
      </c>
      <c r="F9" s="928">
        <v>0</v>
      </c>
      <c r="G9" s="887">
        <f>SUM(C9:F9)</f>
        <v>7720554</v>
      </c>
    </row>
    <row r="10" spans="1:7" ht="72.75" thickBot="1">
      <c r="A10" s="902" t="s">
        <v>89</v>
      </c>
      <c r="B10" s="919" t="s">
        <v>606</v>
      </c>
      <c r="C10" s="929">
        <f>4*2095</f>
        <v>8380</v>
      </c>
      <c r="D10" s="930">
        <f>113538+1921*2+113364+1746*2+113189+1571*2+113014+1397*2</f>
        <v>466375</v>
      </c>
      <c r="E10" s="930">
        <f>112840+1222*2+112665+1048*2+112491+873*2+112316+698*2</f>
        <v>457994</v>
      </c>
      <c r="F10" s="931">
        <f>112141+524*2+111967+349*2+111792+175*2+111612</f>
        <v>449608</v>
      </c>
      <c r="G10" s="887">
        <f>SUM(C10:F10)</f>
        <v>1382357</v>
      </c>
    </row>
    <row r="11" spans="1:6" ht="27" customHeight="1" hidden="1">
      <c r="A11" s="902" t="s">
        <v>102</v>
      </c>
      <c r="B11" s="916"/>
      <c r="C11" s="920"/>
      <c r="D11" s="921"/>
      <c r="E11" s="922"/>
      <c r="F11" s="923"/>
    </row>
    <row r="12" spans="1:6" ht="27" customHeight="1" hidden="1">
      <c r="A12" s="902" t="s">
        <v>110</v>
      </c>
      <c r="B12" s="906"/>
      <c r="C12" s="906"/>
      <c r="D12" s="903"/>
      <c r="E12" s="904"/>
      <c r="F12" s="905"/>
    </row>
    <row r="13" spans="1:6" ht="27" customHeight="1" hidden="1">
      <c r="A13" s="902" t="s">
        <v>119</v>
      </c>
      <c r="B13" s="906"/>
      <c r="C13" s="906"/>
      <c r="D13" s="903"/>
      <c r="E13" s="904"/>
      <c r="F13" s="905"/>
    </row>
    <row r="14" spans="1:6" ht="27" customHeight="1" hidden="1">
      <c r="A14" s="902" t="s">
        <v>121</v>
      </c>
      <c r="B14" s="906"/>
      <c r="C14" s="906"/>
      <c r="D14" s="903"/>
      <c r="E14" s="904"/>
      <c r="F14" s="905"/>
    </row>
    <row r="15" spans="1:6" ht="27" customHeight="1" hidden="1">
      <c r="A15" s="902" t="s">
        <v>131</v>
      </c>
      <c r="B15" s="906"/>
      <c r="C15" s="906"/>
      <c r="D15" s="903"/>
      <c r="E15" s="904"/>
      <c r="F15" s="905"/>
    </row>
    <row r="16" spans="1:6" ht="27" customHeight="1" hidden="1">
      <c r="A16" s="902" t="s">
        <v>386</v>
      </c>
      <c r="B16" s="906"/>
      <c r="C16" s="906"/>
      <c r="D16" s="903"/>
      <c r="E16" s="904"/>
      <c r="F16" s="905"/>
    </row>
    <row r="17" spans="1:6" ht="27" customHeight="1" hidden="1" thickBot="1">
      <c r="A17" s="907"/>
      <c r="B17" s="908"/>
      <c r="C17" s="908"/>
      <c r="D17" s="909"/>
      <c r="E17" s="909"/>
      <c r="F17" s="910"/>
    </row>
    <row r="18" spans="1:6" ht="27" customHeight="1" hidden="1">
      <c r="A18" s="907"/>
      <c r="B18" s="908"/>
      <c r="C18" s="908"/>
      <c r="D18" s="909"/>
      <c r="E18" s="909"/>
      <c r="F18" s="910"/>
    </row>
    <row r="19" spans="1:6" ht="27" customHeight="1" hidden="1">
      <c r="A19" s="907"/>
      <c r="B19" s="908"/>
      <c r="C19" s="908"/>
      <c r="D19" s="909"/>
      <c r="E19" s="909"/>
      <c r="F19" s="910"/>
    </row>
    <row r="20" spans="1:6" ht="27" customHeight="1" hidden="1">
      <c r="A20" s="907"/>
      <c r="B20" s="908"/>
      <c r="C20" s="908"/>
      <c r="D20" s="909"/>
      <c r="E20" s="909"/>
      <c r="F20" s="910"/>
    </row>
    <row r="21" spans="1:6" ht="27" customHeight="1" hidden="1">
      <c r="A21" s="907"/>
      <c r="B21" s="908"/>
      <c r="C21" s="908"/>
      <c r="D21" s="909"/>
      <c r="E21" s="909"/>
      <c r="F21" s="910"/>
    </row>
    <row r="22" spans="1:6" ht="27" customHeight="1" hidden="1">
      <c r="A22" s="907"/>
      <c r="B22" s="908"/>
      <c r="C22" s="908"/>
      <c r="D22" s="909"/>
      <c r="E22" s="909"/>
      <c r="F22" s="910"/>
    </row>
    <row r="23" spans="1:6" ht="27" customHeight="1" hidden="1">
      <c r="A23" s="907"/>
      <c r="B23" s="908"/>
      <c r="C23" s="908"/>
      <c r="D23" s="909"/>
      <c r="E23" s="909"/>
      <c r="F23" s="910"/>
    </row>
    <row r="24" spans="1:6" ht="32.25" customHeight="1" hidden="1" thickBot="1">
      <c r="A24" s="907" t="s">
        <v>102</v>
      </c>
      <c r="B24" s="908"/>
      <c r="C24" s="908"/>
      <c r="D24" s="909"/>
      <c r="E24" s="909"/>
      <c r="F24" s="910"/>
    </row>
    <row r="25" spans="1:7" ht="27" customHeight="1" thickBot="1">
      <c r="A25" s="895">
        <v>5</v>
      </c>
      <c r="B25" s="911" t="s">
        <v>589</v>
      </c>
      <c r="C25" s="912">
        <f>SUM(C7:C24)</f>
        <v>264704</v>
      </c>
      <c r="D25" s="912">
        <f>SUM(D7:D24)</f>
        <v>36352188</v>
      </c>
      <c r="E25" s="912">
        <f>SUM(E7:E24)</f>
        <v>3311251</v>
      </c>
      <c r="F25" s="913">
        <f>SUM(F7:F24)</f>
        <v>3250647</v>
      </c>
      <c r="G25" s="914"/>
    </row>
    <row r="26" spans="1:7" ht="53.25" customHeight="1" thickBot="1">
      <c r="A26" s="895">
        <v>6</v>
      </c>
      <c r="B26" s="911" t="s">
        <v>593</v>
      </c>
      <c r="C26" s="932">
        <f>C8+C10</f>
        <v>60588</v>
      </c>
      <c r="D26" s="932">
        <f>D8+D10</f>
        <v>3371840</v>
      </c>
      <c r="E26" s="932">
        <f>E8+E10</f>
        <v>3311251</v>
      </c>
      <c r="F26" s="933">
        <f>F8+F10</f>
        <v>3250647</v>
      </c>
      <c r="G26" s="936">
        <f>SUM(C26:F26)</f>
        <v>9994326</v>
      </c>
    </row>
    <row r="27" spans="2:3" ht="15">
      <c r="B27" s="915"/>
      <c r="C27" s="915"/>
    </row>
    <row r="28" spans="1:6" ht="36.75" customHeight="1">
      <c r="A28" s="1240" t="s">
        <v>594</v>
      </c>
      <c r="B28" s="1241"/>
      <c r="C28" s="1241"/>
      <c r="D28" s="1241"/>
      <c r="E28" s="1241"/>
      <c r="F28" s="1241"/>
    </row>
    <row r="29" spans="1:6" ht="15">
      <c r="A29" s="1241"/>
      <c r="B29" s="1241"/>
      <c r="C29" s="1241"/>
      <c r="D29" s="1241"/>
      <c r="E29" s="1241"/>
      <c r="F29" s="1241"/>
    </row>
    <row r="30" spans="1:6" ht="77.25" customHeight="1">
      <c r="A30" s="1241"/>
      <c r="B30" s="1241"/>
      <c r="C30" s="1241"/>
      <c r="D30" s="1241"/>
      <c r="E30" s="1241"/>
      <c r="F30" s="1241"/>
    </row>
  </sheetData>
  <sheetProtection/>
  <mergeCells count="7">
    <mergeCell ref="A28:F30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Header>&amp;CRábakecöl Községi Önkormányzat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140625" style="459" customWidth="1"/>
    <col min="2" max="2" width="58.7109375" style="459" customWidth="1"/>
    <col min="3" max="3" width="17.7109375" style="459" customWidth="1"/>
    <col min="4" max="4" width="12.8515625" style="459" customWidth="1"/>
    <col min="5" max="16384" width="9.140625" style="459" customWidth="1"/>
  </cols>
  <sheetData>
    <row r="1" ht="15">
      <c r="C1" s="460" t="s">
        <v>398</v>
      </c>
    </row>
    <row r="2" spans="1:3" ht="64.5" customHeight="1">
      <c r="A2" s="1255" t="s">
        <v>399</v>
      </c>
      <c r="B2" s="1255"/>
      <c r="C2" s="1255"/>
    </row>
    <row r="3" spans="1:3" ht="15.75" customHeight="1" thickBot="1">
      <c r="A3" s="461"/>
      <c r="B3" s="10"/>
      <c r="C3" s="462" t="s">
        <v>440</v>
      </c>
    </row>
    <row r="4" spans="1:4" ht="44.25" customHeight="1" thickBot="1">
      <c r="A4" s="463" t="s">
        <v>369</v>
      </c>
      <c r="B4" s="464" t="s">
        <v>400</v>
      </c>
      <c r="C4" s="465" t="s">
        <v>611</v>
      </c>
      <c r="D4" s="465" t="s">
        <v>137</v>
      </c>
    </row>
    <row r="5" spans="1:4" ht="26.25" customHeight="1" thickBot="1">
      <c r="A5" s="466">
        <v>1</v>
      </c>
      <c r="B5" s="467">
        <v>2</v>
      </c>
      <c r="C5" s="724">
        <v>3</v>
      </c>
      <c r="D5" s="724">
        <v>3</v>
      </c>
    </row>
    <row r="6" spans="1:4" ht="26.25" customHeight="1">
      <c r="A6" s="468" t="s">
        <v>10</v>
      </c>
      <c r="B6" s="469" t="s">
        <v>401</v>
      </c>
      <c r="C6" s="621">
        <f>'1.sz.m-önk.össze.bev'!F13+'1.sz.m-önk.össze.bev'!F8</f>
        <v>14882428</v>
      </c>
      <c r="D6" s="621">
        <f>'1.sz.m-önk.össze.bev'!G13+'1.sz.m-önk.össze.bev'!G8</f>
        <v>14887828</v>
      </c>
    </row>
    <row r="7" spans="1:4" ht="26.25" customHeight="1" hidden="1">
      <c r="A7" s="470" t="s">
        <v>164</v>
      </c>
      <c r="B7" s="469" t="s">
        <v>402</v>
      </c>
      <c r="C7" s="622"/>
      <c r="D7" s="622"/>
    </row>
    <row r="8" spans="1:4" ht="33.75" customHeight="1">
      <c r="A8" s="471" t="s">
        <v>164</v>
      </c>
      <c r="B8" s="472" t="s">
        <v>403</v>
      </c>
      <c r="C8" s="622">
        <f>'1.sz.m-önk.össze.bev'!F27</f>
        <v>2585700</v>
      </c>
      <c r="D8" s="622">
        <f>'1.sz.m-önk.össze.bev'!G27</f>
        <v>2643234</v>
      </c>
    </row>
    <row r="9" spans="1:4" ht="33" customHeight="1">
      <c r="A9" s="470" t="s">
        <v>70</v>
      </c>
      <c r="B9" s="473" t="s">
        <v>404</v>
      </c>
      <c r="C9" s="622">
        <v>0</v>
      </c>
      <c r="D9" s="622">
        <v>0</v>
      </c>
    </row>
    <row r="10" spans="1:4" ht="26.25" customHeight="1">
      <c r="A10" s="471" t="s">
        <v>89</v>
      </c>
      <c r="B10" s="473" t="s">
        <v>405</v>
      </c>
      <c r="C10" s="622">
        <f>'1.sz.m-önk.össze.bev'!F20</f>
        <v>404200</v>
      </c>
      <c r="D10" s="622">
        <f>'1.sz.m-önk.össze.bev'!G20</f>
        <v>557542</v>
      </c>
    </row>
    <row r="11" spans="1:4" ht="26.25" customHeight="1" thickBot="1">
      <c r="A11" s="471" t="s">
        <v>110</v>
      </c>
      <c r="B11" s="474" t="s">
        <v>406</v>
      </c>
      <c r="C11" s="623">
        <v>0</v>
      </c>
      <c r="D11" s="623">
        <v>0</v>
      </c>
    </row>
    <row r="12" spans="1:4" ht="26.25" customHeight="1" thickBot="1">
      <c r="A12" s="1252" t="s">
        <v>407</v>
      </c>
      <c r="B12" s="1252"/>
      <c r="C12" s="652">
        <f>SUM(C6:C11)</f>
        <v>17872328</v>
      </c>
      <c r="D12" s="652">
        <f>SUM(D6:D11)</f>
        <v>18088604</v>
      </c>
    </row>
    <row r="13" spans="1:4" ht="33.75" customHeight="1" thickBot="1">
      <c r="A13" s="1253" t="s">
        <v>408</v>
      </c>
      <c r="B13" s="1254"/>
      <c r="C13" s="574">
        <f>C12/2</f>
        <v>8936164</v>
      </c>
      <c r="D13" s="574">
        <f>D12/2</f>
        <v>9044302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57421875" style="435" customWidth="1"/>
    <col min="2" max="2" width="18.421875" style="436" customWidth="1"/>
    <col min="3" max="3" width="9.140625" style="437" customWidth="1"/>
    <col min="4" max="4" width="8.57421875" style="437" customWidth="1"/>
    <col min="5" max="5" width="8.7109375" style="437" customWidth="1"/>
    <col min="6" max="6" width="8.421875" style="437" customWidth="1"/>
    <col min="7" max="8" width="8.57421875" style="437" customWidth="1"/>
    <col min="9" max="9" width="9.57421875" style="437" customWidth="1"/>
    <col min="10" max="10" width="9.00390625" style="437" customWidth="1"/>
    <col min="11" max="11" width="9.28125" style="437" customWidth="1"/>
    <col min="12" max="12" width="11.57421875" style="437" customWidth="1"/>
    <col min="13" max="13" width="10.140625" style="437" customWidth="1"/>
    <col min="14" max="14" width="9.28125" style="437" customWidth="1"/>
    <col min="15" max="15" width="9.421875" style="435" customWidth="1"/>
    <col min="16" max="17" width="0" style="437" hidden="1" customWidth="1"/>
    <col min="18" max="18" width="11.28125" style="437" hidden="1" customWidth="1"/>
    <col min="19" max="19" width="10.140625" style="437" hidden="1" customWidth="1"/>
    <col min="20" max="16384" width="9.140625" style="437" customWidth="1"/>
  </cols>
  <sheetData>
    <row r="1" spans="13:15" ht="15.75">
      <c r="M1" s="1257" t="s">
        <v>409</v>
      </c>
      <c r="N1" s="1257"/>
      <c r="O1" s="1257"/>
    </row>
    <row r="2" spans="1:15" ht="31.5" customHeight="1">
      <c r="A2" s="1258" t="s">
        <v>583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</row>
    <row r="3" spans="7:15" ht="16.5" customHeight="1">
      <c r="G3" s="1259"/>
      <c r="H3" s="1259"/>
      <c r="I3" s="1259"/>
      <c r="O3" s="438" t="s">
        <v>443</v>
      </c>
    </row>
    <row r="4" spans="1:15" s="435" customFormat="1" ht="35.25" customHeight="1">
      <c r="A4" s="439" t="s">
        <v>369</v>
      </c>
      <c r="B4" s="440" t="s">
        <v>135</v>
      </c>
      <c r="C4" s="441" t="s">
        <v>370</v>
      </c>
      <c r="D4" s="441" t="s">
        <v>371</v>
      </c>
      <c r="E4" s="441" t="s">
        <v>372</v>
      </c>
      <c r="F4" s="441" t="s">
        <v>373</v>
      </c>
      <c r="G4" s="441" t="s">
        <v>374</v>
      </c>
      <c r="H4" s="441" t="s">
        <v>375</v>
      </c>
      <c r="I4" s="441" t="s">
        <v>376</v>
      </c>
      <c r="J4" s="441" t="s">
        <v>377</v>
      </c>
      <c r="K4" s="441" t="s">
        <v>378</v>
      </c>
      <c r="L4" s="441" t="s">
        <v>379</v>
      </c>
      <c r="M4" s="441" t="s">
        <v>380</v>
      </c>
      <c r="N4" s="441" t="s">
        <v>381</v>
      </c>
      <c r="O4" s="442" t="s">
        <v>323</v>
      </c>
    </row>
    <row r="5" spans="1:15" s="444" customFormat="1" ht="15" customHeight="1">
      <c r="A5" s="443" t="s">
        <v>10</v>
      </c>
      <c r="B5" s="1256" t="s">
        <v>250</v>
      </c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</row>
    <row r="6" spans="1:19" s="444" customFormat="1" ht="15" customHeight="1">
      <c r="A6" s="445" t="s">
        <v>164</v>
      </c>
      <c r="B6" s="446" t="s">
        <v>382</v>
      </c>
      <c r="C6" s="447"/>
      <c r="D6" s="447"/>
      <c r="E6" s="447">
        <v>8504314</v>
      </c>
      <c r="F6" s="447"/>
      <c r="G6" s="447"/>
      <c r="H6" s="447">
        <v>158742</v>
      </c>
      <c r="I6" s="447"/>
      <c r="J6" s="447"/>
      <c r="K6" s="447">
        <v>8504314</v>
      </c>
      <c r="L6" s="447"/>
      <c r="M6" s="447"/>
      <c r="N6" s="447"/>
      <c r="O6" s="448">
        <f>SUM(D6:N6)</f>
        <v>17167370</v>
      </c>
      <c r="P6" s="444">
        <v>105070</v>
      </c>
      <c r="R6" s="444">
        <f>'1.sz.m-önk.össze.bev'!F7</f>
        <v>17008628</v>
      </c>
      <c r="S6" s="444">
        <f>R6/2</f>
        <v>8504314</v>
      </c>
    </row>
    <row r="7" spans="1:19" s="452" customFormat="1" ht="13.5" customHeight="1">
      <c r="A7" s="449" t="s">
        <v>70</v>
      </c>
      <c r="B7" s="450" t="s">
        <v>595</v>
      </c>
      <c r="C7" s="451">
        <v>898229</v>
      </c>
      <c r="D7" s="451">
        <v>898229</v>
      </c>
      <c r="E7" s="451">
        <v>898230</v>
      </c>
      <c r="F7" s="451">
        <v>898229</v>
      </c>
      <c r="G7" s="451">
        <v>898229</v>
      </c>
      <c r="H7" s="451">
        <f>898230+123666</f>
        <v>1021896</v>
      </c>
      <c r="I7" s="451">
        <v>898229</v>
      </c>
      <c r="J7" s="451">
        <v>898229</v>
      </c>
      <c r="K7" s="451">
        <v>898229</v>
      </c>
      <c r="L7" s="451">
        <v>898230</v>
      </c>
      <c r="M7" s="451">
        <v>898229</v>
      </c>
      <c r="N7" s="451">
        <v>898229</v>
      </c>
      <c r="O7" s="448">
        <f>SUM(C7:N7)</f>
        <v>10902417</v>
      </c>
      <c r="P7" s="452">
        <v>73977</v>
      </c>
      <c r="R7" s="452">
        <f>'1.sz.m-önk.össze.bev'!F21</f>
        <v>10778751</v>
      </c>
      <c r="S7" s="452">
        <f>R7/12</f>
        <v>898229.25</v>
      </c>
    </row>
    <row r="8" spans="1:19" s="452" customFormat="1" ht="30" customHeight="1">
      <c r="A8" s="449" t="s">
        <v>89</v>
      </c>
      <c r="B8" s="453" t="s">
        <v>596</v>
      </c>
      <c r="C8" s="454">
        <v>3489129</v>
      </c>
      <c r="D8" s="454">
        <f>3489130+63560+98332</f>
        <v>3651022</v>
      </c>
      <c r="E8" s="454">
        <f>3489129+98332</f>
        <v>3587461</v>
      </c>
      <c r="F8" s="454">
        <f>3489130+85522</f>
        <v>3574652</v>
      </c>
      <c r="G8" s="454">
        <f>3489129+94062</f>
        <v>3583191</v>
      </c>
      <c r="H8" s="454">
        <v>3489130</v>
      </c>
      <c r="I8" s="454">
        <v>3489129</v>
      </c>
      <c r="J8" s="454">
        <v>3489130</v>
      </c>
      <c r="K8" s="454">
        <v>3489129</v>
      </c>
      <c r="L8" s="454">
        <v>3489130</v>
      </c>
      <c r="M8" s="454">
        <v>3489129</v>
      </c>
      <c r="N8" s="454">
        <v>3489129</v>
      </c>
      <c r="O8" s="448">
        <f>SUM(C8:N8)</f>
        <v>42309361</v>
      </c>
      <c r="P8" s="452">
        <v>13700</v>
      </c>
      <c r="R8" s="452">
        <f>'1.sz.m-önk.össze.bev'!F37</f>
        <v>41869553</v>
      </c>
      <c r="S8" s="452">
        <f>R8/12</f>
        <v>3489129.4166666665</v>
      </c>
    </row>
    <row r="9" spans="1:16" s="452" customFormat="1" ht="41.25" customHeight="1">
      <c r="A9" s="449" t="s">
        <v>102</v>
      </c>
      <c r="B9" s="453" t="s">
        <v>597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48">
        <f>SUM(C9:N9)</f>
        <v>0</v>
      </c>
      <c r="P9" s="452">
        <v>246945</v>
      </c>
    </row>
    <row r="10" spans="1:16" s="452" customFormat="1" ht="23.25" customHeight="1">
      <c r="A10" s="449" t="s">
        <v>110</v>
      </c>
      <c r="B10" s="450" t="s">
        <v>383</v>
      </c>
      <c r="C10" s="451"/>
      <c r="D10" s="451"/>
      <c r="E10" s="451"/>
      <c r="F10" s="451"/>
      <c r="G10" s="454">
        <f>73006+199992</f>
        <v>272998</v>
      </c>
      <c r="H10" s="454"/>
      <c r="I10" s="454">
        <v>500000</v>
      </c>
      <c r="J10" s="451"/>
      <c r="K10" s="451"/>
      <c r="L10" s="451"/>
      <c r="M10" s="451"/>
      <c r="N10" s="451"/>
      <c r="O10" s="448">
        <f>SUM(E10:N10)</f>
        <v>772998</v>
      </c>
      <c r="P10" s="452">
        <v>0</v>
      </c>
    </row>
    <row r="11" spans="1:16" s="452" customFormat="1" ht="23.25" customHeight="1">
      <c r="A11" s="449" t="s">
        <v>119</v>
      </c>
      <c r="B11" s="450" t="s">
        <v>384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48">
        <f>SUM(E11:N11)</f>
        <v>0</v>
      </c>
      <c r="P11" s="452">
        <v>7592</v>
      </c>
    </row>
    <row r="12" spans="1:16" s="452" customFormat="1" ht="17.25" customHeight="1">
      <c r="A12" s="449" t="s">
        <v>131</v>
      </c>
      <c r="B12" s="450" t="s">
        <v>385</v>
      </c>
      <c r="C12" s="451">
        <v>19607317</v>
      </c>
      <c r="D12" s="451"/>
      <c r="E12" s="451"/>
      <c r="F12" s="451"/>
      <c r="G12" s="451"/>
      <c r="H12" s="451"/>
      <c r="I12" s="451"/>
      <c r="J12" s="451"/>
      <c r="K12" s="451">
        <f>'1.sz.m-önk.össze.bev'!F62</f>
        <v>42240768</v>
      </c>
      <c r="L12" s="451"/>
      <c r="M12" s="451"/>
      <c r="N12" s="451"/>
      <c r="O12" s="448">
        <f>SUM(C12:N12)</f>
        <v>61848085</v>
      </c>
      <c r="P12" s="452">
        <v>156053</v>
      </c>
    </row>
    <row r="13" spans="1:17" s="444" customFormat="1" ht="21.75" customHeight="1">
      <c r="A13" s="449" t="s">
        <v>386</v>
      </c>
      <c r="B13" s="455"/>
      <c r="C13" s="455">
        <f>SUM(C7:C12)</f>
        <v>23994675</v>
      </c>
      <c r="D13" s="455">
        <f aca="true" t="shared" si="0" ref="D13:O13">SUM(D6:D12)</f>
        <v>4549251</v>
      </c>
      <c r="E13" s="455">
        <f t="shared" si="0"/>
        <v>12990005</v>
      </c>
      <c r="F13" s="455">
        <f t="shared" si="0"/>
        <v>4472881</v>
      </c>
      <c r="G13" s="455">
        <f t="shared" si="0"/>
        <v>4754418</v>
      </c>
      <c r="H13" s="455">
        <f t="shared" si="0"/>
        <v>4669768</v>
      </c>
      <c r="I13" s="455">
        <f t="shared" si="0"/>
        <v>4887358</v>
      </c>
      <c r="J13" s="455">
        <f t="shared" si="0"/>
        <v>4387359</v>
      </c>
      <c r="K13" s="455">
        <f t="shared" si="0"/>
        <v>55132440</v>
      </c>
      <c r="L13" s="455">
        <f t="shared" si="0"/>
        <v>4387360</v>
      </c>
      <c r="M13" s="455">
        <f t="shared" si="0"/>
        <v>4387358</v>
      </c>
      <c r="N13" s="455">
        <f t="shared" si="0"/>
        <v>4387358</v>
      </c>
      <c r="O13" s="455">
        <f t="shared" si="0"/>
        <v>133000231</v>
      </c>
      <c r="Q13" s="444">
        <f>SUM(P6:P12)</f>
        <v>603337</v>
      </c>
    </row>
    <row r="14" spans="1:15" s="444" customFormat="1" ht="22.5" customHeight="1">
      <c r="A14" s="449" t="s">
        <v>387</v>
      </c>
      <c r="B14" s="1256" t="s">
        <v>269</v>
      </c>
      <c r="C14" s="1256"/>
      <c r="D14" s="1256"/>
      <c r="E14" s="1256"/>
      <c r="F14" s="1256"/>
      <c r="G14" s="1256"/>
      <c r="H14" s="1256"/>
      <c r="I14" s="1256"/>
      <c r="J14" s="1256"/>
      <c r="K14" s="1256"/>
      <c r="L14" s="1256"/>
      <c r="M14" s="1256"/>
      <c r="N14" s="1256"/>
      <c r="O14" s="1256">
        <f>SUM(O6:O13)</f>
        <v>266000462</v>
      </c>
    </row>
    <row r="15" spans="1:19" s="452" customFormat="1" ht="27.75" customHeight="1">
      <c r="A15" s="449" t="s">
        <v>388</v>
      </c>
      <c r="B15" s="453" t="s">
        <v>598</v>
      </c>
      <c r="C15" s="454">
        <v>6935863</v>
      </c>
      <c r="D15" s="454">
        <v>6935862</v>
      </c>
      <c r="E15" s="454">
        <v>6935863</v>
      </c>
      <c r="F15" s="454">
        <f>6935862+440280</f>
        <v>7376142</v>
      </c>
      <c r="G15" s="454">
        <v>6935863</v>
      </c>
      <c r="H15" s="454">
        <f>6935862+403046</f>
        <v>7338908</v>
      </c>
      <c r="I15" s="454">
        <v>6935863</v>
      </c>
      <c r="J15" s="454">
        <v>6935862</v>
      </c>
      <c r="K15" s="454">
        <v>6935863</v>
      </c>
      <c r="L15" s="454">
        <v>6935862</v>
      </c>
      <c r="M15" s="454">
        <v>6935863</v>
      </c>
      <c r="N15" s="454">
        <v>6935862</v>
      </c>
      <c r="O15" s="448">
        <f>SUM(C15:N15)</f>
        <v>84073676</v>
      </c>
      <c r="P15" s="452">
        <v>550166</v>
      </c>
      <c r="R15" s="452">
        <f>'1 .sz.m.önk.össz.kiad.'!F9</f>
        <v>83230350</v>
      </c>
      <c r="S15" s="452">
        <f>R15/12</f>
        <v>6935862.5</v>
      </c>
    </row>
    <row r="16" spans="1:18" s="452" customFormat="1" ht="27" customHeight="1">
      <c r="A16" s="449" t="s">
        <v>389</v>
      </c>
      <c r="B16" s="450" t="s">
        <v>390</v>
      </c>
      <c r="C16" s="451"/>
      <c r="D16" s="451"/>
      <c r="E16" s="451"/>
      <c r="F16" s="451">
        <v>400000</v>
      </c>
      <c r="G16" s="451"/>
      <c r="H16" s="451"/>
      <c r="I16" s="451">
        <v>4917400</v>
      </c>
      <c r="J16" s="451">
        <v>400000</v>
      </c>
      <c r="K16" s="451">
        <v>10000000</v>
      </c>
      <c r="L16" s="451"/>
      <c r="M16" s="451">
        <f>7578090+1337310</f>
        <v>8915400</v>
      </c>
      <c r="N16" s="451">
        <f>24994026+8331342-10000000</f>
        <v>23325368</v>
      </c>
      <c r="O16" s="456">
        <f>SUM(F16:N16)</f>
        <v>47958168</v>
      </c>
      <c r="P16" s="452">
        <v>124458</v>
      </c>
      <c r="R16" s="452">
        <f>'1 .sz.m.önk.össz.kiad.'!F20-'13. sz.m. előir felh terv'!O16</f>
        <v>0</v>
      </c>
    </row>
    <row r="17" spans="1:16" s="452" customFormat="1" ht="20.25" customHeight="1">
      <c r="A17" s="449" t="s">
        <v>391</v>
      </c>
      <c r="B17" s="450" t="s">
        <v>392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>
        <v>118549</v>
      </c>
      <c r="O17" s="456">
        <f>SUM(N17:N17)</f>
        <v>118549</v>
      </c>
      <c r="P17" s="452">
        <v>47140</v>
      </c>
    </row>
    <row r="18" spans="1:15" s="452" customFormat="1" ht="20.25" customHeight="1">
      <c r="A18" s="449">
        <v>16</v>
      </c>
      <c r="B18" s="450" t="s">
        <v>393</v>
      </c>
      <c r="C18" s="451">
        <f>'1 .sz.m.önk.össz.kiad.'!F36</f>
        <v>849838</v>
      </c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6">
        <f>SUM(C18:N18)</f>
        <v>849838</v>
      </c>
    </row>
    <row r="19" spans="1:17" s="444" customFormat="1" ht="21.75" customHeight="1">
      <c r="A19" s="449" t="s">
        <v>394</v>
      </c>
      <c r="B19" s="457" t="s">
        <v>395</v>
      </c>
      <c r="C19" s="455">
        <f aca="true" t="shared" si="1" ref="C19:O19">SUM(C15:C18)</f>
        <v>7785701</v>
      </c>
      <c r="D19" s="455">
        <f t="shared" si="1"/>
        <v>6935862</v>
      </c>
      <c r="E19" s="455">
        <f t="shared" si="1"/>
        <v>6935863</v>
      </c>
      <c r="F19" s="455">
        <f t="shared" si="1"/>
        <v>7776142</v>
      </c>
      <c r="G19" s="455">
        <f t="shared" si="1"/>
        <v>6935863</v>
      </c>
      <c r="H19" s="455">
        <f t="shared" si="1"/>
        <v>7338908</v>
      </c>
      <c r="I19" s="455">
        <f t="shared" si="1"/>
        <v>11853263</v>
      </c>
      <c r="J19" s="455">
        <f t="shared" si="1"/>
        <v>7335862</v>
      </c>
      <c r="K19" s="455">
        <f t="shared" si="1"/>
        <v>16935863</v>
      </c>
      <c r="L19" s="455">
        <f t="shared" si="1"/>
        <v>6935862</v>
      </c>
      <c r="M19" s="455">
        <f t="shared" si="1"/>
        <v>15851263</v>
      </c>
      <c r="N19" s="455">
        <f t="shared" si="1"/>
        <v>30379779</v>
      </c>
      <c r="O19" s="455">
        <f t="shared" si="1"/>
        <v>133000231</v>
      </c>
      <c r="Q19" s="444">
        <f>SUM(P15:P17)</f>
        <v>721764</v>
      </c>
    </row>
    <row r="20" spans="1:15" ht="26.25" customHeight="1">
      <c r="A20" s="449" t="s">
        <v>396</v>
      </c>
      <c r="B20" s="458" t="s">
        <v>397</v>
      </c>
      <c r="C20" s="624">
        <f>C13-C19</f>
        <v>16208974</v>
      </c>
      <c r="D20" s="624">
        <f>C13+D13-C19-D19</f>
        <v>13822363</v>
      </c>
      <c r="E20" s="624">
        <f>C13+D13+E13-C19-D19-E19</f>
        <v>19876505</v>
      </c>
      <c r="F20" s="624">
        <f>C13+D13+E13+F13-C19-D19-E19-F19</f>
        <v>16573244</v>
      </c>
      <c r="G20" s="624">
        <f>(SUM(C13:G13))-(SUM(C19:G19))</f>
        <v>14391799</v>
      </c>
      <c r="H20" s="624">
        <f>(SUM(C13:H13))-(SUM(C19:H19))</f>
        <v>11722659</v>
      </c>
      <c r="I20" s="624">
        <f>(SUM(C13:I13))-(SUM(C19:I19))</f>
        <v>4756754</v>
      </c>
      <c r="J20" s="624">
        <f>(SUM(C13:J13))-(SUM(C19:J19))</f>
        <v>1808251</v>
      </c>
      <c r="K20" s="624">
        <f>(SUM(C13:K13))-(SUM(C19:K19))</f>
        <v>40004828</v>
      </c>
      <c r="L20" s="624">
        <f>(SUM(C13:L13))-(SUM(C19:L19))</f>
        <v>37456326</v>
      </c>
      <c r="M20" s="624">
        <f>(SUM(C13:M13))-(SUM(C19:M19))</f>
        <v>25992421</v>
      </c>
      <c r="N20" s="624">
        <f>(SUM(C13:N13))-(SUM(C19:N19))</f>
        <v>0</v>
      </c>
      <c r="O20" s="625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73.28125" style="475" customWidth="1"/>
    <col min="2" max="2" width="12.8515625" style="475" customWidth="1"/>
    <col min="3" max="3" width="12.00390625" style="475" customWidth="1"/>
    <col min="4" max="5" width="9.140625" style="475" hidden="1" customWidth="1"/>
    <col min="6" max="7" width="13.8515625" style="475" hidden="1" customWidth="1"/>
    <col min="8" max="8" width="13.57421875" style="475" hidden="1" customWidth="1"/>
    <col min="9" max="16384" width="9.140625" style="475" customWidth="1"/>
  </cols>
  <sheetData>
    <row r="1" spans="1:8" ht="21" customHeight="1">
      <c r="A1" s="1262" t="s">
        <v>510</v>
      </c>
      <c r="B1" s="1262"/>
      <c r="C1" s="1262"/>
      <c r="D1" s="1262"/>
      <c r="E1" s="1262"/>
      <c r="F1" s="1262"/>
      <c r="G1" s="1262"/>
      <c r="H1" s="1262"/>
    </row>
    <row r="2" spans="1:8" s="476" customFormat="1" ht="51.75" customHeight="1">
      <c r="A2" s="1261" t="s">
        <v>590</v>
      </c>
      <c r="B2" s="1261"/>
      <c r="C2" s="1261"/>
      <c r="D2" s="1261"/>
      <c r="E2" s="1261"/>
      <c r="F2" s="1261"/>
      <c r="G2" s="1261"/>
      <c r="H2" s="1261"/>
    </row>
    <row r="3" spans="1:8" ht="15.75" customHeight="1" thickBot="1">
      <c r="A3" s="1263" t="s">
        <v>410</v>
      </c>
      <c r="B3" s="1263"/>
      <c r="C3" s="1263"/>
      <c r="D3" s="1263"/>
      <c r="E3" s="1263"/>
      <c r="F3" s="1263"/>
      <c r="G3" s="1263"/>
      <c r="H3" s="1263"/>
    </row>
    <row r="4" spans="1:8" s="479" customFormat="1" ht="24" customHeight="1" thickBot="1">
      <c r="A4" s="477" t="s">
        <v>411</v>
      </c>
      <c r="B4" s="478" t="s">
        <v>412</v>
      </c>
      <c r="C4" s="478" t="s">
        <v>7</v>
      </c>
      <c r="D4" s="478" t="s">
        <v>413</v>
      </c>
      <c r="E4" s="478" t="s">
        <v>9</v>
      </c>
      <c r="F4" s="673" t="s">
        <v>446</v>
      </c>
      <c r="G4" s="674" t="s">
        <v>504</v>
      </c>
      <c r="H4" s="674" t="s">
        <v>555</v>
      </c>
    </row>
    <row r="5" spans="1:8" s="483" customFormat="1" ht="21" customHeight="1" hidden="1">
      <c r="A5" s="480"/>
      <c r="B5" s="481"/>
      <c r="C5" s="481"/>
      <c r="D5" s="481"/>
      <c r="E5" s="482"/>
      <c r="F5" s="671"/>
      <c r="G5" s="671"/>
      <c r="H5" s="671"/>
    </row>
    <row r="6" spans="1:8" s="483" customFormat="1" ht="21" customHeight="1">
      <c r="A6" s="484" t="s">
        <v>414</v>
      </c>
      <c r="B6" s="485">
        <v>1911110</v>
      </c>
      <c r="C6" s="485">
        <v>1911110</v>
      </c>
      <c r="D6" s="485"/>
      <c r="E6" s="485"/>
      <c r="F6" s="672"/>
      <c r="G6" s="675"/>
      <c r="H6" s="675"/>
    </row>
    <row r="7" spans="1:8" s="483" customFormat="1" ht="21" customHeight="1">
      <c r="A7" s="484" t="s">
        <v>415</v>
      </c>
      <c r="B7" s="485">
        <v>1824000</v>
      </c>
      <c r="C7" s="485">
        <v>1824000</v>
      </c>
      <c r="D7" s="485"/>
      <c r="E7" s="486"/>
      <c r="F7" s="485"/>
      <c r="G7" s="486"/>
      <c r="H7" s="486"/>
    </row>
    <row r="8" spans="1:8" s="483" customFormat="1" ht="21" customHeight="1">
      <c r="A8" s="484" t="s">
        <v>416</v>
      </c>
      <c r="B8" s="485">
        <v>100000</v>
      </c>
      <c r="C8" s="485">
        <v>100000</v>
      </c>
      <c r="D8" s="485"/>
      <c r="E8" s="486"/>
      <c r="F8" s="485"/>
      <c r="G8" s="486"/>
      <c r="H8" s="486"/>
    </row>
    <row r="9" spans="1:8" s="483" customFormat="1" ht="21" customHeight="1">
      <c r="A9" s="484" t="s">
        <v>417</v>
      </c>
      <c r="B9" s="485">
        <v>1175860</v>
      </c>
      <c r="C9" s="485">
        <v>1175860</v>
      </c>
      <c r="D9" s="485"/>
      <c r="E9" s="486"/>
      <c r="F9" s="485"/>
      <c r="G9" s="486"/>
      <c r="H9" s="486"/>
    </row>
    <row r="10" spans="1:8" s="483" customFormat="1" ht="21" customHeight="1">
      <c r="A10" s="480" t="s">
        <v>418</v>
      </c>
      <c r="B10" s="487">
        <f>SUM(B6:B9)</f>
        <v>5010970</v>
      </c>
      <c r="C10" s="487">
        <f>SUM(C6:C9)</f>
        <v>5010970</v>
      </c>
      <c r="D10" s="485"/>
      <c r="E10" s="486"/>
      <c r="F10" s="487"/>
      <c r="G10" s="488"/>
      <c r="H10" s="488"/>
    </row>
    <row r="11" spans="1:8" s="483" customFormat="1" ht="21" customHeight="1">
      <c r="A11" s="484" t="s">
        <v>419</v>
      </c>
      <c r="B11" s="485">
        <v>5000000</v>
      </c>
      <c r="C11" s="485">
        <v>5000000</v>
      </c>
      <c r="D11" s="485"/>
      <c r="E11" s="486"/>
      <c r="F11" s="485"/>
      <c r="G11" s="486"/>
      <c r="H11" s="486"/>
    </row>
    <row r="12" spans="1:8" s="483" customFormat="1" ht="21" customHeight="1">
      <c r="A12" s="917" t="s">
        <v>592</v>
      </c>
      <c r="B12" s="485">
        <f>7166770-7048660</f>
        <v>118110</v>
      </c>
      <c r="C12" s="485">
        <f>7166770-7048660</f>
        <v>118110</v>
      </c>
      <c r="D12" s="485"/>
      <c r="E12" s="486"/>
      <c r="F12" s="485"/>
      <c r="G12" s="486"/>
      <c r="H12" s="486"/>
    </row>
    <row r="13" spans="1:8" s="483" customFormat="1" ht="21" customHeight="1">
      <c r="A13" s="676" t="s">
        <v>420</v>
      </c>
      <c r="B13" s="485">
        <f>-(5000000-2022390)</f>
        <v>-2977610</v>
      </c>
      <c r="C13" s="485">
        <f>-(5000000-2022390)</f>
        <v>-2977610</v>
      </c>
      <c r="D13" s="487">
        <f>SUM(D6:D9)</f>
        <v>0</v>
      </c>
      <c r="E13" s="488">
        <f>SUM(E6:E9)</f>
        <v>0</v>
      </c>
      <c r="F13" s="485"/>
      <c r="G13" s="486"/>
      <c r="H13" s="486"/>
    </row>
    <row r="14" spans="1:8" s="483" customFormat="1" ht="21" customHeight="1" hidden="1">
      <c r="A14" s="489" t="s">
        <v>421</v>
      </c>
      <c r="B14" s="487"/>
      <c r="C14" s="487"/>
      <c r="D14" s="487"/>
      <c r="E14" s="488"/>
      <c r="F14" s="487"/>
      <c r="G14" s="488"/>
      <c r="H14" s="488"/>
    </row>
    <row r="15" spans="1:8" s="483" customFormat="1" ht="21" customHeight="1">
      <c r="A15" s="490" t="s">
        <v>422</v>
      </c>
      <c r="B15" s="487">
        <v>2022390</v>
      </c>
      <c r="C15" s="487">
        <v>2022390</v>
      </c>
      <c r="D15" s="491"/>
      <c r="E15" s="492"/>
      <c r="F15" s="487"/>
      <c r="G15" s="488"/>
      <c r="H15" s="488"/>
    </row>
    <row r="16" spans="1:8" s="483" customFormat="1" ht="21" customHeight="1" thickBot="1">
      <c r="A16" s="489" t="s">
        <v>423</v>
      </c>
      <c r="B16" s="493">
        <v>15300</v>
      </c>
      <c r="C16" s="493">
        <v>15300</v>
      </c>
      <c r="D16" s="493"/>
      <c r="E16" s="494"/>
      <c r="F16" s="493"/>
      <c r="G16" s="494"/>
      <c r="H16" s="494"/>
    </row>
    <row r="17" spans="1:8" s="499" customFormat="1" ht="24.75" customHeight="1" thickBot="1">
      <c r="A17" s="495" t="s">
        <v>424</v>
      </c>
      <c r="B17" s="496">
        <f>B10+B15+B16+B12</f>
        <v>7166770</v>
      </c>
      <c r="C17" s="496">
        <f>C10+C15+C16+C12</f>
        <v>7166770</v>
      </c>
      <c r="D17" s="497">
        <f>D5+D13-D14+D15</f>
        <v>0</v>
      </c>
      <c r="E17" s="498">
        <f>E5+E13-E14+E15</f>
        <v>0</v>
      </c>
      <c r="F17" s="496">
        <f>SUM(F6:F16)</f>
        <v>0</v>
      </c>
      <c r="G17" s="677">
        <f>SUM(G6:G16)</f>
        <v>0</v>
      </c>
      <c r="H17" s="677">
        <f>SUM(H6:H16)</f>
        <v>0</v>
      </c>
    </row>
    <row r="18" spans="1:8" ht="24.75" customHeight="1">
      <c r="A18" s="500" t="s">
        <v>425</v>
      </c>
      <c r="B18" s="481">
        <f>2085953+600000+53480+5363880+2400000</f>
        <v>10503313</v>
      </c>
      <c r="C18" s="481">
        <f>2085953+600000+53480+5363880+2400000</f>
        <v>10503313</v>
      </c>
      <c r="D18" s="481"/>
      <c r="E18" s="482"/>
      <c r="F18" s="481"/>
      <c r="G18" s="482"/>
      <c r="H18" s="482"/>
    </row>
    <row r="19" spans="1:8" ht="24.75" customHeight="1" thickBot="1">
      <c r="A19" s="489" t="s">
        <v>426</v>
      </c>
      <c r="B19" s="487">
        <f>599133+245100</f>
        <v>844233</v>
      </c>
      <c r="C19" s="487">
        <f>599133+245100</f>
        <v>844233</v>
      </c>
      <c r="D19" s="487"/>
      <c r="E19" s="488"/>
      <c r="F19" s="487"/>
      <c r="G19" s="488"/>
      <c r="H19" s="488"/>
    </row>
    <row r="20" spans="1:8" s="499" customFormat="1" ht="24.75" customHeight="1" thickBot="1">
      <c r="A20" s="495" t="s">
        <v>427</v>
      </c>
      <c r="B20" s="501">
        <f aca="true" t="shared" si="0" ref="B20:G20">SUM(B18:B19)</f>
        <v>11347546</v>
      </c>
      <c r="C20" s="501">
        <f>SUM(C18:C19)</f>
        <v>11347546</v>
      </c>
      <c r="D20" s="502">
        <f t="shared" si="0"/>
        <v>0</v>
      </c>
      <c r="E20" s="503">
        <f t="shared" si="0"/>
        <v>0</v>
      </c>
      <c r="F20" s="501">
        <f t="shared" si="0"/>
        <v>0</v>
      </c>
      <c r="G20" s="678">
        <f t="shared" si="0"/>
        <v>0</v>
      </c>
      <c r="H20" s="678">
        <f>SUM(H18:H19)</f>
        <v>0</v>
      </c>
    </row>
    <row r="21" spans="1:8" ht="24.75" customHeight="1" thickBot="1">
      <c r="A21" s="504" t="s">
        <v>428</v>
      </c>
      <c r="B21" s="505">
        <v>5201000</v>
      </c>
      <c r="C21" s="505">
        <v>5201000</v>
      </c>
      <c r="D21" s="506"/>
      <c r="E21" s="507"/>
      <c r="F21" s="505"/>
      <c r="G21" s="679"/>
      <c r="H21" s="679"/>
    </row>
    <row r="22" spans="1:8" ht="24.75" customHeight="1">
      <c r="A22" s="508" t="s">
        <v>429</v>
      </c>
      <c r="B22" s="509">
        <v>1240320</v>
      </c>
      <c r="C22" s="509">
        <v>1240320</v>
      </c>
      <c r="D22" s="510"/>
      <c r="E22" s="1260"/>
      <c r="F22" s="509"/>
      <c r="G22" s="680"/>
      <c r="H22" s="680"/>
    </row>
    <row r="23" spans="1:8" ht="24.75" customHeight="1" thickBot="1">
      <c r="A23" s="511" t="s">
        <v>430</v>
      </c>
      <c r="B23" s="512">
        <v>1124888</v>
      </c>
      <c r="C23" s="512">
        <v>1124888</v>
      </c>
      <c r="D23" s="510"/>
      <c r="E23" s="1260"/>
      <c r="F23" s="512"/>
      <c r="G23" s="681"/>
      <c r="H23" s="681"/>
    </row>
    <row r="24" spans="1:8" ht="24.75" customHeight="1" hidden="1" thickBot="1">
      <c r="A24" s="525" t="s">
        <v>442</v>
      </c>
      <c r="B24" s="526">
        <v>0</v>
      </c>
      <c r="C24" s="526">
        <v>0</v>
      </c>
      <c r="D24" s="510"/>
      <c r="E24" s="1260"/>
      <c r="F24" s="526"/>
      <c r="G24" s="682"/>
      <c r="H24" s="682"/>
    </row>
    <row r="25" spans="1:9" ht="24.75" customHeight="1" thickBot="1">
      <c r="A25" s="513" t="s">
        <v>431</v>
      </c>
      <c r="B25" s="505">
        <f>SUM(B22:B24)</f>
        <v>2365208</v>
      </c>
      <c r="C25" s="505">
        <f>SUM(C22:C24)</f>
        <v>2365208</v>
      </c>
      <c r="D25" s="510"/>
      <c r="E25" s="1260"/>
      <c r="F25" s="505">
        <f>SUM(F22:F24)</f>
        <v>0</v>
      </c>
      <c r="G25" s="679">
        <f>SUM(G22:G24)</f>
        <v>0</v>
      </c>
      <c r="H25" s="679">
        <f>SUM(H22:H24)</f>
        <v>0</v>
      </c>
      <c r="I25" s="833"/>
    </row>
    <row r="26" spans="1:8" ht="24.75" customHeight="1">
      <c r="A26" s="514" t="s">
        <v>432</v>
      </c>
      <c r="B26" s="515">
        <v>1200000</v>
      </c>
      <c r="C26" s="515">
        <v>1200000</v>
      </c>
      <c r="D26" s="510"/>
      <c r="E26" s="1260"/>
      <c r="F26" s="515"/>
      <c r="G26" s="683"/>
      <c r="H26" s="683"/>
    </row>
    <row r="27" spans="1:8" s="516" customFormat="1" ht="24.75" customHeight="1" hidden="1" thickBot="1">
      <c r="A27" s="834" t="s">
        <v>457</v>
      </c>
      <c r="B27" s="835"/>
      <c r="C27" s="835"/>
      <c r="D27" s="835"/>
      <c r="E27" s="836"/>
      <c r="F27" s="839"/>
      <c r="G27" s="839"/>
      <c r="H27" s="839"/>
    </row>
    <row r="28" spans="1:8" ht="24.75" customHeight="1" hidden="1">
      <c r="A28" s="832" t="s">
        <v>556</v>
      </c>
      <c r="B28" s="517"/>
      <c r="C28" s="517"/>
      <c r="D28" s="517"/>
      <c r="E28" s="518"/>
      <c r="F28" s="576"/>
      <c r="G28" s="576"/>
      <c r="H28" s="837"/>
    </row>
    <row r="29" spans="1:8" ht="24.75" customHeight="1" hidden="1">
      <c r="A29" s="832" t="s">
        <v>557</v>
      </c>
      <c r="B29" s="519"/>
      <c r="C29" s="519"/>
      <c r="D29" s="519"/>
      <c r="E29" s="520"/>
      <c r="F29" s="575"/>
      <c r="G29" s="575"/>
      <c r="H29" s="838"/>
    </row>
    <row r="30" spans="1:8" ht="24.75" customHeight="1">
      <c r="A30" s="490" t="s">
        <v>612</v>
      </c>
      <c r="B30" s="519"/>
      <c r="C30" s="519">
        <v>439808</v>
      </c>
      <c r="D30" s="519"/>
      <c r="E30" s="520"/>
      <c r="F30" s="575"/>
      <c r="G30" s="575"/>
      <c r="H30" s="575"/>
    </row>
    <row r="31" spans="1:8" ht="24.75" customHeight="1" hidden="1">
      <c r="A31" s="490" t="s">
        <v>433</v>
      </c>
      <c r="B31" s="519"/>
      <c r="C31" s="519"/>
      <c r="D31" s="519"/>
      <c r="E31" s="520"/>
      <c r="F31" s="575"/>
      <c r="G31" s="575"/>
      <c r="H31" s="575"/>
    </row>
    <row r="32" spans="1:8" ht="24.75" customHeight="1" hidden="1">
      <c r="A32" s="490" t="s">
        <v>434</v>
      </c>
      <c r="B32" s="519"/>
      <c r="C32" s="519"/>
      <c r="D32" s="519"/>
      <c r="E32" s="520"/>
      <c r="F32" s="575"/>
      <c r="G32" s="575"/>
      <c r="H32" s="575"/>
    </row>
    <row r="33" spans="1:8" ht="24.75" customHeight="1" hidden="1">
      <c r="A33" s="490" t="s">
        <v>435</v>
      </c>
      <c r="B33" s="519"/>
      <c r="C33" s="519"/>
      <c r="D33" s="519"/>
      <c r="E33" s="520"/>
      <c r="F33" s="575"/>
      <c r="G33" s="575"/>
      <c r="H33" s="575"/>
    </row>
    <row r="34" spans="1:8" ht="24.75" customHeight="1" hidden="1">
      <c r="A34" s="490" t="s">
        <v>436</v>
      </c>
      <c r="B34" s="519"/>
      <c r="C34" s="519"/>
      <c r="D34" s="519"/>
      <c r="E34" s="520"/>
      <c r="F34" s="575"/>
      <c r="G34" s="575"/>
      <c r="H34" s="575"/>
    </row>
    <row r="35" spans="1:8" ht="24.75" customHeight="1" hidden="1">
      <c r="A35" s="490" t="s">
        <v>437</v>
      </c>
      <c r="B35" s="519"/>
      <c r="C35" s="519"/>
      <c r="D35" s="519"/>
      <c r="E35" s="520"/>
      <c r="F35" s="575"/>
      <c r="G35" s="575"/>
      <c r="H35" s="575"/>
    </row>
    <row r="36" spans="1:8" s="524" customFormat="1" ht="26.25" customHeight="1" thickBot="1">
      <c r="A36" s="521" t="s">
        <v>298</v>
      </c>
      <c r="B36" s="522">
        <f>B17+B20+B21+B25+B26</f>
        <v>27280524</v>
      </c>
      <c r="C36" s="522">
        <f>C17+C20+C21+C25+C26+C30</f>
        <v>27720332</v>
      </c>
      <c r="D36" s="522" t="e">
        <f>#REF!+D28+D29+D31+D32+D34+D30</f>
        <v>#REF!</v>
      </c>
      <c r="E36" s="523" t="e">
        <f>#REF!+E28+E29+E31+E32+E34+E30+E33+E35</f>
        <v>#REF!</v>
      </c>
      <c r="F36" s="522">
        <f>F17+F20+F21+F25+F26+F27</f>
        <v>0</v>
      </c>
      <c r="G36" s="523">
        <f>G17+G20+G21+G25+G26+G27</f>
        <v>0</v>
      </c>
      <c r="H36" s="523">
        <f>H17+H20+H21+H25+H26+H27+H28+H29</f>
        <v>0</v>
      </c>
    </row>
    <row r="38" spans="3:8" ht="15">
      <c r="C38" s="833"/>
      <c r="H38" s="833"/>
    </row>
    <row r="39" ht="15">
      <c r="H39" s="833"/>
    </row>
    <row r="40" ht="15">
      <c r="H40" s="833"/>
    </row>
  </sheetData>
  <sheetProtection selectLockedCells="1" selectUnlockedCells="1"/>
  <mergeCells count="4">
    <mergeCell ref="E22:E26"/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31.00390625" style="768" customWidth="1"/>
    <col min="2" max="2" width="19.7109375" style="769" customWidth="1"/>
    <col min="3" max="3" width="15.28125" style="769" customWidth="1"/>
    <col min="4" max="4" width="14.28125" style="769" customWidth="1"/>
    <col min="5" max="5" width="13.421875" style="769" customWidth="1"/>
    <col min="6" max="6" width="13.8515625" style="769" customWidth="1"/>
    <col min="7" max="7" width="12.8515625" style="769" customWidth="1"/>
    <col min="8" max="8" width="13.57421875" style="769" customWidth="1"/>
    <col min="9" max="16384" width="9.140625" style="769" customWidth="1"/>
  </cols>
  <sheetData>
    <row r="1" spans="3:7" ht="15">
      <c r="C1" s="10"/>
      <c r="F1" s="1264" t="s">
        <v>525</v>
      </c>
      <c r="G1" s="1264"/>
    </row>
    <row r="2" spans="1:7" ht="24.75" customHeight="1">
      <c r="A2" s="1265" t="s">
        <v>511</v>
      </c>
      <c r="B2" s="1265"/>
      <c r="C2" s="1265"/>
      <c r="D2" s="1265"/>
      <c r="E2" s="1265"/>
      <c r="F2" s="1265"/>
      <c r="G2" s="1265"/>
    </row>
    <row r="3" spans="1:7" ht="18.75" customHeight="1">
      <c r="A3" s="1266">
        <v>2017</v>
      </c>
      <c r="B3" s="1266"/>
      <c r="C3" s="1266"/>
      <c r="D3" s="1266"/>
      <c r="E3" s="1266"/>
      <c r="F3" s="1266"/>
      <c r="G3" s="1266"/>
    </row>
    <row r="4" spans="1:7" ht="24.75" customHeight="1">
      <c r="A4" s="1267" t="s">
        <v>512</v>
      </c>
      <c r="B4" s="1267"/>
      <c r="C4" s="1267"/>
      <c r="D4" s="1267"/>
      <c r="E4" s="1267"/>
      <c r="F4" s="1267"/>
      <c r="G4" s="1267"/>
    </row>
    <row r="5" spans="6:7" ht="15.75" thickBot="1">
      <c r="F5" s="1270" t="s">
        <v>601</v>
      </c>
      <c r="G5" s="1270"/>
    </row>
    <row r="6" spans="1:7" ht="24.75" customHeight="1" thickBot="1">
      <c r="A6" s="1268" t="s">
        <v>513</v>
      </c>
      <c r="B6" s="1269" t="s">
        <v>514</v>
      </c>
      <c r="C6" s="1269"/>
      <c r="D6" s="1269"/>
      <c r="E6" s="1271" t="s">
        <v>515</v>
      </c>
      <c r="F6" s="1271"/>
      <c r="G6" s="1271"/>
    </row>
    <row r="7" spans="1:7" ht="24.75" customHeight="1" thickBot="1">
      <c r="A7" s="1268"/>
      <c r="B7" s="770" t="s">
        <v>516</v>
      </c>
      <c r="C7" s="770" t="s">
        <v>517</v>
      </c>
      <c r="D7" s="770" t="s">
        <v>518</v>
      </c>
      <c r="E7" s="771" t="s">
        <v>516</v>
      </c>
      <c r="F7" s="770" t="s">
        <v>519</v>
      </c>
      <c r="G7" s="772" t="s">
        <v>518</v>
      </c>
    </row>
    <row r="8" spans="1:7" ht="33.75" customHeight="1">
      <c r="A8" s="773" t="s">
        <v>21</v>
      </c>
      <c r="B8" s="774"/>
      <c r="C8" s="774"/>
      <c r="D8" s="774"/>
      <c r="E8" s="775"/>
      <c r="F8" s="775"/>
      <c r="G8" s="776"/>
    </row>
    <row r="9" spans="1:7" ht="33.75" customHeight="1">
      <c r="A9" s="777" t="s">
        <v>520</v>
      </c>
      <c r="B9" s="778"/>
      <c r="C9" s="778"/>
      <c r="D9" s="774"/>
      <c r="E9" s="779"/>
      <c r="F9" s="779"/>
      <c r="G9" s="780"/>
    </row>
    <row r="10" spans="1:7" ht="33.75" customHeight="1">
      <c r="A10" s="777" t="s">
        <v>521</v>
      </c>
      <c r="B10" s="778">
        <v>229565</v>
      </c>
      <c r="C10" s="778"/>
      <c r="D10" s="774">
        <v>229565</v>
      </c>
      <c r="E10" s="779">
        <v>36335</v>
      </c>
      <c r="F10" s="779"/>
      <c r="G10" s="780">
        <v>36355</v>
      </c>
    </row>
    <row r="11" spans="1:7" ht="33.75" customHeight="1">
      <c r="A11" s="781" t="s">
        <v>19</v>
      </c>
      <c r="B11" s="782"/>
      <c r="C11" s="782">
        <v>5965360</v>
      </c>
      <c r="D11" s="774">
        <v>5965360</v>
      </c>
      <c r="E11" s="783"/>
      <c r="F11" s="783"/>
      <c r="G11" s="780"/>
    </row>
    <row r="12" spans="1:7" ht="33.75" customHeight="1" thickBot="1">
      <c r="A12" s="784" t="s">
        <v>39</v>
      </c>
      <c r="B12" s="785"/>
      <c r="C12" s="785"/>
      <c r="D12" s="785"/>
      <c r="E12" s="786"/>
      <c r="F12" s="786"/>
      <c r="G12" s="787"/>
    </row>
    <row r="13" spans="1:7" ht="33.75" customHeight="1" thickBot="1">
      <c r="A13" s="788" t="s">
        <v>295</v>
      </c>
      <c r="B13" s="789">
        <f>SUM(B10:B12)</f>
        <v>229565</v>
      </c>
      <c r="C13" s="789">
        <f>SUM(C8:C12)</f>
        <v>5965360</v>
      </c>
      <c r="D13" s="789">
        <f>SUM(D8:D12)</f>
        <v>6194925</v>
      </c>
      <c r="E13" s="789">
        <f>SUM(E10:E12)</f>
        <v>36335</v>
      </c>
      <c r="F13" s="789"/>
      <c r="G13" s="790">
        <f>SUM(G10:G12)</f>
        <v>36355</v>
      </c>
    </row>
    <row r="15" spans="1:7" ht="28.5" customHeight="1" thickBot="1">
      <c r="A15" s="1272" t="s">
        <v>522</v>
      </c>
      <c r="B15" s="1272"/>
      <c r="C15" s="1272"/>
      <c r="D15" s="1272"/>
      <c r="E15" s="1272"/>
      <c r="F15" s="1272"/>
      <c r="G15" s="1272"/>
    </row>
    <row r="16" spans="1:7" ht="16.5" customHeight="1" thickBot="1">
      <c r="A16" s="1268" t="s">
        <v>411</v>
      </c>
      <c r="B16" s="1269" t="s">
        <v>514</v>
      </c>
      <c r="C16" s="1269"/>
      <c r="D16" s="1269"/>
      <c r="E16" s="1271" t="s">
        <v>515</v>
      </c>
      <c r="F16" s="1271"/>
      <c r="G16" s="1271"/>
    </row>
    <row r="17" spans="1:7" ht="19.5" customHeight="1" thickBot="1">
      <c r="A17" s="1268"/>
      <c r="B17" s="770" t="s">
        <v>516</v>
      </c>
      <c r="C17" s="770" t="s">
        <v>517</v>
      </c>
      <c r="D17" s="770" t="s">
        <v>518</v>
      </c>
      <c r="E17" s="771" t="s">
        <v>516</v>
      </c>
      <c r="F17" s="770" t="s">
        <v>519</v>
      </c>
      <c r="G17" s="772" t="s">
        <v>518</v>
      </c>
    </row>
    <row r="18" spans="1:7" ht="30" customHeight="1">
      <c r="A18" s="781" t="s">
        <v>523</v>
      </c>
      <c r="B18" s="782">
        <v>388080</v>
      </c>
      <c r="C18" s="782"/>
      <c r="D18" s="774">
        <f>SUM(B18:C18)</f>
        <v>388080</v>
      </c>
      <c r="E18" s="783"/>
      <c r="F18" s="783"/>
      <c r="G18" s="780"/>
    </row>
    <row r="19" spans="1:7" ht="29.25" customHeight="1" thickBot="1">
      <c r="A19" s="784" t="s">
        <v>524</v>
      </c>
      <c r="B19" s="785">
        <v>271543</v>
      </c>
      <c r="C19" s="785"/>
      <c r="D19" s="785">
        <f>SUM(B19:C19)</f>
        <v>271543</v>
      </c>
      <c r="E19" s="786"/>
      <c r="F19" s="786"/>
      <c r="G19" s="787"/>
    </row>
    <row r="20" spans="1:7" s="791" customFormat="1" ht="27.75" customHeight="1" thickBot="1">
      <c r="A20" s="788" t="s">
        <v>295</v>
      </c>
      <c r="B20" s="789">
        <f>SUM(B18:B19)</f>
        <v>659623</v>
      </c>
      <c r="C20" s="789"/>
      <c r="D20" s="789">
        <f>SUM(D18:D19)</f>
        <v>659623</v>
      </c>
      <c r="E20" s="789"/>
      <c r="F20" s="789"/>
      <c r="G20" s="790"/>
    </row>
  </sheetData>
  <sheetProtection selectLockedCells="1" selectUnlockedCells="1"/>
  <mergeCells count="12">
    <mergeCell ref="A15:G15"/>
    <mergeCell ref="A16:A17"/>
    <mergeCell ref="B16:D16"/>
    <mergeCell ref="E16:G16"/>
    <mergeCell ref="F1:G1"/>
    <mergeCell ref="A2:G2"/>
    <mergeCell ref="A3:G3"/>
    <mergeCell ref="A4:G4"/>
    <mergeCell ref="A6:A7"/>
    <mergeCell ref="B6:D6"/>
    <mergeCell ref="F5:G5"/>
    <mergeCell ref="E6:G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273" t="s">
        <v>600</v>
      </c>
      <c r="F1" s="1273"/>
    </row>
    <row r="2" spans="1:6" ht="24.75">
      <c r="A2" s="1274" t="s">
        <v>526</v>
      </c>
      <c r="B2" s="1274"/>
      <c r="C2" s="1274"/>
      <c r="D2" s="1274"/>
      <c r="E2" s="1274"/>
      <c r="F2" s="1274"/>
    </row>
    <row r="3" spans="1:6" ht="19.5">
      <c r="A3" s="1275" t="s">
        <v>527</v>
      </c>
      <c r="B3" s="1275"/>
      <c r="C3" s="1275"/>
      <c r="D3" s="1275"/>
      <c r="E3" s="1275"/>
      <c r="F3" s="1275"/>
    </row>
    <row r="4" spans="1:6" ht="33.75" customHeight="1">
      <c r="A4" s="792"/>
      <c r="B4" s="792"/>
      <c r="C4" s="10"/>
      <c r="D4" s="792"/>
      <c r="E4" s="792"/>
      <c r="F4" s="792"/>
    </row>
    <row r="5" spans="1:6" ht="15.75">
      <c r="A5" s="793" t="s">
        <v>528</v>
      </c>
      <c r="B5" s="794"/>
      <c r="C5" s="794"/>
      <c r="D5" s="794"/>
      <c r="E5" s="794"/>
      <c r="F5" s="794"/>
    </row>
    <row r="6" spans="1:6" ht="15.75">
      <c r="A6" s="794"/>
      <c r="B6" s="794"/>
      <c r="C6" s="794"/>
      <c r="D6" s="794"/>
      <c r="E6" s="794"/>
      <c r="F6" s="794"/>
    </row>
    <row r="7" spans="1:6" ht="15.75">
      <c r="A7" s="793" t="s">
        <v>529</v>
      </c>
      <c r="B7" s="794"/>
      <c r="C7" s="794"/>
      <c r="D7" s="794"/>
      <c r="E7" s="794"/>
      <c r="F7" s="794"/>
    </row>
    <row r="8" spans="1:6" ht="15.75">
      <c r="A8" s="793"/>
      <c r="B8" s="794"/>
      <c r="C8" s="794"/>
      <c r="D8" s="794"/>
      <c r="E8" s="794"/>
      <c r="F8" s="794"/>
    </row>
    <row r="9" spans="1:6" ht="15">
      <c r="A9" s="795" t="s">
        <v>530</v>
      </c>
      <c r="B9" s="796"/>
      <c r="C9" s="796"/>
      <c r="D9" s="796"/>
      <c r="E9" s="796"/>
      <c r="F9" s="797"/>
    </row>
    <row r="10" spans="1:6" ht="15">
      <c r="A10" s="795"/>
      <c r="B10" s="796"/>
      <c r="C10" s="796"/>
      <c r="D10" s="796"/>
      <c r="E10" s="796"/>
      <c r="F10" s="797"/>
    </row>
    <row r="11" spans="1:5" ht="15">
      <c r="A11" s="795" t="s">
        <v>531</v>
      </c>
      <c r="B11" s="796"/>
      <c r="C11" s="796"/>
      <c r="D11" s="796"/>
      <c r="E11" s="796"/>
    </row>
    <row r="13" spans="1:6" ht="39" thickBot="1">
      <c r="A13" s="798" t="s">
        <v>369</v>
      </c>
      <c r="B13" s="799" t="s">
        <v>532</v>
      </c>
      <c r="C13" s="800" t="s">
        <v>533</v>
      </c>
      <c r="D13" s="800" t="s">
        <v>534</v>
      </c>
      <c r="E13" s="800" t="s">
        <v>535</v>
      </c>
      <c r="F13" s="801" t="s">
        <v>323</v>
      </c>
    </row>
    <row r="14" spans="1:6" ht="24.75" customHeight="1">
      <c r="A14" s="802" t="s">
        <v>10</v>
      </c>
      <c r="B14" s="803" t="s">
        <v>536</v>
      </c>
      <c r="C14" s="804"/>
      <c r="D14" s="804"/>
      <c r="E14" s="804"/>
      <c r="F14" s="805">
        <v>0</v>
      </c>
    </row>
    <row r="15" spans="1:6" ht="25.5">
      <c r="A15" s="806" t="s">
        <v>164</v>
      </c>
      <c r="B15" s="807" t="s">
        <v>537</v>
      </c>
      <c r="C15" s="808"/>
      <c r="D15" s="808"/>
      <c r="E15" s="808"/>
      <c r="F15" s="809">
        <v>0</v>
      </c>
    </row>
    <row r="16" spans="1:6" ht="25.5">
      <c r="A16" s="806" t="s">
        <v>70</v>
      </c>
      <c r="B16" s="807" t="s">
        <v>538</v>
      </c>
      <c r="C16" s="808"/>
      <c r="D16" s="808"/>
      <c r="E16" s="808"/>
      <c r="F16" s="809">
        <v>0</v>
      </c>
    </row>
    <row r="17" spans="1:6" ht="21" customHeight="1">
      <c r="A17" s="806" t="s">
        <v>89</v>
      </c>
      <c r="B17" s="807" t="s">
        <v>539</v>
      </c>
      <c r="C17" s="808"/>
      <c r="D17" s="808"/>
      <c r="E17" s="808"/>
      <c r="F17" s="809">
        <v>0</v>
      </c>
    </row>
    <row r="18" spans="1:6" ht="40.5" customHeight="1">
      <c r="A18" s="806" t="s">
        <v>102</v>
      </c>
      <c r="B18" s="807" t="s">
        <v>540</v>
      </c>
      <c r="C18" s="808"/>
      <c r="D18" s="808"/>
      <c r="E18" s="808"/>
      <c r="F18" s="809">
        <v>0</v>
      </c>
    </row>
    <row r="19" spans="1:6" ht="21.75" customHeight="1" thickBot="1">
      <c r="A19" s="810" t="s">
        <v>110</v>
      </c>
      <c r="B19" s="811" t="s">
        <v>541</v>
      </c>
      <c r="C19" s="812"/>
      <c r="D19" s="812"/>
      <c r="E19" s="812"/>
      <c r="F19" s="813">
        <v>0</v>
      </c>
    </row>
    <row r="20" spans="1:6" ht="21.75" customHeight="1" thickBot="1">
      <c r="A20" s="814" t="s">
        <v>119</v>
      </c>
      <c r="B20" s="815" t="s">
        <v>323</v>
      </c>
      <c r="C20" s="816">
        <v>0</v>
      </c>
      <c r="D20" s="816">
        <v>0</v>
      </c>
      <c r="E20" s="816">
        <v>0</v>
      </c>
      <c r="F20" s="817">
        <v>0</v>
      </c>
    </row>
    <row r="21" spans="1:6" ht="12.75">
      <c r="A21" s="797"/>
      <c r="B21" s="797"/>
      <c r="C21" s="797"/>
      <c r="D21" s="797"/>
      <c r="E21" s="797"/>
      <c r="F21" s="797"/>
    </row>
    <row r="22" spans="1:6" ht="12.75">
      <c r="A22" s="797"/>
      <c r="B22" s="797"/>
      <c r="C22" s="797"/>
      <c r="D22" s="797"/>
      <c r="E22" s="797"/>
      <c r="F22" s="797"/>
    </row>
    <row r="23" spans="1:6" ht="12.75">
      <c r="A23" s="797"/>
      <c r="B23" s="797"/>
      <c r="C23" s="797"/>
      <c r="D23" s="797"/>
      <c r="E23" s="797"/>
      <c r="F23" s="797"/>
    </row>
    <row r="24" spans="1:6" ht="15.75">
      <c r="A24" s="794" t="s">
        <v>591</v>
      </c>
      <c r="B24" s="797"/>
      <c r="C24" s="797"/>
      <c r="D24" s="797"/>
      <c r="E24" s="797"/>
      <c r="F24" s="797"/>
    </row>
    <row r="25" spans="1:6" ht="12.75">
      <c r="A25" s="797"/>
      <c r="B25" s="797"/>
      <c r="C25" s="797"/>
      <c r="D25" s="797"/>
      <c r="E25" s="797"/>
      <c r="F25" s="797"/>
    </row>
    <row r="26" spans="1:6" ht="12.75">
      <c r="A26" s="797"/>
      <c r="B26" s="797"/>
      <c r="C26" s="797"/>
      <c r="D26" s="797"/>
      <c r="E26" s="797"/>
      <c r="F26" s="797"/>
    </row>
    <row r="29" spans="3:5" ht="13.5">
      <c r="C29" s="818"/>
      <c r="D29" s="819" t="s">
        <v>542</v>
      </c>
      <c r="E29" s="818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="55" zoomScaleNormal="55" zoomScalePageLayoutView="0" workbookViewId="0" topLeftCell="A18">
      <selection activeCell="G24" sqref="G24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7" width="21.8515625" style="66" customWidth="1"/>
    <col min="8" max="9" width="20.421875" style="67" customWidth="1"/>
    <col min="10" max="11" width="18.8515625" style="67" customWidth="1"/>
    <col min="12" max="12" width="21.28125" style="67" customWidth="1"/>
    <col min="13" max="18" width="0" style="66" hidden="1" customWidth="1"/>
    <col min="19" max="16384" width="9.140625" style="66" customWidth="1"/>
  </cols>
  <sheetData>
    <row r="1" spans="1:12" ht="44.25" customHeight="1" hidden="1">
      <c r="A1" s="1108"/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</row>
    <row r="2" spans="1:12" ht="21.75" customHeight="1" hidden="1">
      <c r="A2" s="1109"/>
      <c r="B2" s="1109"/>
      <c r="C2" s="69"/>
      <c r="D2" s="70"/>
      <c r="E2" s="70"/>
      <c r="L2" s="71" t="s">
        <v>0</v>
      </c>
    </row>
    <row r="3" spans="1:12" ht="41.25" customHeight="1">
      <c r="A3" s="1110" t="s">
        <v>565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</row>
    <row r="4" spans="1:12" ht="36.75" customHeight="1">
      <c r="A4" s="68"/>
      <c r="B4" s="68"/>
      <c r="C4" s="69"/>
      <c r="D4" s="70"/>
      <c r="E4" s="869"/>
      <c r="L4" s="71"/>
    </row>
    <row r="5" spans="1:12" ht="18.75" customHeight="1" thickBot="1">
      <c r="A5" s="68"/>
      <c r="B5" s="68"/>
      <c r="C5" s="69"/>
      <c r="D5" s="70"/>
      <c r="E5" s="70"/>
      <c r="J5" s="1104" t="s">
        <v>601</v>
      </c>
      <c r="K5" s="1104"/>
      <c r="L5" s="1105"/>
    </row>
    <row r="6" spans="1:18" s="10" customFormat="1" ht="56.25" customHeight="1" thickBot="1">
      <c r="A6" s="1111" t="s">
        <v>135</v>
      </c>
      <c r="B6" s="1111"/>
      <c r="C6" s="1111"/>
      <c r="D6" s="1111"/>
      <c r="E6" s="55" t="s">
        <v>3</v>
      </c>
      <c r="F6" s="1084" t="s">
        <v>4</v>
      </c>
      <c r="G6" s="1085"/>
      <c r="H6" s="1084" t="s">
        <v>245</v>
      </c>
      <c r="I6" s="1085"/>
      <c r="J6" s="1084" t="s">
        <v>301</v>
      </c>
      <c r="K6" s="1085"/>
      <c r="L6" s="1112" t="s">
        <v>136</v>
      </c>
      <c r="M6" s="1113"/>
      <c r="N6" s="1113"/>
      <c r="O6" s="1113"/>
      <c r="P6" s="1113"/>
      <c r="Q6" s="1113"/>
      <c r="R6" s="1113"/>
    </row>
    <row r="7" spans="1:18" s="10" customFormat="1" ht="32.25" hidden="1" thickBot="1">
      <c r="A7" s="72"/>
      <c r="B7" s="73"/>
      <c r="C7" s="73"/>
      <c r="D7" s="73"/>
      <c r="E7" s="55"/>
      <c r="F7" s="549"/>
      <c r="G7" s="1071"/>
      <c r="H7" s="74"/>
      <c r="I7" s="75"/>
      <c r="J7" s="74"/>
      <c r="K7" s="1071"/>
      <c r="L7" s="549" t="s">
        <v>6</v>
      </c>
      <c r="M7" s="74" t="s">
        <v>137</v>
      </c>
      <c r="N7" s="74" t="s">
        <v>138</v>
      </c>
      <c r="O7" s="74" t="s">
        <v>139</v>
      </c>
      <c r="P7" s="74" t="s">
        <v>140</v>
      </c>
      <c r="Q7" s="75" t="s">
        <v>141</v>
      </c>
      <c r="R7" s="75" t="s">
        <v>141</v>
      </c>
    </row>
    <row r="8" spans="1:18" s="10" customFormat="1" ht="39" customHeight="1" thickBot="1">
      <c r="A8" s="72"/>
      <c r="B8" s="73"/>
      <c r="C8" s="73"/>
      <c r="D8" s="73"/>
      <c r="E8" s="55"/>
      <c r="F8" s="1072" t="s">
        <v>6</v>
      </c>
      <c r="G8" s="1047" t="s">
        <v>137</v>
      </c>
      <c r="H8" s="1072" t="s">
        <v>6</v>
      </c>
      <c r="I8" s="1047" t="s">
        <v>137</v>
      </c>
      <c r="J8" s="1072" t="s">
        <v>6</v>
      </c>
      <c r="K8" s="1047" t="s">
        <v>137</v>
      </c>
      <c r="L8" s="1048" t="s">
        <v>506</v>
      </c>
      <c r="M8" s="549"/>
      <c r="N8" s="549"/>
      <c r="O8" s="549"/>
      <c r="P8" s="549"/>
      <c r="Q8" s="548"/>
      <c r="R8" s="548"/>
    </row>
    <row r="9" spans="1:18" s="77" customFormat="1" ht="33" customHeight="1" thickBot="1">
      <c r="A9" s="43" t="s">
        <v>10</v>
      </c>
      <c r="B9" s="1115" t="s">
        <v>142</v>
      </c>
      <c r="C9" s="1115"/>
      <c r="D9" s="1115"/>
      <c r="E9" s="76"/>
      <c r="F9" s="1073">
        <f>F10+F11+F12+F13+F14</f>
        <v>83230350</v>
      </c>
      <c r="G9" s="699">
        <f>G10+G11+G12+G13+G14</f>
        <v>84073676</v>
      </c>
      <c r="H9" s="1073">
        <f aca="true" t="shared" si="0" ref="H9:I39">F9-J9</f>
        <v>74019084</v>
      </c>
      <c r="I9" s="699">
        <f t="shared" si="0"/>
        <v>75080374</v>
      </c>
      <c r="J9" s="1073">
        <f>J10+J11+J12+J13+J14</f>
        <v>9211266</v>
      </c>
      <c r="K9" s="699">
        <f>K10+K11+K12+K13+K14</f>
        <v>8993302</v>
      </c>
      <c r="L9" s="841"/>
      <c r="M9" s="54" t="e">
        <f aca="true" t="shared" si="1" ref="M9:R9">M10+M11+M12+M13+M14</f>
        <v>#REF!</v>
      </c>
      <c r="N9" s="54" t="e">
        <f t="shared" si="1"/>
        <v>#REF!</v>
      </c>
      <c r="O9" s="54" t="e">
        <f t="shared" si="1"/>
        <v>#REF!</v>
      </c>
      <c r="P9" s="54" t="e">
        <f t="shared" si="1"/>
        <v>#REF!</v>
      </c>
      <c r="Q9" s="54" t="e">
        <f t="shared" si="1"/>
        <v>#REF!</v>
      </c>
      <c r="R9" s="54" t="e">
        <f t="shared" si="1"/>
        <v>#REF!</v>
      </c>
    </row>
    <row r="10" spans="1:18" s="83" customFormat="1" ht="33" customHeight="1">
      <c r="A10" s="78"/>
      <c r="B10" s="79" t="s">
        <v>13</v>
      </c>
      <c r="C10" s="79"/>
      <c r="D10" s="80" t="s">
        <v>143</v>
      </c>
      <c r="E10" s="81" t="s">
        <v>144</v>
      </c>
      <c r="F10" s="1074">
        <f>'4.sz.m.ÖNK kiadás'!F7+'5. sz. m óvoda'!J34</f>
        <v>41473405</v>
      </c>
      <c r="G10" s="700">
        <f>'4.sz.m.ÖNK kiadás'!G7+'5. sz. m óvoda'!K34</f>
        <v>41926903</v>
      </c>
      <c r="H10" s="1079">
        <f t="shared" si="0"/>
        <v>39820497</v>
      </c>
      <c r="I10" s="705">
        <f t="shared" si="0"/>
        <v>40273995</v>
      </c>
      <c r="J10" s="1074">
        <f>'4.sz.m.ÖNK kiadás'!J7</f>
        <v>1652908</v>
      </c>
      <c r="K10" s="700">
        <f>'4.sz.m.ÖNK kiadás'!K7</f>
        <v>1652908</v>
      </c>
      <c r="L10" s="842"/>
      <c r="M10" s="82" t="e">
        <f>#REF!</f>
        <v>#REF!</v>
      </c>
      <c r="N10" s="82" t="e">
        <f>#REF!</f>
        <v>#REF!</v>
      </c>
      <c r="O10" s="82" t="e">
        <f>#REF!</f>
        <v>#REF!</v>
      </c>
      <c r="P10" s="82" t="e">
        <f>#REF!</f>
        <v>#REF!</v>
      </c>
      <c r="Q10" s="82" t="e">
        <f>#REF!</f>
        <v>#REF!</v>
      </c>
      <c r="R10" s="82" t="e">
        <f>#REF!</f>
        <v>#REF!</v>
      </c>
    </row>
    <row r="11" spans="1:18" s="83" customFormat="1" ht="33" customHeight="1">
      <c r="A11" s="84"/>
      <c r="B11" s="85" t="s">
        <v>23</v>
      </c>
      <c r="C11" s="85"/>
      <c r="D11" s="86" t="s">
        <v>145</v>
      </c>
      <c r="E11" s="81" t="s">
        <v>146</v>
      </c>
      <c r="F11" s="1074">
        <f>'4.sz.m.ÖNK kiadás'!F8+'5. sz. m óvoda'!J35</f>
        <v>8593941</v>
      </c>
      <c r="G11" s="700">
        <f>'4.sz.m.ÖNK kiadás'!G8+'5. sz. m óvoda'!K35</f>
        <v>8698361</v>
      </c>
      <c r="H11" s="1080">
        <f t="shared" si="0"/>
        <v>8142789</v>
      </c>
      <c r="I11" s="706">
        <f t="shared" si="0"/>
        <v>8247209</v>
      </c>
      <c r="J11" s="1074">
        <f>'4.sz.m.ÖNK kiadás'!J8</f>
        <v>451152</v>
      </c>
      <c r="K11" s="700">
        <f>'4.sz.m.ÖNK kiadás'!K8</f>
        <v>451152</v>
      </c>
      <c r="L11" s="842"/>
      <c r="M11" s="82" t="e">
        <f>#REF!</f>
        <v>#REF!</v>
      </c>
      <c r="N11" s="82" t="e">
        <f>#REF!</f>
        <v>#REF!</v>
      </c>
      <c r="O11" s="82" t="e">
        <f>#REF!</f>
        <v>#REF!</v>
      </c>
      <c r="P11" s="82" t="e">
        <f>#REF!</f>
        <v>#REF!</v>
      </c>
      <c r="Q11" s="82" t="e">
        <f>#REF!</f>
        <v>#REF!</v>
      </c>
      <c r="R11" s="82" t="e">
        <f>#REF!</f>
        <v>#REF!</v>
      </c>
    </row>
    <row r="12" spans="1:18" s="83" customFormat="1" ht="33" customHeight="1">
      <c r="A12" s="84"/>
      <c r="B12" s="85" t="s">
        <v>147</v>
      </c>
      <c r="C12" s="85"/>
      <c r="D12" s="86" t="s">
        <v>148</v>
      </c>
      <c r="E12" s="81" t="s">
        <v>149</v>
      </c>
      <c r="F12" s="1074">
        <f>'4.sz.m.ÖNK kiadás'!F9+'5. sz. m óvoda'!J36</f>
        <v>26904051</v>
      </c>
      <c r="G12" s="700">
        <f>'4.sz.m.ÖNK kiadás'!G9+'5. sz. m óvoda'!K36</f>
        <v>26967143</v>
      </c>
      <c r="H12" s="1080">
        <f t="shared" si="0"/>
        <v>25169431</v>
      </c>
      <c r="I12" s="706">
        <f t="shared" si="0"/>
        <v>25232523</v>
      </c>
      <c r="J12" s="1074">
        <f>'4.sz.m.ÖNK kiadás'!J9</f>
        <v>1734620</v>
      </c>
      <c r="K12" s="700">
        <f>'4.sz.m.ÖNK kiadás'!K9</f>
        <v>1734620</v>
      </c>
      <c r="L12" s="842"/>
      <c r="M12" s="82" t="e">
        <f>#REF!</f>
        <v>#REF!</v>
      </c>
      <c r="N12" s="82" t="e">
        <f>#REF!</f>
        <v>#REF!</v>
      </c>
      <c r="O12" s="82" t="e">
        <f>#REF!</f>
        <v>#REF!</v>
      </c>
      <c r="P12" s="82" t="e">
        <f>#REF!</f>
        <v>#REF!</v>
      </c>
      <c r="Q12" s="82" t="e">
        <f>#REF!</f>
        <v>#REF!</v>
      </c>
      <c r="R12" s="82" t="e">
        <f>#REF!</f>
        <v>#REF!</v>
      </c>
    </row>
    <row r="13" spans="1:18" s="83" customFormat="1" ht="33" customHeight="1">
      <c r="A13" s="84"/>
      <c r="B13" s="85" t="s">
        <v>33</v>
      </c>
      <c r="C13" s="85"/>
      <c r="D13" s="86" t="s">
        <v>150</v>
      </c>
      <c r="E13" s="81" t="s">
        <v>151</v>
      </c>
      <c r="F13" s="1074">
        <f>'4.sz.m.ÖNK kiadás'!F10</f>
        <v>2171000</v>
      </c>
      <c r="G13" s="700">
        <f>'4.sz.m.ÖNK kiadás'!G10</f>
        <v>2171000</v>
      </c>
      <c r="H13" s="1080">
        <f t="shared" si="0"/>
        <v>0</v>
      </c>
      <c r="I13" s="706">
        <f t="shared" si="0"/>
        <v>0</v>
      </c>
      <c r="J13" s="1074">
        <f>'4.sz.m.ÖNK kiadás'!J10</f>
        <v>2171000</v>
      </c>
      <c r="K13" s="700">
        <f>'4.sz.m.ÖNK kiadás'!K10</f>
        <v>2171000</v>
      </c>
      <c r="L13" s="842"/>
      <c r="M13" s="82"/>
      <c r="N13" s="82"/>
      <c r="O13" s="82"/>
      <c r="P13" s="82"/>
      <c r="Q13" s="82"/>
      <c r="R13" s="82"/>
    </row>
    <row r="14" spans="1:18" s="83" customFormat="1" ht="33" customHeight="1">
      <c r="A14" s="84"/>
      <c r="B14" s="85" t="s">
        <v>40</v>
      </c>
      <c r="C14" s="85"/>
      <c r="D14" s="87" t="s">
        <v>152</v>
      </c>
      <c r="E14" s="88" t="s">
        <v>153</v>
      </c>
      <c r="F14" s="1074">
        <f>F15+F16+F17+F18</f>
        <v>4087953</v>
      </c>
      <c r="G14" s="700">
        <f>G15+G16+G17+G18</f>
        <v>4310269</v>
      </c>
      <c r="H14" s="1080">
        <f t="shared" si="0"/>
        <v>886367</v>
      </c>
      <c r="I14" s="706">
        <f t="shared" si="0"/>
        <v>1326647</v>
      </c>
      <c r="J14" s="1074">
        <f>'4.sz.m.ÖNK kiadás'!J11</f>
        <v>3201586</v>
      </c>
      <c r="K14" s="700">
        <f>'4.sz.m.ÖNK kiadás'!K11</f>
        <v>2983622</v>
      </c>
      <c r="L14" s="842"/>
      <c r="M14" s="82"/>
      <c r="N14" s="82"/>
      <c r="O14" s="82"/>
      <c r="P14" s="82"/>
      <c r="Q14" s="82"/>
      <c r="R14" s="82"/>
    </row>
    <row r="15" spans="1:18" s="83" customFormat="1" ht="33" customHeight="1">
      <c r="A15" s="84"/>
      <c r="B15" s="89"/>
      <c r="C15" s="85" t="s">
        <v>154</v>
      </c>
      <c r="D15" s="90" t="s">
        <v>155</v>
      </c>
      <c r="E15" s="91"/>
      <c r="F15" s="1074">
        <f>'4.sz.m.ÖNK kiadás'!F12</f>
        <v>117277</v>
      </c>
      <c r="G15" s="700">
        <f>'4.sz.m.ÖNK kiadás'!G12</f>
        <v>557557</v>
      </c>
      <c r="H15" s="1080">
        <f t="shared" si="0"/>
        <v>117277</v>
      </c>
      <c r="I15" s="706">
        <f t="shared" si="0"/>
        <v>557557</v>
      </c>
      <c r="J15" s="1074">
        <f>'4.sz.m.ÖNK kiadás'!J12</f>
        <v>0</v>
      </c>
      <c r="K15" s="700">
        <f>'4.sz.m.ÖNK kiadás'!K12</f>
        <v>0</v>
      </c>
      <c r="L15" s="842"/>
      <c r="M15" s="82"/>
      <c r="N15" s="82"/>
      <c r="O15" s="82"/>
      <c r="P15" s="82"/>
      <c r="Q15" s="82"/>
      <c r="R15" s="82"/>
    </row>
    <row r="16" spans="1:18" s="83" customFormat="1" ht="57.75" customHeight="1">
      <c r="A16" s="84"/>
      <c r="B16" s="85"/>
      <c r="C16" s="85" t="s">
        <v>156</v>
      </c>
      <c r="D16" s="86" t="s">
        <v>157</v>
      </c>
      <c r="E16" s="81"/>
      <c r="F16" s="1074">
        <f>'4.sz.m.ÖNK kiadás'!F13</f>
        <v>2889266</v>
      </c>
      <c r="G16" s="700">
        <f>'4.sz.m.ÖNK kiadás'!G13</f>
        <v>2671302</v>
      </c>
      <c r="H16" s="1080">
        <f t="shared" si="0"/>
        <v>0</v>
      </c>
      <c r="I16" s="706">
        <f t="shared" si="0"/>
        <v>0</v>
      </c>
      <c r="J16" s="1074">
        <f>'4.sz.m.ÖNK kiadás'!J13</f>
        <v>2889266</v>
      </c>
      <c r="K16" s="700">
        <f>'4.sz.m.ÖNK kiadás'!K13</f>
        <v>2671302</v>
      </c>
      <c r="L16" s="842"/>
      <c r="M16" s="82"/>
      <c r="N16" s="82"/>
      <c r="O16" s="82"/>
      <c r="P16" s="82"/>
      <c r="Q16" s="82"/>
      <c r="R16" s="82"/>
    </row>
    <row r="17" spans="1:18" s="83" customFormat="1" ht="54.75" customHeight="1">
      <c r="A17" s="92"/>
      <c r="B17" s="93"/>
      <c r="C17" s="85" t="s">
        <v>158</v>
      </c>
      <c r="D17" s="86" t="s">
        <v>159</v>
      </c>
      <c r="E17" s="81"/>
      <c r="F17" s="1074">
        <f>'4.sz.m.ÖNK kiadás'!F14</f>
        <v>1081410</v>
      </c>
      <c r="G17" s="700">
        <f>'4.sz.m.ÖNK kiadás'!G14</f>
        <v>1081410</v>
      </c>
      <c r="H17" s="1068">
        <f t="shared" si="0"/>
        <v>769090</v>
      </c>
      <c r="I17" s="706">
        <f t="shared" si="0"/>
        <v>769090</v>
      </c>
      <c r="J17" s="1074">
        <f>'4.sz.m.ÖNK kiadás'!J14</f>
        <v>312320</v>
      </c>
      <c r="K17" s="700">
        <f>'4.sz.m.ÖNK kiadás'!K14</f>
        <v>312320</v>
      </c>
      <c r="L17" s="842"/>
      <c r="M17" s="82"/>
      <c r="N17" s="82"/>
      <c r="O17" s="82"/>
      <c r="P17" s="82"/>
      <c r="Q17" s="82"/>
      <c r="R17" s="82"/>
    </row>
    <row r="18" spans="1:18" s="83" customFormat="1" ht="59.25" customHeight="1" thickBot="1">
      <c r="A18" s="84"/>
      <c r="B18" s="85"/>
      <c r="C18" s="85" t="s">
        <v>160</v>
      </c>
      <c r="D18" s="86" t="s">
        <v>489</v>
      </c>
      <c r="E18" s="81"/>
      <c r="F18" s="1074">
        <f>'4.sz.m.ÖNK kiadás'!F15</f>
        <v>0</v>
      </c>
      <c r="G18" s="700">
        <f>'4.sz.m.ÖNK kiadás'!G15</f>
        <v>0</v>
      </c>
      <c r="H18" s="1082">
        <f t="shared" si="0"/>
        <v>0</v>
      </c>
      <c r="I18" s="1083">
        <f t="shared" si="0"/>
        <v>0</v>
      </c>
      <c r="J18" s="1074">
        <f>'4.sz.m.ÖNK kiadás'!J15</f>
        <v>0</v>
      </c>
      <c r="K18" s="700">
        <f>'4.sz.m.ÖNK kiadás'!K15</f>
        <v>0</v>
      </c>
      <c r="L18" s="842"/>
      <c r="M18" s="82"/>
      <c r="N18" s="82"/>
      <c r="O18" s="82"/>
      <c r="P18" s="82"/>
      <c r="Q18" s="82"/>
      <c r="R18" s="82"/>
    </row>
    <row r="19" spans="1:18" s="83" customFormat="1" ht="33" customHeight="1" hidden="1" thickBot="1">
      <c r="A19" s="94"/>
      <c r="B19" s="95"/>
      <c r="C19" s="95" t="s">
        <v>162</v>
      </c>
      <c r="D19" s="96" t="s">
        <v>163</v>
      </c>
      <c r="E19" s="97"/>
      <c r="F19" s="1074"/>
      <c r="G19" s="700"/>
      <c r="H19" s="1073">
        <f t="shared" si="0"/>
        <v>0</v>
      </c>
      <c r="I19" s="699">
        <f t="shared" si="0"/>
        <v>0</v>
      </c>
      <c r="J19" s="1074"/>
      <c r="K19" s="700"/>
      <c r="L19" s="842"/>
      <c r="M19" s="82"/>
      <c r="N19" s="82"/>
      <c r="O19" s="82"/>
      <c r="P19" s="82"/>
      <c r="Q19" s="82"/>
      <c r="R19" s="82"/>
    </row>
    <row r="20" spans="1:18" s="83" customFormat="1" ht="33" customHeight="1" thickBot="1">
      <c r="A20" s="43" t="s">
        <v>164</v>
      </c>
      <c r="B20" s="1115" t="s">
        <v>165</v>
      </c>
      <c r="C20" s="1115"/>
      <c r="D20" s="1115"/>
      <c r="E20" s="76"/>
      <c r="F20" s="1075">
        <f>F21+F22+F23</f>
        <v>47958168</v>
      </c>
      <c r="G20" s="701">
        <f>G21+G22+G23</f>
        <v>47958168</v>
      </c>
      <c r="H20" s="1073">
        <f t="shared" si="0"/>
        <v>47158168</v>
      </c>
      <c r="I20" s="699">
        <f t="shared" si="0"/>
        <v>47158168</v>
      </c>
      <c r="J20" s="1075">
        <f>J23</f>
        <v>800000</v>
      </c>
      <c r="K20" s="701">
        <f>K23</f>
        <v>800000</v>
      </c>
      <c r="L20" s="843"/>
      <c r="M20" s="98">
        <f aca="true" t="shared" si="2" ref="M20:R20">SUM(M21:M23)</f>
        <v>0</v>
      </c>
      <c r="N20" s="98">
        <f t="shared" si="2"/>
        <v>0</v>
      </c>
      <c r="O20" s="98">
        <f t="shared" si="2"/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</row>
    <row r="21" spans="1:18" s="83" customFormat="1" ht="33" customHeight="1">
      <c r="A21" s="78"/>
      <c r="B21" s="79" t="s">
        <v>46</v>
      </c>
      <c r="C21" s="1116" t="s">
        <v>166</v>
      </c>
      <c r="D21" s="1116"/>
      <c r="E21" s="99" t="s">
        <v>167</v>
      </c>
      <c r="F21" s="1074">
        <f>'4.sz.m.ÖNK kiadás'!F18+'5. sz. m óvoda'!J40</f>
        <v>10702800</v>
      </c>
      <c r="G21" s="700">
        <f>'4.sz.m.ÖNK kiadás'!G18+'5. sz. m óvoda'!K40</f>
        <v>10702800</v>
      </c>
      <c r="H21" s="1079">
        <f t="shared" si="0"/>
        <v>10702800</v>
      </c>
      <c r="I21" s="705">
        <f t="shared" si="0"/>
        <v>10702800</v>
      </c>
      <c r="J21" s="1074"/>
      <c r="K21" s="700"/>
      <c r="L21" s="842"/>
      <c r="M21" s="82"/>
      <c r="N21" s="82"/>
      <c r="O21" s="82"/>
      <c r="P21" s="82"/>
      <c r="Q21" s="82"/>
      <c r="R21" s="82"/>
    </row>
    <row r="22" spans="1:18" s="83" customFormat="1" ht="33" customHeight="1">
      <c r="A22" s="84"/>
      <c r="B22" s="85" t="s">
        <v>49</v>
      </c>
      <c r="C22" s="1117" t="s">
        <v>168</v>
      </c>
      <c r="D22" s="1117"/>
      <c r="E22" s="99" t="s">
        <v>169</v>
      </c>
      <c r="F22" s="1074">
        <f>'4.sz.m.ÖNK kiadás'!F19</f>
        <v>36455368</v>
      </c>
      <c r="G22" s="700">
        <f>'4.sz.m.ÖNK kiadás'!G19</f>
        <v>36455368</v>
      </c>
      <c r="H22" s="1080">
        <f t="shared" si="0"/>
        <v>36455368</v>
      </c>
      <c r="I22" s="706">
        <f t="shared" si="0"/>
        <v>36455368</v>
      </c>
      <c r="J22" s="1074"/>
      <c r="K22" s="700"/>
      <c r="L22" s="842"/>
      <c r="M22" s="82"/>
      <c r="N22" s="82"/>
      <c r="O22" s="82"/>
      <c r="P22" s="82"/>
      <c r="Q22" s="82"/>
      <c r="R22" s="82"/>
    </row>
    <row r="23" spans="1:18" s="83" customFormat="1" ht="33" customHeight="1">
      <c r="A23" s="100"/>
      <c r="B23" s="85" t="s">
        <v>52</v>
      </c>
      <c r="C23" s="1118" t="s">
        <v>170</v>
      </c>
      <c r="D23" s="1118"/>
      <c r="E23" s="102" t="s">
        <v>171</v>
      </c>
      <c r="F23" s="1074">
        <f>SUM(F24:F27)</f>
        <v>800000</v>
      </c>
      <c r="G23" s="700">
        <f>SUM(G24:G27)</f>
        <v>800000</v>
      </c>
      <c r="H23" s="1080">
        <f t="shared" si="0"/>
        <v>0</v>
      </c>
      <c r="I23" s="706">
        <f t="shared" si="0"/>
        <v>0</v>
      </c>
      <c r="J23" s="1074">
        <f>SUM(J24:J27)</f>
        <v>800000</v>
      </c>
      <c r="K23" s="700">
        <f>SUM(K24:K27)</f>
        <v>800000</v>
      </c>
      <c r="L23" s="842"/>
      <c r="M23" s="82"/>
      <c r="N23" s="82"/>
      <c r="O23" s="82"/>
      <c r="P23" s="82"/>
      <c r="Q23" s="82"/>
      <c r="R23" s="82"/>
    </row>
    <row r="24" spans="1:18" s="83" customFormat="1" ht="33" customHeight="1">
      <c r="A24" s="103"/>
      <c r="B24" s="104"/>
      <c r="C24" s="104" t="s">
        <v>55</v>
      </c>
      <c r="D24" s="101" t="s">
        <v>172</v>
      </c>
      <c r="E24" s="102"/>
      <c r="F24" s="1074">
        <f>'4.sz.m.ÖNK kiadás'!F21</f>
        <v>800000</v>
      </c>
      <c r="G24" s="700">
        <f>'4.sz.m.ÖNK kiadás'!G21</f>
        <v>800000</v>
      </c>
      <c r="H24" s="1080">
        <f t="shared" si="0"/>
        <v>0</v>
      </c>
      <c r="I24" s="706">
        <f t="shared" si="0"/>
        <v>0</v>
      </c>
      <c r="J24" s="1074">
        <f>'4.sz.m.ÖNK kiadás'!J21</f>
        <v>800000</v>
      </c>
      <c r="K24" s="700">
        <f>'4.sz.m.ÖNK kiadás'!K21</f>
        <v>800000</v>
      </c>
      <c r="L24" s="842"/>
      <c r="M24" s="82"/>
      <c r="N24" s="82"/>
      <c r="O24" s="82"/>
      <c r="P24" s="82"/>
      <c r="Q24" s="82"/>
      <c r="R24" s="82"/>
    </row>
    <row r="25" spans="1:18" s="83" customFormat="1" ht="33" customHeight="1">
      <c r="A25" s="103"/>
      <c r="B25" s="104"/>
      <c r="C25" s="104" t="s">
        <v>57</v>
      </c>
      <c r="D25" s="101" t="s">
        <v>173</v>
      </c>
      <c r="E25" s="102"/>
      <c r="F25" s="1074"/>
      <c r="G25" s="700"/>
      <c r="H25" s="1080">
        <f t="shared" si="0"/>
        <v>0</v>
      </c>
      <c r="I25" s="706">
        <f t="shared" si="0"/>
        <v>0</v>
      </c>
      <c r="J25" s="1074"/>
      <c r="K25" s="700"/>
      <c r="L25" s="842"/>
      <c r="M25" s="82"/>
      <c r="N25" s="82"/>
      <c r="O25" s="82"/>
      <c r="P25" s="82"/>
      <c r="Q25" s="82"/>
      <c r="R25" s="82"/>
    </row>
    <row r="26" spans="1:18" s="83" customFormat="1" ht="33" customHeight="1">
      <c r="A26" s="100"/>
      <c r="B26" s="101"/>
      <c r="C26" s="104" t="s">
        <v>59</v>
      </c>
      <c r="D26" s="101" t="s">
        <v>161</v>
      </c>
      <c r="E26" s="102"/>
      <c r="F26" s="1074"/>
      <c r="G26" s="700"/>
      <c r="H26" s="1080">
        <f t="shared" si="0"/>
        <v>0</v>
      </c>
      <c r="I26" s="706">
        <f t="shared" si="0"/>
        <v>0</v>
      </c>
      <c r="J26" s="1074"/>
      <c r="K26" s="700"/>
      <c r="L26" s="842"/>
      <c r="M26" s="82"/>
      <c r="N26" s="82"/>
      <c r="O26" s="82"/>
      <c r="P26" s="82"/>
      <c r="Q26" s="82"/>
      <c r="R26" s="82"/>
    </row>
    <row r="27" spans="1:18" s="83" customFormat="1" ht="33" customHeight="1" thickBot="1">
      <c r="A27" s="105"/>
      <c r="B27" s="106"/>
      <c r="C27" s="107" t="s">
        <v>174</v>
      </c>
      <c r="D27" s="106" t="s">
        <v>175</v>
      </c>
      <c r="E27" s="108"/>
      <c r="F27" s="1074"/>
      <c r="G27" s="700"/>
      <c r="H27" s="1081">
        <f t="shared" si="0"/>
        <v>0</v>
      </c>
      <c r="I27" s="707">
        <f t="shared" si="0"/>
        <v>0</v>
      </c>
      <c r="J27" s="1074"/>
      <c r="K27" s="700"/>
      <c r="L27" s="842"/>
      <c r="M27" s="82"/>
      <c r="N27" s="82"/>
      <c r="O27" s="82"/>
      <c r="P27" s="82"/>
      <c r="Q27" s="82"/>
      <c r="R27" s="82"/>
    </row>
    <row r="28" spans="1:18" s="83" customFormat="1" ht="33" customHeight="1" thickBot="1">
      <c r="A28" s="43" t="s">
        <v>70</v>
      </c>
      <c r="B28" s="1115" t="s">
        <v>176</v>
      </c>
      <c r="C28" s="1115"/>
      <c r="D28" s="1115"/>
      <c r="E28" s="76" t="s">
        <v>177</v>
      </c>
      <c r="F28" s="1075">
        <f>F29+F31</f>
        <v>118110</v>
      </c>
      <c r="G28" s="701">
        <f>G29+G31</f>
        <v>118549</v>
      </c>
      <c r="H28" s="1073">
        <f t="shared" si="0"/>
        <v>118110</v>
      </c>
      <c r="I28" s="699">
        <f t="shared" si="0"/>
        <v>118549</v>
      </c>
      <c r="J28" s="1075"/>
      <c r="K28" s="701"/>
      <c r="L28" s="843"/>
      <c r="M28" s="98">
        <f aca="true" t="shared" si="3" ref="M28:R28">SUM(M29:M31)</f>
        <v>0</v>
      </c>
      <c r="N28" s="98">
        <f t="shared" si="3"/>
        <v>0</v>
      </c>
      <c r="O28" s="98">
        <f t="shared" si="3"/>
        <v>0</v>
      </c>
      <c r="P28" s="98">
        <f t="shared" si="3"/>
        <v>0</v>
      </c>
      <c r="Q28" s="98">
        <f t="shared" si="3"/>
        <v>0</v>
      </c>
      <c r="R28" s="98">
        <f t="shared" si="3"/>
        <v>0</v>
      </c>
    </row>
    <row r="29" spans="1:18" s="83" customFormat="1" ht="33" customHeight="1">
      <c r="A29" s="78"/>
      <c r="B29" s="79" t="s">
        <v>73</v>
      </c>
      <c r="C29" s="1116" t="s">
        <v>178</v>
      </c>
      <c r="D29" s="1116"/>
      <c r="E29" s="99"/>
      <c r="F29" s="1074">
        <f>'4.sz.m.ÖNK kiadás'!F26</f>
        <v>118110</v>
      </c>
      <c r="G29" s="700">
        <f>'4.sz.m.ÖNK kiadás'!G26</f>
        <v>118549</v>
      </c>
      <c r="H29" s="1079">
        <f t="shared" si="0"/>
        <v>118110</v>
      </c>
      <c r="I29" s="705">
        <f t="shared" si="0"/>
        <v>118549</v>
      </c>
      <c r="J29" s="1074"/>
      <c r="K29" s="700"/>
      <c r="L29" s="842"/>
      <c r="M29" s="82"/>
      <c r="N29" s="82"/>
      <c r="O29" s="82"/>
      <c r="P29" s="82"/>
      <c r="Q29" s="82"/>
      <c r="R29" s="82"/>
    </row>
    <row r="30" spans="1:18" s="77" customFormat="1" ht="33" customHeight="1">
      <c r="A30" s="109"/>
      <c r="B30" s="85" t="s">
        <v>76</v>
      </c>
      <c r="C30" s="1119" t="s">
        <v>179</v>
      </c>
      <c r="D30" s="1119"/>
      <c r="E30" s="110"/>
      <c r="F30" s="1074">
        <f>'4.sz.m.ÖNK kiadás'!F27</f>
        <v>0</v>
      </c>
      <c r="G30" s="700">
        <f>'4.sz.m.ÖNK kiadás'!G27</f>
        <v>0</v>
      </c>
      <c r="H30" s="1080">
        <f t="shared" si="0"/>
        <v>0</v>
      </c>
      <c r="I30" s="706">
        <f t="shared" si="0"/>
        <v>0</v>
      </c>
      <c r="J30" s="1074"/>
      <c r="K30" s="700"/>
      <c r="L30" s="842"/>
      <c r="M30" s="82"/>
      <c r="N30" s="82"/>
      <c r="O30" s="82"/>
      <c r="P30" s="82"/>
      <c r="Q30" s="82"/>
      <c r="R30" s="82"/>
    </row>
    <row r="31" spans="1:18" s="77" customFormat="1" ht="33" customHeight="1" thickBot="1">
      <c r="A31" s="111"/>
      <c r="B31" s="95" t="s">
        <v>78</v>
      </c>
      <c r="C31" s="112" t="s">
        <v>180</v>
      </c>
      <c r="D31" s="112"/>
      <c r="E31" s="113"/>
      <c r="F31" s="1074">
        <f>'4.sz.m.ÖNK kiadás'!F28</f>
        <v>0</v>
      </c>
      <c r="G31" s="700">
        <f>'4.sz.m.ÖNK kiadás'!G28</f>
        <v>0</v>
      </c>
      <c r="H31" s="1081">
        <f t="shared" si="0"/>
        <v>0</v>
      </c>
      <c r="I31" s="707">
        <f t="shared" si="0"/>
        <v>0</v>
      </c>
      <c r="J31" s="1074"/>
      <c r="K31" s="700"/>
      <c r="L31" s="842"/>
      <c r="M31" s="82"/>
      <c r="N31" s="82"/>
      <c r="O31" s="82"/>
      <c r="P31" s="82"/>
      <c r="Q31" s="82"/>
      <c r="R31" s="82"/>
    </row>
    <row r="32" spans="1:18" s="77" customFormat="1" ht="33" customHeight="1" thickBot="1">
      <c r="A32" s="114" t="s">
        <v>89</v>
      </c>
      <c r="B32" s="115" t="s">
        <v>181</v>
      </c>
      <c r="C32" s="115"/>
      <c r="D32" s="115"/>
      <c r="E32" s="116"/>
      <c r="F32" s="1073"/>
      <c r="G32" s="699"/>
      <c r="H32" s="1073">
        <f t="shared" si="0"/>
        <v>0</v>
      </c>
      <c r="I32" s="699">
        <f t="shared" si="0"/>
        <v>0</v>
      </c>
      <c r="J32" s="1073"/>
      <c r="K32" s="699"/>
      <c r="L32" s="841"/>
      <c r="M32" s="117"/>
      <c r="N32" s="117"/>
      <c r="O32" s="117"/>
      <c r="P32" s="117"/>
      <c r="Q32" s="117"/>
      <c r="R32" s="117"/>
    </row>
    <row r="33" spans="1:18" s="77" customFormat="1" ht="33" customHeight="1" thickBot="1">
      <c r="A33" s="43" t="s">
        <v>102</v>
      </c>
      <c r="B33" s="1120" t="s">
        <v>182</v>
      </c>
      <c r="C33" s="1120"/>
      <c r="D33" s="1120"/>
      <c r="E33" s="57"/>
      <c r="F33" s="1073">
        <f>F9+F20+F28</f>
        <v>131306628</v>
      </c>
      <c r="G33" s="699">
        <f>G9+G20+G28</f>
        <v>132150393</v>
      </c>
      <c r="H33" s="1073">
        <f t="shared" si="0"/>
        <v>121295362</v>
      </c>
      <c r="I33" s="699">
        <f t="shared" si="0"/>
        <v>122357091</v>
      </c>
      <c r="J33" s="1073">
        <f>J9+J20</f>
        <v>10011266</v>
      </c>
      <c r="K33" s="699">
        <f>K9+K20</f>
        <v>9793302</v>
      </c>
      <c r="L33" s="841"/>
      <c r="M33" s="118" t="e">
        <f aca="true" t="shared" si="4" ref="M33:R33">M9+M20+M28+M32</f>
        <v>#REF!</v>
      </c>
      <c r="N33" s="118" t="e">
        <f t="shared" si="4"/>
        <v>#REF!</v>
      </c>
      <c r="O33" s="118" t="e">
        <f t="shared" si="4"/>
        <v>#REF!</v>
      </c>
      <c r="P33" s="118" t="e">
        <f t="shared" si="4"/>
        <v>#REF!</v>
      </c>
      <c r="Q33" s="118" t="e">
        <f t="shared" si="4"/>
        <v>#REF!</v>
      </c>
      <c r="R33" s="118" t="e">
        <f t="shared" si="4"/>
        <v>#REF!</v>
      </c>
    </row>
    <row r="34" spans="1:18" s="77" customFormat="1" ht="33" customHeight="1" thickBot="1">
      <c r="A34" s="119" t="s">
        <v>110</v>
      </c>
      <c r="B34" s="1121" t="s">
        <v>183</v>
      </c>
      <c r="C34" s="1121"/>
      <c r="D34" s="1121"/>
      <c r="E34" s="120" t="s">
        <v>184</v>
      </c>
      <c r="F34" s="1076">
        <f>SUM(F35:F36)</f>
        <v>849838</v>
      </c>
      <c r="G34" s="702">
        <f>SUM(G35:G36)</f>
        <v>849838</v>
      </c>
      <c r="H34" s="1073">
        <f t="shared" si="0"/>
        <v>849838</v>
      </c>
      <c r="I34" s="699">
        <f t="shared" si="0"/>
        <v>849838</v>
      </c>
      <c r="J34" s="1076"/>
      <c r="K34" s="702"/>
      <c r="L34" s="844"/>
      <c r="M34" s="45"/>
      <c r="N34" s="45"/>
      <c r="O34" s="45"/>
      <c r="P34" s="45"/>
      <c r="Q34" s="45"/>
      <c r="R34" s="45"/>
    </row>
    <row r="35" spans="1:18" s="83" customFormat="1" ht="33" customHeight="1">
      <c r="A35" s="121"/>
      <c r="B35" s="79" t="s">
        <v>113</v>
      </c>
      <c r="C35" s="1092" t="s">
        <v>185</v>
      </c>
      <c r="D35" s="1092"/>
      <c r="E35" s="39"/>
      <c r="F35" s="1074"/>
      <c r="G35" s="700"/>
      <c r="H35" s="1079">
        <f t="shared" si="0"/>
        <v>0</v>
      </c>
      <c r="I35" s="705">
        <f t="shared" si="0"/>
        <v>0</v>
      </c>
      <c r="J35" s="1074"/>
      <c r="K35" s="700"/>
      <c r="L35" s="842"/>
      <c r="M35" s="82"/>
      <c r="N35" s="82"/>
      <c r="O35" s="82"/>
      <c r="P35" s="82"/>
      <c r="Q35" s="82"/>
      <c r="R35" s="82"/>
    </row>
    <row r="36" spans="1:18" s="83" customFormat="1" ht="33" customHeight="1" thickBot="1">
      <c r="A36" s="94"/>
      <c r="B36" s="95" t="s">
        <v>116</v>
      </c>
      <c r="C36" s="1114" t="s">
        <v>438</v>
      </c>
      <c r="D36" s="1114"/>
      <c r="E36" s="122"/>
      <c r="F36" s="1077">
        <f>'4.sz.m.ÖNK kiadás'!F34</f>
        <v>849838</v>
      </c>
      <c r="G36" s="703">
        <f>'4.sz.m.ÖNK kiadás'!G34</f>
        <v>849838</v>
      </c>
      <c r="H36" s="1081">
        <f t="shared" si="0"/>
        <v>849838</v>
      </c>
      <c r="I36" s="707">
        <f t="shared" si="0"/>
        <v>849838</v>
      </c>
      <c r="J36" s="1077"/>
      <c r="K36" s="703"/>
      <c r="L36" s="845"/>
      <c r="M36" s="123"/>
      <c r="N36" s="123"/>
      <c r="O36" s="123"/>
      <c r="P36" s="123"/>
      <c r="Q36" s="123"/>
      <c r="R36" s="123"/>
    </row>
    <row r="37" spans="1:18" s="83" customFormat="1" ht="33" customHeight="1" hidden="1" thickBot="1">
      <c r="A37" s="124" t="s">
        <v>119</v>
      </c>
      <c r="B37" s="1123"/>
      <c r="C37" s="1123"/>
      <c r="D37" s="1123"/>
      <c r="E37" s="126"/>
      <c r="F37" s="1078"/>
      <c r="G37" s="704"/>
      <c r="H37" s="1073">
        <f t="shared" si="0"/>
        <v>0</v>
      </c>
      <c r="I37" s="699">
        <f t="shared" si="0"/>
        <v>0</v>
      </c>
      <c r="J37" s="1078"/>
      <c r="K37" s="704"/>
      <c r="L37" s="846"/>
      <c r="M37" s="127" t="e">
        <f aca="true" t="shared" si="5" ref="M37:R37">M33+M34</f>
        <v>#REF!</v>
      </c>
      <c r="N37" s="127" t="e">
        <f t="shared" si="5"/>
        <v>#REF!</v>
      </c>
      <c r="O37" s="127" t="e">
        <f t="shared" si="5"/>
        <v>#REF!</v>
      </c>
      <c r="P37" s="127" t="e">
        <f t="shared" si="5"/>
        <v>#REF!</v>
      </c>
      <c r="Q37" s="127" t="e">
        <f t="shared" si="5"/>
        <v>#REF!</v>
      </c>
      <c r="R37" s="127" t="e">
        <f t="shared" si="5"/>
        <v>#REF!</v>
      </c>
    </row>
    <row r="38" spans="1:18" s="83" customFormat="1" ht="33" customHeight="1" hidden="1" thickBot="1">
      <c r="A38" s="1124" t="s">
        <v>186</v>
      </c>
      <c r="B38" s="1124"/>
      <c r="C38" s="1124"/>
      <c r="D38" s="1124"/>
      <c r="E38" s="128"/>
      <c r="F38" s="1077"/>
      <c r="G38" s="703"/>
      <c r="H38" s="1073">
        <f t="shared" si="0"/>
        <v>0</v>
      </c>
      <c r="I38" s="699">
        <f t="shared" si="0"/>
        <v>0</v>
      </c>
      <c r="J38" s="1077"/>
      <c r="K38" s="703"/>
      <c r="L38" s="847"/>
      <c r="M38" s="129"/>
      <c r="N38" s="129"/>
      <c r="O38" s="129"/>
      <c r="P38" s="123"/>
      <c r="Q38" s="123"/>
      <c r="R38" s="123"/>
    </row>
    <row r="39" spans="1:18" s="83" customFormat="1" ht="43.5" customHeight="1" thickBot="1">
      <c r="A39" s="1099" t="s">
        <v>187</v>
      </c>
      <c r="B39" s="1099"/>
      <c r="C39" s="1099"/>
      <c r="D39" s="1099"/>
      <c r="E39" s="57"/>
      <c r="F39" s="1073">
        <f>F33+F34</f>
        <v>132156466</v>
      </c>
      <c r="G39" s="699">
        <f>G33+G34</f>
        <v>133000231</v>
      </c>
      <c r="H39" s="1073">
        <f t="shared" si="0"/>
        <v>122145200</v>
      </c>
      <c r="I39" s="699">
        <f t="shared" si="0"/>
        <v>123206929</v>
      </c>
      <c r="J39" s="1075">
        <f>J33+J34</f>
        <v>10011266</v>
      </c>
      <c r="K39" s="701">
        <f>K33+K34</f>
        <v>9793302</v>
      </c>
      <c r="L39" s="843"/>
      <c r="M39" s="98" t="e">
        <f aca="true" t="shared" si="6" ref="M39:R39">M37+M38</f>
        <v>#REF!</v>
      </c>
      <c r="N39" s="98" t="e">
        <f t="shared" si="6"/>
        <v>#REF!</v>
      </c>
      <c r="O39" s="98" t="e">
        <f t="shared" si="6"/>
        <v>#REF!</v>
      </c>
      <c r="P39" s="98" t="e">
        <f t="shared" si="6"/>
        <v>#REF!</v>
      </c>
      <c r="Q39" s="98" t="e">
        <f t="shared" si="6"/>
        <v>#REF!</v>
      </c>
      <c r="R39" s="98" t="e">
        <f t="shared" si="6"/>
        <v>#REF!</v>
      </c>
    </row>
    <row r="40" spans="1:17" s="83" customFormat="1" ht="19.5" customHeight="1">
      <c r="A40" s="130"/>
      <c r="B40" s="69"/>
      <c r="C40" s="130"/>
      <c r="D40" s="130"/>
      <c r="E40" s="130"/>
      <c r="F40" s="131"/>
      <c r="G40" s="131"/>
      <c r="H40" s="132"/>
      <c r="I40" s="132"/>
      <c r="J40" s="132"/>
      <c r="K40" s="132"/>
      <c r="L40" s="133"/>
      <c r="M40" s="133"/>
      <c r="N40" s="133"/>
      <c r="O40" s="133"/>
      <c r="P40" s="133"/>
      <c r="Q40" s="133"/>
    </row>
    <row r="41" spans="1:17" s="83" customFormat="1" ht="19.5" customHeight="1">
      <c r="A41" s="130"/>
      <c r="B41" s="69"/>
      <c r="C41" s="130"/>
      <c r="D41" s="130"/>
      <c r="E41" s="130"/>
      <c r="F41" s="131"/>
      <c r="G41" s="131"/>
      <c r="H41" s="132"/>
      <c r="I41" s="132"/>
      <c r="J41" s="132"/>
      <c r="K41" s="132"/>
      <c r="L41" s="134"/>
      <c r="M41" s="134"/>
      <c r="N41" s="134"/>
      <c r="O41" s="134"/>
      <c r="P41" s="134"/>
      <c r="Q41" s="134"/>
    </row>
    <row r="42" spans="1:17" s="83" customFormat="1" ht="19.5" customHeight="1">
      <c r="A42" s="130"/>
      <c r="B42" s="69"/>
      <c r="C42" s="1125" t="s">
        <v>188</v>
      </c>
      <c r="D42" s="1125"/>
      <c r="E42" s="1125"/>
      <c r="F42" s="1125"/>
      <c r="G42" s="1125"/>
      <c r="H42" s="1125"/>
      <c r="I42" s="946"/>
      <c r="J42" s="135"/>
      <c r="K42" s="135"/>
      <c r="L42" s="136"/>
      <c r="M42" s="136"/>
      <c r="N42" s="136"/>
      <c r="O42" s="136"/>
      <c r="P42" s="136"/>
      <c r="Q42" s="137"/>
    </row>
    <row r="43" spans="1:17" s="83" customFormat="1" ht="19.5" customHeight="1" thickBot="1">
      <c r="A43" s="138" t="s">
        <v>189</v>
      </c>
      <c r="B43" s="138"/>
      <c r="F43" s="139"/>
      <c r="G43" s="139"/>
      <c r="H43" s="140"/>
      <c r="I43" s="140"/>
      <c r="J43" s="141"/>
      <c r="K43" s="141"/>
      <c r="L43" s="142"/>
      <c r="M43" s="142"/>
      <c r="N43" s="142"/>
      <c r="O43" s="142"/>
      <c r="P43" s="142"/>
      <c r="Q43" s="143"/>
    </row>
    <row r="44" spans="1:18" ht="52.5" customHeight="1" thickBot="1">
      <c r="A44" s="144">
        <v>1</v>
      </c>
      <c r="B44" s="1126" t="s">
        <v>190</v>
      </c>
      <c r="C44" s="1126"/>
      <c r="D44" s="1126"/>
      <c r="E44" s="582"/>
      <c r="F44" s="583">
        <f>'1.sz.m-önk.össze.bev'!F60-'1 .sz.m.önk.össz.kiad.'!F33</f>
        <v>-60876698</v>
      </c>
      <c r="G44" s="583">
        <f>'1.sz.m-önk.össze.bev'!G60-'1 .sz.m.önk.össz.kiad.'!G33</f>
        <v>-60998247</v>
      </c>
      <c r="H44" s="583">
        <f>'1.sz.m-önk.össze.bev'!H60-'1 .sz.m.önk.össz.kiad.'!H33</f>
        <v>-60876698</v>
      </c>
      <c r="I44" s="583">
        <f>'1.sz.m-önk.össze.bev'!I60-'1 .sz.m.önk.össz.kiad.'!I33</f>
        <v>-60998247</v>
      </c>
      <c r="J44" s="583"/>
      <c r="K44" s="583"/>
      <c r="L44" s="583">
        <f>'1.sz.m-önk.össze.bev'!L60-'1 .sz.m.önk.össz.kiad.'!L33</f>
        <v>0</v>
      </c>
      <c r="M44" s="145" t="e">
        <f>#REF!-'1 .sz.m.önk.össz.kiad.'!M33</f>
        <v>#REF!</v>
      </c>
      <c r="N44" s="145" t="e">
        <f>#REF!-'1 .sz.m.önk.össz.kiad.'!N33</f>
        <v>#REF!</v>
      </c>
      <c r="O44" s="145" t="e">
        <f>#REF!-'1 .sz.m.önk.össz.kiad.'!O33</f>
        <v>#REF!</v>
      </c>
      <c r="P44" s="145" t="e">
        <f>#REF!-'1 .sz.m.önk.össz.kiad.'!P33</f>
        <v>#REF!</v>
      </c>
      <c r="Q44" s="145" t="e">
        <f>#REF!-'1 .sz.m.önk.össz.kiad.'!Q33</f>
        <v>#REF!</v>
      </c>
      <c r="R44" s="145" t="e">
        <f>#REF!-'1 .sz.m.önk.össz.kiad.'!R33</f>
        <v>#REF!</v>
      </c>
    </row>
    <row r="45" spans="1:11" ht="18.75" customHeight="1">
      <c r="A45" s="146"/>
      <c r="B45" s="147"/>
      <c r="C45" s="584"/>
      <c r="D45" s="584"/>
      <c r="E45" s="584"/>
      <c r="F45" s="148"/>
      <c r="G45" s="148"/>
      <c r="H45" s="585"/>
      <c r="I45" s="585"/>
      <c r="J45" s="586"/>
      <c r="K45" s="586"/>
    </row>
    <row r="46" spans="1:11" ht="15.75" customHeight="1">
      <c r="A46" s="146"/>
      <c r="B46" s="147"/>
      <c r="C46" s="1127"/>
      <c r="D46" s="1127"/>
      <c r="E46" s="1127"/>
      <c r="F46" s="1127"/>
      <c r="G46" s="1127"/>
      <c r="H46" s="1127"/>
      <c r="I46" s="149"/>
      <c r="J46" s="149"/>
      <c r="K46" s="149"/>
    </row>
    <row r="47" spans="1:11" ht="16.5" customHeight="1" thickBot="1">
      <c r="A47" s="138" t="s">
        <v>191</v>
      </c>
      <c r="B47" s="147"/>
      <c r="C47" s="1128"/>
      <c r="D47" s="1128"/>
      <c r="E47" s="587"/>
      <c r="F47" s="584"/>
      <c r="G47" s="584"/>
      <c r="H47" s="585"/>
      <c r="I47" s="585"/>
      <c r="J47" s="586"/>
      <c r="K47" s="586"/>
    </row>
    <row r="48" spans="1:18" ht="27.75" customHeight="1">
      <c r="A48" s="626" t="s">
        <v>10</v>
      </c>
      <c r="B48" s="1131" t="s">
        <v>468</v>
      </c>
      <c r="C48" s="1132"/>
      <c r="D48" s="1133"/>
      <c r="E48" s="588"/>
      <c r="F48" s="637">
        <f>'2.sz.m.összehasonlító'!B15</f>
        <v>13968360</v>
      </c>
      <c r="G48" s="637">
        <f>'2.sz.m.összehasonlító'!C15</f>
        <v>14089909</v>
      </c>
      <c r="H48" s="637">
        <f>'2.sz.m.összehasonlító'!B15</f>
        <v>13968360</v>
      </c>
      <c r="I48" s="637">
        <f>'2.sz.m.összehasonlító'!C15</f>
        <v>14089909</v>
      </c>
      <c r="J48" s="589"/>
      <c r="K48" s="589"/>
      <c r="L48" s="589"/>
      <c r="M48" s="150" t="e">
        <f>#REF!</f>
        <v>#REF!</v>
      </c>
      <c r="N48" s="150" t="e">
        <f>#REF!</f>
        <v>#REF!</v>
      </c>
      <c r="O48" s="150" t="e">
        <f>#REF!</f>
        <v>#REF!</v>
      </c>
      <c r="P48" s="150" t="e">
        <f>#REF!</f>
        <v>#REF!</v>
      </c>
      <c r="Q48" s="150" t="e">
        <f>#REF!</f>
        <v>#REF!</v>
      </c>
      <c r="R48" s="150" t="e">
        <f>#REF!</f>
        <v>#REF!</v>
      </c>
    </row>
    <row r="49" spans="1:18" ht="27.75" customHeight="1">
      <c r="A49" s="627" t="s">
        <v>164</v>
      </c>
      <c r="B49" s="1134" t="s">
        <v>469</v>
      </c>
      <c r="C49" s="1135"/>
      <c r="D49" s="1136"/>
      <c r="E49" s="590"/>
      <c r="F49" s="638">
        <f>'2.sz.m.összehasonlító'!B28</f>
        <v>5517408</v>
      </c>
      <c r="G49" s="638">
        <f>'2.sz.m.összehasonlító'!C28</f>
        <v>5517408</v>
      </c>
      <c r="H49" s="638">
        <f>'2.sz.m.összehasonlító'!B28</f>
        <v>5517408</v>
      </c>
      <c r="I49" s="638">
        <f>'2.sz.m.összehasonlító'!C28</f>
        <v>5517408</v>
      </c>
      <c r="J49" s="591"/>
      <c r="K49" s="591"/>
      <c r="L49" s="591"/>
      <c r="M49" s="151"/>
      <c r="N49" s="151"/>
      <c r="O49" s="151"/>
      <c r="P49" s="151"/>
      <c r="Q49" s="151"/>
      <c r="R49" s="151"/>
    </row>
    <row r="50" spans="1:18" ht="27.75" customHeight="1" thickBot="1">
      <c r="A50" s="628" t="s">
        <v>70</v>
      </c>
      <c r="B50" s="1137" t="s">
        <v>470</v>
      </c>
      <c r="C50" s="1138"/>
      <c r="D50" s="1139"/>
      <c r="E50" s="592"/>
      <c r="F50" s="636">
        <f>F48+F49</f>
        <v>19485768</v>
      </c>
      <c r="G50" s="636">
        <f>G48+G49</f>
        <v>19607317</v>
      </c>
      <c r="H50" s="636">
        <f>H48+H49</f>
        <v>19485768</v>
      </c>
      <c r="I50" s="636">
        <f>I48+I49</f>
        <v>19607317</v>
      </c>
      <c r="J50" s="593"/>
      <c r="K50" s="593"/>
      <c r="L50" s="593"/>
      <c r="M50" s="152" t="e">
        <f aca="true" t="shared" si="7" ref="M50:R50">M48+M49</f>
        <v>#REF!</v>
      </c>
      <c r="N50" s="152" t="e">
        <f t="shared" si="7"/>
        <v>#REF!</v>
      </c>
      <c r="O50" s="152" t="e">
        <f t="shared" si="7"/>
        <v>#REF!</v>
      </c>
      <c r="P50" s="152" t="e">
        <f t="shared" si="7"/>
        <v>#REF!</v>
      </c>
      <c r="Q50" s="152" t="e">
        <f t="shared" si="7"/>
        <v>#REF!</v>
      </c>
      <c r="R50" s="152" t="e">
        <f t="shared" si="7"/>
        <v>#REF!</v>
      </c>
    </row>
    <row r="51" spans="1:12" ht="15.75">
      <c r="A51" s="146"/>
      <c r="B51" s="147"/>
      <c r="C51" s="594"/>
      <c r="D51" s="595"/>
      <c r="E51" s="595"/>
      <c r="F51" s="596"/>
      <c r="G51" s="596"/>
      <c r="H51" s="585"/>
      <c r="I51" s="585"/>
      <c r="J51" s="586"/>
      <c r="K51" s="586"/>
      <c r="L51" s="597"/>
    </row>
    <row r="52" spans="1:11" ht="15.75" customHeight="1">
      <c r="A52" s="146"/>
      <c r="B52" s="147"/>
      <c r="C52" s="1127"/>
      <c r="D52" s="1127"/>
      <c r="E52" s="1127"/>
      <c r="F52" s="1127"/>
      <c r="G52" s="1127"/>
      <c r="H52" s="1127"/>
      <c r="I52" s="149"/>
      <c r="J52" s="149"/>
      <c r="K52" s="149"/>
    </row>
    <row r="53" spans="1:11" ht="16.5" customHeight="1" thickBot="1">
      <c r="A53" s="138" t="s">
        <v>192</v>
      </c>
      <c r="B53" s="598"/>
      <c r="C53" s="1122"/>
      <c r="D53" s="1122"/>
      <c r="E53" s="587"/>
      <c r="F53" s="584"/>
      <c r="G53" s="584"/>
      <c r="H53" s="585"/>
      <c r="I53" s="585"/>
      <c r="J53" s="586"/>
      <c r="K53" s="586"/>
    </row>
    <row r="54" spans="1:18" ht="27.75" customHeight="1">
      <c r="A54" s="626" t="s">
        <v>10</v>
      </c>
      <c r="B54" s="1131" t="s">
        <v>471</v>
      </c>
      <c r="C54" s="1132"/>
      <c r="D54" s="1133"/>
      <c r="E54" s="588"/>
      <c r="F54" s="599">
        <f>'1.sz.m-önk.össze.bev'!F63</f>
        <v>0</v>
      </c>
      <c r="G54" s="599">
        <f>'1.sz.m-önk.össze.bev'!G63</f>
        <v>0</v>
      </c>
      <c r="H54" s="599"/>
      <c r="I54" s="599"/>
      <c r="J54" s="599"/>
      <c r="K54" s="599"/>
      <c r="L54" s="599"/>
      <c r="M54" s="599">
        <f>'1.sz.m-önk.össze.bev'!M63</f>
        <v>0</v>
      </c>
      <c r="N54" s="599">
        <f>'1.sz.m-önk.össze.bev'!N63</f>
        <v>0</v>
      </c>
      <c r="O54" s="599">
        <f>'1.sz.m-önk.össze.bev'!O63</f>
        <v>0</v>
      </c>
      <c r="P54" s="599">
        <f>'1.sz.m-önk.össze.bev'!P63</f>
        <v>0</v>
      </c>
      <c r="Q54" s="599">
        <f>'1.sz.m-önk.össze.bev'!Q63</f>
        <v>0</v>
      </c>
      <c r="R54" s="599">
        <f>'1.sz.m-önk.össze.bev'!R63</f>
        <v>0</v>
      </c>
    </row>
    <row r="55" spans="1:18" ht="27.75" customHeight="1">
      <c r="A55" s="627" t="s">
        <v>164</v>
      </c>
      <c r="B55" s="1134" t="s">
        <v>472</v>
      </c>
      <c r="C55" s="1135"/>
      <c r="D55" s="1136"/>
      <c r="E55" s="590"/>
      <c r="F55" s="600">
        <f>'1.sz.m-önk.össze.bev'!F62</f>
        <v>42240768</v>
      </c>
      <c r="G55" s="600">
        <f>'1.sz.m-önk.össze.bev'!G62</f>
        <v>42240768</v>
      </c>
      <c r="H55" s="600">
        <f>'1.sz.m-önk.össze.bev'!H62</f>
        <v>42240768</v>
      </c>
      <c r="I55" s="600">
        <f>'1.sz.m-önk.össze.bev'!I62</f>
        <v>42240768</v>
      </c>
      <c r="J55" s="600"/>
      <c r="K55" s="600"/>
      <c r="L55" s="600"/>
      <c r="M55" s="153" t="e">
        <f>#REF!</f>
        <v>#REF!</v>
      </c>
      <c r="N55" s="153" t="e">
        <f>#REF!</f>
        <v>#REF!</v>
      </c>
      <c r="O55" s="153" t="e">
        <f>#REF!</f>
        <v>#REF!</v>
      </c>
      <c r="P55" s="153" t="e">
        <f>#REF!</f>
        <v>#REF!</v>
      </c>
      <c r="Q55" s="153" t="e">
        <f>#REF!</f>
        <v>#REF!</v>
      </c>
      <c r="R55" s="153" t="e">
        <f>#REF!</f>
        <v>#REF!</v>
      </c>
    </row>
    <row r="56" spans="1:18" ht="27.75" customHeight="1" thickBot="1">
      <c r="A56" s="628" t="s">
        <v>70</v>
      </c>
      <c r="B56" s="1141" t="s">
        <v>473</v>
      </c>
      <c r="C56" s="1142"/>
      <c r="D56" s="1143"/>
      <c r="E56" s="601"/>
      <c r="F56" s="602">
        <f>F54+F55</f>
        <v>42240768</v>
      </c>
      <c r="G56" s="602">
        <f>G54+G55</f>
        <v>42240768</v>
      </c>
      <c r="H56" s="602">
        <f>H54+H55</f>
        <v>42240768</v>
      </c>
      <c r="I56" s="602">
        <f>I54+I55</f>
        <v>42240768</v>
      </c>
      <c r="J56" s="602"/>
      <c r="K56" s="602"/>
      <c r="L56" s="602"/>
      <c r="M56" s="154" t="e">
        <f aca="true" t="shared" si="8" ref="M56:R56">M54+M55</f>
        <v>#REF!</v>
      </c>
      <c r="N56" s="154" t="e">
        <f t="shared" si="8"/>
        <v>#REF!</v>
      </c>
      <c r="O56" s="154" t="e">
        <f t="shared" si="8"/>
        <v>#REF!</v>
      </c>
      <c r="P56" s="154" t="e">
        <f t="shared" si="8"/>
        <v>#REF!</v>
      </c>
      <c r="Q56" s="154" t="e">
        <f t="shared" si="8"/>
        <v>#REF!</v>
      </c>
      <c r="R56" s="154" t="e">
        <f t="shared" si="8"/>
        <v>#REF!</v>
      </c>
    </row>
    <row r="57" spans="1:16" ht="15.75">
      <c r="A57" s="146"/>
      <c r="B57" s="147"/>
      <c r="C57" s="594"/>
      <c r="D57" s="595"/>
      <c r="E57" s="595"/>
      <c r="F57" s="596"/>
      <c r="G57" s="596"/>
      <c r="H57" s="585"/>
      <c r="I57" s="585"/>
      <c r="J57" s="586"/>
      <c r="K57" s="586"/>
      <c r="P57" s="67"/>
    </row>
    <row r="58" spans="1:12" ht="15.75" customHeight="1">
      <c r="A58" s="146"/>
      <c r="B58" s="147"/>
      <c r="C58" s="1127"/>
      <c r="D58" s="1127"/>
      <c r="E58" s="1127"/>
      <c r="F58" s="1127"/>
      <c r="G58" s="1127"/>
      <c r="H58" s="1127"/>
      <c r="I58" s="149"/>
      <c r="J58" s="149"/>
      <c r="K58" s="149"/>
      <c r="L58" s="155"/>
    </row>
    <row r="59" spans="1:11" ht="15.75">
      <c r="A59" s="146"/>
      <c r="B59" s="147"/>
      <c r="C59" s="156"/>
      <c r="D59" s="156"/>
      <c r="E59" s="156"/>
      <c r="F59" s="156"/>
      <c r="G59" s="156"/>
      <c r="H59" s="603"/>
      <c r="I59" s="603"/>
      <c r="J59" s="584"/>
      <c r="K59" s="584"/>
    </row>
    <row r="60" spans="1:11" ht="16.5" thickBot="1">
      <c r="A60" s="138" t="s">
        <v>193</v>
      </c>
      <c r="C60" s="1144"/>
      <c r="D60" s="1144"/>
      <c r="E60" s="604"/>
      <c r="F60" s="156"/>
      <c r="G60" s="156"/>
      <c r="H60" s="603"/>
      <c r="I60" s="603"/>
      <c r="J60" s="584"/>
      <c r="K60" s="584"/>
    </row>
    <row r="61" spans="1:18" ht="58.5" customHeight="1">
      <c r="A61" s="157" t="s">
        <v>10</v>
      </c>
      <c r="B61" s="1145" t="s">
        <v>194</v>
      </c>
      <c r="C61" s="1145"/>
      <c r="D61" s="1145"/>
      <c r="E61" s="605"/>
      <c r="F61" s="606">
        <f>F62-F65</f>
        <v>60876698</v>
      </c>
      <c r="G61" s="606">
        <f>G62-G65</f>
        <v>60998247</v>
      </c>
      <c r="H61" s="606">
        <f>H62-H65</f>
        <v>60876698</v>
      </c>
      <c r="I61" s="606">
        <f>I62-I65</f>
        <v>60998247</v>
      </c>
      <c r="J61" s="606"/>
      <c r="K61" s="606"/>
      <c r="L61" s="606"/>
      <c r="M61" s="158" t="e">
        <f aca="true" t="shared" si="9" ref="M61:R61">M62-M65</f>
        <v>#REF!</v>
      </c>
      <c r="N61" s="158" t="e">
        <f t="shared" si="9"/>
        <v>#REF!</v>
      </c>
      <c r="O61" s="158" t="e">
        <f t="shared" si="9"/>
        <v>#REF!</v>
      </c>
      <c r="P61" s="158" t="e">
        <f t="shared" si="9"/>
        <v>#REF!</v>
      </c>
      <c r="Q61" s="158" t="e">
        <f t="shared" si="9"/>
        <v>#REF!</v>
      </c>
      <c r="R61" s="158" t="e">
        <f t="shared" si="9"/>
        <v>#REF!</v>
      </c>
    </row>
    <row r="62" spans="1:18" ht="27" customHeight="1">
      <c r="A62" s="629" t="s">
        <v>474</v>
      </c>
      <c r="B62" s="1129" t="s">
        <v>475</v>
      </c>
      <c r="C62" s="1129"/>
      <c r="D62" s="1129"/>
      <c r="E62" s="630"/>
      <c r="F62" s="630">
        <f>F63+F64</f>
        <v>61726536</v>
      </c>
      <c r="G62" s="630">
        <f>G63+G64</f>
        <v>61848085</v>
      </c>
      <c r="H62" s="630">
        <f>H63+H64</f>
        <v>61726536</v>
      </c>
      <c r="I62" s="630">
        <f>I63+I64</f>
        <v>61848085</v>
      </c>
      <c r="J62" s="630"/>
      <c r="K62" s="630"/>
      <c r="L62" s="630"/>
      <c r="M62" s="630" t="e">
        <f aca="true" t="shared" si="10" ref="M62:R62">M63+M64</f>
        <v>#REF!</v>
      </c>
      <c r="N62" s="630" t="e">
        <f t="shared" si="10"/>
        <v>#REF!</v>
      </c>
      <c r="O62" s="630" t="e">
        <f t="shared" si="10"/>
        <v>#REF!</v>
      </c>
      <c r="P62" s="630" t="e">
        <f t="shared" si="10"/>
        <v>#REF!</v>
      </c>
      <c r="Q62" s="630" t="e">
        <f t="shared" si="10"/>
        <v>#REF!</v>
      </c>
      <c r="R62" s="630" t="e">
        <f t="shared" si="10"/>
        <v>#REF!</v>
      </c>
    </row>
    <row r="63" spans="1:18" ht="27" customHeight="1">
      <c r="A63" s="629" t="s">
        <v>476</v>
      </c>
      <c r="B63" s="1130" t="s">
        <v>477</v>
      </c>
      <c r="C63" s="1130"/>
      <c r="D63" s="1130"/>
      <c r="E63" s="630"/>
      <c r="F63" s="630">
        <f>'2.sz.m.összehasonlító'!B17</f>
        <v>13968360</v>
      </c>
      <c r="G63" s="630">
        <f>'2.sz.m.összehasonlító'!C17</f>
        <v>14089909</v>
      </c>
      <c r="H63" s="630">
        <f>'2.sz.m.összehasonlító'!B17</f>
        <v>13968360</v>
      </c>
      <c r="I63" s="630">
        <f>'2.sz.m.összehasonlító'!C17</f>
        <v>14089909</v>
      </c>
      <c r="J63" s="630"/>
      <c r="K63" s="630"/>
      <c r="L63" s="630"/>
      <c r="M63" s="159" t="e">
        <f>#REF!</f>
        <v>#REF!</v>
      </c>
      <c r="N63" s="160" t="e">
        <f>#REF!</f>
        <v>#REF!</v>
      </c>
      <c r="O63" s="160" t="e">
        <f>#REF!</f>
        <v>#REF!</v>
      </c>
      <c r="P63" s="160" t="e">
        <f>#REF!</f>
        <v>#REF!</v>
      </c>
      <c r="Q63" s="160" t="e">
        <f>#REF!</f>
        <v>#REF!</v>
      </c>
      <c r="R63" s="160" t="e">
        <f>#REF!</f>
        <v>#REF!</v>
      </c>
    </row>
    <row r="64" spans="1:18" ht="27" customHeight="1">
      <c r="A64" s="631" t="s">
        <v>478</v>
      </c>
      <c r="B64" s="1130" t="s">
        <v>479</v>
      </c>
      <c r="C64" s="1130"/>
      <c r="D64" s="1130"/>
      <c r="E64" s="630"/>
      <c r="F64" s="630">
        <f>'2.sz.m.összehasonlító'!B30</f>
        <v>47758176</v>
      </c>
      <c r="G64" s="630">
        <f>'2.sz.m.összehasonlító'!C30</f>
        <v>47758176</v>
      </c>
      <c r="H64" s="630">
        <f>'2.sz.m.összehasonlító'!B30</f>
        <v>47758176</v>
      </c>
      <c r="I64" s="630">
        <f>'2.sz.m.összehasonlító'!C30</f>
        <v>47758176</v>
      </c>
      <c r="J64" s="630"/>
      <c r="K64" s="630"/>
      <c r="L64" s="630"/>
      <c r="M64" s="159" t="e">
        <f>#REF!</f>
        <v>#REF!</v>
      </c>
      <c r="N64" s="160" t="e">
        <f>#REF!</f>
        <v>#REF!</v>
      </c>
      <c r="O64" s="160" t="e">
        <f>#REF!</f>
        <v>#REF!</v>
      </c>
      <c r="P64" s="160" t="e">
        <f>#REF!</f>
        <v>#REF!</v>
      </c>
      <c r="Q64" s="160" t="e">
        <f>#REF!</f>
        <v>#REF!</v>
      </c>
      <c r="R64" s="160" t="e">
        <f>#REF!</f>
        <v>#REF!</v>
      </c>
    </row>
    <row r="65" spans="1:18" ht="27" customHeight="1">
      <c r="A65" s="632" t="s">
        <v>480</v>
      </c>
      <c r="B65" s="1129" t="s">
        <v>481</v>
      </c>
      <c r="C65" s="1129"/>
      <c r="D65" s="1129"/>
      <c r="E65" s="633"/>
      <c r="F65" s="633">
        <f>F34</f>
        <v>849838</v>
      </c>
      <c r="G65" s="633">
        <f>G34</f>
        <v>849838</v>
      </c>
      <c r="H65" s="633">
        <f>H34</f>
        <v>849838</v>
      </c>
      <c r="I65" s="633">
        <f>I34</f>
        <v>849838</v>
      </c>
      <c r="J65" s="633"/>
      <c r="K65" s="633"/>
      <c r="L65" s="633"/>
      <c r="M65" s="161">
        <f aca="true" t="shared" si="11" ref="M65:R65">M34</f>
        <v>0</v>
      </c>
      <c r="N65" s="162">
        <f t="shared" si="11"/>
        <v>0</v>
      </c>
      <c r="O65" s="162">
        <f t="shared" si="11"/>
        <v>0</v>
      </c>
      <c r="P65" s="162">
        <f t="shared" si="11"/>
        <v>0</v>
      </c>
      <c r="Q65" s="162">
        <f t="shared" si="11"/>
        <v>0</v>
      </c>
      <c r="R65" s="162">
        <f t="shared" si="11"/>
        <v>0</v>
      </c>
    </row>
    <row r="66" spans="1:18" ht="27" customHeight="1">
      <c r="A66" s="629" t="s">
        <v>482</v>
      </c>
      <c r="B66" s="1130" t="s">
        <v>483</v>
      </c>
      <c r="C66" s="1130"/>
      <c r="D66" s="1130"/>
      <c r="E66" s="630"/>
      <c r="F66" s="630">
        <f>F34</f>
        <v>849838</v>
      </c>
      <c r="G66" s="630">
        <f>G34</f>
        <v>849838</v>
      </c>
      <c r="H66" s="630">
        <f>H34</f>
        <v>849838</v>
      </c>
      <c r="I66" s="630">
        <f>I34</f>
        <v>849838</v>
      </c>
      <c r="J66" s="630"/>
      <c r="K66" s="630"/>
      <c r="L66" s="630"/>
      <c r="M66" s="159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</row>
    <row r="67" spans="1:18" ht="27" customHeight="1" thickBot="1">
      <c r="A67" s="634" t="s">
        <v>484</v>
      </c>
      <c r="B67" s="1140" t="s">
        <v>485</v>
      </c>
      <c r="C67" s="1140"/>
      <c r="D67" s="1140"/>
      <c r="E67" s="635"/>
      <c r="F67" s="635">
        <v>0</v>
      </c>
      <c r="G67" s="635">
        <v>0</v>
      </c>
      <c r="H67" s="635">
        <v>0</v>
      </c>
      <c r="I67" s="635">
        <v>0</v>
      </c>
      <c r="J67" s="635"/>
      <c r="K67" s="635"/>
      <c r="L67" s="635"/>
      <c r="M67" s="163">
        <v>0</v>
      </c>
      <c r="N67" s="164">
        <v>0</v>
      </c>
      <c r="O67" s="164">
        <v>0</v>
      </c>
      <c r="P67" s="164">
        <v>0</v>
      </c>
      <c r="Q67" s="164">
        <v>0</v>
      </c>
      <c r="R67" s="164">
        <v>0</v>
      </c>
    </row>
  </sheetData>
  <sheetProtection selectLockedCells="1" selectUnlockedCells="1"/>
  <mergeCells count="45">
    <mergeCell ref="B65:D65"/>
    <mergeCell ref="B66:D66"/>
    <mergeCell ref="B67:D67"/>
    <mergeCell ref="B54:D54"/>
    <mergeCell ref="B55:D55"/>
    <mergeCell ref="B56:D56"/>
    <mergeCell ref="C58:H58"/>
    <mergeCell ref="C60:D60"/>
    <mergeCell ref="B61:D61"/>
    <mergeCell ref="B62:D62"/>
    <mergeCell ref="B63:D63"/>
    <mergeCell ref="B64:D64"/>
    <mergeCell ref="B48:D48"/>
    <mergeCell ref="B49:D49"/>
    <mergeCell ref="B50:D50"/>
    <mergeCell ref="C52:H52"/>
    <mergeCell ref="B34:D34"/>
    <mergeCell ref="C35:D35"/>
    <mergeCell ref="C53:D53"/>
    <mergeCell ref="B37:D37"/>
    <mergeCell ref="A38:D38"/>
    <mergeCell ref="A39:D39"/>
    <mergeCell ref="C42:H42"/>
    <mergeCell ref="B44:D44"/>
    <mergeCell ref="C46:H46"/>
    <mergeCell ref="C47:D47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F6:G6"/>
    <mergeCell ref="H6:I6"/>
    <mergeCell ref="J6:K6"/>
    <mergeCell ref="A1:L1"/>
    <mergeCell ref="A2:B2"/>
    <mergeCell ref="A3:L3"/>
    <mergeCell ref="A6:D6"/>
    <mergeCell ref="L6:R6"/>
    <mergeCell ref="J5:L5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2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9.00390625" style="971" customWidth="1"/>
    <col min="2" max="3" width="12.57421875" style="971" customWidth="1"/>
    <col min="4" max="4" width="36.7109375" style="971" customWidth="1"/>
    <col min="5" max="5" width="12.7109375" style="971" customWidth="1"/>
    <col min="6" max="6" width="12.140625" style="971" customWidth="1"/>
    <col min="7" max="16384" width="9.140625" style="971" customWidth="1"/>
  </cols>
  <sheetData>
    <row r="1" ht="12.75">
      <c r="D1" s="972" t="s">
        <v>195</v>
      </c>
    </row>
    <row r="2" spans="1:4" ht="14.25" customHeight="1">
      <c r="A2" s="1146" t="s">
        <v>487</v>
      </c>
      <c r="B2" s="1146"/>
      <c r="C2" s="1146"/>
      <c r="D2" s="1146"/>
    </row>
    <row r="3" spans="1:4" ht="11.25" customHeight="1">
      <c r="A3" s="973"/>
      <c r="B3" s="973"/>
      <c r="C3" s="973"/>
      <c r="D3" s="974"/>
    </row>
    <row r="4" spans="1:6" ht="17.25" customHeight="1" thickBot="1">
      <c r="A4" s="1147" t="s">
        <v>196</v>
      </c>
      <c r="B4" s="1148"/>
      <c r="C4" s="1148"/>
      <c r="D4" s="1147"/>
      <c r="E4" s="1025" t="s">
        <v>601</v>
      </c>
      <c r="F4" s="1026"/>
    </row>
    <row r="5" spans="1:6" ht="22.5" customHeight="1" thickBot="1">
      <c r="A5" s="975" t="s">
        <v>134</v>
      </c>
      <c r="B5" s="976" t="s">
        <v>6</v>
      </c>
      <c r="C5" s="1031" t="s">
        <v>137</v>
      </c>
      <c r="D5" s="977" t="s">
        <v>197</v>
      </c>
      <c r="E5" s="976" t="s">
        <v>6</v>
      </c>
      <c r="F5" s="1031" t="s">
        <v>137</v>
      </c>
    </row>
    <row r="6" spans="1:6" ht="12.75">
      <c r="A6" s="978" t="s">
        <v>198</v>
      </c>
      <c r="B6" s="979">
        <f>'3.sz.m Önk  bev.'!F7</f>
        <v>17008628</v>
      </c>
      <c r="C6" s="979">
        <f>'3.sz.m Önk  bev.'!G7</f>
        <v>17167370</v>
      </c>
      <c r="D6" s="553" t="s">
        <v>199</v>
      </c>
      <c r="E6" s="980">
        <f>'1 .sz.m.önk.össz.kiad.'!F10</f>
        <v>41473405</v>
      </c>
      <c r="F6" s="980">
        <f>'1 .sz.m.önk.össz.kiad.'!G10</f>
        <v>41926903</v>
      </c>
    </row>
    <row r="7" spans="1:6" ht="12.75">
      <c r="A7" s="981" t="s">
        <v>200</v>
      </c>
      <c r="B7" s="982">
        <f>'3.sz.m Önk  bev.'!F21+'5. sz. m óvoda'!J9</f>
        <v>10778751</v>
      </c>
      <c r="C7" s="982">
        <f>'3.sz.m Önk  bev.'!G21+'5. sz. m óvoda'!K9</f>
        <v>10902417</v>
      </c>
      <c r="D7" s="552" t="s">
        <v>201</v>
      </c>
      <c r="E7" s="983">
        <f>'1 .sz.m.önk.össz.kiad.'!F11</f>
        <v>8593941</v>
      </c>
      <c r="F7" s="983">
        <f>'1 .sz.m.önk.össz.kiad.'!G11</f>
        <v>8698361</v>
      </c>
    </row>
    <row r="8" spans="1:6" ht="17.25" customHeight="1">
      <c r="A8" s="981" t="s">
        <v>202</v>
      </c>
      <c r="B8" s="982">
        <f>'3.sz.m Önk  bev.'!F35+'5. sz. m óvoda'!J15</f>
        <v>41869553</v>
      </c>
      <c r="C8" s="982">
        <f>'3.sz.m Önk  bev.'!G35+'5. sz. m óvoda'!K15</f>
        <v>42309361</v>
      </c>
      <c r="D8" s="552" t="s">
        <v>203</v>
      </c>
      <c r="E8" s="983">
        <f>'4.sz.m.ÖNK kiadás'!F9+'5. sz. m óvoda'!J36</f>
        <v>26904051</v>
      </c>
      <c r="F8" s="983">
        <f>'4.sz.m.ÖNK kiadás'!G9+'5. sz. m óvoda'!K36</f>
        <v>26967143</v>
      </c>
    </row>
    <row r="9" spans="1:6" ht="12.75">
      <c r="A9" s="981" t="s">
        <v>204</v>
      </c>
      <c r="B9" s="982">
        <f>'3.sz.m Önk  bev.'!F52+'3.sz.m Önk  bev.'!F53</f>
        <v>573006</v>
      </c>
      <c r="C9" s="982">
        <f>'3.sz.m Önk  bev.'!G52+'3.sz.m Önk  bev.'!G53</f>
        <v>573006</v>
      </c>
      <c r="D9" s="552" t="s">
        <v>205</v>
      </c>
      <c r="E9" s="983">
        <f>'4.sz.m.ÖNK kiadás'!F10</f>
        <v>2171000</v>
      </c>
      <c r="F9" s="983">
        <f>'4.sz.m.ÖNK kiadás'!G10</f>
        <v>2171000</v>
      </c>
    </row>
    <row r="10" spans="1:6" ht="11.25" customHeight="1">
      <c r="A10" s="981"/>
      <c r="B10" s="982"/>
      <c r="C10" s="982"/>
      <c r="D10" s="552" t="s">
        <v>206</v>
      </c>
      <c r="E10" s="983">
        <f>'4.sz.m.ÖNK kiadás'!F11</f>
        <v>4087953</v>
      </c>
      <c r="F10" s="983">
        <f>'4.sz.m.ÖNK kiadás'!G11</f>
        <v>4310269</v>
      </c>
    </row>
    <row r="11" spans="1:6" ht="12.75">
      <c r="A11" s="981"/>
      <c r="B11" s="982"/>
      <c r="C11" s="982"/>
      <c r="D11" s="552" t="s">
        <v>207</v>
      </c>
      <c r="E11" s="983">
        <f>'4.sz.m.ÖNK kiadás'!F26</f>
        <v>118110</v>
      </c>
      <c r="F11" s="983">
        <f>'4.sz.m.ÖNK kiadás'!G26</f>
        <v>118549</v>
      </c>
    </row>
    <row r="12" spans="1:6" ht="12.75" hidden="1">
      <c r="A12" s="984"/>
      <c r="B12" s="982"/>
      <c r="C12" s="982"/>
      <c r="D12" s="985"/>
      <c r="E12" s="983"/>
      <c r="F12" s="983"/>
    </row>
    <row r="13" spans="1:6" ht="16.5" customHeight="1" hidden="1" thickBot="1">
      <c r="A13" s="986"/>
      <c r="B13" s="982"/>
      <c r="C13" s="982"/>
      <c r="D13" s="987"/>
      <c r="E13" s="983"/>
      <c r="F13" s="983"/>
    </row>
    <row r="14" spans="1:6" ht="18" customHeight="1" thickBot="1">
      <c r="A14" s="988" t="s">
        <v>208</v>
      </c>
      <c r="B14" s="989">
        <f>B6+B7+B8+B9</f>
        <v>70229938</v>
      </c>
      <c r="C14" s="989">
        <f>C6+C7+C8+C9</f>
        <v>70952154</v>
      </c>
      <c r="D14" s="990" t="s">
        <v>209</v>
      </c>
      <c r="E14" s="991">
        <f>E6+E7+E8+E9+E10+E11</f>
        <v>83348460</v>
      </c>
      <c r="F14" s="991">
        <f>F6+F7+F8+F9+F10+F11</f>
        <v>84192225</v>
      </c>
    </row>
    <row r="15" spans="1:6" ht="15.75" customHeight="1">
      <c r="A15" s="992" t="s">
        <v>458</v>
      </c>
      <c r="B15" s="607">
        <f>'3.sz.m Önk  bev.'!F62+'5. sz. m óvoda'!J25-5517408</f>
        <v>13968360</v>
      </c>
      <c r="C15" s="607">
        <f>'3.sz.m Önk  bev.'!G62+'5. sz. m óvoda'!K25-5517408</f>
        <v>14089909</v>
      </c>
      <c r="D15" s="553" t="s">
        <v>210</v>
      </c>
      <c r="E15" s="980"/>
      <c r="F15" s="980"/>
    </row>
    <row r="16" spans="1:6" ht="12.75" customHeight="1" thickBot="1">
      <c r="A16" s="992" t="s">
        <v>545</v>
      </c>
      <c r="B16" s="993">
        <f>'3.sz.m Önk  bev.'!F61</f>
        <v>0</v>
      </c>
      <c r="C16" s="993">
        <f>'3.sz.m Önk  bev.'!G61</f>
        <v>0</v>
      </c>
      <c r="D16" s="985" t="s">
        <v>438</v>
      </c>
      <c r="E16" s="994">
        <f>'4.sz.m.ÖNK kiadás'!F34</f>
        <v>849838</v>
      </c>
      <c r="F16" s="994">
        <f>'4.sz.m.ÖNK kiadás'!G34</f>
        <v>849838</v>
      </c>
    </row>
    <row r="17" spans="1:6" ht="18.75" customHeight="1" thickBot="1">
      <c r="A17" s="551" t="s">
        <v>212</v>
      </c>
      <c r="B17" s="995">
        <f>SUM(B15:B16)</f>
        <v>13968360</v>
      </c>
      <c r="C17" s="995">
        <f>SUM(C15:C16)</f>
        <v>14089909</v>
      </c>
      <c r="D17" s="996" t="s">
        <v>213</v>
      </c>
      <c r="E17" s="995">
        <f>SUM(E15:E16)</f>
        <v>849838</v>
      </c>
      <c r="F17" s="995">
        <f>SUM(F15:F16)</f>
        <v>849838</v>
      </c>
    </row>
    <row r="18" spans="1:6" ht="17.25" customHeight="1" thickBot="1">
      <c r="A18" s="997" t="s">
        <v>214</v>
      </c>
      <c r="B18" s="998">
        <f>B14+B17</f>
        <v>84198298</v>
      </c>
      <c r="C18" s="998">
        <f>C14+C17</f>
        <v>85042063</v>
      </c>
      <c r="D18" s="999" t="s">
        <v>215</v>
      </c>
      <c r="E18" s="1000">
        <f>E14+E17</f>
        <v>84198298</v>
      </c>
      <c r="F18" s="1000">
        <f>F14+F17</f>
        <v>85042063</v>
      </c>
    </row>
    <row r="19" spans="1:6" ht="17.25" customHeight="1" thickBot="1">
      <c r="A19" s="1001" t="s">
        <v>216</v>
      </c>
      <c r="B19" s="1002">
        <f>B14-E14</f>
        <v>-13118522</v>
      </c>
      <c r="C19" s="1002">
        <f>C14-F14</f>
        <v>-13240071</v>
      </c>
      <c r="D19" s="1003" t="s">
        <v>217</v>
      </c>
      <c r="E19" s="1004"/>
      <c r="F19" s="1004"/>
    </row>
    <row r="20" spans="1:6" ht="17.25" customHeight="1" thickBot="1">
      <c r="A20" s="1001" t="s">
        <v>218</v>
      </c>
      <c r="B20" s="998">
        <f>B19-E17</f>
        <v>-13968360</v>
      </c>
      <c r="C20" s="998">
        <f>C19-F17</f>
        <v>-14089909</v>
      </c>
      <c r="D20" s="1003" t="s">
        <v>219</v>
      </c>
      <c r="E20" s="1006"/>
      <c r="F20" s="1006"/>
    </row>
    <row r="21" spans="1:4" ht="22.5" customHeight="1" thickBot="1">
      <c r="A21" s="1147" t="s">
        <v>220</v>
      </c>
      <c r="B21" s="1148"/>
      <c r="C21" s="1148"/>
      <c r="D21" s="1147"/>
    </row>
    <row r="22" spans="1:6" ht="22.5">
      <c r="A22" s="978" t="s">
        <v>221</v>
      </c>
      <c r="B22" s="607">
        <f>'3.sz.m Önk  bev.'!F45</f>
        <v>0</v>
      </c>
      <c r="C22" s="607">
        <f>'3.sz.m Önk  bev.'!G45</f>
        <v>0</v>
      </c>
      <c r="D22" s="1007" t="s">
        <v>222</v>
      </c>
      <c r="E22" s="607">
        <f>'4.sz.m.ÖNK kiadás'!F18+'5. sz. m óvoda'!J40</f>
        <v>10702800</v>
      </c>
      <c r="F22" s="607">
        <f>'4.sz.m.ÖNK kiadás'!G18+'5. sz. m óvoda'!K40</f>
        <v>10702800</v>
      </c>
    </row>
    <row r="23" spans="1:6" ht="12.75">
      <c r="A23" s="981" t="s">
        <v>223</v>
      </c>
      <c r="B23" s="982">
        <f>'3.sz.m Önk  bev.'!F54</f>
        <v>199992</v>
      </c>
      <c r="C23" s="982">
        <f>'3.sz.m Önk  bev.'!G54</f>
        <v>199992</v>
      </c>
      <c r="D23" s="552" t="s">
        <v>224</v>
      </c>
      <c r="E23" s="982">
        <f>'4.sz.m.ÖNK kiadás'!F19+'5. sz. m óvoda'!J41</f>
        <v>36455368</v>
      </c>
      <c r="F23" s="982">
        <f>'4.sz.m.ÖNK kiadás'!G19+'5. sz. m óvoda'!K41</f>
        <v>36455368</v>
      </c>
    </row>
    <row r="24" spans="1:6" ht="12.75">
      <c r="A24" s="981" t="s">
        <v>225</v>
      </c>
      <c r="B24" s="982">
        <f>'3.sz.m Önk  bev.'!F55</f>
        <v>0</v>
      </c>
      <c r="C24" s="982">
        <f>'3.sz.m Önk  bev.'!G55</f>
        <v>0</v>
      </c>
      <c r="D24" s="552" t="s">
        <v>226</v>
      </c>
      <c r="E24" s="982">
        <f>'4.sz.m.ÖNK kiadás'!F20</f>
        <v>800000</v>
      </c>
      <c r="F24" s="982">
        <f>'4.sz.m.ÖNK kiadás'!G20</f>
        <v>800000</v>
      </c>
    </row>
    <row r="25" spans="1:6" ht="13.5" thickBot="1">
      <c r="A25" s="981"/>
      <c r="B25" s="982"/>
      <c r="C25" s="982"/>
      <c r="D25" s="552" t="s">
        <v>227</v>
      </c>
      <c r="E25" s="982">
        <f>'4.sz.m.ÖNK kiadás'!F28</f>
        <v>0</v>
      </c>
      <c r="F25" s="982">
        <f>'4.sz.m.ÖNK kiadás'!G28</f>
        <v>0</v>
      </c>
    </row>
    <row r="26" spans="1:6" ht="13.5" hidden="1" thickBot="1">
      <c r="A26" s="550"/>
      <c r="B26" s="989"/>
      <c r="C26" s="989"/>
      <c r="D26" s="985"/>
      <c r="E26" s="989"/>
      <c r="F26" s="989"/>
    </row>
    <row r="27" spans="1:6" ht="23.25" thickBot="1">
      <c r="A27" s="1008" t="s">
        <v>228</v>
      </c>
      <c r="B27" s="998">
        <f>B22+B24+B23</f>
        <v>199992</v>
      </c>
      <c r="C27" s="998">
        <f>C22+C24+C23</f>
        <v>199992</v>
      </c>
      <c r="D27" s="1009" t="s">
        <v>229</v>
      </c>
      <c r="E27" s="1010">
        <f>E22+E23+E24+E25</f>
        <v>47958168</v>
      </c>
      <c r="F27" s="1010">
        <f>F22+F23+F24+F25</f>
        <v>47958168</v>
      </c>
    </row>
    <row r="28" spans="1:6" ht="15" customHeight="1">
      <c r="A28" s="992" t="s">
        <v>458</v>
      </c>
      <c r="B28" s="979">
        <v>5517408</v>
      </c>
      <c r="C28" s="979">
        <v>5517408</v>
      </c>
      <c r="D28" s="553" t="s">
        <v>230</v>
      </c>
      <c r="E28" s="979"/>
      <c r="F28" s="979"/>
    </row>
    <row r="29" spans="1:6" ht="13.5" thickBot="1">
      <c r="A29" s="1011" t="s">
        <v>211</v>
      </c>
      <c r="B29" s="1012">
        <f>'3.sz.m Önk  bev.'!F60</f>
        <v>42240768</v>
      </c>
      <c r="C29" s="1012">
        <f>'3.sz.m Önk  bev.'!G60</f>
        <v>42240768</v>
      </c>
      <c r="D29" s="1013"/>
      <c r="E29" s="989"/>
      <c r="F29" s="989"/>
    </row>
    <row r="30" spans="1:6" ht="18.75" customHeight="1" thickBot="1">
      <c r="A30" s="551" t="s">
        <v>231</v>
      </c>
      <c r="B30" s="1010">
        <f>SUM(B28:B29)</f>
        <v>47758176</v>
      </c>
      <c r="C30" s="1010">
        <f>SUM(C28:C29)</f>
        <v>47758176</v>
      </c>
      <c r="D30" s="1009" t="s">
        <v>232</v>
      </c>
      <c r="E30" s="1014"/>
      <c r="F30" s="1014"/>
    </row>
    <row r="31" spans="1:6" ht="25.5" customHeight="1" thickBot="1">
      <c r="A31" s="1015" t="s">
        <v>233</v>
      </c>
      <c r="B31" s="998">
        <f>B27+B30</f>
        <v>47958168</v>
      </c>
      <c r="C31" s="998">
        <f>C27+C30</f>
        <v>47958168</v>
      </c>
      <c r="D31" s="1016" t="s">
        <v>234</v>
      </c>
      <c r="E31" s="1010">
        <f>E27</f>
        <v>47958168</v>
      </c>
      <c r="F31" s="1010">
        <f>F27</f>
        <v>47958168</v>
      </c>
    </row>
    <row r="32" spans="1:6" ht="26.25" customHeight="1" thickBot="1">
      <c r="A32" s="1015" t="s">
        <v>562</v>
      </c>
      <c r="B32" s="998">
        <f>B18+B31</f>
        <v>132156466</v>
      </c>
      <c r="C32" s="998">
        <f>C18+C31</f>
        <v>133000231</v>
      </c>
      <c r="D32" s="1016" t="s">
        <v>563</v>
      </c>
      <c r="E32" s="998">
        <f>E18+E31</f>
        <v>132156466</v>
      </c>
      <c r="F32" s="998">
        <f>F18+F31</f>
        <v>133000231</v>
      </c>
    </row>
    <row r="33" spans="1:6" ht="16.5" customHeight="1" thickBot="1">
      <c r="A33" s="1017" t="s">
        <v>216</v>
      </c>
      <c r="B33" s="1018">
        <f>B27-E27</f>
        <v>-47758176</v>
      </c>
      <c r="C33" s="1018">
        <f>C27-F27</f>
        <v>-47758176</v>
      </c>
      <c r="D33" s="1019" t="s">
        <v>217</v>
      </c>
      <c r="E33" s="1014"/>
      <c r="F33" s="1014"/>
    </row>
    <row r="34" spans="1:6" ht="19.5" customHeight="1" thickBot="1">
      <c r="A34" s="1017" t="s">
        <v>218</v>
      </c>
      <c r="B34" s="1018">
        <f>B33-E30</f>
        <v>-47758176</v>
      </c>
      <c r="C34" s="1018">
        <f>C33-F30</f>
        <v>-47758176</v>
      </c>
      <c r="D34" s="1019" t="s">
        <v>219</v>
      </c>
      <c r="E34" s="1020"/>
      <c r="F34" s="1020"/>
    </row>
    <row r="35" spans="1:5" ht="19.5" customHeight="1">
      <c r="A35" s="1021"/>
      <c r="B35" s="1022"/>
      <c r="C35" s="1022"/>
      <c r="D35" s="1021"/>
      <c r="E35" s="1023"/>
    </row>
    <row r="36" spans="2:6" ht="12.75">
      <c r="B36" s="1005"/>
      <c r="C36" s="1005"/>
      <c r="E36" s="1005"/>
      <c r="F36" s="1005"/>
    </row>
    <row r="37" spans="2:3" ht="12.75">
      <c r="B37" s="1005"/>
      <c r="C37" s="1005"/>
    </row>
    <row r="39" spans="2:5" ht="12.75">
      <c r="B39" s="1024"/>
      <c r="C39" s="1024"/>
      <c r="E39" s="1024"/>
    </row>
    <row r="40" spans="2:5" ht="12.75">
      <c r="B40" s="1005"/>
      <c r="C40" s="1005"/>
      <c r="E40" s="1005"/>
    </row>
    <row r="41" spans="2:3" ht="12.75">
      <c r="B41" s="1005"/>
      <c r="C41" s="1005"/>
    </row>
    <row r="43" spans="2:3" ht="12.75">
      <c r="B43" s="1005"/>
      <c r="C43" s="1005"/>
    </row>
  </sheetData>
  <sheetProtection selectLockedCells="1" selectUnlockedCells="1"/>
  <mergeCells count="3">
    <mergeCell ref="A2:D2"/>
    <mergeCell ref="A4:D4"/>
    <mergeCell ref="A21:D2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5" zoomScaleNormal="75" zoomScalePageLayoutView="0" workbookViewId="0" topLeftCell="A40">
      <selection activeCell="I68" sqref="I68:L68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7" width="17.8515625" style="3" customWidth="1"/>
    <col min="8" max="9" width="17.421875" style="4" customWidth="1"/>
    <col min="10" max="10" width="16.8515625" style="5" customWidth="1"/>
    <col min="11" max="11" width="13.57421875" style="5" customWidth="1"/>
    <col min="12" max="16384" width="9.140625" style="5" customWidth="1"/>
  </cols>
  <sheetData>
    <row r="1" spans="1:5" ht="12.75">
      <c r="A1" s="6"/>
      <c r="B1" s="6"/>
      <c r="C1" s="6"/>
      <c r="D1" s="7"/>
      <c r="E1" s="7"/>
    </row>
    <row r="2" spans="1:9" s="8" customFormat="1" ht="34.5" customHeight="1">
      <c r="A2" s="1096" t="s">
        <v>564</v>
      </c>
      <c r="B2" s="1096"/>
      <c r="C2" s="1096"/>
      <c r="D2" s="1096"/>
      <c r="E2" s="1096"/>
      <c r="F2" s="1096"/>
      <c r="G2" s="1096"/>
      <c r="H2" s="1096"/>
      <c r="I2" s="945"/>
    </row>
    <row r="3" spans="1:10" ht="13.5" thickBot="1">
      <c r="A3" s="9"/>
      <c r="B3" s="9"/>
      <c r="C3" s="9"/>
      <c r="D3" s="10"/>
      <c r="E3" s="11"/>
      <c r="H3" s="1104" t="s">
        <v>601</v>
      </c>
      <c r="I3" s="1104"/>
      <c r="J3" s="1105"/>
    </row>
    <row r="4" spans="1:11" ht="45.75" customHeight="1" thickBot="1">
      <c r="A4" s="1097" t="s">
        <v>1</v>
      </c>
      <c r="B4" s="1097"/>
      <c r="C4" s="1097"/>
      <c r="D4" s="14" t="s">
        <v>2</v>
      </c>
      <c r="E4" s="15" t="s">
        <v>3</v>
      </c>
      <c r="F4" s="1149" t="s">
        <v>4</v>
      </c>
      <c r="G4" s="1150"/>
      <c r="H4" s="1149" t="s">
        <v>245</v>
      </c>
      <c r="I4" s="1150"/>
      <c r="J4" s="1149" t="s">
        <v>301</v>
      </c>
      <c r="K4" s="1150"/>
    </row>
    <row r="5" spans="1:11" s="21" customFormat="1" ht="27" customHeight="1" thickBot="1">
      <c r="A5" s="1044"/>
      <c r="B5" s="1045"/>
      <c r="C5" s="1045"/>
      <c r="D5" s="73"/>
      <c r="E5" s="55"/>
      <c r="F5" s="1046" t="s">
        <v>6</v>
      </c>
      <c r="G5" s="1046" t="s">
        <v>137</v>
      </c>
      <c r="H5" s="1046" t="s">
        <v>6</v>
      </c>
      <c r="I5" s="1046" t="s">
        <v>137</v>
      </c>
      <c r="J5" s="1046" t="s">
        <v>6</v>
      </c>
      <c r="K5" s="1046" t="s">
        <v>137</v>
      </c>
    </row>
    <row r="6" spans="1:14" s="21" customFormat="1" ht="21.75" customHeight="1" thickBot="1">
      <c r="A6" s="18"/>
      <c r="B6" s="1094"/>
      <c r="C6" s="1094"/>
      <c r="D6" s="1094"/>
      <c r="E6" s="19"/>
      <c r="F6" s="823"/>
      <c r="G6" s="823"/>
      <c r="H6" s="684"/>
      <c r="I6" s="1027"/>
      <c r="J6" s="698"/>
      <c r="K6" s="698"/>
      <c r="N6" s="608"/>
    </row>
    <row r="7" spans="1:14" s="21" customFormat="1" ht="21.75" customHeight="1" thickBot="1">
      <c r="A7" s="18" t="s">
        <v>10</v>
      </c>
      <c r="B7" s="1094" t="s">
        <v>11</v>
      </c>
      <c r="C7" s="1094"/>
      <c r="D7" s="1094"/>
      <c r="E7" s="22" t="s">
        <v>12</v>
      </c>
      <c r="F7" s="684">
        <f>F8+F13+F16+F17+F20</f>
        <v>17008628</v>
      </c>
      <c r="G7" s="684">
        <f>G8+G13+G16+G17+G20</f>
        <v>17167370</v>
      </c>
      <c r="H7" s="684">
        <f aca="true" t="shared" si="0" ref="H7:I12">F7-J7</f>
        <v>10465842</v>
      </c>
      <c r="I7" s="684">
        <f t="shared" si="0"/>
        <v>10842549</v>
      </c>
      <c r="J7" s="684">
        <f>J8+J13+J16+J17</f>
        <v>6542786</v>
      </c>
      <c r="K7" s="684">
        <f>K8+K13+K16+K17</f>
        <v>6324821</v>
      </c>
      <c r="N7" s="609"/>
    </row>
    <row r="8" spans="1:14" ht="21.75" customHeight="1">
      <c r="A8" s="23"/>
      <c r="B8" s="24" t="s">
        <v>13</v>
      </c>
      <c r="C8" s="1098" t="s">
        <v>14</v>
      </c>
      <c r="D8" s="1098"/>
      <c r="E8" s="25" t="s">
        <v>15</v>
      </c>
      <c r="F8" s="685">
        <f>F10+F9</f>
        <v>2003046</v>
      </c>
      <c r="G8" s="685">
        <f>G10+G9</f>
        <v>2008446</v>
      </c>
      <c r="H8" s="687">
        <f t="shared" si="0"/>
        <v>2003046</v>
      </c>
      <c r="I8" s="687">
        <f t="shared" si="0"/>
        <v>2008446</v>
      </c>
      <c r="J8" s="687"/>
      <c r="K8" s="687"/>
      <c r="N8" s="609"/>
    </row>
    <row r="9" spans="1:14" ht="21.75" customHeight="1">
      <c r="A9" s="26"/>
      <c r="B9" s="27"/>
      <c r="C9" s="27" t="s">
        <v>16</v>
      </c>
      <c r="D9" s="28" t="s">
        <v>17</v>
      </c>
      <c r="E9" s="29"/>
      <c r="F9" s="686"/>
      <c r="G9" s="686">
        <v>5400</v>
      </c>
      <c r="H9" s="686">
        <f t="shared" si="0"/>
        <v>0</v>
      </c>
      <c r="I9" s="686">
        <f t="shared" si="0"/>
        <v>5400</v>
      </c>
      <c r="J9" s="686"/>
      <c r="K9" s="686"/>
      <c r="N9" s="609"/>
    </row>
    <row r="10" spans="1:14" ht="21.75" customHeight="1">
      <c r="A10" s="26"/>
      <c r="B10" s="27"/>
      <c r="C10" s="27" t="s">
        <v>18</v>
      </c>
      <c r="D10" s="28" t="s">
        <v>19</v>
      </c>
      <c r="E10" s="29"/>
      <c r="F10" s="686">
        <v>2003046</v>
      </c>
      <c r="G10" s="686">
        <v>2003046</v>
      </c>
      <c r="H10" s="686">
        <f t="shared" si="0"/>
        <v>2003046</v>
      </c>
      <c r="I10" s="686">
        <f t="shared" si="0"/>
        <v>2003046</v>
      </c>
      <c r="J10" s="686"/>
      <c r="K10" s="686"/>
      <c r="N10" s="609"/>
    </row>
    <row r="11" spans="1:14" ht="21.75" customHeight="1">
      <c r="A11" s="26"/>
      <c r="B11" s="27"/>
      <c r="C11" s="27" t="s">
        <v>20</v>
      </c>
      <c r="D11" s="28" t="s">
        <v>21</v>
      </c>
      <c r="E11" s="29"/>
      <c r="F11" s="686"/>
      <c r="G11" s="686"/>
      <c r="H11" s="686">
        <f t="shared" si="0"/>
        <v>0</v>
      </c>
      <c r="I11" s="686">
        <f t="shared" si="0"/>
        <v>0</v>
      </c>
      <c r="J11" s="686"/>
      <c r="K11" s="686"/>
      <c r="N11" s="609"/>
    </row>
    <row r="12" spans="1:17" ht="21.75" customHeight="1" hidden="1">
      <c r="A12" s="26"/>
      <c r="B12" s="27"/>
      <c r="C12" s="27"/>
      <c r="D12" s="28"/>
      <c r="E12" s="29"/>
      <c r="F12" s="686"/>
      <c r="G12" s="686"/>
      <c r="H12" s="686">
        <f t="shared" si="0"/>
        <v>0</v>
      </c>
      <c r="I12" s="686">
        <f t="shared" si="0"/>
        <v>0</v>
      </c>
      <c r="J12" s="686"/>
      <c r="K12" s="686"/>
      <c r="N12" s="609"/>
      <c r="Q12" s="5" t="s">
        <v>22</v>
      </c>
    </row>
    <row r="13" spans="1:14" ht="21.75" customHeight="1">
      <c r="A13" s="26"/>
      <c r="B13" s="27" t="s">
        <v>23</v>
      </c>
      <c r="C13" s="1090" t="s">
        <v>24</v>
      </c>
      <c r="D13" s="1090"/>
      <c r="E13" s="31" t="s">
        <v>25</v>
      </c>
      <c r="F13" s="686">
        <f>F14+F15</f>
        <v>12879382</v>
      </c>
      <c r="G13" s="686">
        <f>G14+G15</f>
        <v>12879382</v>
      </c>
      <c r="H13" s="686">
        <v>11881745</v>
      </c>
      <c r="I13" s="686">
        <v>11881746</v>
      </c>
      <c r="J13" s="686">
        <f>SUM(J14:J15)</f>
        <v>6542786</v>
      </c>
      <c r="K13" s="686">
        <f>SUM(K14:K15)</f>
        <v>6324821</v>
      </c>
      <c r="N13" s="609"/>
    </row>
    <row r="14" spans="1:14" ht="21.75" customHeight="1">
      <c r="A14" s="26"/>
      <c r="B14" s="27"/>
      <c r="C14" s="27" t="s">
        <v>26</v>
      </c>
      <c r="D14" s="30" t="s">
        <v>505</v>
      </c>
      <c r="E14" s="31"/>
      <c r="F14" s="686">
        <v>12879382</v>
      </c>
      <c r="G14" s="686">
        <v>12879382</v>
      </c>
      <c r="H14" s="686">
        <f aca="true" t="shared" si="1" ref="H14:I28">F14-J14</f>
        <v>6336596</v>
      </c>
      <c r="I14" s="686">
        <f t="shared" si="1"/>
        <v>6554561</v>
      </c>
      <c r="J14" s="686">
        <v>6542786</v>
      </c>
      <c r="K14" s="686">
        <f>6542787-217966</f>
        <v>6324821</v>
      </c>
      <c r="N14" s="609"/>
    </row>
    <row r="15" spans="1:14" ht="21.75" customHeight="1">
      <c r="A15" s="26"/>
      <c r="B15" s="27"/>
      <c r="C15" s="27" t="s">
        <v>28</v>
      </c>
      <c r="D15" s="30" t="s">
        <v>29</v>
      </c>
      <c r="E15" s="31"/>
      <c r="F15" s="686"/>
      <c r="G15" s="686"/>
      <c r="H15" s="686">
        <f t="shared" si="1"/>
        <v>0</v>
      </c>
      <c r="I15" s="686">
        <f t="shared" si="1"/>
        <v>0</v>
      </c>
      <c r="J15" s="686"/>
      <c r="K15" s="686"/>
      <c r="N15" s="610"/>
    </row>
    <row r="16" spans="1:14" ht="21.75" customHeight="1">
      <c r="A16" s="26"/>
      <c r="B16" s="27" t="s">
        <v>30</v>
      </c>
      <c r="C16" s="1090" t="s">
        <v>31</v>
      </c>
      <c r="D16" s="1090"/>
      <c r="E16" s="31" t="s">
        <v>32</v>
      </c>
      <c r="F16" s="686">
        <v>1722000</v>
      </c>
      <c r="G16" s="686">
        <v>1722000</v>
      </c>
      <c r="H16" s="686">
        <f t="shared" si="1"/>
        <v>1722000</v>
      </c>
      <c r="I16" s="686">
        <f t="shared" si="1"/>
        <v>1722000</v>
      </c>
      <c r="J16" s="686"/>
      <c r="K16" s="686"/>
      <c r="N16" s="610"/>
    </row>
    <row r="17" spans="1:14" ht="21.75" customHeight="1">
      <c r="A17" s="26"/>
      <c r="B17" s="27" t="s">
        <v>33</v>
      </c>
      <c r="C17" s="1151" t="s">
        <v>34</v>
      </c>
      <c r="D17" s="1151"/>
      <c r="E17" s="32" t="s">
        <v>35</v>
      </c>
      <c r="F17" s="686">
        <v>0</v>
      </c>
      <c r="G17" s="686">
        <v>0</v>
      </c>
      <c r="H17" s="686">
        <f t="shared" si="1"/>
        <v>0</v>
      </c>
      <c r="I17" s="686">
        <f t="shared" si="1"/>
        <v>0</v>
      </c>
      <c r="J17" s="686"/>
      <c r="K17" s="686"/>
      <c r="N17" s="610"/>
    </row>
    <row r="18" spans="1:14" ht="21.75" customHeight="1">
      <c r="A18" s="26"/>
      <c r="B18" s="27"/>
      <c r="C18" s="27" t="s">
        <v>36</v>
      </c>
      <c r="D18" s="30" t="s">
        <v>37</v>
      </c>
      <c r="E18" s="31"/>
      <c r="F18" s="686"/>
      <c r="G18" s="686"/>
      <c r="H18" s="686">
        <f t="shared" si="1"/>
        <v>0</v>
      </c>
      <c r="I18" s="686">
        <f t="shared" si="1"/>
        <v>0</v>
      </c>
      <c r="J18" s="686"/>
      <c r="K18" s="686"/>
      <c r="N18" s="610"/>
    </row>
    <row r="19" spans="1:14" ht="21.75" customHeight="1">
      <c r="A19" s="26"/>
      <c r="B19" s="27"/>
      <c r="C19" s="27" t="s">
        <v>38</v>
      </c>
      <c r="D19" s="30" t="s">
        <v>39</v>
      </c>
      <c r="E19" s="31"/>
      <c r="F19" s="686">
        <v>0</v>
      </c>
      <c r="G19" s="686">
        <v>0</v>
      </c>
      <c r="H19" s="686">
        <f t="shared" si="1"/>
        <v>0</v>
      </c>
      <c r="I19" s="686">
        <f t="shared" si="1"/>
        <v>0</v>
      </c>
      <c r="J19" s="686"/>
      <c r="K19" s="686"/>
      <c r="N19" s="610"/>
    </row>
    <row r="20" spans="1:14" ht="21.75" customHeight="1" thickBot="1">
      <c r="A20" s="33"/>
      <c r="B20" s="34" t="s">
        <v>40</v>
      </c>
      <c r="C20" s="1154" t="s">
        <v>41</v>
      </c>
      <c r="D20" s="1154"/>
      <c r="E20" s="35" t="s">
        <v>42</v>
      </c>
      <c r="F20" s="686">
        <f>304200+100000</f>
        <v>404200</v>
      </c>
      <c r="G20" s="686">
        <f>304200+100000+19535+133807</f>
        <v>557542</v>
      </c>
      <c r="H20" s="697">
        <f t="shared" si="1"/>
        <v>404200</v>
      </c>
      <c r="I20" s="697">
        <f t="shared" si="1"/>
        <v>557542</v>
      </c>
      <c r="J20" s="697"/>
      <c r="K20" s="697"/>
      <c r="N20" s="608"/>
    </row>
    <row r="21" spans="1:14" ht="21.75" customHeight="1" thickBot="1">
      <c r="A21" s="18" t="s">
        <v>43</v>
      </c>
      <c r="B21" s="1094" t="s">
        <v>44</v>
      </c>
      <c r="C21" s="1094"/>
      <c r="D21" s="1094"/>
      <c r="E21" s="19" t="s">
        <v>45</v>
      </c>
      <c r="F21" s="684">
        <f>F22+F23+F24+F25+F32+F33+F34</f>
        <v>6534978</v>
      </c>
      <c r="G21" s="684">
        <f>G22+G23+G24+G25+G32+G33+G34</f>
        <v>6652512</v>
      </c>
      <c r="H21" s="684">
        <f t="shared" si="1"/>
        <v>3066498</v>
      </c>
      <c r="I21" s="684">
        <f t="shared" si="1"/>
        <v>3184031</v>
      </c>
      <c r="J21" s="684">
        <f>J22+J23+J24+J25+J32+J33+J34</f>
        <v>3468480</v>
      </c>
      <c r="K21" s="684">
        <f>K22+K23+K24+K25+K32+K33+K34</f>
        <v>3468481</v>
      </c>
      <c r="N21" s="609"/>
    </row>
    <row r="22" spans="1:14" ht="21.75" customHeight="1">
      <c r="A22" s="615"/>
      <c r="B22" s="579">
        <v>20</v>
      </c>
      <c r="C22" s="1098" t="s">
        <v>450</v>
      </c>
      <c r="D22" s="1153"/>
      <c r="E22" s="25" t="s">
        <v>453</v>
      </c>
      <c r="F22" s="687"/>
      <c r="G22" s="687"/>
      <c r="H22" s="687">
        <f t="shared" si="1"/>
        <v>0</v>
      </c>
      <c r="I22" s="687">
        <f t="shared" si="1"/>
        <v>0</v>
      </c>
      <c r="J22" s="687"/>
      <c r="K22" s="687"/>
      <c r="N22" s="609"/>
    </row>
    <row r="23" spans="1:14" ht="21.75" customHeight="1">
      <c r="A23" s="36"/>
      <c r="B23" s="37" t="s">
        <v>46</v>
      </c>
      <c r="C23" s="1092" t="s">
        <v>47</v>
      </c>
      <c r="D23" s="1092"/>
      <c r="E23" s="39" t="s">
        <v>48</v>
      </c>
      <c r="F23" s="968">
        <v>3678480</v>
      </c>
      <c r="G23" s="968">
        <v>3678480</v>
      </c>
      <c r="H23" s="686">
        <f t="shared" si="1"/>
        <v>210000</v>
      </c>
      <c r="I23" s="686">
        <f t="shared" si="1"/>
        <v>209999</v>
      </c>
      <c r="J23" s="686">
        <v>3468480</v>
      </c>
      <c r="K23" s="686">
        <v>3468481</v>
      </c>
      <c r="N23" s="610"/>
    </row>
    <row r="24" spans="1:14" ht="21.75" customHeight="1">
      <c r="A24" s="26"/>
      <c r="B24" s="27" t="s">
        <v>49</v>
      </c>
      <c r="C24" s="1086" t="s">
        <v>235</v>
      </c>
      <c r="D24" s="1086"/>
      <c r="E24" s="29" t="s">
        <v>51</v>
      </c>
      <c r="F24" s="49"/>
      <c r="G24" s="49">
        <v>100000</v>
      </c>
      <c r="H24" s="686">
        <f t="shared" si="1"/>
        <v>0</v>
      </c>
      <c r="I24" s="686">
        <f t="shared" si="1"/>
        <v>100000</v>
      </c>
      <c r="J24" s="554"/>
      <c r="K24" s="554"/>
      <c r="N24" s="578"/>
    </row>
    <row r="25" spans="1:14" ht="21.75" customHeight="1">
      <c r="A25" s="26"/>
      <c r="B25" s="27" t="s">
        <v>52</v>
      </c>
      <c r="C25" s="1086" t="s">
        <v>53</v>
      </c>
      <c r="D25" s="1086"/>
      <c r="E25" s="29" t="s">
        <v>54</v>
      </c>
      <c r="F25" s="49">
        <f>F26+F27+F28+F29</f>
        <v>2585700</v>
      </c>
      <c r="G25" s="49">
        <f>G26+G27+G28+G29</f>
        <v>2643234</v>
      </c>
      <c r="H25" s="686">
        <f t="shared" si="1"/>
        <v>2585700</v>
      </c>
      <c r="I25" s="686">
        <f t="shared" si="1"/>
        <v>2643234</v>
      </c>
      <c r="J25" s="554"/>
      <c r="K25" s="554"/>
      <c r="N25" s="578"/>
    </row>
    <row r="26" spans="1:14" ht="33.75" customHeight="1">
      <c r="A26" s="26"/>
      <c r="B26" s="27"/>
      <c r="C26" s="27" t="s">
        <v>55</v>
      </c>
      <c r="D26" s="28" t="s">
        <v>56</v>
      </c>
      <c r="E26" s="29"/>
      <c r="F26" s="49">
        <v>2585700</v>
      </c>
      <c r="G26" s="49">
        <v>2585700</v>
      </c>
      <c r="H26" s="686">
        <f t="shared" si="1"/>
        <v>2585700</v>
      </c>
      <c r="I26" s="686">
        <f t="shared" si="1"/>
        <v>2585700</v>
      </c>
      <c r="J26" s="554"/>
      <c r="K26" s="554"/>
      <c r="N26" s="578"/>
    </row>
    <row r="27" spans="1:14" ht="41.25" customHeight="1">
      <c r="A27" s="26"/>
      <c r="B27" s="27"/>
      <c r="C27" s="27" t="s">
        <v>57</v>
      </c>
      <c r="D27" s="28" t="s">
        <v>58</v>
      </c>
      <c r="E27" s="29"/>
      <c r="F27" s="49"/>
      <c r="G27" s="49">
        <v>57534</v>
      </c>
      <c r="H27" s="686">
        <f t="shared" si="1"/>
        <v>0</v>
      </c>
      <c r="I27" s="686">
        <f t="shared" si="1"/>
        <v>57534</v>
      </c>
      <c r="J27" s="554"/>
      <c r="K27" s="554"/>
      <c r="N27" s="578"/>
    </row>
    <row r="28" spans="1:14" ht="21.75" customHeight="1">
      <c r="A28" s="26"/>
      <c r="B28" s="27"/>
      <c r="C28" s="27" t="s">
        <v>59</v>
      </c>
      <c r="D28" s="28" t="s">
        <v>60</v>
      </c>
      <c r="E28" s="29"/>
      <c r="F28" s="49"/>
      <c r="G28" s="49"/>
      <c r="H28" s="686">
        <f t="shared" si="1"/>
        <v>0</v>
      </c>
      <c r="I28" s="686">
        <f t="shared" si="1"/>
        <v>0</v>
      </c>
      <c r="J28" s="554"/>
      <c r="K28" s="554"/>
      <c r="N28" s="578"/>
    </row>
    <row r="29" spans="1:14" ht="39" customHeight="1">
      <c r="A29" s="26"/>
      <c r="B29" s="27"/>
      <c r="C29" s="27" t="s">
        <v>174</v>
      </c>
      <c r="D29" s="28" t="s">
        <v>543</v>
      </c>
      <c r="E29" s="29"/>
      <c r="F29" s="49"/>
      <c r="G29" s="49"/>
      <c r="H29" s="686"/>
      <c r="I29" s="686"/>
      <c r="J29" s="554"/>
      <c r="K29" s="554"/>
      <c r="N29" s="578"/>
    </row>
    <row r="30" spans="1:14" ht="21.75" customHeight="1">
      <c r="A30" s="26"/>
      <c r="B30" s="27" t="s">
        <v>61</v>
      </c>
      <c r="C30" s="1086" t="s">
        <v>62</v>
      </c>
      <c r="D30" s="1086"/>
      <c r="E30" s="29"/>
      <c r="F30" s="49"/>
      <c r="G30" s="49"/>
      <c r="H30" s="686">
        <f aca="true" t="shared" si="2" ref="H30:I34">F30-J30</f>
        <v>0</v>
      </c>
      <c r="I30" s="686">
        <f t="shared" si="2"/>
        <v>0</v>
      </c>
      <c r="J30" s="554"/>
      <c r="K30" s="554"/>
      <c r="N30" s="578"/>
    </row>
    <row r="31" spans="1:14" ht="21.75" customHeight="1">
      <c r="A31" s="40"/>
      <c r="B31" s="41" t="s">
        <v>63</v>
      </c>
      <c r="C31" s="1152" t="s">
        <v>64</v>
      </c>
      <c r="D31" s="1152"/>
      <c r="E31" s="29"/>
      <c r="F31" s="49"/>
      <c r="G31" s="49"/>
      <c r="H31" s="686">
        <f t="shared" si="2"/>
        <v>0</v>
      </c>
      <c r="I31" s="686">
        <f t="shared" si="2"/>
        <v>0</v>
      </c>
      <c r="J31" s="554"/>
      <c r="K31" s="554"/>
      <c r="N31" s="578"/>
    </row>
    <row r="32" spans="1:14" ht="21.75" customHeight="1">
      <c r="A32" s="40"/>
      <c r="B32" s="41" t="s">
        <v>65</v>
      </c>
      <c r="C32" s="1152" t="s">
        <v>66</v>
      </c>
      <c r="D32" s="1152"/>
      <c r="E32" s="29" t="s">
        <v>67</v>
      </c>
      <c r="F32" s="49">
        <v>70798</v>
      </c>
      <c r="G32" s="49">
        <v>70798</v>
      </c>
      <c r="H32" s="686">
        <f t="shared" si="2"/>
        <v>70798</v>
      </c>
      <c r="I32" s="686">
        <f t="shared" si="2"/>
        <v>70798</v>
      </c>
      <c r="J32" s="554"/>
      <c r="K32" s="554"/>
      <c r="N32" s="578"/>
    </row>
    <row r="33" spans="1:14" ht="21.75" customHeight="1">
      <c r="A33" s="40"/>
      <c r="B33" s="41" t="s">
        <v>68</v>
      </c>
      <c r="C33" s="1089" t="s">
        <v>69</v>
      </c>
      <c r="D33" s="1089"/>
      <c r="E33" s="42" t="s">
        <v>449</v>
      </c>
      <c r="F33" s="969">
        <v>200000</v>
      </c>
      <c r="G33" s="969">
        <f>200000-100000+60000</f>
        <v>160000</v>
      </c>
      <c r="H33" s="686">
        <f t="shared" si="2"/>
        <v>200000</v>
      </c>
      <c r="I33" s="686">
        <f t="shared" si="2"/>
        <v>160000</v>
      </c>
      <c r="J33" s="555"/>
      <c r="K33" s="555"/>
      <c r="N33" s="578"/>
    </row>
    <row r="34" spans="1:14" ht="21.75" customHeight="1" thickBot="1">
      <c r="A34" s="33"/>
      <c r="B34" s="34" t="s">
        <v>447</v>
      </c>
      <c r="C34" s="1102" t="s">
        <v>454</v>
      </c>
      <c r="D34" s="1103"/>
      <c r="E34" s="51" t="s">
        <v>449</v>
      </c>
      <c r="F34" s="52"/>
      <c r="G34" s="52"/>
      <c r="H34" s="697">
        <f t="shared" si="2"/>
        <v>0</v>
      </c>
      <c r="I34" s="697">
        <f t="shared" si="2"/>
        <v>0</v>
      </c>
      <c r="J34" s="616"/>
      <c r="K34" s="616"/>
      <c r="N34" s="578"/>
    </row>
    <row r="35" spans="1:14" ht="42" customHeight="1" thickBot="1">
      <c r="A35" s="43" t="s">
        <v>70</v>
      </c>
      <c r="B35" s="1094" t="s">
        <v>71</v>
      </c>
      <c r="C35" s="1094"/>
      <c r="D35" s="1094"/>
      <c r="E35" s="19" t="s">
        <v>72</v>
      </c>
      <c r="F35" s="688">
        <f>F36+F39+F37</f>
        <v>41085428</v>
      </c>
      <c r="G35" s="688">
        <f>G36+G39+G37</f>
        <v>41525236</v>
      </c>
      <c r="H35" s="688">
        <f>H36+H39+H37</f>
        <v>41085428</v>
      </c>
      <c r="I35" s="688">
        <f>I36+I39+I37</f>
        <v>41525236</v>
      </c>
      <c r="J35" s="617">
        <f>SUM(J36:J39)</f>
        <v>0</v>
      </c>
      <c r="K35" s="617">
        <f>SUM(K36:K39)</f>
        <v>0</v>
      </c>
      <c r="N35" s="578"/>
    </row>
    <row r="36" spans="1:14" ht="21.75" customHeight="1">
      <c r="A36" s="36"/>
      <c r="B36" s="41" t="s">
        <v>73</v>
      </c>
      <c r="C36" s="1155" t="s">
        <v>74</v>
      </c>
      <c r="D36" s="1155"/>
      <c r="E36" s="44" t="s">
        <v>75</v>
      </c>
      <c r="F36" s="970">
        <v>27280524</v>
      </c>
      <c r="G36" s="970">
        <v>27280524</v>
      </c>
      <c r="H36" s="687">
        <f aca="true" t="shared" si="3" ref="H36:I52">F36-J36</f>
        <v>27280524</v>
      </c>
      <c r="I36" s="687">
        <f t="shared" si="3"/>
        <v>27280524</v>
      </c>
      <c r="J36" s="556">
        <v>0</v>
      </c>
      <c r="K36" s="556">
        <v>0</v>
      </c>
      <c r="N36" s="611"/>
    </row>
    <row r="37" spans="1:14" ht="21.75" customHeight="1">
      <c r="A37" s="26"/>
      <c r="B37" s="41" t="s">
        <v>76</v>
      </c>
      <c r="C37" s="1152" t="s">
        <v>77</v>
      </c>
      <c r="D37" s="1152"/>
      <c r="E37" s="29"/>
      <c r="F37" s="49"/>
      <c r="G37" s="49">
        <v>439808</v>
      </c>
      <c r="H37" s="686">
        <f t="shared" si="3"/>
        <v>0</v>
      </c>
      <c r="I37" s="686">
        <f t="shared" si="3"/>
        <v>439808</v>
      </c>
      <c r="J37" s="554"/>
      <c r="K37" s="554"/>
      <c r="N37" s="611"/>
    </row>
    <row r="38" spans="1:14" ht="21.75" customHeight="1">
      <c r="A38" s="26"/>
      <c r="B38" s="41" t="s">
        <v>78</v>
      </c>
      <c r="C38" s="1152" t="s">
        <v>79</v>
      </c>
      <c r="D38" s="1152"/>
      <c r="E38" s="29"/>
      <c r="F38" s="689"/>
      <c r="G38" s="689"/>
      <c r="H38" s="686">
        <f t="shared" si="3"/>
        <v>0</v>
      </c>
      <c r="I38" s="686">
        <f t="shared" si="3"/>
        <v>0</v>
      </c>
      <c r="J38" s="554"/>
      <c r="K38" s="554"/>
      <c r="N38" s="611"/>
    </row>
    <row r="39" spans="1:14" ht="21.75" customHeight="1">
      <c r="A39" s="26"/>
      <c r="B39" s="41" t="s">
        <v>80</v>
      </c>
      <c r="C39" s="1152" t="s">
        <v>81</v>
      </c>
      <c r="D39" s="1152"/>
      <c r="E39" s="29" t="s">
        <v>82</v>
      </c>
      <c r="F39" s="49">
        <f>F40+F42+F41</f>
        <v>13804904</v>
      </c>
      <c r="G39" s="49">
        <f>G40+G42+G41</f>
        <v>13804904</v>
      </c>
      <c r="H39" s="686">
        <f t="shared" si="3"/>
        <v>13804904</v>
      </c>
      <c r="I39" s="686">
        <f t="shared" si="3"/>
        <v>13804904</v>
      </c>
      <c r="J39" s="554"/>
      <c r="K39" s="554"/>
      <c r="N39" s="611"/>
    </row>
    <row r="40" spans="1:14" ht="30" customHeight="1">
      <c r="A40" s="26"/>
      <c r="B40" s="41"/>
      <c r="C40" s="37" t="s">
        <v>83</v>
      </c>
      <c r="D40" s="38" t="s">
        <v>84</v>
      </c>
      <c r="E40" s="39"/>
      <c r="F40" s="49">
        <v>10724400</v>
      </c>
      <c r="G40" s="49">
        <v>10724400</v>
      </c>
      <c r="H40" s="686">
        <f t="shared" si="3"/>
        <v>10724400</v>
      </c>
      <c r="I40" s="686">
        <f t="shared" si="3"/>
        <v>10724400</v>
      </c>
      <c r="J40" s="554"/>
      <c r="K40" s="554"/>
      <c r="N40" s="578"/>
    </row>
    <row r="41" spans="1:14" ht="21.75" customHeight="1">
      <c r="A41" s="26"/>
      <c r="B41" s="41"/>
      <c r="C41" s="27" t="s">
        <v>85</v>
      </c>
      <c r="D41" s="28" t="s">
        <v>86</v>
      </c>
      <c r="E41" s="29"/>
      <c r="F41" s="49"/>
      <c r="G41" s="49"/>
      <c r="H41" s="686">
        <f t="shared" si="3"/>
        <v>0</v>
      </c>
      <c r="I41" s="686">
        <f t="shared" si="3"/>
        <v>0</v>
      </c>
      <c r="J41" s="554"/>
      <c r="K41" s="554"/>
      <c r="N41" s="578"/>
    </row>
    <row r="42" spans="1:14" ht="21.75" customHeight="1" thickBot="1">
      <c r="A42" s="26"/>
      <c r="B42" s="41"/>
      <c r="C42" s="27" t="s">
        <v>87</v>
      </c>
      <c r="D42" s="28" t="s">
        <v>88</v>
      </c>
      <c r="E42" s="29"/>
      <c r="F42" s="49">
        <v>3080504</v>
      </c>
      <c r="G42" s="49">
        <v>3080504</v>
      </c>
      <c r="H42" s="697">
        <f t="shared" si="3"/>
        <v>3080504</v>
      </c>
      <c r="I42" s="697">
        <f t="shared" si="3"/>
        <v>3080504</v>
      </c>
      <c r="J42" s="555"/>
      <c r="K42" s="555"/>
      <c r="N42" s="578"/>
    </row>
    <row r="43" spans="1:14" ht="36" customHeight="1" thickBot="1">
      <c r="A43" s="43" t="s">
        <v>89</v>
      </c>
      <c r="B43" s="1107" t="s">
        <v>90</v>
      </c>
      <c r="C43" s="1107"/>
      <c r="D43" s="1107"/>
      <c r="E43" s="46" t="s">
        <v>91</v>
      </c>
      <c r="F43" s="688">
        <f>F45</f>
        <v>0</v>
      </c>
      <c r="G43" s="688">
        <f>G45</f>
        <v>0</v>
      </c>
      <c r="H43" s="684">
        <f t="shared" si="3"/>
        <v>0</v>
      </c>
      <c r="I43" s="684">
        <f t="shared" si="3"/>
        <v>0</v>
      </c>
      <c r="J43" s="684"/>
      <c r="K43" s="684"/>
      <c r="N43" s="578"/>
    </row>
    <row r="44" spans="1:14" ht="21.75" customHeight="1">
      <c r="A44" s="36"/>
      <c r="B44" s="47" t="s">
        <v>92</v>
      </c>
      <c r="C44" s="1092" t="s">
        <v>93</v>
      </c>
      <c r="D44" s="1092"/>
      <c r="E44" s="39" t="s">
        <v>94</v>
      </c>
      <c r="F44" s="690"/>
      <c r="G44" s="690"/>
      <c r="H44" s="687">
        <f t="shared" si="3"/>
        <v>0</v>
      </c>
      <c r="I44" s="687">
        <f t="shared" si="3"/>
        <v>0</v>
      </c>
      <c r="J44" s="687"/>
      <c r="K44" s="687"/>
      <c r="N44" s="611"/>
    </row>
    <row r="45" spans="1:14" ht="31.5" customHeight="1">
      <c r="A45" s="26"/>
      <c r="B45" s="48" t="s">
        <v>95</v>
      </c>
      <c r="C45" s="1086" t="s">
        <v>96</v>
      </c>
      <c r="D45" s="1086"/>
      <c r="E45" s="29" t="s">
        <v>97</v>
      </c>
      <c r="F45" s="49">
        <f>F48+F47+F46</f>
        <v>0</v>
      </c>
      <c r="G45" s="49">
        <f>G48+G47+G46</f>
        <v>0</v>
      </c>
      <c r="H45" s="686">
        <f t="shared" si="3"/>
        <v>0</v>
      </c>
      <c r="I45" s="686">
        <f t="shared" si="3"/>
        <v>0</v>
      </c>
      <c r="J45" s="686"/>
      <c r="K45" s="686"/>
      <c r="N45" s="578"/>
    </row>
    <row r="46" spans="1:14" ht="33" customHeight="1">
      <c r="A46" s="26"/>
      <c r="B46" s="47"/>
      <c r="C46" s="37" t="s">
        <v>98</v>
      </c>
      <c r="D46" s="38" t="s">
        <v>84</v>
      </c>
      <c r="E46" s="39"/>
      <c r="F46" s="49"/>
      <c r="G46" s="49"/>
      <c r="H46" s="686">
        <f t="shared" si="3"/>
        <v>0</v>
      </c>
      <c r="I46" s="686">
        <f t="shared" si="3"/>
        <v>0</v>
      </c>
      <c r="J46" s="686"/>
      <c r="K46" s="686"/>
      <c r="N46" s="578"/>
    </row>
    <row r="47" spans="1:14" ht="21.75" customHeight="1">
      <c r="A47" s="26"/>
      <c r="B47" s="48"/>
      <c r="C47" s="27" t="s">
        <v>99</v>
      </c>
      <c r="D47" s="38" t="s">
        <v>86</v>
      </c>
      <c r="E47" s="39"/>
      <c r="F47" s="49"/>
      <c r="G47" s="49"/>
      <c r="H47" s="686">
        <f t="shared" si="3"/>
        <v>0</v>
      </c>
      <c r="I47" s="686">
        <f t="shared" si="3"/>
        <v>0</v>
      </c>
      <c r="J47" s="686"/>
      <c r="K47" s="686"/>
      <c r="N47" s="578"/>
    </row>
    <row r="48" spans="1:14" ht="30.75" customHeight="1" thickBot="1">
      <c r="A48" s="40"/>
      <c r="B48" s="47"/>
      <c r="C48" s="37" t="s">
        <v>100</v>
      </c>
      <c r="D48" s="38" t="s">
        <v>101</v>
      </c>
      <c r="E48" s="39"/>
      <c r="F48" s="49"/>
      <c r="G48" s="49"/>
      <c r="H48" s="697">
        <f t="shared" si="3"/>
        <v>0</v>
      </c>
      <c r="I48" s="697">
        <f t="shared" si="3"/>
        <v>0</v>
      </c>
      <c r="J48" s="697"/>
      <c r="K48" s="697"/>
      <c r="N48" s="578"/>
    </row>
    <row r="49" spans="1:14" ht="21.75" customHeight="1" hidden="1">
      <c r="A49" s="50"/>
      <c r="B49" s="48"/>
      <c r="C49" s="1152"/>
      <c r="D49" s="1152"/>
      <c r="E49" s="29"/>
      <c r="F49" s="49"/>
      <c r="G49" s="49"/>
      <c r="H49" s="684">
        <f t="shared" si="3"/>
        <v>0</v>
      </c>
      <c r="I49" s="684">
        <f t="shared" si="3"/>
        <v>0</v>
      </c>
      <c r="J49" s="684"/>
      <c r="K49" s="684"/>
      <c r="N49" s="578"/>
    </row>
    <row r="50" spans="1:14" ht="21.75" customHeight="1" hidden="1">
      <c r="A50" s="50"/>
      <c r="B50" s="47"/>
      <c r="C50" s="1103"/>
      <c r="D50" s="1103"/>
      <c r="E50" s="51"/>
      <c r="F50" s="52"/>
      <c r="G50" s="52"/>
      <c r="H50" s="684">
        <f t="shared" si="3"/>
        <v>0</v>
      </c>
      <c r="I50" s="684">
        <f t="shared" si="3"/>
        <v>0</v>
      </c>
      <c r="J50" s="684"/>
      <c r="K50" s="684"/>
      <c r="N50" s="578"/>
    </row>
    <row r="51" spans="1:14" ht="21.75" customHeight="1" thickBot="1">
      <c r="A51" s="43" t="s">
        <v>102</v>
      </c>
      <c r="B51" s="1094" t="s">
        <v>103</v>
      </c>
      <c r="C51" s="1094"/>
      <c r="D51" s="1094"/>
      <c r="E51" s="19"/>
      <c r="F51" s="688">
        <f>F52+F54+F53</f>
        <v>772998</v>
      </c>
      <c r="G51" s="688">
        <f>G52+G54+G53</f>
        <v>772998</v>
      </c>
      <c r="H51" s="684">
        <f t="shared" si="3"/>
        <v>772998</v>
      </c>
      <c r="I51" s="684">
        <f t="shared" si="3"/>
        <v>772998</v>
      </c>
      <c r="J51" s="684">
        <f>J52+J54</f>
        <v>0</v>
      </c>
      <c r="K51" s="684">
        <f>K52+K54</f>
        <v>0</v>
      </c>
      <c r="N51" s="578"/>
    </row>
    <row r="52" spans="1:14" s="21" customFormat="1" ht="21.75" customHeight="1">
      <c r="A52" s="53"/>
      <c r="B52" s="47" t="s">
        <v>104</v>
      </c>
      <c r="C52" s="1092" t="s">
        <v>236</v>
      </c>
      <c r="D52" s="1092"/>
      <c r="E52" s="39" t="s">
        <v>106</v>
      </c>
      <c r="F52" s="690">
        <v>73006</v>
      </c>
      <c r="G52" s="690">
        <v>73006</v>
      </c>
      <c r="H52" s="687">
        <f t="shared" si="3"/>
        <v>73006</v>
      </c>
      <c r="I52" s="687">
        <f t="shared" si="3"/>
        <v>73006</v>
      </c>
      <c r="J52" s="687"/>
      <c r="K52" s="687"/>
      <c r="N52" s="611"/>
    </row>
    <row r="53" spans="1:14" s="21" customFormat="1" ht="37.5" customHeight="1">
      <c r="A53" s="53"/>
      <c r="B53" s="47" t="s">
        <v>107</v>
      </c>
      <c r="C53" s="1092" t="s">
        <v>561</v>
      </c>
      <c r="D53" s="1092"/>
      <c r="E53" s="39" t="s">
        <v>106</v>
      </c>
      <c r="F53" s="690">
        <v>500000</v>
      </c>
      <c r="G53" s="690">
        <v>500000</v>
      </c>
      <c r="H53" s="876"/>
      <c r="I53" s="876"/>
      <c r="J53" s="876"/>
      <c r="K53" s="876"/>
      <c r="N53" s="611"/>
    </row>
    <row r="54" spans="1:14" ht="21.75" customHeight="1" thickBot="1">
      <c r="A54" s="26"/>
      <c r="B54" s="27" t="s">
        <v>264</v>
      </c>
      <c r="C54" s="1086" t="s">
        <v>237</v>
      </c>
      <c r="D54" s="1086"/>
      <c r="E54" s="29" t="s">
        <v>109</v>
      </c>
      <c r="F54" s="691">
        <v>199992</v>
      </c>
      <c r="G54" s="691">
        <v>199992</v>
      </c>
      <c r="H54" s="697">
        <f aca="true" t="shared" si="4" ref="H54:I63">F54-J54</f>
        <v>199992</v>
      </c>
      <c r="I54" s="697">
        <f t="shared" si="4"/>
        <v>199992</v>
      </c>
      <c r="J54" s="697"/>
      <c r="K54" s="697"/>
      <c r="N54" s="578"/>
    </row>
    <row r="55" spans="1:14" ht="21.75" customHeight="1" thickBot="1">
      <c r="A55" s="43" t="s">
        <v>110</v>
      </c>
      <c r="B55" s="1094" t="s">
        <v>111</v>
      </c>
      <c r="C55" s="1094"/>
      <c r="D55" s="1094"/>
      <c r="E55" s="19" t="s">
        <v>112</v>
      </c>
      <c r="F55" s="692">
        <f>SUM(F56:F57)</f>
        <v>0</v>
      </c>
      <c r="G55" s="692">
        <f>SUM(G56:G57)</f>
        <v>0</v>
      </c>
      <c r="H55" s="684">
        <f t="shared" si="4"/>
        <v>0</v>
      </c>
      <c r="I55" s="684">
        <f t="shared" si="4"/>
        <v>0</v>
      </c>
      <c r="J55" s="684"/>
      <c r="K55" s="684"/>
      <c r="N55" s="612"/>
    </row>
    <row r="56" spans="1:14" s="21" customFormat="1" ht="21.75" customHeight="1">
      <c r="A56" s="53"/>
      <c r="B56" s="37" t="s">
        <v>113</v>
      </c>
      <c r="C56" s="1092" t="s">
        <v>114</v>
      </c>
      <c r="D56" s="1092"/>
      <c r="E56" s="39" t="s">
        <v>115</v>
      </c>
      <c r="F56" s="693"/>
      <c r="G56" s="693"/>
      <c r="H56" s="687">
        <f t="shared" si="4"/>
        <v>0</v>
      </c>
      <c r="I56" s="687">
        <f t="shared" si="4"/>
        <v>0</v>
      </c>
      <c r="J56" s="687"/>
      <c r="K56" s="687"/>
      <c r="N56" s="613"/>
    </row>
    <row r="57" spans="1:14" ht="21.75" customHeight="1" thickBot="1">
      <c r="A57" s="40"/>
      <c r="B57" s="41" t="s">
        <v>116</v>
      </c>
      <c r="C57" s="1089" t="s">
        <v>117</v>
      </c>
      <c r="D57" s="1089"/>
      <c r="E57" s="42" t="s">
        <v>118</v>
      </c>
      <c r="F57" s="694"/>
      <c r="G57" s="694"/>
      <c r="H57" s="697">
        <f t="shared" si="4"/>
        <v>0</v>
      </c>
      <c r="I57" s="697">
        <f t="shared" si="4"/>
        <v>0</v>
      </c>
      <c r="J57" s="697"/>
      <c r="K57" s="697"/>
      <c r="N57" s="612"/>
    </row>
    <row r="58" spans="1:14" ht="21.75" customHeight="1" thickBot="1">
      <c r="A58" s="43" t="s">
        <v>119</v>
      </c>
      <c r="B58" s="1156" t="s">
        <v>120</v>
      </c>
      <c r="C58" s="1156"/>
      <c r="D58" s="1156"/>
      <c r="E58" s="55"/>
      <c r="F58" s="692">
        <f>F7+F21+F35+F51+F55+F43</f>
        <v>65402032</v>
      </c>
      <c r="G58" s="692">
        <f>G7+G21+G35+G51+G55+G43</f>
        <v>66118116</v>
      </c>
      <c r="H58" s="684">
        <f t="shared" si="4"/>
        <v>55390766</v>
      </c>
      <c r="I58" s="684">
        <f t="shared" si="4"/>
        <v>56324814</v>
      </c>
      <c r="J58" s="684">
        <f>J7+J21+J35</f>
        <v>10011266</v>
      </c>
      <c r="K58" s="684">
        <f>K7+K21+K35</f>
        <v>9793302</v>
      </c>
      <c r="N58" s="612"/>
    </row>
    <row r="59" spans="1:14" ht="24" customHeight="1" thickBot="1">
      <c r="A59" s="18" t="s">
        <v>121</v>
      </c>
      <c r="B59" s="1094" t="s">
        <v>122</v>
      </c>
      <c r="C59" s="1094"/>
      <c r="D59" s="1094"/>
      <c r="E59" s="19"/>
      <c r="F59" s="692">
        <f>F62+F61+F60</f>
        <v>61339771</v>
      </c>
      <c r="G59" s="692">
        <f>G62+G61+G60</f>
        <v>61461320</v>
      </c>
      <c r="H59" s="684">
        <f t="shared" si="4"/>
        <v>61339771</v>
      </c>
      <c r="I59" s="684">
        <f t="shared" si="4"/>
        <v>61461320</v>
      </c>
      <c r="J59" s="684">
        <v>0</v>
      </c>
      <c r="K59" s="684">
        <v>0</v>
      </c>
      <c r="N59" s="613"/>
    </row>
    <row r="60" spans="1:14" ht="21.75" customHeight="1">
      <c r="A60" s="36"/>
      <c r="B60" s="37" t="s">
        <v>123</v>
      </c>
      <c r="C60" s="1092" t="s">
        <v>124</v>
      </c>
      <c r="D60" s="1092"/>
      <c r="E60" s="39" t="s">
        <v>125</v>
      </c>
      <c r="F60" s="695">
        <v>42240768</v>
      </c>
      <c r="G60" s="695">
        <v>42240768</v>
      </c>
      <c r="H60" s="687">
        <f t="shared" si="4"/>
        <v>42240768</v>
      </c>
      <c r="I60" s="687">
        <f t="shared" si="4"/>
        <v>42240768</v>
      </c>
      <c r="J60" s="687"/>
      <c r="K60" s="687"/>
      <c r="N60" s="613"/>
    </row>
    <row r="61" spans="1:14" ht="21.75" customHeight="1">
      <c r="A61" s="26"/>
      <c r="B61" s="48" t="s">
        <v>126</v>
      </c>
      <c r="C61" s="1092" t="s">
        <v>545</v>
      </c>
      <c r="D61" s="1092"/>
      <c r="E61" s="39" t="s">
        <v>127</v>
      </c>
      <c r="F61" s="691"/>
      <c r="G61" s="691"/>
      <c r="H61" s="686">
        <f t="shared" si="4"/>
        <v>0</v>
      </c>
      <c r="I61" s="686">
        <f t="shared" si="4"/>
        <v>0</v>
      </c>
      <c r="J61" s="686"/>
      <c r="K61" s="686"/>
      <c r="N61" s="613"/>
    </row>
    <row r="62" spans="1:14" ht="21.75" customHeight="1" thickBot="1">
      <c r="A62" s="26"/>
      <c r="B62" s="48" t="s">
        <v>128</v>
      </c>
      <c r="C62" s="1092" t="s">
        <v>129</v>
      </c>
      <c r="D62" s="1092"/>
      <c r="E62" s="39" t="s">
        <v>130</v>
      </c>
      <c r="F62" s="691">
        <v>19099003</v>
      </c>
      <c r="G62" s="691">
        <f>19099003+121549</f>
        <v>19220552</v>
      </c>
      <c r="H62" s="697">
        <f t="shared" si="4"/>
        <v>19099003</v>
      </c>
      <c r="I62" s="697">
        <f t="shared" si="4"/>
        <v>19220552</v>
      </c>
      <c r="J62" s="697"/>
      <c r="K62" s="697"/>
      <c r="N62" s="612"/>
    </row>
    <row r="63" spans="1:14" ht="35.25" customHeight="1" thickBot="1">
      <c r="A63" s="43" t="s">
        <v>131</v>
      </c>
      <c r="B63" s="1120" t="s">
        <v>132</v>
      </c>
      <c r="C63" s="1120"/>
      <c r="D63" s="1120"/>
      <c r="E63" s="57"/>
      <c r="F63" s="696">
        <f>F58+F59</f>
        <v>126741803</v>
      </c>
      <c r="G63" s="696">
        <f>G58+G59</f>
        <v>127579436</v>
      </c>
      <c r="H63" s="684">
        <f t="shared" si="4"/>
        <v>116730537</v>
      </c>
      <c r="I63" s="684">
        <f t="shared" si="4"/>
        <v>117786134</v>
      </c>
      <c r="J63" s="684">
        <f>J58</f>
        <v>10011266</v>
      </c>
      <c r="K63" s="684">
        <f>K58</f>
        <v>9793302</v>
      </c>
      <c r="N63" s="612"/>
    </row>
    <row r="64" spans="1:14" ht="21.75" customHeight="1" hidden="1">
      <c r="A64" s="1106" t="s">
        <v>133</v>
      </c>
      <c r="B64" s="1106"/>
      <c r="C64" s="1106"/>
      <c r="D64" s="1106"/>
      <c r="E64" s="58"/>
      <c r="F64" s="543"/>
      <c r="G64" s="543"/>
      <c r="H64" s="20"/>
      <c r="I64" s="1028"/>
      <c r="N64" s="614"/>
    </row>
    <row r="65" spans="1:14" ht="21.75" customHeight="1" hidden="1">
      <c r="A65" s="1099" t="s">
        <v>134</v>
      </c>
      <c r="B65" s="1099"/>
      <c r="C65" s="1099"/>
      <c r="D65" s="1099"/>
      <c r="E65" s="59"/>
      <c r="F65" s="544"/>
      <c r="G65" s="544"/>
      <c r="H65" s="20"/>
      <c r="I65" s="1028"/>
      <c r="N65" s="547"/>
    </row>
    <row r="66" spans="1:14" ht="21.75" customHeight="1">
      <c r="A66" s="60"/>
      <c r="B66" s="61"/>
      <c r="C66" s="61"/>
      <c r="D66" s="61"/>
      <c r="E66" s="61"/>
      <c r="F66" s="62"/>
      <c r="G66" s="62"/>
      <c r="H66" s="62"/>
      <c r="I66" s="547"/>
      <c r="N66" s="547"/>
    </row>
    <row r="67" ht="12.75">
      <c r="J67" s="4"/>
    </row>
    <row r="68" spans="10:11" ht="35.25" customHeight="1">
      <c r="J68" s="4"/>
      <c r="K68" s="4"/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B55:D55"/>
    <mergeCell ref="C56:D56"/>
    <mergeCell ref="A64:D64"/>
    <mergeCell ref="A65:D65"/>
    <mergeCell ref="B58:D58"/>
    <mergeCell ref="B59:D59"/>
    <mergeCell ref="C60:D60"/>
    <mergeCell ref="C61:D61"/>
    <mergeCell ref="C62:D62"/>
    <mergeCell ref="B63:D63"/>
    <mergeCell ref="C57:D57"/>
    <mergeCell ref="C39:D39"/>
    <mergeCell ref="B43:D43"/>
    <mergeCell ref="C44:D44"/>
    <mergeCell ref="C45:D45"/>
    <mergeCell ref="C49:D49"/>
    <mergeCell ref="C50:D50"/>
    <mergeCell ref="B51:D51"/>
    <mergeCell ref="C52:D52"/>
    <mergeCell ref="C54:D54"/>
    <mergeCell ref="C31:D31"/>
    <mergeCell ref="C32:D32"/>
    <mergeCell ref="C33:D33"/>
    <mergeCell ref="B35:D35"/>
    <mergeCell ref="C36:D36"/>
    <mergeCell ref="C37:D37"/>
    <mergeCell ref="C34:D34"/>
    <mergeCell ref="C53:D53"/>
    <mergeCell ref="H4:I4"/>
    <mergeCell ref="C38:D38"/>
    <mergeCell ref="B21:D21"/>
    <mergeCell ref="C23:D23"/>
    <mergeCell ref="C24:D24"/>
    <mergeCell ref="C25:D25"/>
    <mergeCell ref="C30:D30"/>
    <mergeCell ref="C22:D22"/>
    <mergeCell ref="C20:D20"/>
    <mergeCell ref="C16:D16"/>
    <mergeCell ref="J4:K4"/>
    <mergeCell ref="C17:D17"/>
    <mergeCell ref="A2:H2"/>
    <mergeCell ref="A4:C4"/>
    <mergeCell ref="B6:D6"/>
    <mergeCell ref="B7:D7"/>
    <mergeCell ref="C8:D8"/>
    <mergeCell ref="C13:D13"/>
    <mergeCell ref="H3:J3"/>
    <mergeCell ref="F4:G4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75" zoomScaleNormal="75" zoomScalePageLayoutView="0" workbookViewId="0" topLeftCell="A12">
      <selection activeCell="H41" sqref="H41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7" width="18.7109375" style="66" customWidth="1"/>
    <col min="8" max="9" width="18.57421875" style="67" customWidth="1"/>
    <col min="10" max="10" width="16.7109375" style="66" customWidth="1"/>
    <col min="11" max="11" width="12.00390625" style="66" customWidth="1"/>
    <col min="12" max="16384" width="9.140625" style="66" customWidth="1"/>
  </cols>
  <sheetData>
    <row r="1" spans="6:9" ht="15.75">
      <c r="F1" s="1160"/>
      <c r="G1" s="1160"/>
      <c r="H1" s="1160"/>
      <c r="I1" s="71"/>
    </row>
    <row r="2" spans="1:9" ht="37.5" customHeight="1">
      <c r="A2" s="1161" t="s">
        <v>566</v>
      </c>
      <c r="B2" s="1161"/>
      <c r="C2" s="1161"/>
      <c r="D2" s="1161"/>
      <c r="E2" s="1161"/>
      <c r="F2" s="1161"/>
      <c r="G2" s="1161"/>
      <c r="H2" s="1161"/>
      <c r="I2" s="947"/>
    </row>
    <row r="3" spans="1:10" ht="14.25" customHeight="1" thickBot="1">
      <c r="A3" s="167"/>
      <c r="B3" s="69"/>
      <c r="C3" s="69"/>
      <c r="D3" s="10"/>
      <c r="E3" s="70"/>
      <c r="H3" s="1162" t="s">
        <v>601</v>
      </c>
      <c r="I3" s="1162"/>
      <c r="J3" s="1162"/>
    </row>
    <row r="4" spans="1:11" s="10" customFormat="1" ht="48.75" customHeight="1" thickBot="1">
      <c r="A4" s="1111" t="s">
        <v>135</v>
      </c>
      <c r="B4" s="1111"/>
      <c r="C4" s="1111"/>
      <c r="D4" s="1111"/>
      <c r="E4" s="72" t="s">
        <v>3</v>
      </c>
      <c r="F4" s="1157" t="s">
        <v>4</v>
      </c>
      <c r="G4" s="1158"/>
      <c r="H4" s="1159" t="s">
        <v>245</v>
      </c>
      <c r="I4" s="1158"/>
      <c r="J4" s="1159" t="s">
        <v>301</v>
      </c>
      <c r="K4" s="1158"/>
    </row>
    <row r="5" spans="1:11" s="10" customFormat="1" ht="16.5" customHeight="1" thickBot="1">
      <c r="A5" s="72"/>
      <c r="B5" s="73"/>
      <c r="C5" s="73"/>
      <c r="D5" s="73"/>
      <c r="E5" s="72"/>
      <c r="F5" s="822" t="s">
        <v>6</v>
      </c>
      <c r="G5" s="822" t="s">
        <v>137</v>
      </c>
      <c r="H5" s="822" t="s">
        <v>6</v>
      </c>
      <c r="I5" s="822" t="s">
        <v>137</v>
      </c>
      <c r="J5" s="822" t="s">
        <v>6</v>
      </c>
      <c r="K5" s="822" t="s">
        <v>137</v>
      </c>
    </row>
    <row r="6" spans="1:11" s="77" customFormat="1" ht="22.5" customHeight="1" thickBot="1">
      <c r="A6" s="43" t="s">
        <v>10</v>
      </c>
      <c r="B6" s="1115" t="s">
        <v>142</v>
      </c>
      <c r="C6" s="1115"/>
      <c r="D6" s="1115"/>
      <c r="E6" s="43"/>
      <c r="F6" s="734">
        <f>F7+F8+F9+F10+F11</f>
        <v>56744954</v>
      </c>
      <c r="G6" s="734">
        <f>G7+G8+G9+G10+G11</f>
        <v>57510448</v>
      </c>
      <c r="H6" s="734">
        <f aca="true" t="shared" si="0" ref="H6:I9">F6-J6</f>
        <v>47533688</v>
      </c>
      <c r="I6" s="734">
        <f t="shared" si="0"/>
        <v>48517146</v>
      </c>
      <c r="J6" s="751">
        <f>J7+J8+J9+J10+J11</f>
        <v>9211266</v>
      </c>
      <c r="K6" s="751">
        <f>K7+K8+K9+K10+K11</f>
        <v>8993302</v>
      </c>
    </row>
    <row r="7" spans="1:11" s="83" customFormat="1" ht="22.5" customHeight="1">
      <c r="A7" s="78"/>
      <c r="B7" s="79" t="s">
        <v>13</v>
      </c>
      <c r="C7" s="79"/>
      <c r="D7" s="80" t="s">
        <v>143</v>
      </c>
      <c r="E7" s="725" t="s">
        <v>144</v>
      </c>
      <c r="F7" s="735">
        <v>25277433</v>
      </c>
      <c r="G7" s="735">
        <f>25277433+312640+79000</f>
        <v>25669073</v>
      </c>
      <c r="H7" s="748">
        <f t="shared" si="0"/>
        <v>23624525</v>
      </c>
      <c r="I7" s="748">
        <f t="shared" si="0"/>
        <v>24016165</v>
      </c>
      <c r="J7" s="752">
        <v>1652908</v>
      </c>
      <c r="K7" s="752">
        <v>1652908</v>
      </c>
    </row>
    <row r="8" spans="1:11" s="83" customFormat="1" ht="22.5" customHeight="1">
      <c r="A8" s="84"/>
      <c r="B8" s="85" t="s">
        <v>23</v>
      </c>
      <c r="C8" s="85"/>
      <c r="D8" s="86" t="s">
        <v>145</v>
      </c>
      <c r="E8" s="725" t="s">
        <v>146</v>
      </c>
      <c r="F8" s="736">
        <v>5071833</v>
      </c>
      <c r="G8" s="736">
        <f>5071833+68781+21330</f>
        <v>5161944</v>
      </c>
      <c r="H8" s="740">
        <f t="shared" si="0"/>
        <v>4620681</v>
      </c>
      <c r="I8" s="740">
        <f t="shared" si="0"/>
        <v>4710792</v>
      </c>
      <c r="J8" s="753">
        <v>451152</v>
      </c>
      <c r="K8" s="753">
        <v>451152</v>
      </c>
    </row>
    <row r="9" spans="1:11" s="83" customFormat="1" ht="22.5" customHeight="1">
      <c r="A9" s="84"/>
      <c r="B9" s="85" t="s">
        <v>147</v>
      </c>
      <c r="C9" s="85"/>
      <c r="D9" s="86" t="s">
        <v>148</v>
      </c>
      <c r="E9" s="725" t="s">
        <v>149</v>
      </c>
      <c r="F9" s="736">
        <v>20136735</v>
      </c>
      <c r="G9" s="736">
        <f>20136735+61427</f>
        <v>20198162</v>
      </c>
      <c r="H9" s="740">
        <f t="shared" si="0"/>
        <v>18402115</v>
      </c>
      <c r="I9" s="740">
        <f t="shared" si="0"/>
        <v>18463542</v>
      </c>
      <c r="J9" s="737">
        <f>'8.sz.m.Dologi kiadás (2)'!H25</f>
        <v>1734620</v>
      </c>
      <c r="K9" s="737">
        <f>'8.sz.m.Dologi kiadás (2)'!I25</f>
        <v>1734620</v>
      </c>
    </row>
    <row r="10" spans="1:11" s="83" customFormat="1" ht="22.5" customHeight="1">
      <c r="A10" s="84"/>
      <c r="B10" s="85" t="s">
        <v>33</v>
      </c>
      <c r="C10" s="85"/>
      <c r="D10" s="86" t="s">
        <v>150</v>
      </c>
      <c r="E10" s="725" t="s">
        <v>151</v>
      </c>
      <c r="F10" s="735">
        <v>2171000</v>
      </c>
      <c r="G10" s="735">
        <v>2171000</v>
      </c>
      <c r="H10" s="740">
        <f>'9.sz.m.szociális kiadások'!C43+'9.sz.m.szociális kiadások'!C16</f>
        <v>0</v>
      </c>
      <c r="I10" s="740">
        <f>'9.sz.m.szociális kiadások'!D43+'9.sz.m.szociális kiadások'!D16</f>
        <v>0</v>
      </c>
      <c r="J10" s="740">
        <f>'9.sz.m.szociális kiadások'!C11+'9.sz.m.szociális kiadások'!C14+'9.sz.m.szociális kiadások'!C15+'9.sz.m.szociális kiadások'!C17</f>
        <v>2171000</v>
      </c>
      <c r="K10" s="740">
        <f>'9.sz.m.szociális kiadások'!D11+'9.sz.m.szociális kiadások'!D14+'9.sz.m.szociális kiadások'!D15+'9.sz.m.szociális kiadások'!D17</f>
        <v>2171000</v>
      </c>
    </row>
    <row r="11" spans="1:11" s="83" customFormat="1" ht="22.5" customHeight="1">
      <c r="A11" s="84"/>
      <c r="B11" s="85" t="s">
        <v>40</v>
      </c>
      <c r="C11" s="85"/>
      <c r="D11" s="87" t="s">
        <v>152</v>
      </c>
      <c r="E11" s="726" t="s">
        <v>153</v>
      </c>
      <c r="F11" s="736">
        <f aca="true" t="shared" si="1" ref="F11:K11">SUM(F12:F15)</f>
        <v>4087953</v>
      </c>
      <c r="G11" s="736">
        <f t="shared" si="1"/>
        <v>4310269</v>
      </c>
      <c r="H11" s="740">
        <f t="shared" si="1"/>
        <v>886367</v>
      </c>
      <c r="I11" s="740">
        <f t="shared" si="1"/>
        <v>1326647</v>
      </c>
      <c r="J11" s="737">
        <f t="shared" si="1"/>
        <v>3201586</v>
      </c>
      <c r="K11" s="737">
        <f t="shared" si="1"/>
        <v>2983622</v>
      </c>
    </row>
    <row r="12" spans="1:11" s="83" customFormat="1" ht="28.5" customHeight="1">
      <c r="A12" s="84"/>
      <c r="B12" s="89"/>
      <c r="C12" s="85" t="s">
        <v>154</v>
      </c>
      <c r="D12" s="90" t="s">
        <v>155</v>
      </c>
      <c r="E12" s="727" t="s">
        <v>238</v>
      </c>
      <c r="F12" s="735">
        <v>117277</v>
      </c>
      <c r="G12" s="735">
        <f>117277+440280</f>
        <v>557557</v>
      </c>
      <c r="H12" s="740">
        <f>F12-J12</f>
        <v>117277</v>
      </c>
      <c r="I12" s="740">
        <f>G12-K12</f>
        <v>557557</v>
      </c>
      <c r="J12" s="754"/>
      <c r="K12" s="754"/>
    </row>
    <row r="13" spans="1:11" s="83" customFormat="1" ht="31.5" customHeight="1">
      <c r="A13" s="84"/>
      <c r="B13" s="85"/>
      <c r="C13" s="85" t="s">
        <v>156</v>
      </c>
      <c r="D13" s="86" t="s">
        <v>157</v>
      </c>
      <c r="E13" s="725" t="s">
        <v>607</v>
      </c>
      <c r="F13" s="735">
        <v>2889266</v>
      </c>
      <c r="G13" s="735">
        <f>2889266-217964</f>
        <v>2671302</v>
      </c>
      <c r="H13" s="740">
        <f>F13-J13</f>
        <v>0</v>
      </c>
      <c r="I13" s="740">
        <f>G13-K13</f>
        <v>0</v>
      </c>
      <c r="J13" s="753">
        <f>'10.sz.m.átadott pe (2)'!D35</f>
        <v>2889266</v>
      </c>
      <c r="K13" s="753">
        <f>'10.sz.m.átadott pe (2)'!E35</f>
        <v>2671302</v>
      </c>
    </row>
    <row r="14" spans="1:11" s="83" customFormat="1" ht="36.75" customHeight="1">
      <c r="A14" s="92"/>
      <c r="B14" s="93"/>
      <c r="C14" s="85" t="s">
        <v>158</v>
      </c>
      <c r="D14" s="86" t="s">
        <v>159</v>
      </c>
      <c r="E14" s="725" t="s">
        <v>239</v>
      </c>
      <c r="F14" s="735">
        <v>1081410</v>
      </c>
      <c r="G14" s="735">
        <f>1081410</f>
        <v>1081410</v>
      </c>
      <c r="H14" s="761">
        <f>'10.sz.m.átadott pe (2)'!B63</f>
        <v>769090</v>
      </c>
      <c r="I14" s="761">
        <f>'10.sz.m.átadott pe (2)'!C63</f>
        <v>769090</v>
      </c>
      <c r="J14" s="753">
        <f>'10.sz.m.átadott pe (2)'!D63</f>
        <v>312320</v>
      </c>
      <c r="K14" s="753">
        <f>'10.sz.m.átadott pe (2)'!E63</f>
        <v>312320</v>
      </c>
    </row>
    <row r="15" spans="1:11" s="83" customFormat="1" ht="42.75" customHeight="1" thickBot="1">
      <c r="A15" s="84"/>
      <c r="B15" s="85"/>
      <c r="C15" s="85" t="s">
        <v>160</v>
      </c>
      <c r="D15" s="86" t="s">
        <v>489</v>
      </c>
      <c r="E15" s="725" t="s">
        <v>488</v>
      </c>
      <c r="F15" s="740">
        <v>0</v>
      </c>
      <c r="G15" s="740">
        <v>0</v>
      </c>
      <c r="H15" s="840">
        <f aca="true" t="shared" si="2" ref="H15:I36">F15-J15</f>
        <v>0</v>
      </c>
      <c r="I15" s="840">
        <f t="shared" si="2"/>
        <v>0</v>
      </c>
      <c r="J15" s="753">
        <f>'10.sz.m.átadott pe (2)'!D90</f>
        <v>0</v>
      </c>
      <c r="K15" s="753">
        <f>'10.sz.m.átadott pe (2)'!E90</f>
        <v>0</v>
      </c>
    </row>
    <row r="16" spans="1:11" s="83" customFormat="1" ht="22.5" customHeight="1" hidden="1" thickBot="1">
      <c r="A16" s="94"/>
      <c r="B16" s="95"/>
      <c r="C16" s="95" t="s">
        <v>162</v>
      </c>
      <c r="D16" s="96" t="s">
        <v>163</v>
      </c>
      <c r="E16" s="728"/>
      <c r="F16" s="738"/>
      <c r="G16" s="738"/>
      <c r="H16" s="734">
        <f t="shared" si="2"/>
        <v>0</v>
      </c>
      <c r="I16" s="734">
        <f t="shared" si="2"/>
        <v>0</v>
      </c>
      <c r="J16" s="755"/>
      <c r="K16" s="755"/>
    </row>
    <row r="17" spans="1:11" s="83" customFormat="1" ht="22.5" customHeight="1" thickBot="1">
      <c r="A17" s="43" t="s">
        <v>164</v>
      </c>
      <c r="B17" s="1115" t="s">
        <v>165</v>
      </c>
      <c r="C17" s="1115"/>
      <c r="D17" s="1115"/>
      <c r="E17" s="43"/>
      <c r="F17" s="739">
        <f>F18+F19+F20</f>
        <v>47958168</v>
      </c>
      <c r="G17" s="739">
        <f>G18+G19+G20</f>
        <v>47958168</v>
      </c>
      <c r="H17" s="734">
        <f t="shared" si="2"/>
        <v>47158168</v>
      </c>
      <c r="I17" s="734">
        <f t="shared" si="2"/>
        <v>47158168</v>
      </c>
      <c r="J17" s="739">
        <f>J18+J19+J20</f>
        <v>800000</v>
      </c>
      <c r="K17" s="739">
        <f>K18+K19+K20</f>
        <v>800000</v>
      </c>
    </row>
    <row r="18" spans="1:11" s="83" customFormat="1" ht="22.5" customHeight="1">
      <c r="A18" s="78"/>
      <c r="B18" s="79" t="s">
        <v>46</v>
      </c>
      <c r="C18" s="1116" t="s">
        <v>166</v>
      </c>
      <c r="D18" s="1116"/>
      <c r="E18" s="78" t="s">
        <v>167</v>
      </c>
      <c r="F18" s="735">
        <v>10702800</v>
      </c>
      <c r="G18" s="735">
        <v>10702800</v>
      </c>
      <c r="H18" s="748">
        <f t="shared" si="2"/>
        <v>10702800</v>
      </c>
      <c r="I18" s="748">
        <f t="shared" si="2"/>
        <v>10702800</v>
      </c>
      <c r="J18" s="752"/>
      <c r="K18" s="752"/>
    </row>
    <row r="19" spans="1:11" s="83" customFormat="1" ht="22.5" customHeight="1">
      <c r="A19" s="84"/>
      <c r="B19" s="85" t="s">
        <v>49</v>
      </c>
      <c r="C19" s="1117" t="s">
        <v>168</v>
      </c>
      <c r="D19" s="1117"/>
      <c r="E19" s="78" t="s">
        <v>169</v>
      </c>
      <c r="F19" s="740">
        <v>36455368</v>
      </c>
      <c r="G19" s="740">
        <v>36455368</v>
      </c>
      <c r="H19" s="740">
        <f t="shared" si="2"/>
        <v>36455368</v>
      </c>
      <c r="I19" s="740">
        <f t="shared" si="2"/>
        <v>36455368</v>
      </c>
      <c r="J19" s="753"/>
      <c r="K19" s="753"/>
    </row>
    <row r="20" spans="1:11" s="83" customFormat="1" ht="22.5" customHeight="1">
      <c r="A20" s="100"/>
      <c r="B20" s="85" t="s">
        <v>52</v>
      </c>
      <c r="C20" s="1118" t="s">
        <v>170</v>
      </c>
      <c r="D20" s="1118"/>
      <c r="E20" s="729" t="s">
        <v>171</v>
      </c>
      <c r="F20" s="737">
        <f>SUM(F21:F24)</f>
        <v>800000</v>
      </c>
      <c r="G20" s="737">
        <f>SUM(G21:G24)</f>
        <v>800000</v>
      </c>
      <c r="H20" s="740">
        <f t="shared" si="2"/>
        <v>0</v>
      </c>
      <c r="I20" s="740">
        <f t="shared" si="2"/>
        <v>0</v>
      </c>
      <c r="J20" s="753">
        <f>SUM(J21:J24)</f>
        <v>800000</v>
      </c>
      <c r="K20" s="753">
        <f>SUM(K21:K24)</f>
        <v>800000</v>
      </c>
    </row>
    <row r="21" spans="1:11" s="83" customFormat="1" ht="22.5" customHeight="1">
      <c r="A21" s="103"/>
      <c r="B21" s="104"/>
      <c r="C21" s="104" t="s">
        <v>55</v>
      </c>
      <c r="D21" s="101" t="s">
        <v>172</v>
      </c>
      <c r="E21" s="729"/>
      <c r="F21" s="740">
        <v>800000</v>
      </c>
      <c r="G21" s="740">
        <v>800000</v>
      </c>
      <c r="H21" s="740">
        <f t="shared" si="2"/>
        <v>0</v>
      </c>
      <c r="I21" s="740">
        <f t="shared" si="2"/>
        <v>0</v>
      </c>
      <c r="J21" s="753">
        <f>'10.sz.m.átadott pe (2)'!L35</f>
        <v>800000</v>
      </c>
      <c r="K21" s="753">
        <f>'10.sz.m.átadott pe (2)'!M35</f>
        <v>800000</v>
      </c>
    </row>
    <row r="22" spans="1:11" s="83" customFormat="1" ht="22.5" customHeight="1">
      <c r="A22" s="103"/>
      <c r="B22" s="104"/>
      <c r="C22" s="104" t="s">
        <v>57</v>
      </c>
      <c r="D22" s="101" t="s">
        <v>173</v>
      </c>
      <c r="E22" s="729"/>
      <c r="F22" s="740"/>
      <c r="G22" s="740"/>
      <c r="H22" s="740">
        <f t="shared" si="2"/>
        <v>0</v>
      </c>
      <c r="I22" s="740">
        <f t="shared" si="2"/>
        <v>0</v>
      </c>
      <c r="J22" s="753"/>
      <c r="K22" s="753"/>
    </row>
    <row r="23" spans="1:11" s="83" customFormat="1" ht="22.5" customHeight="1">
      <c r="A23" s="100"/>
      <c r="B23" s="101"/>
      <c r="C23" s="104" t="s">
        <v>59</v>
      </c>
      <c r="D23" s="101" t="s">
        <v>161</v>
      </c>
      <c r="E23" s="729"/>
      <c r="F23" s="737"/>
      <c r="G23" s="737"/>
      <c r="H23" s="740">
        <f t="shared" si="2"/>
        <v>0</v>
      </c>
      <c r="I23" s="740">
        <f t="shared" si="2"/>
        <v>0</v>
      </c>
      <c r="J23" s="753"/>
      <c r="K23" s="753"/>
    </row>
    <row r="24" spans="1:11" s="83" customFormat="1" ht="22.5" customHeight="1" thickBot="1">
      <c r="A24" s="105"/>
      <c r="B24" s="106"/>
      <c r="C24" s="107" t="s">
        <v>174</v>
      </c>
      <c r="D24" s="106" t="s">
        <v>175</v>
      </c>
      <c r="E24" s="105"/>
      <c r="F24" s="741"/>
      <c r="G24" s="741"/>
      <c r="H24" s="749">
        <f t="shared" si="2"/>
        <v>0</v>
      </c>
      <c r="I24" s="749">
        <f t="shared" si="2"/>
        <v>0</v>
      </c>
      <c r="J24" s="755"/>
      <c r="K24" s="755"/>
    </row>
    <row r="25" spans="1:11" s="83" customFormat="1" ht="22.5" customHeight="1" thickBot="1">
      <c r="A25" s="43" t="s">
        <v>70</v>
      </c>
      <c r="B25" s="1115" t="s">
        <v>176</v>
      </c>
      <c r="C25" s="1115"/>
      <c r="D25" s="1115"/>
      <c r="E25" s="43" t="s">
        <v>177</v>
      </c>
      <c r="F25" s="739">
        <f>F26+F28</f>
        <v>118110</v>
      </c>
      <c r="G25" s="739">
        <f>G26+G28</f>
        <v>118549</v>
      </c>
      <c r="H25" s="734">
        <f t="shared" si="2"/>
        <v>118110</v>
      </c>
      <c r="I25" s="734">
        <f t="shared" si="2"/>
        <v>118549</v>
      </c>
      <c r="J25" s="757"/>
      <c r="K25" s="757"/>
    </row>
    <row r="26" spans="1:11" s="83" customFormat="1" ht="22.5" customHeight="1">
      <c r="A26" s="78"/>
      <c r="B26" s="79" t="s">
        <v>73</v>
      </c>
      <c r="C26" s="1116" t="s">
        <v>178</v>
      </c>
      <c r="D26" s="1116"/>
      <c r="E26" s="78"/>
      <c r="F26" s="735">
        <v>118110</v>
      </c>
      <c r="G26" s="735">
        <f>118110-118110+118549</f>
        <v>118549</v>
      </c>
      <c r="H26" s="748">
        <f t="shared" si="2"/>
        <v>118110</v>
      </c>
      <c r="I26" s="748">
        <f t="shared" si="2"/>
        <v>118549</v>
      </c>
      <c r="J26" s="752"/>
      <c r="K26" s="752"/>
    </row>
    <row r="27" spans="1:11" s="77" customFormat="1" ht="22.5" customHeight="1">
      <c r="A27" s="109"/>
      <c r="B27" s="85" t="s">
        <v>76</v>
      </c>
      <c r="C27" s="1119" t="s">
        <v>179</v>
      </c>
      <c r="D27" s="1119"/>
      <c r="E27" s="730"/>
      <c r="F27" s="735"/>
      <c r="G27" s="735"/>
      <c r="H27" s="740">
        <f t="shared" si="2"/>
        <v>0</v>
      </c>
      <c r="I27" s="740">
        <f t="shared" si="2"/>
        <v>0</v>
      </c>
      <c r="J27" s="758"/>
      <c r="K27" s="758"/>
    </row>
    <row r="28" spans="1:11" s="77" customFormat="1" ht="22.5" customHeight="1" thickBot="1">
      <c r="A28" s="111"/>
      <c r="B28" s="95" t="s">
        <v>78</v>
      </c>
      <c r="C28" s="112" t="s">
        <v>180</v>
      </c>
      <c r="D28" s="112"/>
      <c r="E28" s="731"/>
      <c r="F28" s="742">
        <v>0</v>
      </c>
      <c r="G28" s="742">
        <v>0</v>
      </c>
      <c r="H28" s="749">
        <f t="shared" si="2"/>
        <v>0</v>
      </c>
      <c r="I28" s="749">
        <f t="shared" si="2"/>
        <v>0</v>
      </c>
      <c r="J28" s="758"/>
      <c r="K28" s="758"/>
    </row>
    <row r="29" spans="1:11" s="77" customFormat="1" ht="22.5" customHeight="1" hidden="1">
      <c r="A29" s="114" t="s">
        <v>89</v>
      </c>
      <c r="B29" s="115" t="s">
        <v>181</v>
      </c>
      <c r="C29" s="115"/>
      <c r="D29" s="115"/>
      <c r="E29" s="114"/>
      <c r="F29" s="743"/>
      <c r="G29" s="743"/>
      <c r="H29" s="734">
        <f t="shared" si="2"/>
        <v>0</v>
      </c>
      <c r="I29" s="734">
        <f t="shared" si="2"/>
        <v>0</v>
      </c>
      <c r="J29" s="758"/>
      <c r="K29" s="758"/>
    </row>
    <row r="30" spans="1:11" s="77" customFormat="1" ht="22.5" customHeight="1" hidden="1">
      <c r="A30" s="43"/>
      <c r="B30" s="1115"/>
      <c r="C30" s="1115"/>
      <c r="D30" s="1115"/>
      <c r="E30" s="655"/>
      <c r="F30" s="744"/>
      <c r="G30" s="744"/>
      <c r="H30" s="734">
        <f t="shared" si="2"/>
        <v>0</v>
      </c>
      <c r="I30" s="734">
        <f t="shared" si="2"/>
        <v>0</v>
      </c>
      <c r="J30" s="759"/>
      <c r="K30" s="759"/>
    </row>
    <row r="31" spans="1:11" s="77" customFormat="1" ht="22.5" customHeight="1" thickBot="1">
      <c r="A31" s="43" t="s">
        <v>89</v>
      </c>
      <c r="B31" s="1120" t="s">
        <v>182</v>
      </c>
      <c r="C31" s="1120"/>
      <c r="D31" s="1120"/>
      <c r="E31" s="119"/>
      <c r="F31" s="734">
        <f>F6+F17+F25</f>
        <v>104821232</v>
      </c>
      <c r="G31" s="734">
        <f>G6+G17+G25</f>
        <v>105587165</v>
      </c>
      <c r="H31" s="734">
        <f t="shared" si="2"/>
        <v>94809966</v>
      </c>
      <c r="I31" s="734">
        <f t="shared" si="2"/>
        <v>95793863</v>
      </c>
      <c r="J31" s="756">
        <f>J6+J17</f>
        <v>10011266</v>
      </c>
      <c r="K31" s="756">
        <f>K6+K17</f>
        <v>9793302</v>
      </c>
    </row>
    <row r="32" spans="1:11" s="77" customFormat="1" ht="22.5" customHeight="1" thickBot="1">
      <c r="A32" s="119">
        <v>5</v>
      </c>
      <c r="B32" s="1121" t="s">
        <v>240</v>
      </c>
      <c r="C32" s="1121"/>
      <c r="D32" s="1121"/>
      <c r="E32" s="732" t="s">
        <v>184</v>
      </c>
      <c r="F32" s="745">
        <f>F33+F34+F35</f>
        <v>21920571</v>
      </c>
      <c r="G32" s="745">
        <f>G33+G34+G35</f>
        <v>21992271</v>
      </c>
      <c r="H32" s="734">
        <f t="shared" si="2"/>
        <v>21920571</v>
      </c>
      <c r="I32" s="734">
        <f t="shared" si="2"/>
        <v>21992271</v>
      </c>
      <c r="J32" s="756"/>
      <c r="K32" s="756"/>
    </row>
    <row r="33" spans="1:11" s="83" customFormat="1" ht="22.5" customHeight="1">
      <c r="A33" s="762"/>
      <c r="B33" s="763" t="s">
        <v>104</v>
      </c>
      <c r="C33" s="1163" t="s">
        <v>185</v>
      </c>
      <c r="D33" s="1163"/>
      <c r="E33" s="764" t="s">
        <v>241</v>
      </c>
      <c r="F33" s="735"/>
      <c r="G33" s="735"/>
      <c r="H33" s="748">
        <f t="shared" si="2"/>
        <v>0</v>
      </c>
      <c r="I33" s="748">
        <f t="shared" si="2"/>
        <v>0</v>
      </c>
      <c r="J33" s="752"/>
      <c r="K33" s="752"/>
    </row>
    <row r="34" spans="1:11" s="83" customFormat="1" ht="22.5" customHeight="1">
      <c r="A34" s="84"/>
      <c r="B34" s="85" t="s">
        <v>107</v>
      </c>
      <c r="C34" s="1117" t="s">
        <v>438</v>
      </c>
      <c r="D34" s="1117"/>
      <c r="E34" s="84" t="s">
        <v>439</v>
      </c>
      <c r="F34" s="737">
        <v>849838</v>
      </c>
      <c r="G34" s="737">
        <v>849838</v>
      </c>
      <c r="H34" s="740">
        <f t="shared" si="2"/>
        <v>849838</v>
      </c>
      <c r="I34" s="740">
        <f t="shared" si="2"/>
        <v>849838</v>
      </c>
      <c r="J34" s="753"/>
      <c r="K34" s="753"/>
    </row>
    <row r="35" spans="1:11" s="83" customFormat="1" ht="22.5" customHeight="1" thickBot="1">
      <c r="A35" s="765"/>
      <c r="B35" s="766" t="s">
        <v>264</v>
      </c>
      <c r="C35" s="767" t="s">
        <v>242</v>
      </c>
      <c r="D35" s="767"/>
      <c r="E35" s="765" t="s">
        <v>243</v>
      </c>
      <c r="F35" s="746">
        <v>21070733</v>
      </c>
      <c r="G35" s="746">
        <f>21070733+58387-4467+17780</f>
        <v>21142433</v>
      </c>
      <c r="H35" s="749">
        <f t="shared" si="2"/>
        <v>21070733</v>
      </c>
      <c r="I35" s="749">
        <f t="shared" si="2"/>
        <v>21142433</v>
      </c>
      <c r="J35" s="755"/>
      <c r="K35" s="755"/>
    </row>
    <row r="36" spans="1:11" s="83" customFormat="1" ht="22.5" customHeight="1" thickBot="1">
      <c r="A36" s="43" t="s">
        <v>110</v>
      </c>
      <c r="B36" s="1120" t="s">
        <v>244</v>
      </c>
      <c r="C36" s="1120"/>
      <c r="D36" s="1120"/>
      <c r="E36" s="655"/>
      <c r="F36" s="747">
        <f>F6+F17+F25+F32</f>
        <v>126741803</v>
      </c>
      <c r="G36" s="747">
        <f>G6+G17+G25+G32</f>
        <v>127579436</v>
      </c>
      <c r="H36" s="750">
        <f t="shared" si="2"/>
        <v>116730537</v>
      </c>
      <c r="I36" s="750">
        <f t="shared" si="2"/>
        <v>117786134</v>
      </c>
      <c r="J36" s="760">
        <f>J31</f>
        <v>10011266</v>
      </c>
      <c r="K36" s="760">
        <f>K31</f>
        <v>9793302</v>
      </c>
    </row>
    <row r="37" spans="1:9" s="83" customFormat="1" ht="19.5" customHeight="1" hidden="1">
      <c r="A37" s="1106" t="s">
        <v>186</v>
      </c>
      <c r="B37" s="1106"/>
      <c r="C37" s="1106"/>
      <c r="D37" s="1106"/>
      <c r="E37" s="58"/>
      <c r="F37" s="733"/>
      <c r="G37" s="733"/>
      <c r="H37" s="169"/>
      <c r="I37" s="136"/>
    </row>
    <row r="38" spans="1:9" s="83" customFormat="1" ht="19.5" customHeight="1" hidden="1">
      <c r="A38" s="1099" t="s">
        <v>197</v>
      </c>
      <c r="B38" s="1099"/>
      <c r="C38" s="1099"/>
      <c r="D38" s="1099"/>
      <c r="E38" s="59"/>
      <c r="F38" s="544"/>
      <c r="G38" s="544"/>
      <c r="H38" s="54"/>
      <c r="I38" s="136"/>
    </row>
    <row r="39" spans="1:9" s="83" customFormat="1" ht="19.5" customHeight="1">
      <c r="A39" s="170"/>
      <c r="B39" s="125"/>
      <c r="C39" s="170"/>
      <c r="D39" s="170"/>
      <c r="E39" s="170"/>
      <c r="F39" s="171"/>
      <c r="G39" s="171"/>
      <c r="H39" s="172"/>
      <c r="I39" s="1029"/>
    </row>
    <row r="40" spans="1:10" s="83" customFormat="1" ht="19.5" customHeight="1">
      <c r="A40" s="130"/>
      <c r="B40" s="168"/>
      <c r="C40" s="168"/>
      <c r="D40" s="173"/>
      <c r="E40" s="173"/>
      <c r="F40" s="131"/>
      <c r="G40" s="131"/>
      <c r="H40" s="132"/>
      <c r="I40" s="132"/>
      <c r="J40" s="934"/>
    </row>
    <row r="41" spans="6:7" ht="15.75">
      <c r="F41" s="12"/>
      <c r="G41" s="12"/>
    </row>
  </sheetData>
  <sheetProtection selectLockedCells="1" selectUnlockedCells="1"/>
  <mergeCells count="23"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  <mergeCell ref="B6:D6"/>
    <mergeCell ref="B25:D25"/>
    <mergeCell ref="B17:D17"/>
    <mergeCell ref="C18:D18"/>
    <mergeCell ref="C19:D19"/>
    <mergeCell ref="C20:D20"/>
    <mergeCell ref="F4:G4"/>
    <mergeCell ref="H4:I4"/>
    <mergeCell ref="J4:K4"/>
    <mergeCell ref="F1:H1"/>
    <mergeCell ref="A2:H2"/>
    <mergeCell ref="A4:D4"/>
    <mergeCell ref="H3:J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7">
      <selection activeCell="L57" sqref="L57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0" style="175" hidden="1" customWidth="1"/>
    <col min="10" max="11" width="12.7109375" style="175" customWidth="1"/>
    <col min="12" max="12" width="12.140625" style="175" customWidth="1"/>
    <col min="13" max="13" width="11.57421875" style="175" customWidth="1"/>
    <col min="14" max="16384" width="9.140625" style="175" customWidth="1"/>
  </cols>
  <sheetData>
    <row r="1" spans="1:11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165"/>
      <c r="K1" s="948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1" s="183" customFormat="1" ht="25.5" customHeight="1">
      <c r="A3" s="1166" t="s">
        <v>509</v>
      </c>
      <c r="B3" s="1166"/>
      <c r="C3" s="1166"/>
      <c r="D3" s="1166"/>
      <c r="E3" s="1166"/>
      <c r="F3" s="1166"/>
      <c r="G3" s="1166"/>
      <c r="H3" s="1166"/>
      <c r="I3" s="1166"/>
      <c r="J3" s="1166"/>
      <c r="K3" s="949"/>
    </row>
    <row r="4" spans="1:12" s="186" customFormat="1" ht="15.75" customHeight="1" thickBot="1">
      <c r="A4" s="184"/>
      <c r="B4" s="184"/>
      <c r="C4" s="185" t="s">
        <v>558</v>
      </c>
      <c r="J4" s="1104" t="s">
        <v>601</v>
      </c>
      <c r="K4" s="1104"/>
      <c r="L4" s="1105"/>
    </row>
    <row r="5" spans="1:13" s="186" customFormat="1" ht="41.25" customHeight="1" thickBot="1">
      <c r="A5" s="184"/>
      <c r="B5" s="184"/>
      <c r="C5" s="184"/>
      <c r="D5" s="1167" t="s">
        <v>3</v>
      </c>
      <c r="E5" s="1167"/>
      <c r="F5" s="1167"/>
      <c r="G5" s="1167"/>
      <c r="H5" s="1167"/>
      <c r="I5" s="1167"/>
      <c r="J5" s="1111" t="s">
        <v>4</v>
      </c>
      <c r="K5" s="1169"/>
      <c r="L5" s="1111" t="s">
        <v>245</v>
      </c>
      <c r="M5" s="1169"/>
    </row>
    <row r="6" spans="1:13" ht="19.5" customHeight="1" thickBot="1">
      <c r="A6" s="1168" t="s">
        <v>246</v>
      </c>
      <c r="B6" s="1168"/>
      <c r="C6" s="187" t="s">
        <v>247</v>
      </c>
      <c r="D6" s="188"/>
      <c r="E6" s="189" t="s">
        <v>137</v>
      </c>
      <c r="F6" s="189" t="s">
        <v>138</v>
      </c>
      <c r="G6" s="189" t="s">
        <v>139</v>
      </c>
      <c r="H6" s="189" t="s">
        <v>248</v>
      </c>
      <c r="I6" s="189" t="s">
        <v>249</v>
      </c>
      <c r="J6" s="657" t="s">
        <v>6</v>
      </c>
      <c r="K6" s="657" t="s">
        <v>137</v>
      </c>
      <c r="L6" s="657" t="s">
        <v>6</v>
      </c>
      <c r="M6" s="657" t="s">
        <v>137</v>
      </c>
    </row>
    <row r="7" spans="1:13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</row>
    <row r="8" spans="1:13" s="194" customFormat="1" ht="19.5" customHeight="1" thickBot="1">
      <c r="A8" s="195"/>
      <c r="B8" s="196"/>
      <c r="C8" s="196" t="s">
        <v>250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</row>
    <row r="9" spans="1:13" s="205" customFormat="1" ht="19.5" customHeight="1" thickBot="1">
      <c r="A9" s="190" t="s">
        <v>10</v>
      </c>
      <c r="B9" s="200"/>
      <c r="C9" s="201" t="s">
        <v>251</v>
      </c>
      <c r="D9" s="202" t="s">
        <v>45</v>
      </c>
      <c r="E9" s="203"/>
      <c r="F9" s="203"/>
      <c r="G9" s="203"/>
      <c r="H9" s="203"/>
      <c r="I9" s="203"/>
      <c r="J9" s="204">
        <f>SUM(J10:J13)</f>
        <v>4243773</v>
      </c>
      <c r="K9" s="204">
        <f>SUM(K10:K13)</f>
        <v>4249905</v>
      </c>
      <c r="L9" s="204">
        <f>SUM(L10:L13)</f>
        <v>4243773</v>
      </c>
      <c r="M9" s="204">
        <f>SUM(M10:M13)</f>
        <v>4249905</v>
      </c>
    </row>
    <row r="10" spans="1:13" s="205" customFormat="1" ht="19.5" customHeight="1">
      <c r="A10" s="216"/>
      <c r="B10" s="207" t="s">
        <v>13</v>
      </c>
      <c r="C10" s="640" t="s">
        <v>459</v>
      </c>
      <c r="D10" s="641"/>
      <c r="E10" s="642"/>
      <c r="F10" s="642"/>
      <c r="G10" s="642"/>
      <c r="H10" s="642"/>
      <c r="I10" s="642"/>
      <c r="J10" s="649">
        <v>3845400</v>
      </c>
      <c r="K10" s="649">
        <v>3845400</v>
      </c>
      <c r="L10" s="649">
        <v>3845400</v>
      </c>
      <c r="M10" s="649">
        <v>3845400</v>
      </c>
    </row>
    <row r="11" spans="1:13" s="205" customFormat="1" ht="19.5" customHeight="1">
      <c r="A11" s="206"/>
      <c r="B11" s="207" t="s">
        <v>23</v>
      </c>
      <c r="C11" s="643" t="s">
        <v>460</v>
      </c>
      <c r="D11" s="644"/>
      <c r="E11" s="645"/>
      <c r="F11" s="645"/>
      <c r="G11" s="645"/>
      <c r="H11" s="645"/>
      <c r="I11" s="645"/>
      <c r="J11" s="650">
        <v>398373</v>
      </c>
      <c r="K11" s="650">
        <v>398373</v>
      </c>
      <c r="L11" s="650">
        <v>398373</v>
      </c>
      <c r="M11" s="650">
        <v>398373</v>
      </c>
    </row>
    <row r="12" spans="1:13" s="205" customFormat="1" ht="19.5" customHeight="1">
      <c r="A12" s="206"/>
      <c r="B12" s="207" t="s">
        <v>147</v>
      </c>
      <c r="C12" s="643" t="s">
        <v>66</v>
      </c>
      <c r="D12" s="644"/>
      <c r="E12" s="645"/>
      <c r="F12" s="645"/>
      <c r="G12" s="645"/>
      <c r="H12" s="645"/>
      <c r="I12" s="645"/>
      <c r="J12" s="650"/>
      <c r="K12" s="650">
        <v>500</v>
      </c>
      <c r="L12" s="650"/>
      <c r="M12" s="650">
        <v>500</v>
      </c>
    </row>
    <row r="13" spans="1:13" s="205" customFormat="1" ht="19.5" customHeight="1" thickBot="1">
      <c r="A13" s="639"/>
      <c r="B13" s="207" t="s">
        <v>33</v>
      </c>
      <c r="C13" s="646" t="s">
        <v>486</v>
      </c>
      <c r="D13" s="647"/>
      <c r="E13" s="648"/>
      <c r="F13" s="648"/>
      <c r="G13" s="648"/>
      <c r="H13" s="648"/>
      <c r="I13" s="648"/>
      <c r="J13" s="651"/>
      <c r="K13" s="651">
        <v>5632</v>
      </c>
      <c r="L13" s="651"/>
      <c r="M13" s="651">
        <v>5632</v>
      </c>
    </row>
    <row r="14" spans="1:13" s="205" customFormat="1" ht="30" customHeight="1" thickBot="1">
      <c r="A14" s="190" t="s">
        <v>164</v>
      </c>
      <c r="B14" s="200"/>
      <c r="C14" s="201" t="s">
        <v>252</v>
      </c>
      <c r="D14" s="202"/>
      <c r="E14" s="203"/>
      <c r="F14" s="203"/>
      <c r="G14" s="203"/>
      <c r="H14" s="203"/>
      <c r="I14" s="203"/>
      <c r="J14" s="204">
        <f>J15+J17</f>
        <v>784125</v>
      </c>
      <c r="K14" s="204">
        <f>K15+K17</f>
        <v>784125</v>
      </c>
      <c r="L14" s="204">
        <f>L15+L17</f>
        <v>784125</v>
      </c>
      <c r="M14" s="204">
        <f>M15+M17</f>
        <v>784125</v>
      </c>
    </row>
    <row r="15" spans="1:13" s="212" customFormat="1" ht="19.5" customHeight="1">
      <c r="A15" s="206"/>
      <c r="B15" s="207" t="s">
        <v>46</v>
      </c>
      <c r="C15" s="208" t="s">
        <v>105</v>
      </c>
      <c r="D15" s="209" t="s">
        <v>72</v>
      </c>
      <c r="E15" s="210"/>
      <c r="F15" s="210"/>
      <c r="G15" s="210"/>
      <c r="H15" s="210"/>
      <c r="I15" s="210"/>
      <c r="J15" s="211">
        <v>784125</v>
      </c>
      <c r="K15" s="211">
        <v>784125</v>
      </c>
      <c r="L15" s="211">
        <v>784125</v>
      </c>
      <c r="M15" s="211">
        <v>784125</v>
      </c>
    </row>
    <row r="16" spans="1:13" s="212" customFormat="1" ht="19.5" customHeight="1">
      <c r="A16" s="206"/>
      <c r="B16" s="207" t="s">
        <v>49</v>
      </c>
      <c r="C16" s="213" t="s">
        <v>253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</row>
    <row r="17" spans="1:13" s="212" customFormat="1" ht="19.5" customHeight="1">
      <c r="A17" s="206"/>
      <c r="B17" s="207" t="s">
        <v>52</v>
      </c>
      <c r="C17" s="213" t="s">
        <v>108</v>
      </c>
      <c r="D17" s="209" t="s">
        <v>91</v>
      </c>
      <c r="E17" s="210"/>
      <c r="F17" s="210"/>
      <c r="G17" s="210"/>
      <c r="H17" s="210"/>
      <c r="I17" s="210"/>
      <c r="J17" s="211"/>
      <c r="K17" s="211"/>
      <c r="L17" s="211"/>
      <c r="M17" s="211"/>
    </row>
    <row r="18" spans="1:13" s="212" customFormat="1" ht="19.5" customHeight="1" thickBot="1">
      <c r="A18" s="206"/>
      <c r="B18" s="207" t="s">
        <v>61</v>
      </c>
      <c r="C18" s="213" t="s">
        <v>253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</row>
    <row r="19" spans="1:13" s="212" customFormat="1" ht="26.25" customHeight="1" thickBot="1">
      <c r="A19" s="190" t="s">
        <v>70</v>
      </c>
      <c r="B19" s="214"/>
      <c r="C19" s="215" t="s">
        <v>254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</row>
    <row r="20" spans="1:13" s="205" customFormat="1" ht="19.5" customHeight="1">
      <c r="A20" s="216"/>
      <c r="B20" s="217" t="s">
        <v>73</v>
      </c>
      <c r="C20" s="218" t="s">
        <v>255</v>
      </c>
      <c r="D20" s="219" t="s">
        <v>256</v>
      </c>
      <c r="E20" s="220"/>
      <c r="F20" s="220"/>
      <c r="G20" s="220"/>
      <c r="H20" s="220"/>
      <c r="I20" s="220"/>
      <c r="J20" s="221"/>
      <c r="K20" s="221"/>
      <c r="L20" s="221"/>
      <c r="M20" s="221"/>
    </row>
    <row r="21" spans="1:13" s="205" customFormat="1" ht="21.75" customHeight="1" thickBot="1">
      <c r="A21" s="222"/>
      <c r="B21" s="223" t="s">
        <v>76</v>
      </c>
      <c r="C21" s="224" t="s">
        <v>257</v>
      </c>
      <c r="D21" s="225" t="s">
        <v>258</v>
      </c>
      <c r="E21" s="226"/>
      <c r="F21" s="226"/>
      <c r="G21" s="226"/>
      <c r="H21" s="226"/>
      <c r="I21" s="226"/>
      <c r="J21" s="227"/>
      <c r="K21" s="227"/>
      <c r="L21" s="227"/>
      <c r="M21" s="227"/>
    </row>
    <row r="22" spans="1:13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</row>
    <row r="23" spans="1:13" s="205" customFormat="1" ht="19.5" customHeight="1" thickBot="1">
      <c r="A23" s="190" t="s">
        <v>89</v>
      </c>
      <c r="B23" s="231"/>
      <c r="C23" s="215" t="s">
        <v>259</v>
      </c>
      <c r="D23" s="202"/>
      <c r="E23" s="203"/>
      <c r="F23" s="203"/>
      <c r="G23" s="203"/>
      <c r="H23" s="203"/>
      <c r="I23" s="203"/>
      <c r="J23" s="204">
        <f>J9+J14</f>
        <v>5027898</v>
      </c>
      <c r="K23" s="204">
        <f>K9+K14</f>
        <v>5034030</v>
      </c>
      <c r="L23" s="204">
        <f>L9+L14</f>
        <v>5027898</v>
      </c>
      <c r="M23" s="204">
        <f>M9+M14</f>
        <v>5034030</v>
      </c>
    </row>
    <row r="24" spans="1:13" s="212" customFormat="1" ht="19.5" customHeight="1" thickBot="1">
      <c r="A24" s="232" t="s">
        <v>102</v>
      </c>
      <c r="B24" s="233"/>
      <c r="C24" s="234" t="s">
        <v>260</v>
      </c>
      <c r="D24" s="235"/>
      <c r="E24" s="236"/>
      <c r="F24" s="236"/>
      <c r="G24" s="236"/>
      <c r="H24" s="236"/>
      <c r="I24" s="236"/>
      <c r="J24" s="656">
        <f>SUM(J25:J26)</f>
        <v>21457498</v>
      </c>
      <c r="K24" s="656">
        <f>SUM(K25:K26)</f>
        <v>21529198</v>
      </c>
      <c r="L24" s="656">
        <f>SUM(L25:L26)</f>
        <v>21457498</v>
      </c>
      <c r="M24" s="656">
        <f>SUM(M25:M26)</f>
        <v>21529198</v>
      </c>
    </row>
    <row r="25" spans="1:13" s="212" customFormat="1" ht="19.5" customHeight="1" thickBot="1">
      <c r="A25" s="216"/>
      <c r="B25" s="237" t="s">
        <v>104</v>
      </c>
      <c r="C25" s="218" t="s">
        <v>261</v>
      </c>
      <c r="D25" s="219" t="s">
        <v>130</v>
      </c>
      <c r="E25" s="220"/>
      <c r="F25" s="220"/>
      <c r="G25" s="220"/>
      <c r="H25" s="220"/>
      <c r="I25" s="220"/>
      <c r="J25" s="221">
        <v>386765</v>
      </c>
      <c r="K25" s="221">
        <v>386765</v>
      </c>
      <c r="L25" s="221">
        <v>386765</v>
      </c>
      <c r="M25" s="221">
        <v>386765</v>
      </c>
    </row>
    <row r="26" spans="1:13" s="212" customFormat="1" ht="19.5" customHeight="1">
      <c r="A26" s="241"/>
      <c r="B26" s="242" t="s">
        <v>107</v>
      </c>
      <c r="C26" s="218" t="s">
        <v>262</v>
      </c>
      <c r="D26" s="243" t="s">
        <v>263</v>
      </c>
      <c r="E26" s="244"/>
      <c r="F26" s="244"/>
      <c r="G26" s="244"/>
      <c r="H26" s="244"/>
      <c r="I26" s="244"/>
      <c r="J26" s="245">
        <v>21070733</v>
      </c>
      <c r="K26" s="245">
        <f>21070733+58387+17780-4467</f>
        <v>21142433</v>
      </c>
      <c r="L26" s="245">
        <v>21070733</v>
      </c>
      <c r="M26" s="245">
        <f>21070733+58387+17780-4467</f>
        <v>21142433</v>
      </c>
    </row>
    <row r="27" spans="1:13" s="212" customFormat="1" ht="19.5" customHeight="1" thickBot="1">
      <c r="A27" s="246"/>
      <c r="B27" s="247" t="s">
        <v>264</v>
      </c>
      <c r="C27" s="248" t="s">
        <v>265</v>
      </c>
      <c r="D27" s="249" t="s">
        <v>266</v>
      </c>
      <c r="E27" s="250"/>
      <c r="F27" s="250"/>
      <c r="G27" s="250"/>
      <c r="H27" s="250"/>
      <c r="I27" s="250"/>
      <c r="J27" s="251"/>
      <c r="K27" s="251"/>
      <c r="L27" s="251"/>
      <c r="M27" s="251"/>
    </row>
    <row r="28" spans="1:13" ht="19.5" customHeight="1" thickBot="1">
      <c r="A28" s="252" t="s">
        <v>110</v>
      </c>
      <c r="B28" s="253"/>
      <c r="C28" s="254" t="s">
        <v>267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</row>
    <row r="29" spans="1:13" s="194" customFormat="1" ht="19.5" customHeight="1" thickBot="1">
      <c r="A29" s="252" t="s">
        <v>110</v>
      </c>
      <c r="B29" s="255"/>
      <c r="C29" s="256" t="s">
        <v>268</v>
      </c>
      <c r="D29" s="202"/>
      <c r="E29" s="203"/>
      <c r="F29" s="203"/>
      <c r="G29" s="203"/>
      <c r="H29" s="203"/>
      <c r="I29" s="203"/>
      <c r="J29" s="204">
        <f>J23+J24</f>
        <v>26485396</v>
      </c>
      <c r="K29" s="204">
        <f>K23+K24</f>
        <v>26563228</v>
      </c>
      <c r="L29" s="204">
        <f>L23+L24</f>
        <v>26485396</v>
      </c>
      <c r="M29" s="204">
        <f>M23+M24</f>
        <v>26563228</v>
      </c>
    </row>
    <row r="30" spans="1:13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M30" s="259"/>
    </row>
    <row r="31" spans="1:13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M31" s="263"/>
    </row>
    <row r="32" spans="1:13" ht="19.5" customHeight="1" thickBot="1">
      <c r="A32" s="264"/>
      <c r="B32" s="265"/>
      <c r="C32" s="266" t="s">
        <v>269</v>
      </c>
      <c r="D32" s="202"/>
      <c r="E32" s="203"/>
      <c r="F32" s="203"/>
      <c r="G32" s="203"/>
      <c r="H32" s="203"/>
      <c r="I32" s="204"/>
      <c r="J32" s="870"/>
      <c r="K32" s="870"/>
      <c r="L32" s="870"/>
      <c r="M32" s="870"/>
    </row>
    <row r="33" spans="1:13" ht="19.5" customHeight="1" thickBot="1">
      <c r="A33" s="190" t="s">
        <v>10</v>
      </c>
      <c r="B33" s="214"/>
      <c r="C33" s="215" t="s">
        <v>270</v>
      </c>
      <c r="D33" s="202"/>
      <c r="E33" s="203"/>
      <c r="F33" s="203"/>
      <c r="G33" s="203"/>
      <c r="H33" s="203"/>
      <c r="I33" s="204"/>
      <c r="J33" s="204">
        <f>J34+J35+J36</f>
        <v>26485396</v>
      </c>
      <c r="K33" s="204">
        <f>K34+K35+K36</f>
        <v>26563228</v>
      </c>
      <c r="L33" s="204">
        <f>L34+L35+L36</f>
        <v>26485396</v>
      </c>
      <c r="M33" s="204">
        <f>M34+M35+M36</f>
        <v>26563228</v>
      </c>
    </row>
    <row r="34" spans="1:13" ht="19.5" customHeight="1">
      <c r="A34" s="267"/>
      <c r="B34" s="268" t="s">
        <v>271</v>
      </c>
      <c r="C34" s="208" t="s">
        <v>272</v>
      </c>
      <c r="D34" s="238" t="s">
        <v>144</v>
      </c>
      <c r="E34" s="239"/>
      <c r="F34" s="239"/>
      <c r="G34" s="239"/>
      <c r="H34" s="239"/>
      <c r="I34" s="240"/>
      <c r="J34" s="240">
        <v>16195972</v>
      </c>
      <c r="K34" s="240">
        <f>16195972+17191+30667+14000</f>
        <v>16257830</v>
      </c>
      <c r="L34" s="240">
        <v>16195972</v>
      </c>
      <c r="M34" s="240">
        <f>16195972+17191+30667+14000</f>
        <v>16257830</v>
      </c>
    </row>
    <row r="35" spans="1:13" ht="24" customHeight="1">
      <c r="A35" s="206"/>
      <c r="B35" s="269" t="s">
        <v>273</v>
      </c>
      <c r="C35" s="213" t="s">
        <v>274</v>
      </c>
      <c r="D35" s="209" t="s">
        <v>146</v>
      </c>
      <c r="E35" s="210"/>
      <c r="F35" s="210"/>
      <c r="G35" s="210"/>
      <c r="H35" s="210"/>
      <c r="I35" s="211"/>
      <c r="J35" s="211">
        <v>3522108</v>
      </c>
      <c r="K35" s="211">
        <f>3522108+3782+6747+3780</f>
        <v>3536417</v>
      </c>
      <c r="L35" s="211">
        <v>3522108</v>
      </c>
      <c r="M35" s="211">
        <f>3522108+3782+6747+3780</f>
        <v>3536417</v>
      </c>
    </row>
    <row r="36" spans="1:13" ht="19.5" customHeight="1">
      <c r="A36" s="206"/>
      <c r="B36" s="269" t="s">
        <v>30</v>
      </c>
      <c r="C36" s="213" t="s">
        <v>275</v>
      </c>
      <c r="D36" s="209" t="s">
        <v>149</v>
      </c>
      <c r="E36" s="210"/>
      <c r="F36" s="210"/>
      <c r="G36" s="210"/>
      <c r="H36" s="210"/>
      <c r="I36" s="211"/>
      <c r="J36" s="211">
        <v>6767316</v>
      </c>
      <c r="K36" s="211">
        <f>6767316+1665</f>
        <v>6768981</v>
      </c>
      <c r="L36" s="211">
        <v>6767316</v>
      </c>
      <c r="M36" s="211">
        <f>6767316+1665</f>
        <v>6768981</v>
      </c>
    </row>
    <row r="37" spans="1:13" s="260" customFormat="1" ht="19.5" customHeight="1">
      <c r="A37" s="206"/>
      <c r="B37" s="269" t="s">
        <v>276</v>
      </c>
      <c r="C37" s="213" t="s">
        <v>150</v>
      </c>
      <c r="D37" s="209" t="s">
        <v>151</v>
      </c>
      <c r="E37" s="210"/>
      <c r="F37" s="210"/>
      <c r="G37" s="210"/>
      <c r="H37" s="210"/>
      <c r="I37" s="211"/>
      <c r="J37" s="211"/>
      <c r="K37" s="211"/>
      <c r="L37" s="211"/>
      <c r="M37" s="211"/>
    </row>
    <row r="38" spans="1:13" ht="19.5" customHeight="1" thickBot="1">
      <c r="A38" s="206"/>
      <c r="B38" s="269" t="s">
        <v>40</v>
      </c>
      <c r="C38" s="213" t="s">
        <v>152</v>
      </c>
      <c r="D38" s="209" t="s">
        <v>153</v>
      </c>
      <c r="E38" s="210"/>
      <c r="F38" s="210"/>
      <c r="G38" s="210"/>
      <c r="H38" s="210"/>
      <c r="I38" s="211"/>
      <c r="J38" s="211"/>
      <c r="K38" s="211"/>
      <c r="L38" s="211"/>
      <c r="M38" s="211"/>
    </row>
    <row r="39" spans="1:13" ht="19.5" customHeight="1" thickBot="1">
      <c r="A39" s="190" t="s">
        <v>164</v>
      </c>
      <c r="B39" s="214"/>
      <c r="C39" s="215" t="s">
        <v>277</v>
      </c>
      <c r="D39" s="202"/>
      <c r="E39" s="203"/>
      <c r="F39" s="203"/>
      <c r="G39" s="203"/>
      <c r="H39" s="203"/>
      <c r="I39" s="204"/>
      <c r="J39" s="204">
        <f>SUM(J40:J42)</f>
        <v>0</v>
      </c>
      <c r="K39" s="204">
        <f>SUM(K40:K42)</f>
        <v>0</v>
      </c>
      <c r="L39" s="204">
        <f>SUM(L40:L42)</f>
        <v>0</v>
      </c>
      <c r="M39" s="204">
        <f>SUM(M40:M42)</f>
        <v>0</v>
      </c>
    </row>
    <row r="40" spans="1:13" ht="19.5" customHeight="1">
      <c r="A40" s="267"/>
      <c r="B40" s="268" t="s">
        <v>278</v>
      </c>
      <c r="C40" s="208" t="s">
        <v>166</v>
      </c>
      <c r="D40" s="238" t="s">
        <v>167</v>
      </c>
      <c r="E40" s="239"/>
      <c r="F40" s="239"/>
      <c r="G40" s="239"/>
      <c r="H40" s="239"/>
      <c r="I40" s="240"/>
      <c r="J40" s="240"/>
      <c r="K40" s="240"/>
      <c r="L40" s="240"/>
      <c r="M40" s="240"/>
    </row>
    <row r="41" spans="1:13" ht="19.5" customHeight="1">
      <c r="A41" s="206"/>
      <c r="B41" s="269" t="s">
        <v>279</v>
      </c>
      <c r="C41" s="213" t="s">
        <v>168</v>
      </c>
      <c r="D41" s="209" t="s">
        <v>169</v>
      </c>
      <c r="E41" s="210"/>
      <c r="F41" s="210"/>
      <c r="G41" s="210"/>
      <c r="H41" s="210"/>
      <c r="I41" s="211"/>
      <c r="J41" s="211"/>
      <c r="K41" s="211"/>
      <c r="L41" s="211"/>
      <c r="M41" s="211"/>
    </row>
    <row r="42" spans="1:13" ht="19.5" customHeight="1">
      <c r="A42" s="206"/>
      <c r="B42" s="269" t="s">
        <v>52</v>
      </c>
      <c r="C42" s="213" t="s">
        <v>280</v>
      </c>
      <c r="D42" s="209" t="s">
        <v>171</v>
      </c>
      <c r="E42" s="210"/>
      <c r="F42" s="210"/>
      <c r="G42" s="210"/>
      <c r="H42" s="210"/>
      <c r="I42" s="211"/>
      <c r="J42" s="211"/>
      <c r="K42" s="211"/>
      <c r="L42" s="211"/>
      <c r="M42" s="211"/>
    </row>
    <row r="43" spans="1:13" ht="22.5" customHeight="1" thickBot="1">
      <c r="A43" s="206"/>
      <c r="B43" s="269" t="s">
        <v>61</v>
      </c>
      <c r="C43" s="213" t="s">
        <v>281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</row>
    <row r="44" spans="1:13" ht="19.5" customHeight="1" thickBot="1">
      <c r="A44" s="190" t="s">
        <v>70</v>
      </c>
      <c r="B44" s="214"/>
      <c r="C44" s="215" t="s">
        <v>282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</row>
    <row r="45" spans="1:13" ht="19.5" customHeight="1" thickBot="1">
      <c r="A45" s="252" t="s">
        <v>89</v>
      </c>
      <c r="B45" s="253"/>
      <c r="C45" s="254" t="s">
        <v>283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</row>
    <row r="46" spans="1:13" ht="19.5" customHeight="1" thickBot="1">
      <c r="A46" s="190" t="s">
        <v>70</v>
      </c>
      <c r="B46" s="270"/>
      <c r="C46" s="271" t="s">
        <v>284</v>
      </c>
      <c r="D46" s="202"/>
      <c r="E46" s="203"/>
      <c r="F46" s="203"/>
      <c r="G46" s="203"/>
      <c r="H46" s="203"/>
      <c r="I46" s="204"/>
      <c r="J46" s="204">
        <f>J33+J39</f>
        <v>26485396</v>
      </c>
      <c r="K46" s="204">
        <f>K33+K39</f>
        <v>26563228</v>
      </c>
      <c r="L46" s="204">
        <f>L33+L39</f>
        <v>26485396</v>
      </c>
      <c r="M46" s="204">
        <f>M33+M39</f>
        <v>26563228</v>
      </c>
    </row>
    <row r="47" spans="1:13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</row>
    <row r="48" spans="1:13" ht="19.5" customHeight="1" thickBot="1">
      <c r="A48" s="277" t="s">
        <v>285</v>
      </c>
      <c r="B48" s="278"/>
      <c r="C48" s="279"/>
      <c r="D48" s="280"/>
      <c r="E48" s="281"/>
      <c r="F48" s="281"/>
      <c r="G48" s="281"/>
      <c r="H48" s="281"/>
      <c r="I48" s="282"/>
      <c r="J48" s="967">
        <v>6.25</v>
      </c>
      <c r="K48" s="967">
        <v>6.25</v>
      </c>
      <c r="L48" s="967">
        <v>6.25</v>
      </c>
      <c r="M48" s="967">
        <v>6.25</v>
      </c>
    </row>
    <row r="49" spans="1:13" ht="19.5" customHeight="1" thickBot="1">
      <c r="A49" s="277" t="s">
        <v>286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</row>
    <row r="50" spans="6:9" ht="12.75">
      <c r="F50" s="283"/>
      <c r="G50" s="283"/>
      <c r="H50" s="283"/>
      <c r="I50" s="283"/>
    </row>
    <row r="51" spans="1:10" ht="12.75" customHeight="1">
      <c r="A51" s="1164" t="s">
        <v>287</v>
      </c>
      <c r="B51" s="1164"/>
      <c r="C51" s="1164"/>
      <c r="D51" s="1164"/>
      <c r="E51" s="284"/>
      <c r="F51" s="284"/>
      <c r="G51" s="284"/>
      <c r="H51" s="284"/>
      <c r="I51" s="284"/>
      <c r="J51" s="283"/>
    </row>
    <row r="52" spans="1:3" ht="12.75">
      <c r="A52" s="1164"/>
      <c r="B52" s="1164"/>
      <c r="C52" s="1164"/>
    </row>
    <row r="53" spans="4:9" ht="12.75">
      <c r="D53" s="283">
        <v>0</v>
      </c>
      <c r="E53" s="283"/>
      <c r="F53" s="283"/>
      <c r="G53" s="283"/>
      <c r="H53" s="283"/>
      <c r="I53" s="283"/>
    </row>
  </sheetData>
  <sheetProtection selectLockedCells="1" selectUnlockedCells="1"/>
  <mergeCells count="8">
    <mergeCell ref="A51:D51"/>
    <mergeCell ref="A52:C52"/>
    <mergeCell ref="A3:J3"/>
    <mergeCell ref="D5:I5"/>
    <mergeCell ref="A6:B6"/>
    <mergeCell ref="J4:L4"/>
    <mergeCell ref="J5:K5"/>
    <mergeCell ref="L5:M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AD15" sqref="AD15"/>
    </sheetView>
  </sheetViews>
  <sheetFormatPr defaultColWidth="9.140625" defaultRowHeight="12.75"/>
  <cols>
    <col min="1" max="1" width="48.28125" style="285" customWidth="1"/>
    <col min="2" max="3" width="14.8515625" style="286" customWidth="1"/>
    <col min="4" max="4" width="20.57421875" style="286" customWidth="1"/>
    <col min="5" max="5" width="31.00390625" style="286" customWidth="1"/>
    <col min="6" max="11" width="9.140625" style="286" hidden="1" customWidth="1"/>
    <col min="12" max="12" width="9.140625" style="286" customWidth="1"/>
    <col min="13" max="20" width="9.140625" style="286" hidden="1" customWidth="1"/>
    <col min="21" max="16384" width="9.140625" style="286" customWidth="1"/>
  </cols>
  <sheetData>
    <row r="2" spans="2:9" ht="12.75">
      <c r="B2" s="10"/>
      <c r="D2" s="1173" t="s">
        <v>288</v>
      </c>
      <c r="E2" s="1173"/>
      <c r="F2" s="287"/>
      <c r="G2" s="287"/>
      <c r="H2" s="287"/>
      <c r="I2" s="287"/>
    </row>
    <row r="4" spans="1:9" ht="19.5" customHeight="1">
      <c r="A4" s="1174" t="s">
        <v>567</v>
      </c>
      <c r="B4" s="1174"/>
      <c r="C4" s="1174"/>
      <c r="D4" s="1174"/>
      <c r="E4" s="1174"/>
      <c r="F4" s="288"/>
      <c r="G4" s="288"/>
      <c r="H4" s="288"/>
      <c r="I4" s="288"/>
    </row>
    <row r="5" spans="1:9" ht="19.5">
      <c r="A5" s="288"/>
      <c r="B5" s="288"/>
      <c r="C5" s="288"/>
      <c r="D5" s="1181" t="s">
        <v>507</v>
      </c>
      <c r="E5" s="1181"/>
      <c r="F5" s="288"/>
      <c r="G5" s="288"/>
      <c r="H5" s="288"/>
      <c r="I5" s="288"/>
    </row>
    <row r="6" spans="2:11" ht="20.25" customHeight="1" thickBot="1">
      <c r="B6" s="1175" t="s">
        <v>4</v>
      </c>
      <c r="C6" s="1175"/>
      <c r="D6" s="1175"/>
      <c r="E6" s="1175"/>
      <c r="F6" s="1175"/>
      <c r="G6" s="1175"/>
      <c r="H6" s="1175"/>
      <c r="I6" s="1175"/>
      <c r="J6" s="1176" t="s">
        <v>289</v>
      </c>
      <c r="K6" s="1176"/>
    </row>
    <row r="7" spans="1:11" ht="36.75" customHeight="1">
      <c r="A7" s="1177" t="s">
        <v>135</v>
      </c>
      <c r="B7" s="1178" t="s">
        <v>568</v>
      </c>
      <c r="C7" s="1178"/>
      <c r="D7" s="1178"/>
      <c r="E7" s="1178"/>
      <c r="F7" s="1179" t="s">
        <v>290</v>
      </c>
      <c r="G7" s="1179"/>
      <c r="H7" s="1179"/>
      <c r="I7" s="1179"/>
      <c r="J7" s="1180" t="s">
        <v>291</v>
      </c>
      <c r="K7" s="1180"/>
    </row>
    <row r="8" spans="1:11" ht="41.25" customHeight="1">
      <c r="A8" s="1177"/>
      <c r="B8" s="289" t="s">
        <v>292</v>
      </c>
      <c r="C8" s="289" t="s">
        <v>293</v>
      </c>
      <c r="D8" s="289" t="s">
        <v>294</v>
      </c>
      <c r="E8" s="290" t="s">
        <v>295</v>
      </c>
      <c r="F8" s="291" t="s">
        <v>292</v>
      </c>
      <c r="G8" s="289" t="s">
        <v>293</v>
      </c>
      <c r="H8" s="289" t="s">
        <v>294</v>
      </c>
      <c r="I8" s="290" t="s">
        <v>295</v>
      </c>
      <c r="J8" s="292" t="s">
        <v>289</v>
      </c>
      <c r="K8" s="293" t="s">
        <v>296</v>
      </c>
    </row>
    <row r="9" spans="1:20" ht="30" customHeight="1">
      <c r="A9" s="294"/>
      <c r="B9" s="295"/>
      <c r="C9" s="295"/>
      <c r="D9" s="296"/>
      <c r="E9" s="297"/>
      <c r="F9" s="298"/>
      <c r="G9" s="295"/>
      <c r="H9" s="296"/>
      <c r="I9" s="299"/>
      <c r="J9" s="300"/>
      <c r="K9" s="301" t="e">
        <f>J9/E9</f>
        <v>#DIV/0!</v>
      </c>
      <c r="M9" s="286">
        <v>8</v>
      </c>
      <c r="N9" s="286">
        <v>4</v>
      </c>
      <c r="O9" s="286">
        <v>8</v>
      </c>
      <c r="P9" s="286">
        <v>4</v>
      </c>
      <c r="Q9" s="286">
        <v>8</v>
      </c>
      <c r="R9" s="286">
        <v>8</v>
      </c>
      <c r="S9" s="286">
        <v>6</v>
      </c>
      <c r="T9" s="286">
        <f>SUM(M9:S9)</f>
        <v>46</v>
      </c>
    </row>
    <row r="10" spans="1:20" ht="30" customHeight="1">
      <c r="A10" s="294" t="s">
        <v>297</v>
      </c>
      <c r="B10" s="295">
        <v>2</v>
      </c>
      <c r="C10" s="295">
        <v>4.75</v>
      </c>
      <c r="D10" s="295"/>
      <c r="E10" s="966">
        <f>B10+C10</f>
        <v>6.75</v>
      </c>
      <c r="F10" s="298"/>
      <c r="G10" s="295"/>
      <c r="H10" s="295"/>
      <c r="I10" s="297"/>
      <c r="J10" s="302"/>
      <c r="K10" s="303">
        <f>J10/E10</f>
        <v>0</v>
      </c>
      <c r="T10" s="286">
        <f>T9/8</f>
        <v>5.75</v>
      </c>
    </row>
    <row r="11" spans="1:14" ht="30" customHeight="1" thickBot="1">
      <c r="A11" s="304" t="s">
        <v>599</v>
      </c>
      <c r="B11" s="305">
        <v>3.75</v>
      </c>
      <c r="C11" s="305">
        <v>2.5</v>
      </c>
      <c r="D11" s="305"/>
      <c r="E11" s="940">
        <f>SUM(B11:C11)</f>
        <v>6.25</v>
      </c>
      <c r="F11" s="306"/>
      <c r="G11" s="305"/>
      <c r="H11" s="305"/>
      <c r="I11" s="307"/>
      <c r="J11" s="308"/>
      <c r="K11" s="309">
        <f>J11/E11</f>
        <v>0</v>
      </c>
      <c r="M11" s="286">
        <f>3*8+6</f>
        <v>30</v>
      </c>
      <c r="N11" s="286">
        <f>M11/8</f>
        <v>3.75</v>
      </c>
    </row>
    <row r="12" spans="1:14" ht="54.75" customHeight="1" thickBot="1">
      <c r="A12" s="310" t="s">
        <v>298</v>
      </c>
      <c r="B12" s="311">
        <f>SUM(B10:B11)</f>
        <v>5.75</v>
      </c>
      <c r="C12" s="311">
        <f>SUM(C10:C11)</f>
        <v>7.25</v>
      </c>
      <c r="D12" s="311">
        <f>SUM(D10:D11)</f>
        <v>0</v>
      </c>
      <c r="E12" s="941">
        <f>SUM(E10:E11)</f>
        <v>13</v>
      </c>
      <c r="F12" s="313">
        <f>SUM(F9:F11)</f>
        <v>0</v>
      </c>
      <c r="G12" s="311">
        <f>SUM(G9:G11)</f>
        <v>0</v>
      </c>
      <c r="H12" s="311">
        <f>SUM(H9:H11)</f>
        <v>0</v>
      </c>
      <c r="I12" s="312">
        <f>SUM(I9:I11)</f>
        <v>0</v>
      </c>
      <c r="J12" s="314">
        <f>SUM(J9:J11)</f>
        <v>0</v>
      </c>
      <c r="K12" s="315">
        <f>J12/E12</f>
        <v>0</v>
      </c>
      <c r="M12" s="286">
        <v>20</v>
      </c>
      <c r="N12" s="286">
        <f>M12/8</f>
        <v>2.5</v>
      </c>
    </row>
    <row r="13" spans="1:11" ht="39" customHeight="1">
      <c r="A13" s="531"/>
      <c r="B13" s="532"/>
      <c r="C13" s="532"/>
      <c r="D13" s="532"/>
      <c r="E13" s="532"/>
      <c r="F13" s="533"/>
      <c r="G13" s="533"/>
      <c r="H13" s="533"/>
      <c r="I13" s="532"/>
      <c r="J13" s="532"/>
      <c r="K13" s="530"/>
    </row>
    <row r="14" ht="13.5" thickBot="1">
      <c r="K14" s="316"/>
    </row>
    <row r="15" spans="1:11" ht="20.25" customHeight="1" thickBot="1">
      <c r="A15" s="1170" t="s">
        <v>444</v>
      </c>
      <c r="B15" s="1171"/>
      <c r="C15" s="1171"/>
      <c r="D15" s="1171"/>
      <c r="E15" s="1172"/>
      <c r="F15" s="317"/>
      <c r="G15" s="318"/>
      <c r="H15" s="319"/>
      <c r="I15" s="319"/>
      <c r="J15" s="320"/>
      <c r="K15" s="321" t="e">
        <f>J15/E15</f>
        <v>#DIV/0!</v>
      </c>
    </row>
    <row r="16" spans="1:14" ht="18.75" customHeight="1">
      <c r="A16" s="534"/>
      <c r="B16" s="535"/>
      <c r="C16" s="535"/>
      <c r="D16" s="535"/>
      <c r="E16" s="536"/>
      <c r="F16" s="528"/>
      <c r="G16" s="528"/>
      <c r="H16" s="528"/>
      <c r="I16" s="528"/>
      <c r="J16" s="529"/>
      <c r="K16" s="530"/>
      <c r="N16" s="542"/>
    </row>
    <row r="17" spans="1:11" ht="24" customHeight="1">
      <c r="A17" s="540" t="s">
        <v>297</v>
      </c>
      <c r="B17" s="537"/>
      <c r="C17" s="537"/>
      <c r="D17" s="537"/>
      <c r="E17" s="541">
        <v>2</v>
      </c>
      <c r="F17" s="528"/>
      <c r="G17" s="528"/>
      <c r="H17" s="528"/>
      <c r="I17" s="528"/>
      <c r="J17" s="529"/>
      <c r="K17" s="530"/>
    </row>
    <row r="18" spans="1:11" ht="35.25" customHeight="1" thickBot="1">
      <c r="A18" s="304" t="s">
        <v>599</v>
      </c>
      <c r="B18" s="539"/>
      <c r="C18" s="539"/>
      <c r="D18" s="539"/>
      <c r="E18" s="942">
        <v>1</v>
      </c>
      <c r="F18" s="528"/>
      <c r="G18" s="528"/>
      <c r="H18" s="528"/>
      <c r="I18" s="528"/>
      <c r="J18" s="529"/>
      <c r="K18" s="530"/>
    </row>
    <row r="19" spans="1:11" ht="36.75" customHeight="1" thickBot="1">
      <c r="A19" s="538" t="s">
        <v>445</v>
      </c>
      <c r="B19" s="943"/>
      <c r="C19" s="943"/>
      <c r="D19" s="943"/>
      <c r="E19" s="944">
        <f>SUM(E17:E18)</f>
        <v>3</v>
      </c>
      <c r="F19" s="528"/>
      <c r="G19" s="528"/>
      <c r="H19" s="528"/>
      <c r="I19" s="528"/>
      <c r="J19" s="529"/>
      <c r="K19" s="530"/>
    </row>
    <row r="20" spans="1:11" ht="18.75" customHeight="1">
      <c r="A20" s="527"/>
      <c r="B20" s="527"/>
      <c r="C20" s="527"/>
      <c r="D20" s="527"/>
      <c r="E20" s="528"/>
      <c r="F20" s="528"/>
      <c r="G20" s="528"/>
      <c r="H20" s="528"/>
      <c r="I20" s="528"/>
      <c r="J20" s="529"/>
      <c r="K20" s="530"/>
    </row>
    <row r="21" spans="1:11" ht="18.75" customHeight="1">
      <c r="A21" s="285" t="s">
        <v>299</v>
      </c>
      <c r="B21" s="527"/>
      <c r="C21" s="527"/>
      <c r="D21" s="527"/>
      <c r="E21" s="528"/>
      <c r="F21" s="528"/>
      <c r="G21" s="528"/>
      <c r="H21" s="528"/>
      <c r="I21" s="528"/>
      <c r="J21" s="529"/>
      <c r="K21" s="530"/>
    </row>
    <row r="23" ht="12.75">
      <c r="A23" s="286"/>
    </row>
  </sheetData>
  <sheetProtection selectLockedCells="1" selectUnlockedCells="1"/>
  <mergeCells count="10">
    <mergeCell ref="A15:E15"/>
    <mergeCell ref="D2:E2"/>
    <mergeCell ref="A4:E4"/>
    <mergeCell ref="B6:I6"/>
    <mergeCell ref="J6:K6"/>
    <mergeCell ref="A7:A8"/>
    <mergeCell ref="B7:E7"/>
    <mergeCell ref="F7:I7"/>
    <mergeCell ref="J7:K7"/>
    <mergeCell ref="D5:E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5">
      <selection activeCell="L20" sqref="L20"/>
    </sheetView>
  </sheetViews>
  <sheetFormatPr defaultColWidth="9.140625" defaultRowHeight="12.75"/>
  <cols>
    <col min="1" max="2" width="9.140625" style="387" customWidth="1"/>
    <col min="3" max="3" width="34.28125" style="387" customWidth="1"/>
    <col min="4" max="4" width="5.57421875" style="388" customWidth="1"/>
    <col min="5" max="6" width="14.8515625" style="389" customWidth="1"/>
    <col min="7" max="7" width="14.28125" style="387" bestFit="1" customWidth="1"/>
    <col min="8" max="8" width="14.28125" style="387" customWidth="1"/>
    <col min="9" max="9" width="13.28125" style="387" customWidth="1"/>
    <col min="10" max="10" width="12.57421875" style="387" customWidth="1"/>
    <col min="11" max="16384" width="9.140625" style="387" customWidth="1"/>
  </cols>
  <sheetData>
    <row r="1" spans="1:8" ht="29.25" customHeight="1">
      <c r="A1" s="1187" t="s">
        <v>503</v>
      </c>
      <c r="B1" s="1187"/>
      <c r="C1" s="1187"/>
      <c r="D1" s="1187"/>
      <c r="E1" s="1187"/>
      <c r="F1" s="1187"/>
      <c r="G1" s="1187"/>
      <c r="H1" s="951"/>
    </row>
    <row r="2" ht="12.75">
      <c r="C2" s="10"/>
    </row>
    <row r="3" spans="1:8" ht="14.25">
      <c r="A3" s="1186" t="s">
        <v>360</v>
      </c>
      <c r="B3" s="1186"/>
      <c r="C3" s="1186"/>
      <c r="D3" s="1186"/>
      <c r="E3" s="1186"/>
      <c r="F3" s="1186"/>
      <c r="G3" s="1186"/>
      <c r="H3" s="950"/>
    </row>
    <row r="4" spans="1:9" ht="16.5" thickBot="1">
      <c r="A4" s="391"/>
      <c r="B4" s="392"/>
      <c r="C4" s="390"/>
      <c r="D4" s="390"/>
      <c r="E4" s="393"/>
      <c r="F4" s="393"/>
      <c r="G4" s="390"/>
      <c r="H4" s="390"/>
      <c r="I4" s="387" t="s">
        <v>601</v>
      </c>
    </row>
    <row r="5" spans="1:10" s="398" customFormat="1" ht="31.5" customHeight="1" thickBot="1">
      <c r="A5" s="394" t="s">
        <v>1</v>
      </c>
      <c r="B5" s="395" t="s">
        <v>3</v>
      </c>
      <c r="C5" s="573" t="s">
        <v>361</v>
      </c>
      <c r="D5" s="397" t="s">
        <v>362</v>
      </c>
      <c r="E5" s="1188" t="s">
        <v>4</v>
      </c>
      <c r="F5" s="1189"/>
      <c r="G5" s="1182" t="s">
        <v>363</v>
      </c>
      <c r="H5" s="1183"/>
      <c r="I5" s="1182" t="s">
        <v>317</v>
      </c>
      <c r="J5" s="1183"/>
    </row>
    <row r="6" spans="1:8" s="398" customFormat="1" ht="31.5" customHeight="1" hidden="1">
      <c r="A6" s="399"/>
      <c r="B6" s="400"/>
      <c r="C6" s="401"/>
      <c r="D6" s="402"/>
      <c r="E6" s="827"/>
      <c r="F6" s="827"/>
      <c r="G6" s="827"/>
      <c r="H6" s="1030"/>
    </row>
    <row r="7" spans="1:10" s="398" customFormat="1" ht="24" customHeight="1">
      <c r="A7" s="399"/>
      <c r="B7" s="400"/>
      <c r="C7" s="401"/>
      <c r="D7" s="402"/>
      <c r="E7" s="670" t="s">
        <v>338</v>
      </c>
      <c r="F7" s="670" t="s">
        <v>7</v>
      </c>
      <c r="G7" s="670" t="s">
        <v>338</v>
      </c>
      <c r="H7" s="670" t="s">
        <v>7</v>
      </c>
      <c r="I7" s="670" t="s">
        <v>338</v>
      </c>
      <c r="J7" s="670" t="s">
        <v>7</v>
      </c>
    </row>
    <row r="8" spans="1:10" ht="29.25" customHeight="1">
      <c r="A8" s="403">
        <v>1</v>
      </c>
      <c r="B8" s="404" t="s">
        <v>364</v>
      </c>
      <c r="C8" s="405" t="s">
        <v>576</v>
      </c>
      <c r="D8" s="406" t="s">
        <v>325</v>
      </c>
      <c r="E8" s="669">
        <v>800000</v>
      </c>
      <c r="F8" s="669">
        <v>800000</v>
      </c>
      <c r="G8" s="669">
        <v>0</v>
      </c>
      <c r="H8" s="669">
        <v>0</v>
      </c>
      <c r="I8" s="669">
        <v>800000</v>
      </c>
      <c r="J8" s="669">
        <v>800000</v>
      </c>
    </row>
    <row r="9" spans="1:10" ht="29.25" customHeight="1">
      <c r="A9" s="403">
        <v>2</v>
      </c>
      <c r="B9" s="404" t="s">
        <v>364</v>
      </c>
      <c r="C9" s="405" t="s">
        <v>578</v>
      </c>
      <c r="D9" s="406" t="s">
        <v>325</v>
      </c>
      <c r="E9" s="410">
        <f>150000+40500</f>
        <v>190500</v>
      </c>
      <c r="F9" s="410">
        <f>150000+40500</f>
        <v>190500</v>
      </c>
      <c r="G9" s="410">
        <v>0</v>
      </c>
      <c r="H9" s="410">
        <v>0</v>
      </c>
      <c r="I9" s="410">
        <f>150000+40500</f>
        <v>190500</v>
      </c>
      <c r="J9" s="410">
        <f>150000+40500</f>
        <v>190500</v>
      </c>
    </row>
    <row r="10" spans="1:10" ht="29.25" customHeight="1">
      <c r="A10" s="403">
        <v>3</v>
      </c>
      <c r="B10" s="404" t="s">
        <v>364</v>
      </c>
      <c r="C10" s="405" t="s">
        <v>579</v>
      </c>
      <c r="D10" s="411" t="s">
        <v>325</v>
      </c>
      <c r="E10" s="412">
        <f>7020000+1895400</f>
        <v>8915400</v>
      </c>
      <c r="F10" s="412">
        <f>7020000+1895400</f>
        <v>8915400</v>
      </c>
      <c r="G10" s="412">
        <f>E10-I10</f>
        <v>7578090</v>
      </c>
      <c r="H10" s="412">
        <f>F10-J10</f>
        <v>7578090</v>
      </c>
      <c r="I10" s="412">
        <v>1337310</v>
      </c>
      <c r="J10" s="412">
        <v>1337310</v>
      </c>
    </row>
    <row r="11" spans="1:10" ht="29.25" customHeight="1">
      <c r="A11" s="403">
        <v>4</v>
      </c>
      <c r="B11" s="404" t="s">
        <v>364</v>
      </c>
      <c r="C11" s="405" t="s">
        <v>580</v>
      </c>
      <c r="D11" s="411" t="s">
        <v>325</v>
      </c>
      <c r="E11" s="412">
        <v>181000</v>
      </c>
      <c r="F11" s="412">
        <v>181000</v>
      </c>
      <c r="G11" s="412">
        <v>181000</v>
      </c>
      <c r="H11" s="412">
        <v>181000</v>
      </c>
      <c r="I11" s="412">
        <v>0</v>
      </c>
      <c r="J11" s="412">
        <v>0</v>
      </c>
    </row>
    <row r="12" spans="1:10" ht="29.25" customHeight="1" thickBot="1">
      <c r="A12" s="403">
        <v>5</v>
      </c>
      <c r="B12" s="404" t="s">
        <v>364</v>
      </c>
      <c r="C12" s="413" t="s">
        <v>365</v>
      </c>
      <c r="D12" s="411" t="s">
        <v>325</v>
      </c>
      <c r="E12" s="407">
        <f>484961+130939</f>
        <v>615900</v>
      </c>
      <c r="F12" s="407">
        <f>484961+130939</f>
        <v>615900</v>
      </c>
      <c r="G12" s="407">
        <v>0</v>
      </c>
      <c r="H12" s="407">
        <v>0</v>
      </c>
      <c r="I12" s="407">
        <f>484961+130939</f>
        <v>615900</v>
      </c>
      <c r="J12" s="407">
        <f>484961+130939</f>
        <v>615900</v>
      </c>
    </row>
    <row r="13" spans="1:10" ht="29.25" customHeight="1" hidden="1">
      <c r="A13" s="403"/>
      <c r="B13" s="404"/>
      <c r="C13" s="405"/>
      <c r="D13" s="411" t="s">
        <v>325</v>
      </c>
      <c r="E13" s="407"/>
      <c r="F13" s="407"/>
      <c r="G13" s="407"/>
      <c r="H13" s="407"/>
      <c r="I13" s="407"/>
      <c r="J13" s="407"/>
    </row>
    <row r="14" spans="1:10" ht="29.25" customHeight="1" hidden="1">
      <c r="A14" s="403"/>
      <c r="B14" s="414"/>
      <c r="C14" s="415"/>
      <c r="D14" s="411" t="s">
        <v>325</v>
      </c>
      <c r="E14" s="407"/>
      <c r="F14" s="407"/>
      <c r="G14" s="407"/>
      <c r="H14" s="407"/>
      <c r="I14" s="407"/>
      <c r="J14" s="407"/>
    </row>
    <row r="15" spans="1:10" ht="29.25" customHeight="1" hidden="1">
      <c r="A15" s="403"/>
      <c r="B15" s="404"/>
      <c r="C15" s="405"/>
      <c r="D15" s="411" t="s">
        <v>325</v>
      </c>
      <c r="E15" s="407"/>
      <c r="F15" s="407"/>
      <c r="G15" s="407"/>
      <c r="H15" s="407"/>
      <c r="I15" s="407"/>
      <c r="J15" s="407"/>
    </row>
    <row r="16" spans="1:10" ht="29.25" customHeight="1" hidden="1">
      <c r="A16" s="403"/>
      <c r="B16" s="404"/>
      <c r="C16" s="413"/>
      <c r="D16" s="411" t="s">
        <v>325</v>
      </c>
      <c r="E16" s="407"/>
      <c r="F16" s="407"/>
      <c r="G16" s="407"/>
      <c r="H16" s="407"/>
      <c r="I16" s="407"/>
      <c r="J16" s="407"/>
    </row>
    <row r="17" spans="1:10" ht="29.25" customHeight="1" hidden="1">
      <c r="A17" s="403"/>
      <c r="B17" s="404"/>
      <c r="C17" s="413"/>
      <c r="D17" s="411" t="s">
        <v>325</v>
      </c>
      <c r="E17" s="407"/>
      <c r="F17" s="407"/>
      <c r="G17" s="407"/>
      <c r="H17" s="407"/>
      <c r="I17" s="407"/>
      <c r="J17" s="407"/>
    </row>
    <row r="18" spans="1:10" ht="29.25" customHeight="1" hidden="1" thickBot="1">
      <c r="A18" s="403"/>
      <c r="B18" s="404"/>
      <c r="C18" s="413"/>
      <c r="D18" s="411" t="s">
        <v>325</v>
      </c>
      <c r="E18" s="407"/>
      <c r="F18" s="407"/>
      <c r="G18" s="407"/>
      <c r="H18" s="407"/>
      <c r="I18" s="407"/>
      <c r="J18" s="407"/>
    </row>
    <row r="19" spans="1:10" ht="31.5" customHeight="1" thickBot="1">
      <c r="A19" s="1185" t="s">
        <v>295</v>
      </c>
      <c r="B19" s="1185"/>
      <c r="C19" s="1185"/>
      <c r="D19" s="416"/>
      <c r="E19" s="417">
        <f aca="true" t="shared" si="0" ref="E19:J19">SUM(E8:E18)</f>
        <v>10702800</v>
      </c>
      <c r="F19" s="417">
        <f t="shared" si="0"/>
        <v>10702800</v>
      </c>
      <c r="G19" s="417">
        <f t="shared" si="0"/>
        <v>7759090</v>
      </c>
      <c r="H19" s="417">
        <f t="shared" si="0"/>
        <v>7759090</v>
      </c>
      <c r="I19" s="417">
        <f t="shared" si="0"/>
        <v>2943710</v>
      </c>
      <c r="J19" s="417">
        <f t="shared" si="0"/>
        <v>2943710</v>
      </c>
    </row>
    <row r="20" spans="1:8" ht="31.5" customHeight="1">
      <c r="A20" s="390"/>
      <c r="B20" s="390"/>
      <c r="C20" s="390"/>
      <c r="D20" s="418"/>
      <c r="E20" s="829"/>
      <c r="F20" s="829"/>
      <c r="G20" s="419"/>
      <c r="H20" s="419"/>
    </row>
    <row r="21" spans="1:8" ht="15.75">
      <c r="A21" s="390"/>
      <c r="B21" s="390"/>
      <c r="C21" s="390"/>
      <c r="D21" s="418"/>
      <c r="E21" s="829"/>
      <c r="F21" s="829"/>
      <c r="G21" s="420"/>
      <c r="H21" s="420"/>
    </row>
    <row r="22" spans="1:8" ht="14.25">
      <c r="A22" s="1186" t="s">
        <v>366</v>
      </c>
      <c r="B22" s="1186"/>
      <c r="C22" s="1186"/>
      <c r="D22" s="1186"/>
      <c r="E22" s="1186"/>
      <c r="F22" s="1186"/>
      <c r="G22" s="1186"/>
      <c r="H22" s="950"/>
    </row>
    <row r="23" spans="1:8" ht="13.5" thickBot="1">
      <c r="A23" s="388"/>
      <c r="B23" s="388"/>
      <c r="C23" s="388"/>
      <c r="E23" s="388"/>
      <c r="F23" s="388"/>
      <c r="G23" s="388"/>
      <c r="H23" s="388"/>
    </row>
    <row r="24" spans="1:10" ht="29.25" customHeight="1" thickBot="1">
      <c r="A24" s="394" t="s">
        <v>1</v>
      </c>
      <c r="B24" s="395"/>
      <c r="C24" s="396" t="s">
        <v>367</v>
      </c>
      <c r="D24" s="397" t="s">
        <v>362</v>
      </c>
      <c r="E24" s="1188" t="s">
        <v>4</v>
      </c>
      <c r="F24" s="1189"/>
      <c r="G24" s="1182" t="s">
        <v>363</v>
      </c>
      <c r="H24" s="1183"/>
      <c r="I24" s="1182" t="s">
        <v>317</v>
      </c>
      <c r="J24" s="1183"/>
    </row>
    <row r="25" spans="1:9" ht="28.5" customHeight="1" hidden="1">
      <c r="A25" s="421"/>
      <c r="B25" s="422"/>
      <c r="C25" s="423"/>
      <c r="D25" s="424"/>
      <c r="E25" s="827"/>
      <c r="F25" s="827"/>
      <c r="G25" s="827"/>
      <c r="H25" s="1030"/>
      <c r="I25" s="398"/>
    </row>
    <row r="26" spans="1:10" ht="28.5" customHeight="1" thickBot="1">
      <c r="A26" s="421"/>
      <c r="B26" s="422"/>
      <c r="C26" s="423"/>
      <c r="D26" s="424"/>
      <c r="E26" s="670" t="s">
        <v>338</v>
      </c>
      <c r="F26" s="670" t="s">
        <v>7</v>
      </c>
      <c r="G26" s="937" t="s">
        <v>338</v>
      </c>
      <c r="H26" s="670" t="s">
        <v>7</v>
      </c>
      <c r="I26" s="670" t="s">
        <v>338</v>
      </c>
      <c r="J26" s="670" t="s">
        <v>7</v>
      </c>
    </row>
    <row r="27" spans="1:10" ht="29.25" customHeight="1">
      <c r="A27" s="425">
        <v>1</v>
      </c>
      <c r="B27" s="426" t="s">
        <v>368</v>
      </c>
      <c r="C27" s="427" t="s">
        <v>577</v>
      </c>
      <c r="D27" s="428" t="s">
        <v>325</v>
      </c>
      <c r="E27" s="620">
        <v>130000</v>
      </c>
      <c r="F27" s="620">
        <v>130000</v>
      </c>
      <c r="G27" s="938">
        <f aca="true" t="shared" si="1" ref="G27:H30">E27-I27</f>
        <v>0</v>
      </c>
      <c r="H27" s="938">
        <f t="shared" si="1"/>
        <v>0</v>
      </c>
      <c r="I27" s="620">
        <v>130000</v>
      </c>
      <c r="J27" s="620">
        <v>130000</v>
      </c>
    </row>
    <row r="28" spans="1:10" ht="29.25" customHeight="1">
      <c r="A28" s="429">
        <v>2</v>
      </c>
      <c r="B28" s="430" t="s">
        <v>368</v>
      </c>
      <c r="C28" s="935" t="s">
        <v>602</v>
      </c>
      <c r="D28" s="432" t="s">
        <v>325</v>
      </c>
      <c r="E28" s="669">
        <f>8331342+24994026</f>
        <v>33325368</v>
      </c>
      <c r="F28" s="669">
        <f>8331342+24994026</f>
        <v>33325368</v>
      </c>
      <c r="G28" s="412">
        <f t="shared" si="1"/>
        <v>24994026</v>
      </c>
      <c r="H28" s="412">
        <f t="shared" si="1"/>
        <v>24994026</v>
      </c>
      <c r="I28" s="669">
        <v>8331342</v>
      </c>
      <c r="J28" s="669">
        <v>8331342</v>
      </c>
    </row>
    <row r="29" spans="1:10" ht="29.25" customHeight="1">
      <c r="A29" s="429">
        <v>3</v>
      </c>
      <c r="B29" s="430" t="s">
        <v>368</v>
      </c>
      <c r="C29" s="431" t="s">
        <v>581</v>
      </c>
      <c r="D29" s="432" t="s">
        <v>325</v>
      </c>
      <c r="E29" s="669">
        <v>1000000</v>
      </c>
      <c r="F29" s="669">
        <v>1000000</v>
      </c>
      <c r="G29" s="412">
        <f t="shared" si="1"/>
        <v>0</v>
      </c>
      <c r="H29" s="412">
        <f t="shared" si="1"/>
        <v>0</v>
      </c>
      <c r="I29" s="669">
        <v>1000000</v>
      </c>
      <c r="J29" s="669">
        <v>1000000</v>
      </c>
    </row>
    <row r="30" spans="1:10" ht="29.25" customHeight="1" thickBot="1">
      <c r="A30" s="429">
        <v>4</v>
      </c>
      <c r="B30" s="430" t="s">
        <v>368</v>
      </c>
      <c r="C30" s="431" t="s">
        <v>582</v>
      </c>
      <c r="D30" s="432" t="s">
        <v>325</v>
      </c>
      <c r="E30" s="669">
        <v>2000000</v>
      </c>
      <c r="F30" s="669">
        <v>2000000</v>
      </c>
      <c r="G30" s="412">
        <f t="shared" si="1"/>
        <v>0</v>
      </c>
      <c r="H30" s="412">
        <f t="shared" si="1"/>
        <v>0</v>
      </c>
      <c r="I30" s="669">
        <v>2000000</v>
      </c>
      <c r="J30" s="669">
        <v>2000000</v>
      </c>
    </row>
    <row r="31" spans="1:10" ht="29.25" customHeight="1" hidden="1">
      <c r="A31" s="429"/>
      <c r="B31" s="430"/>
      <c r="C31" s="405"/>
      <c r="D31" s="433"/>
      <c r="E31" s="409"/>
      <c r="F31" s="409"/>
      <c r="G31" s="409"/>
      <c r="H31" s="409"/>
      <c r="I31" s="408"/>
      <c r="J31" s="408"/>
    </row>
    <row r="32" spans="1:10" ht="29.25" customHeight="1" hidden="1">
      <c r="A32" s="429"/>
      <c r="B32" s="430"/>
      <c r="C32" s="405"/>
      <c r="D32" s="433"/>
      <c r="E32" s="409"/>
      <c r="F32" s="409"/>
      <c r="G32" s="409"/>
      <c r="H32" s="409"/>
      <c r="I32" s="408"/>
      <c r="J32" s="408"/>
    </row>
    <row r="33" spans="1:10" ht="29.25" customHeight="1" hidden="1">
      <c r="A33" s="429"/>
      <c r="B33" s="414"/>
      <c r="C33" s="434"/>
      <c r="D33" s="406"/>
      <c r="E33" s="409"/>
      <c r="F33" s="409"/>
      <c r="G33" s="409"/>
      <c r="H33" s="409"/>
      <c r="I33" s="408"/>
      <c r="J33" s="408"/>
    </row>
    <row r="34" spans="1:10" ht="29.25" customHeight="1" thickBot="1">
      <c r="A34" s="1184" t="s">
        <v>295</v>
      </c>
      <c r="B34" s="1184"/>
      <c r="C34" s="1184"/>
      <c r="D34" s="416"/>
      <c r="E34" s="830">
        <f aca="true" t="shared" si="2" ref="E34:J34">SUM(E27:E33)</f>
        <v>36455368</v>
      </c>
      <c r="F34" s="830">
        <f t="shared" si="2"/>
        <v>36455368</v>
      </c>
      <c r="G34" s="830">
        <f t="shared" si="2"/>
        <v>24994026</v>
      </c>
      <c r="H34" s="830">
        <f t="shared" si="2"/>
        <v>24994026</v>
      </c>
      <c r="I34" s="939">
        <f t="shared" si="2"/>
        <v>11461342</v>
      </c>
      <c r="J34" s="939">
        <f t="shared" si="2"/>
        <v>11461342</v>
      </c>
    </row>
    <row r="37" spans="7:8" ht="12.75">
      <c r="G37" s="389"/>
      <c r="H37" s="389"/>
    </row>
  </sheetData>
  <sheetProtection selectLockedCells="1" selectUnlockedCells="1"/>
  <mergeCells count="11">
    <mergeCell ref="A1:G1"/>
    <mergeCell ref="A3:G3"/>
    <mergeCell ref="E5:F5"/>
    <mergeCell ref="E24:F24"/>
    <mergeCell ref="G5:H5"/>
    <mergeCell ref="I5:J5"/>
    <mergeCell ref="G24:H24"/>
    <mergeCell ref="I24:J24"/>
    <mergeCell ref="A34:C34"/>
    <mergeCell ref="A19:C19"/>
    <mergeCell ref="A22:G22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91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I14" sqref="I14"/>
    </sheetView>
  </sheetViews>
  <sheetFormatPr defaultColWidth="9.140625" defaultRowHeight="12.75"/>
  <cols>
    <col min="1" max="1" width="9.140625" style="322" customWidth="1"/>
    <col min="2" max="2" width="12.00390625" style="322" customWidth="1"/>
    <col min="3" max="3" width="41.7109375" style="322" customWidth="1"/>
    <col min="4" max="5" width="12.7109375" style="323" customWidth="1"/>
    <col min="6" max="7" width="14.57421875" style="324" customWidth="1"/>
    <col min="8" max="8" width="11.57421875" style="322" customWidth="1"/>
    <col min="9" max="9" width="12.00390625" style="322" customWidth="1"/>
    <col min="10" max="16384" width="9.140625" style="322" customWidth="1"/>
  </cols>
  <sheetData>
    <row r="1" spans="3:7" ht="12.75">
      <c r="C1" s="10"/>
      <c r="D1" s="325"/>
      <c r="E1" s="325"/>
      <c r="F1" s="873"/>
      <c r="G1" s="873"/>
    </row>
    <row r="2" spans="1:7" ht="31.5" customHeight="1">
      <c r="A2" s="1194" t="s">
        <v>508</v>
      </c>
      <c r="B2" s="1194"/>
      <c r="C2" s="1194"/>
      <c r="D2" s="1194"/>
      <c r="E2" s="1194"/>
      <c r="F2" s="1194"/>
      <c r="G2" s="952"/>
    </row>
    <row r="3" spans="1:7" ht="15" customHeight="1">
      <c r="A3" s="1195" t="s">
        <v>558</v>
      </c>
      <c r="B3" s="1195"/>
      <c r="C3" s="1195"/>
      <c r="D3" s="1195"/>
      <c r="E3" s="1195"/>
      <c r="F3" s="1195"/>
      <c r="G3" s="953"/>
    </row>
    <row r="4" spans="1:7" ht="15" customHeight="1">
      <c r="A4" s="1196" t="s">
        <v>300</v>
      </c>
      <c r="B4" s="1196"/>
      <c r="C4" s="1196"/>
      <c r="D4" s="1196"/>
      <c r="E4" s="1196"/>
      <c r="F4" s="1196"/>
      <c r="G4" s="954"/>
    </row>
    <row r="5" spans="2:8" ht="13.5" thickBot="1">
      <c r="B5" s="326"/>
      <c r="C5" s="326"/>
      <c r="H5" s="322" t="s">
        <v>601</v>
      </c>
    </row>
    <row r="6" spans="1:9" s="328" customFormat="1" ht="41.25" customHeight="1" thickBot="1">
      <c r="A6" s="327" t="s">
        <v>1</v>
      </c>
      <c r="B6" s="1199" t="s">
        <v>135</v>
      </c>
      <c r="C6" s="1199"/>
      <c r="D6" s="1190" t="s">
        <v>4</v>
      </c>
      <c r="E6" s="1191"/>
      <c r="F6" s="1190" t="s">
        <v>245</v>
      </c>
      <c r="G6" s="1191"/>
      <c r="H6" s="1190" t="s">
        <v>301</v>
      </c>
      <c r="I6" s="1191"/>
    </row>
    <row r="7" spans="1:9" s="328" customFormat="1" ht="27" customHeight="1" thickBot="1">
      <c r="A7" s="329"/>
      <c r="B7" s="330"/>
      <c r="C7" s="330"/>
      <c r="D7" s="658" t="s">
        <v>6</v>
      </c>
      <c r="E7" s="658" t="s">
        <v>137</v>
      </c>
      <c r="F7" s="658" t="s">
        <v>6</v>
      </c>
      <c r="G7" s="658" t="s">
        <v>137</v>
      </c>
      <c r="H7" s="658" t="s">
        <v>6</v>
      </c>
      <c r="I7" s="658" t="s">
        <v>137</v>
      </c>
    </row>
    <row r="8" spans="1:9" s="328" customFormat="1" ht="27" customHeight="1" thickBot="1">
      <c r="A8" s="327">
        <v>1</v>
      </c>
      <c r="B8" s="1197" t="s">
        <v>569</v>
      </c>
      <c r="C8" s="1198"/>
      <c r="D8" s="882">
        <v>139700</v>
      </c>
      <c r="E8" s="882">
        <v>139700</v>
      </c>
      <c r="F8" s="882">
        <v>139700</v>
      </c>
      <c r="G8" s="882">
        <v>139700</v>
      </c>
      <c r="H8" s="883"/>
      <c r="I8" s="883"/>
    </row>
    <row r="9" spans="1:9" s="328" customFormat="1" ht="19.5" customHeight="1" thickBot="1">
      <c r="A9" s="331">
        <v>2</v>
      </c>
      <c r="B9" s="1203" t="s">
        <v>302</v>
      </c>
      <c r="C9" s="1204"/>
      <c r="D9" s="332">
        <v>488950</v>
      </c>
      <c r="E9" s="332">
        <v>488950</v>
      </c>
      <c r="F9" s="332">
        <v>488950</v>
      </c>
      <c r="G9" s="332">
        <v>488950</v>
      </c>
      <c r="H9" s="883"/>
      <c r="I9" s="883"/>
    </row>
    <row r="10" spans="1:9" s="328" customFormat="1" ht="19.5" customHeight="1" thickBot="1">
      <c r="A10" s="331">
        <v>3</v>
      </c>
      <c r="B10" s="333" t="s">
        <v>303</v>
      </c>
      <c r="C10" s="879"/>
      <c r="D10" s="884">
        <v>578612</v>
      </c>
      <c r="E10" s="884">
        <v>578612</v>
      </c>
      <c r="F10" s="884">
        <v>578612</v>
      </c>
      <c r="G10" s="884">
        <v>578612</v>
      </c>
      <c r="H10" s="883"/>
      <c r="I10" s="883"/>
    </row>
    <row r="11" spans="1:9" s="328" customFormat="1" ht="19.5" customHeight="1" thickBot="1">
      <c r="A11" s="331">
        <v>4</v>
      </c>
      <c r="B11" s="1200" t="s">
        <v>570</v>
      </c>
      <c r="C11" s="1201"/>
      <c r="D11" s="332">
        <v>3683470</v>
      </c>
      <c r="E11" s="332">
        <v>3683470</v>
      </c>
      <c r="F11" s="332">
        <v>3683470</v>
      </c>
      <c r="G11" s="332">
        <v>3683470</v>
      </c>
      <c r="H11" s="883"/>
      <c r="I11" s="883"/>
    </row>
    <row r="12" spans="1:9" s="328" customFormat="1" ht="19.5" customHeight="1" thickBot="1">
      <c r="A12" s="331">
        <v>5</v>
      </c>
      <c r="B12" s="1200" t="s">
        <v>304</v>
      </c>
      <c r="C12" s="1201"/>
      <c r="D12" s="332">
        <v>1734620</v>
      </c>
      <c r="E12" s="332">
        <f>1734620</f>
        <v>1734620</v>
      </c>
      <c r="F12" s="332"/>
      <c r="G12" s="332"/>
      <c r="H12" s="332">
        <v>1734620</v>
      </c>
      <c r="I12" s="332">
        <v>1734620</v>
      </c>
    </row>
    <row r="13" spans="1:9" s="328" customFormat="1" ht="19.5" customHeight="1" thickBot="1">
      <c r="A13" s="331">
        <v>6</v>
      </c>
      <c r="B13" s="1200" t="s">
        <v>305</v>
      </c>
      <c r="C13" s="1201"/>
      <c r="D13" s="332">
        <v>791538</v>
      </c>
      <c r="E13" s="332">
        <v>791538</v>
      </c>
      <c r="F13" s="332">
        <v>791538</v>
      </c>
      <c r="G13" s="332">
        <v>791538</v>
      </c>
      <c r="H13" s="883"/>
      <c r="I13" s="883"/>
    </row>
    <row r="14" spans="1:9" s="328" customFormat="1" ht="19.5" customHeight="1" thickBot="1">
      <c r="A14" s="331">
        <v>7</v>
      </c>
      <c r="B14" s="1205" t="s">
        <v>306</v>
      </c>
      <c r="C14" s="1206"/>
      <c r="D14" s="885"/>
      <c r="E14" s="885"/>
      <c r="F14" s="885"/>
      <c r="G14" s="885"/>
      <c r="H14" s="883"/>
      <c r="I14" s="883"/>
    </row>
    <row r="15" spans="1:9" s="328" customFormat="1" ht="19.5" customHeight="1" thickBot="1">
      <c r="A15" s="331">
        <v>8</v>
      </c>
      <c r="B15" s="1200" t="s">
        <v>307</v>
      </c>
      <c r="C15" s="1201"/>
      <c r="D15" s="885">
        <v>1544320</v>
      </c>
      <c r="E15" s="885">
        <v>1544320</v>
      </c>
      <c r="F15" s="885">
        <v>1544320</v>
      </c>
      <c r="G15" s="885">
        <v>1544320</v>
      </c>
      <c r="H15" s="883"/>
      <c r="I15" s="883"/>
    </row>
    <row r="16" spans="1:9" ht="19.5" customHeight="1" thickBot="1">
      <c r="A16" s="334">
        <v>9</v>
      </c>
      <c r="B16" s="335" t="s">
        <v>308</v>
      </c>
      <c r="C16" s="880"/>
      <c r="D16" s="885">
        <v>785000</v>
      </c>
      <c r="E16" s="885">
        <f>785000+100000-100000</f>
        <v>785000</v>
      </c>
      <c r="F16" s="885">
        <v>785000</v>
      </c>
      <c r="G16" s="885">
        <f>785000+100000-100000</f>
        <v>785000</v>
      </c>
      <c r="H16" s="618"/>
      <c r="I16" s="618"/>
    </row>
    <row r="17" spans="1:9" ht="19.5" customHeight="1" thickBot="1">
      <c r="A17" s="334">
        <v>10</v>
      </c>
      <c r="B17" s="1200" t="s">
        <v>309</v>
      </c>
      <c r="C17" s="1201"/>
      <c r="D17" s="885">
        <v>3600442</v>
      </c>
      <c r="E17" s="885">
        <f>3600442+55118+6309</f>
        <v>3661869</v>
      </c>
      <c r="F17" s="885">
        <v>3600442</v>
      </c>
      <c r="G17" s="885">
        <f>3600442+55118+6309</f>
        <v>3661869</v>
      </c>
      <c r="H17" s="618"/>
      <c r="I17" s="618"/>
    </row>
    <row r="18" spans="1:9" ht="19.5" customHeight="1" thickBot="1">
      <c r="A18" s="334">
        <v>11</v>
      </c>
      <c r="B18" s="1200" t="s">
        <v>310</v>
      </c>
      <c r="C18" s="1201"/>
      <c r="D18" s="885">
        <v>4295262</v>
      </c>
      <c r="E18" s="885">
        <v>4295262</v>
      </c>
      <c r="F18" s="885">
        <v>4295262</v>
      </c>
      <c r="G18" s="885">
        <v>4295262</v>
      </c>
      <c r="H18" s="618"/>
      <c r="I18" s="618"/>
    </row>
    <row r="19" spans="1:9" ht="19.5" customHeight="1" thickBot="1">
      <c r="A19" s="334">
        <v>12</v>
      </c>
      <c r="B19" s="1200" t="s">
        <v>311</v>
      </c>
      <c r="C19" s="1201"/>
      <c r="D19" s="885">
        <v>4800</v>
      </c>
      <c r="E19" s="885">
        <v>4800</v>
      </c>
      <c r="F19" s="885">
        <v>4800</v>
      </c>
      <c r="G19" s="885">
        <v>4800</v>
      </c>
      <c r="H19" s="618"/>
      <c r="I19" s="618"/>
    </row>
    <row r="20" spans="1:9" ht="19.5" customHeight="1" thickBot="1">
      <c r="A20" s="334">
        <v>13</v>
      </c>
      <c r="B20" s="1207" t="s">
        <v>312</v>
      </c>
      <c r="C20" s="1208"/>
      <c r="D20" s="885">
        <v>355150</v>
      </c>
      <c r="E20" s="885">
        <v>355150</v>
      </c>
      <c r="F20" s="885">
        <v>355150</v>
      </c>
      <c r="G20" s="885">
        <v>355150</v>
      </c>
      <c r="H20" s="618"/>
      <c r="I20" s="618"/>
    </row>
    <row r="21" spans="1:9" ht="19.5" customHeight="1" thickBot="1">
      <c r="A21" s="334">
        <v>14</v>
      </c>
      <c r="B21" s="1207" t="s">
        <v>313</v>
      </c>
      <c r="C21" s="1208"/>
      <c r="D21" s="885">
        <v>1424127</v>
      </c>
      <c r="E21" s="885">
        <v>1424127</v>
      </c>
      <c r="F21" s="885">
        <v>1424127</v>
      </c>
      <c r="G21" s="885">
        <v>1424127</v>
      </c>
      <c r="H21" s="618"/>
      <c r="I21" s="618"/>
    </row>
    <row r="22" spans="1:9" ht="19.5" customHeight="1" thickBot="1">
      <c r="A22" s="334">
        <v>15</v>
      </c>
      <c r="B22" s="1192" t="s">
        <v>455</v>
      </c>
      <c r="C22" s="1193"/>
      <c r="D22" s="618">
        <v>126000</v>
      </c>
      <c r="E22" s="618">
        <v>126000</v>
      </c>
      <c r="F22" s="618">
        <v>126000</v>
      </c>
      <c r="G22" s="618">
        <v>126000</v>
      </c>
      <c r="H22" s="618"/>
      <c r="I22" s="618"/>
    </row>
    <row r="23" spans="1:9" ht="19.5" customHeight="1" thickBot="1">
      <c r="A23" s="334">
        <v>16</v>
      </c>
      <c r="B23" s="820" t="s">
        <v>554</v>
      </c>
      <c r="C23" s="821"/>
      <c r="D23" s="618">
        <v>320040</v>
      </c>
      <c r="E23" s="618">
        <v>320040</v>
      </c>
      <c r="F23" s="618">
        <v>320040</v>
      </c>
      <c r="G23" s="618">
        <v>320040</v>
      </c>
      <c r="H23" s="618"/>
      <c r="I23" s="618"/>
    </row>
    <row r="24" spans="1:9" ht="19.5" customHeight="1" thickBot="1">
      <c r="A24" s="334">
        <v>17</v>
      </c>
      <c r="B24" s="1192" t="s">
        <v>571</v>
      </c>
      <c r="C24" s="1193"/>
      <c r="D24" s="618">
        <v>264704</v>
      </c>
      <c r="E24" s="618">
        <v>264704</v>
      </c>
      <c r="F24" s="618">
        <v>264704</v>
      </c>
      <c r="G24" s="618">
        <v>264704</v>
      </c>
      <c r="H24" s="618"/>
      <c r="I24" s="618"/>
    </row>
    <row r="25" spans="1:9" ht="27" customHeight="1" thickBot="1">
      <c r="A25" s="336"/>
      <c r="B25" s="1202" t="s">
        <v>295</v>
      </c>
      <c r="C25" s="1202"/>
      <c r="D25" s="881">
        <f>SUM(D8:D24)</f>
        <v>20136735</v>
      </c>
      <c r="E25" s="881">
        <f>SUM(E8:E24)</f>
        <v>20198162</v>
      </c>
      <c r="F25" s="881">
        <f>SUM(F8:F24)</f>
        <v>18402115</v>
      </c>
      <c r="G25" s="881">
        <f>SUM(G8:G24)</f>
        <v>18463542</v>
      </c>
      <c r="H25" s="881">
        <f>SUM(H8:H22)</f>
        <v>1734620</v>
      </c>
      <c r="I25" s="881">
        <f>SUM(I8:I22)</f>
        <v>1734620</v>
      </c>
    </row>
    <row r="27" spans="4:5" ht="12.75">
      <c r="D27" s="831"/>
      <c r="E27" s="831"/>
    </row>
    <row r="28" spans="4:5" ht="12.75">
      <c r="D28" s="831"/>
      <c r="E28" s="831"/>
    </row>
  </sheetData>
  <sheetProtection selectLockedCells="1" selectUnlockedCells="1"/>
  <mergeCells count="22">
    <mergeCell ref="B21:C21"/>
    <mergeCell ref="B17:C17"/>
    <mergeCell ref="B19:C19"/>
    <mergeCell ref="D6:E6"/>
    <mergeCell ref="B25:C25"/>
    <mergeCell ref="B9:C9"/>
    <mergeCell ref="B11:C11"/>
    <mergeCell ref="B12:C12"/>
    <mergeCell ref="B13:C13"/>
    <mergeCell ref="B14:C14"/>
    <mergeCell ref="B15:C15"/>
    <mergeCell ref="B20:C20"/>
    <mergeCell ref="F6:G6"/>
    <mergeCell ref="H6:I6"/>
    <mergeCell ref="B24:C24"/>
    <mergeCell ref="A2:F2"/>
    <mergeCell ref="A3:F3"/>
    <mergeCell ref="A4:F4"/>
    <mergeCell ref="B8:C8"/>
    <mergeCell ref="B6:C6"/>
    <mergeCell ref="B22:C22"/>
    <mergeCell ref="B18:C18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Kápolnási Renáta</cp:lastModifiedBy>
  <cp:lastPrinted>2017-03-05T12:06:05Z</cp:lastPrinted>
  <dcterms:created xsi:type="dcterms:W3CDTF">2016-02-12T06:38:50Z</dcterms:created>
  <dcterms:modified xsi:type="dcterms:W3CDTF">2017-07-04T11:32:30Z</dcterms:modified>
  <cp:category/>
  <cp:version/>
  <cp:contentType/>
  <cp:contentStatus/>
</cp:coreProperties>
</file>