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5800" windowHeight="12300"/>
  </bookViews>
  <sheets>
    <sheet name="5_melléklet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3" i="1" s="1"/>
  <c r="B14" i="1" s="1"/>
  <c r="B15" i="1" s="1"/>
  <c r="B16" i="1" s="1"/>
  <c r="B21" i="1"/>
  <c r="B22" i="1"/>
  <c r="B24" i="1"/>
  <c r="B25" i="1"/>
  <c r="B31" i="1"/>
  <c r="B33" i="1"/>
  <c r="B37" i="1"/>
  <c r="B39" i="1"/>
  <c r="B41" i="1"/>
  <c r="B43" i="1"/>
  <c r="B44" i="1" s="1"/>
  <c r="B54" i="1"/>
  <c r="B61" i="1" s="1"/>
  <c r="B63" i="1" s="1"/>
  <c r="B57" i="1"/>
  <c r="B58" i="1"/>
  <c r="B59" i="1"/>
  <c r="B68" i="1"/>
  <c r="B72" i="1"/>
  <c r="B74" i="1"/>
  <c r="B79" i="1"/>
  <c r="B80" i="1"/>
  <c r="B82" i="1"/>
  <c r="B84" i="1"/>
  <c r="B86" i="1"/>
  <c r="B87" i="1"/>
  <c r="B90" i="1"/>
  <c r="B93" i="1"/>
  <c r="B97" i="1" s="1"/>
  <c r="B94" i="1"/>
  <c r="B95" i="1"/>
  <c r="B99" i="1"/>
  <c r="B103" i="1"/>
  <c r="B104" i="1"/>
  <c r="B105" i="1"/>
  <c r="B106" i="1"/>
  <c r="B108" i="1" s="1"/>
  <c r="B110" i="1" s="1"/>
  <c r="B117" i="1"/>
  <c r="B120" i="1"/>
  <c r="B205" i="1" s="1"/>
  <c r="B122" i="1"/>
  <c r="B126" i="1"/>
  <c r="B127" i="1"/>
  <c r="B129" i="1"/>
  <c r="B130" i="1" s="1"/>
  <c r="B141" i="1"/>
  <c r="B147" i="1"/>
  <c r="B150" i="1"/>
  <c r="B151" i="1"/>
  <c r="B154" i="1"/>
  <c r="B155" i="1"/>
  <c r="B157" i="1"/>
  <c r="B158" i="1"/>
  <c r="B161" i="1" s="1"/>
  <c r="B159" i="1"/>
  <c r="B160" i="1"/>
  <c r="B168" i="1" s="1"/>
  <c r="B169" i="1" s="1"/>
  <c r="B165" i="1"/>
  <c r="B181" i="1"/>
  <c r="B187" i="1"/>
  <c r="B190" i="1"/>
  <c r="B192" i="1"/>
  <c r="B193" i="1"/>
  <c r="B198" i="1" s="1"/>
  <c r="B200" i="1" s="1"/>
  <c r="B202" i="1" s="1"/>
  <c r="B196" i="1"/>
  <c r="B204" i="1"/>
  <c r="B207" i="1"/>
  <c r="B221" i="1"/>
  <c r="B222" i="1"/>
  <c r="B225" i="1" s="1"/>
  <c r="B233" i="1" s="1"/>
  <c r="B223" i="1"/>
  <c r="B224" i="1"/>
  <c r="B226" i="1"/>
  <c r="B228" i="1"/>
  <c r="B229" i="1"/>
  <c r="B231" i="1" s="1"/>
  <c r="B241" i="1"/>
  <c r="B248" i="1" s="1"/>
  <c r="B254" i="1"/>
  <c r="B258" i="1"/>
  <c r="B259" i="1"/>
  <c r="B262" i="1"/>
  <c r="B266" i="1"/>
  <c r="B267" i="1"/>
  <c r="B270" i="1"/>
  <c r="B274" i="1"/>
  <c r="B276" i="1"/>
  <c r="B278" i="1"/>
  <c r="B281" i="1" s="1"/>
  <c r="B279" i="1"/>
  <c r="B293" i="1"/>
  <c r="B298" i="1" s="1"/>
  <c r="B296" i="1"/>
  <c r="B302" i="1"/>
  <c r="B307" i="1" s="1"/>
  <c r="B305" i="1"/>
  <c r="B322" i="1" s="1"/>
  <c r="B313" i="1"/>
  <c r="B316" i="1"/>
  <c r="B318" i="1"/>
  <c r="B334" i="1"/>
  <c r="B335" i="1"/>
  <c r="B341" i="1" s="1"/>
  <c r="B337" i="1"/>
  <c r="B339" i="1"/>
  <c r="B350" i="1"/>
  <c r="B354" i="1"/>
  <c r="B356" i="1"/>
  <c r="B364" i="1"/>
  <c r="B370" i="1"/>
  <c r="B375" i="1"/>
  <c r="B395" i="1" s="1"/>
  <c r="B379" i="1"/>
  <c r="B382" i="1"/>
  <c r="B383" i="1"/>
  <c r="B384" i="1"/>
  <c r="B387" i="1"/>
  <c r="B391" i="1"/>
  <c r="B392" i="1"/>
  <c r="B393" i="1"/>
  <c r="B394" i="1"/>
  <c r="B408" i="1"/>
  <c r="B425" i="1" s="1"/>
  <c r="B414" i="1"/>
  <c r="B420" i="1"/>
  <c r="B421" i="1"/>
  <c r="B422" i="1"/>
  <c r="B423" i="1"/>
  <c r="B434" i="1"/>
  <c r="B440" i="1"/>
  <c r="B445" i="1"/>
  <c r="B450" i="1"/>
  <c r="B453" i="1"/>
  <c r="B457" i="1"/>
  <c r="B459" i="1"/>
  <c r="B462" i="1" s="1"/>
  <c r="B461" i="1"/>
  <c r="B475" i="1"/>
  <c r="B481" i="1"/>
  <c r="B487" i="1"/>
  <c r="B489" i="1"/>
  <c r="B490" i="1"/>
  <c r="B491" i="1"/>
  <c r="B505" i="1" s="1"/>
  <c r="B494" i="1"/>
  <c r="B498" i="1"/>
  <c r="B502" i="1"/>
  <c r="B503" i="1"/>
  <c r="B504" i="1" s="1"/>
  <c r="B518" i="1"/>
  <c r="B519" i="1"/>
  <c r="B520" i="1" s="1"/>
  <c r="B522" i="1" s="1"/>
  <c r="B524" i="1" s="1"/>
  <c r="B531" i="1"/>
  <c r="B537" i="1"/>
  <c r="B540" i="1"/>
  <c r="B541" i="1"/>
  <c r="B558" i="1" s="1"/>
  <c r="B559" i="1" s="1"/>
  <c r="B542" i="1"/>
  <c r="B547" i="1"/>
  <c r="B548" i="1"/>
  <c r="B552" i="1" s="1"/>
  <c r="B549" i="1"/>
  <c r="B555" i="1"/>
  <c r="B557" i="1"/>
  <c r="B569" i="1"/>
  <c r="B581" i="1" s="1"/>
  <c r="B574" i="1"/>
  <c r="B578" i="1"/>
  <c r="B579" i="1"/>
  <c r="B580" i="1" s="1"/>
  <c r="B584" i="1"/>
  <c r="B590" i="1"/>
  <c r="B596" i="1"/>
  <c r="B600" i="1"/>
  <c r="B605" i="1"/>
  <c r="B618" i="1" s="1"/>
  <c r="B608" i="1"/>
  <c r="B612" i="1"/>
  <c r="B615" i="1"/>
  <c r="B616" i="1"/>
  <c r="B617" i="1"/>
  <c r="B623" i="1"/>
  <c r="B635" i="1"/>
  <c r="B640" i="1" s="1"/>
  <c r="B639" i="1"/>
  <c r="B745" i="1" s="1"/>
  <c r="B644" i="1"/>
  <c r="B645" i="1"/>
  <c r="B646" i="1"/>
  <c r="B648" i="1" s="1"/>
  <c r="B655" i="1"/>
  <c r="B661" i="1"/>
  <c r="B663" i="1"/>
  <c r="B666" i="1" s="1"/>
  <c r="B665" i="1"/>
  <c r="B669" i="1"/>
  <c r="B670" i="1"/>
  <c r="B674" i="1" s="1"/>
  <c r="B675" i="1"/>
  <c r="B677" i="1"/>
  <c r="B678" i="1"/>
  <c r="B679" i="1" s="1"/>
  <c r="B689" i="1"/>
  <c r="B695" i="1"/>
  <c r="B700" i="1"/>
  <c r="B701" i="1"/>
  <c r="B702" i="1"/>
  <c r="B703" i="1" s="1"/>
  <c r="B706" i="1" s="1"/>
  <c r="B704" i="1"/>
  <c r="B705" i="1"/>
  <c r="B714" i="1"/>
  <c r="B718" i="1"/>
  <c r="B723" i="1"/>
  <c r="B727" i="1"/>
  <c r="B729" i="1"/>
  <c r="B733" i="1"/>
  <c r="B735" i="1"/>
  <c r="B737" i="1" s="1"/>
  <c r="B171" i="1" l="1"/>
  <c r="B740" i="1"/>
  <c r="B680" i="1"/>
  <c r="B397" i="1"/>
  <c r="B321" i="1"/>
  <c r="B132" i="1"/>
  <c r="B46" i="1"/>
  <c r="B234" i="1"/>
  <c r="B507" i="1"/>
  <c r="B47" i="1"/>
  <c r="B742" i="1"/>
  <c r="B708" i="1"/>
  <c r="B619" i="1"/>
  <c r="B282" i="1"/>
  <c r="B284" i="1" s="1"/>
  <c r="B208" i="1"/>
  <c r="B170" i="1"/>
  <c r="B17" i="1"/>
  <c r="B206" i="1"/>
  <c r="B622" i="1"/>
  <c r="B464" i="1"/>
  <c r="B465" i="1" s="1"/>
  <c r="B466" i="1" s="1"/>
  <c r="B744" i="1"/>
  <c r="B738" i="1"/>
  <c r="B739" i="1" s="1"/>
  <c r="B544" i="1"/>
  <c r="B560" i="1" s="1"/>
  <c r="B562" i="1" s="1"/>
  <c r="B624" i="1" l="1"/>
  <c r="B468" i="1"/>
  <c r="B625" i="1"/>
  <c r="B323" i="1"/>
  <c r="B324" i="1" s="1"/>
  <c r="B681" i="1"/>
  <c r="B746" i="1"/>
  <c r="B747" i="1" s="1"/>
</calcChain>
</file>

<file path=xl/sharedStrings.xml><?xml version="1.0" encoding="utf-8"?>
<sst xmlns="http://schemas.openxmlformats.org/spreadsheetml/2006/main" count="578" uniqueCount="142">
  <si>
    <t>"</t>
  </si>
  <si>
    <t xml:space="preserve">NAGYSZÉNÁSI ÖNKORMÁNYZATI ÓVODA ÖSSZESEN: (20 fő közalk. + 1 fő részmunkaidős közalk.) </t>
  </si>
  <si>
    <t>DOLOGI KIADÁSOK ÖSSZESEN:</t>
  </si>
  <si>
    <t>MUNKAADÓKAT TERHELŐ JÁRULÉKOK ÖSSZESEN:</t>
  </si>
  <si>
    <t>SZEMÉLYI JUTTATÁSOK ÖSSZESEN:</t>
  </si>
  <si>
    <t>KORMÁNYFUNKCIÓ ÖSSZESEN:</t>
  </si>
  <si>
    <t>DOLOGI  KIADÁSOK ÖSSZESEN:</t>
  </si>
  <si>
    <t>Különféle befizetések és egyéb dologi kiadások összesen</t>
  </si>
  <si>
    <t>Működési célú előzetesen felszámított áfa</t>
  </si>
  <si>
    <t>Szolgáltatási kiadások összesen</t>
  </si>
  <si>
    <t>Egyéb szolgáltatások (szállítás, szemétszállítás, számlavezetés)</t>
  </si>
  <si>
    <t>Szakmai tevékenységet segítő szolgáltatások (Nagyszénás újság, kábel TV))</t>
  </si>
  <si>
    <t>Karbantartási, kisjavítási szolgáltatások</t>
  </si>
  <si>
    <t>Közüzemi díjak összesen</t>
  </si>
  <si>
    <t>Víz- és csatornadíj</t>
  </si>
  <si>
    <t>Villamosenergia díjak</t>
  </si>
  <si>
    <t>Gázenergia díjak</t>
  </si>
  <si>
    <t>Kommunikációs szolgáltatások összesen</t>
  </si>
  <si>
    <t>Telefon díjak</t>
  </si>
  <si>
    <t xml:space="preserve">Üzemeltetési anyagok beszerzése összesen </t>
  </si>
  <si>
    <t xml:space="preserve">Egyéb üzemeltetési anyag </t>
  </si>
  <si>
    <t>Munkaruha, védőruha</t>
  </si>
  <si>
    <t>Irodaszer, nyomtatvány</t>
  </si>
  <si>
    <t xml:space="preserve">Szakmai anyagok beszerzése összesen </t>
  </si>
  <si>
    <t>Egyéb szakmai anyagok</t>
  </si>
  <si>
    <t>Folyóirat beszerzés</t>
  </si>
  <si>
    <t>Könyvbeszerzés (könyvtári)</t>
  </si>
  <si>
    <t>Táppénz hozzájárulás</t>
  </si>
  <si>
    <t>Szociális hozzájárulási adó</t>
  </si>
  <si>
    <t>Egyéb személyi juttatás (betegszabadság, közlekedési ktg. térítés)</t>
  </si>
  <si>
    <t>Egyéb költségek (szemüveg, napi díj, számla ktg. térítés)</t>
  </si>
  <si>
    <t>Törvény szerinti illetmények (1fő + 1 fő részmunkaidős))</t>
  </si>
  <si>
    <t>082042 Könyvtári állomány gyarapítása, nyilvántartása</t>
  </si>
  <si>
    <t>Szakmai tevékenységet segítő szolgáltatások</t>
  </si>
  <si>
    <t>Könyvbeszerzés</t>
  </si>
  <si>
    <t>Gyógyszer beszerzés</t>
  </si>
  <si>
    <t>Kifizetői adó</t>
  </si>
  <si>
    <t>Egészségügyi hozzájárulás</t>
  </si>
  <si>
    <t>Megbízási díjak</t>
  </si>
  <si>
    <t>Egyéb személyi juttatás (betegszabadság)</t>
  </si>
  <si>
    <r>
      <t xml:space="preserve">Törvény szerinti illetmények </t>
    </r>
    <r>
      <rPr>
        <sz val="8"/>
        <rFont val="Arial CE"/>
        <charset val="238"/>
      </rPr>
      <t>(13 fő)</t>
    </r>
  </si>
  <si>
    <t>091110  Óvodai nevelés, ellátás szakmai feladatai</t>
  </si>
  <si>
    <t>Távfűtés díja</t>
  </si>
  <si>
    <t>Informatikai szolgáltatások (internet, szoftverek költségei)</t>
  </si>
  <si>
    <t>Kifizetői adó és járulék</t>
  </si>
  <si>
    <t>Táppénzhozzájárulás</t>
  </si>
  <si>
    <t>Jubileumi jutalom</t>
  </si>
  <si>
    <r>
      <t xml:space="preserve">Törvény szerinti illetmények </t>
    </r>
    <r>
      <rPr>
        <sz val="8"/>
        <rFont val="Arial CE"/>
        <charset val="238"/>
      </rPr>
      <t>(6 fő)</t>
    </r>
  </si>
  <si>
    <t>091140  Óvodai nevelés, ellátás működtetési feladatai</t>
  </si>
  <si>
    <t>Vásárolt élelmezés</t>
  </si>
  <si>
    <t>096015 Gyermekétkeztetés köznevelési intézményekben</t>
  </si>
  <si>
    <t>Törvény szerinti illetmények (4 fő  időszakosan)</t>
  </si>
  <si>
    <t xml:space="preserve">041233  Hosszabb időtartamú közfoglalkoztatás </t>
  </si>
  <si>
    <t>Kötelező önkormányzati feladatok</t>
  </si>
  <si>
    <t>NAGYSZÉNÁSI ÖNKORMÁNYZATI ÓVODA ÉS KÖNYVTÁR</t>
  </si>
  <si>
    <r>
      <t xml:space="preserve">GONDOZÁSI KÖZPONT ÖSSZESEN: ( 33 fő közalk. + 1 fő részm. közalk. +  35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</si>
  <si>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Hajtó- és kenőanyagok</t>
  </si>
  <si>
    <t>Reprezentáció</t>
  </si>
  <si>
    <t>Egyéb költségek (számla ktg. térítés)</t>
  </si>
  <si>
    <t>Céljuttatás</t>
  </si>
  <si>
    <r>
      <t xml:space="preserve">Törvény szerinti illetmények </t>
    </r>
    <r>
      <rPr>
        <sz val="8"/>
        <rFont val="Arial CE"/>
        <charset val="238"/>
      </rPr>
      <t>(12 fő)</t>
    </r>
  </si>
  <si>
    <t>107052 Házi segítségnyújtás</t>
  </si>
  <si>
    <t>Törvény szerinti illetmények (1 fő + 1 fő részmunkaidős)</t>
  </si>
  <si>
    <t>107051 Szociális étkeztetés</t>
  </si>
  <si>
    <t>Kiküldetések és reklám propaganda kiadások összesen</t>
  </si>
  <si>
    <t>Kiküldetések kiadásai</t>
  </si>
  <si>
    <t>Egyéb üzemeltetési szolgáltatások ( szemétszállítás,stb.)</t>
  </si>
  <si>
    <r>
      <t xml:space="preserve">Törvény szerinti illetmények </t>
    </r>
    <r>
      <rPr>
        <sz val="8"/>
        <rFont val="Arial CE"/>
        <charset val="238"/>
      </rPr>
      <t>(3 fő)</t>
    </r>
  </si>
  <si>
    <t>104042 Gyermekjóléti szolgáltatások</t>
  </si>
  <si>
    <t>104035 Gyermekétkezetés bölcsődében</t>
  </si>
  <si>
    <t>Egyéb szolgáltatások (szállítás, szemétszállítás)</t>
  </si>
  <si>
    <t>Törvény szerinti illetmények (8 fő)</t>
  </si>
  <si>
    <t xml:space="preserve">104031 Gyermekek bölcsődei ellátása </t>
  </si>
  <si>
    <t>Belföldi kiküldetések kiadásai</t>
  </si>
  <si>
    <t>Szociális gondozói díj</t>
  </si>
  <si>
    <t>Törvény szerinti illetmények( 6 fő )</t>
  </si>
  <si>
    <t>102031 Idősek nappali ellátása</t>
  </si>
  <si>
    <t>Egyéb költségek ( számla ktg. térítés)</t>
  </si>
  <si>
    <t>Törvény szerinti illetmények (1 fő)</t>
  </si>
  <si>
    <t>074032 Ifjúság-egészségügyi gondozás</t>
  </si>
  <si>
    <t>Működési célú előzetesen felszámított le nem vonható áfa</t>
  </si>
  <si>
    <t>Működési célú előzetesen felszámított levonható áfa</t>
  </si>
  <si>
    <t>Közvetített szolgáltatások (telefon)</t>
  </si>
  <si>
    <t>Törvény szerinti illetmények (2 fő)</t>
  </si>
  <si>
    <t>074031 Család és nővédelmi egészségügyi gondozás</t>
  </si>
  <si>
    <t>Törvény szerinti illetmények  (7 fő időszakosan)</t>
  </si>
  <si>
    <t>Megváltozott munkaképességűek foglalkoztatása és GINOP pályázat</t>
  </si>
  <si>
    <r>
      <t>Törvény szerinti illetmények</t>
    </r>
    <r>
      <rPr>
        <sz val="10"/>
        <rFont val="Arial"/>
        <family val="2"/>
        <charset val="238"/>
      </rPr>
      <t xml:space="preserve"> (28 fő időszakosan)</t>
    </r>
  </si>
  <si>
    <t>GONDOZÁSI KÖZPONT</t>
  </si>
  <si>
    <r>
      <t xml:space="preserve">POLGÁRMESTERI HIVATAL ÖSSZESEN: (18 fő kt.,  </t>
    </r>
    <r>
      <rPr>
        <b/>
        <u/>
        <sz val="8"/>
        <rFont val="Arial CE"/>
        <charset val="238"/>
      </rPr>
      <t>3 fő Mt</t>
    </r>
    <r>
      <rPr>
        <b/>
        <u/>
        <sz val="8"/>
        <rFont val="Arial CE"/>
        <family val="2"/>
        <charset val="238"/>
      </rPr>
      <t>. alkalmazott)</t>
    </r>
  </si>
  <si>
    <r>
      <t>Törvény szerinti illetmények</t>
    </r>
    <r>
      <rPr>
        <sz val="10"/>
        <rFont val="Arial"/>
        <family val="2"/>
        <charset val="238"/>
      </rPr>
      <t xml:space="preserve"> (1 fő időszakosan)</t>
    </r>
  </si>
  <si>
    <t xml:space="preserve">Törvény szerinti illetmények </t>
  </si>
  <si>
    <t>Megbízási díjak (2 fő nyári napközis tanár)</t>
  </si>
  <si>
    <t>013360 Iskola működtetés</t>
  </si>
  <si>
    <t>Egyéb dologi kiadások (különféle díjak)</t>
  </si>
  <si>
    <t>Fizetendő áfa értékesítés után</t>
  </si>
  <si>
    <t>Egyéb szolgáltatások (postai díjak, megbízási díjak)</t>
  </si>
  <si>
    <t>Bérleti és lízingdíjak</t>
  </si>
  <si>
    <t>Adatátvételi célú távközlési díj</t>
  </si>
  <si>
    <t>Bérlet, saját gépjármű használat</t>
  </si>
  <si>
    <t>Cafetéria juttatás</t>
  </si>
  <si>
    <t>Törvény szerinti illetmények (21 fő)</t>
  </si>
  <si>
    <t>011130 Önkormányzatok és  önkormányzati hivatalok jogalkotó és általános igazgatási tevékenysége</t>
  </si>
  <si>
    <t>Államigazgatási feladatok</t>
  </si>
  <si>
    <t>Egyéb szolgáltatások (szállítás, szemétszállítás, stb.)</t>
  </si>
  <si>
    <t>066020 Város- és községgazdálkodási egyéb szolgáltatások</t>
  </si>
  <si>
    <t>POLGÁRMESTERI HIVATAL</t>
  </si>
  <si>
    <r>
      <t xml:space="preserve">NAGYSZÉNÁS NAGYKÖZSÉG ÖNKORMÁNYZATA ÖSSZESEN:      (polgármester, 14 fő MT szerinti alkalmazott, 2 fő alkalmazozott 4 hónapra,   38  </t>
    </r>
    <r>
      <rPr>
        <b/>
        <u/>
        <sz val="8"/>
        <rFont val="Arial CE"/>
        <charset val="238"/>
      </rPr>
      <t>fő közcélú fogl. időszakosan</t>
    </r>
    <r>
      <rPr>
        <b/>
        <u/>
        <sz val="8"/>
        <rFont val="Arial CE"/>
        <family val="2"/>
        <charset val="238"/>
      </rPr>
      <t>)</t>
    </r>
  </si>
  <si>
    <t>PÉNZESZKÖZ ÁTADÁS, EGYÉB TÁMOGATÁS:</t>
  </si>
  <si>
    <t>Kiküldetési költségek</t>
  </si>
  <si>
    <t>Kamat és kezelési költség kiadások fejlesztési hitelre</t>
  </si>
  <si>
    <t>Egyéb üzemeltetési fenntartási szolgáltatások</t>
  </si>
  <si>
    <t xml:space="preserve">Egyéb szakmai szolgáltatások </t>
  </si>
  <si>
    <t>Választott tisztségviselők juttatásai (1 fő polgármester, képviselők és bizottsági tagok)</t>
  </si>
  <si>
    <t>Reklám és propaganda célú kiadások</t>
  </si>
  <si>
    <t>Egyéb üzemeltetési szolgáltatások (szállítás, szemétszállítás, számlavezetés)</t>
  </si>
  <si>
    <t>Munkaruha beszerzés</t>
  </si>
  <si>
    <t>Hajtó és kenőanayagok</t>
  </si>
  <si>
    <t>Készenléti és túlóra díj, helyettesítés</t>
  </si>
  <si>
    <t>Törvény szerinti illetmények (14 fő + 2 fő szezonális alk.)</t>
  </si>
  <si>
    <t>081061 Szabadidős park, fürdő és strandszolgáltatás (termálhő szolgáltatása)</t>
  </si>
  <si>
    <t>Egyéb dologi kiadások (cégautóadó, különféle díjak)</t>
  </si>
  <si>
    <t xml:space="preserve">Egyéb üzemeltetési és fenntartási szolgáltatások </t>
  </si>
  <si>
    <t xml:space="preserve">Önkormányzati földterületek művelési költsége </t>
  </si>
  <si>
    <t>Egyéb üzemeltetési anyag (vetőmag, műtrágya, vegyszerek, egyéb)</t>
  </si>
  <si>
    <t>Megbízási díj</t>
  </si>
  <si>
    <t xml:space="preserve">066020 Város-, és községgazdálkodási egyéb szolgáltatások </t>
  </si>
  <si>
    <t>Önként vállalt önkormányzati feladatok</t>
  </si>
  <si>
    <t>104037 Intézményen kívüli gyermekétkeztetés</t>
  </si>
  <si>
    <t>Hajtó és kenőanyag beszerzés</t>
  </si>
  <si>
    <t>Védőital beszerzés</t>
  </si>
  <si>
    <r>
      <t xml:space="preserve">Törvény szerinti illetmények </t>
    </r>
    <r>
      <rPr>
        <sz val="10"/>
        <rFont val="Arial"/>
        <family val="2"/>
        <charset val="238"/>
      </rPr>
      <t>(30 fő időszakosan)</t>
    </r>
  </si>
  <si>
    <t>041237  Startmunka program</t>
  </si>
  <si>
    <r>
      <t xml:space="preserve">Törvény szerinti illetmények  </t>
    </r>
    <r>
      <rPr>
        <sz val="10"/>
        <rFont val="Arial"/>
        <family val="2"/>
        <charset val="238"/>
      </rPr>
      <t xml:space="preserve"> (8 fő  időszakosan)</t>
    </r>
  </si>
  <si>
    <t>041233  Hosszabb időtartamú közfoglalkoztatás</t>
  </si>
  <si>
    <t>072311 Fogorvosi alapellátás</t>
  </si>
  <si>
    <t>Egyéb dologi kiadások (felelősségbiztosítás díja)</t>
  </si>
  <si>
    <t>072111 Házi orvosi alapellátás</t>
  </si>
  <si>
    <t>064010 Közvilágítás</t>
  </si>
  <si>
    <t>NAGYSZÉNÁS NAGYKÖZSÉG ÖNKORMÁNYZATA</t>
  </si>
  <si>
    <t>2018. évi működési kiadások (adatok Ft-ban)</t>
  </si>
  <si>
    <t>"5. melléklet az 1/2018. (II.21.)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</si>
</sst>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#,##0.00&quot;     &quot;;\-#,##0.00&quot;     &quot;;&quot; -&quot;#&quot;     &quot;;@\ 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b/>
      <i/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10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2" fillId="0" borderId="0"/>
    <xf numFmtId="0" fontId="17" fillId="0" borderId="0"/>
  </cellStyleXfs>
  <cellXfs count="77">
    <xf numFmtId="0" fontId="0" fillId="0" borderId="0" xfId="0"/>
    <xf numFmtId="0" fontId="1" fillId="0" borderId="0" xfId="0" applyFont="1"/>
    <xf numFmtId="0" fontId="0" fillId="0" borderId="0" xfId="0" applyFont="1"/>
    <xf numFmtId="3" fontId="3" fillId="0" borderId="0" xfId="2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4" fillId="0" borderId="0" xfId="0" applyFont="1"/>
    <xf numFmtId="3" fontId="5" fillId="0" borderId="0" xfId="2" applyNumberFormat="1" applyFont="1" applyFill="1" applyBorder="1" applyAlignment="1">
      <alignment horizontal="right"/>
    </xf>
    <xf numFmtId="0" fontId="5" fillId="0" borderId="0" xfId="2" applyFont="1" applyBorder="1"/>
    <xf numFmtId="0" fontId="6" fillId="0" borderId="0" xfId="0" applyFont="1" applyFill="1" applyBorder="1" applyAlignment="1"/>
    <xf numFmtId="3" fontId="7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3" fontId="8" fillId="0" borderId="0" xfId="0" applyNumberFormat="1" applyFont="1" applyBorder="1" applyAlignment="1">
      <alignment horizontal="right"/>
    </xf>
    <xf numFmtId="0" fontId="9" fillId="0" borderId="0" xfId="0" applyFont="1" applyBorder="1"/>
    <xf numFmtId="0" fontId="7" fillId="0" borderId="0" xfId="0" applyFont="1" applyBorder="1"/>
    <xf numFmtId="3" fontId="9" fillId="0" borderId="0" xfId="0" applyNumberFormat="1" applyFont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0" fontId="4" fillId="0" borderId="0" xfId="0" applyFont="1" applyBorder="1"/>
    <xf numFmtId="0" fontId="9" fillId="0" borderId="0" xfId="0" applyFont="1"/>
    <xf numFmtId="0" fontId="8" fillId="0" borderId="0" xfId="0" applyFont="1"/>
    <xf numFmtId="0" fontId="8" fillId="0" borderId="0" xfId="0" applyFont="1" applyBorder="1"/>
    <xf numFmtId="3" fontId="5" fillId="0" borderId="0" xfId="2" applyNumberFormat="1" applyFont="1" applyFill="1" applyBorder="1"/>
    <xf numFmtId="3" fontId="3" fillId="0" borderId="0" xfId="2" applyNumberFormat="1" applyFont="1" applyFill="1" applyBorder="1"/>
    <xf numFmtId="3" fontId="4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3" fontId="3" fillId="0" borderId="0" xfId="0" applyNumberFormat="1" applyFont="1"/>
    <xf numFmtId="0" fontId="0" fillId="0" borderId="0" xfId="0" applyFont="1" applyBorder="1" applyAlignment="1"/>
    <xf numFmtId="0" fontId="7" fillId="0" borderId="0" xfId="0" applyFont="1" applyFill="1" applyBorder="1" applyAlignment="1">
      <alignment horizontal="center" wrapText="1"/>
    </xf>
    <xf numFmtId="0" fontId="11" fillId="0" borderId="0" xfId="2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center"/>
    </xf>
    <xf numFmtId="3" fontId="3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12" fillId="0" borderId="0" xfId="1" applyNumberFormat="1" applyFont="1" applyAlignment="1">
      <alignment horizontal="right"/>
    </xf>
    <xf numFmtId="4" fontId="9" fillId="0" borderId="0" xfId="0" applyNumberFormat="1" applyFont="1"/>
    <xf numFmtId="3" fontId="9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Fill="1" applyBorder="1" applyAlignment="1">
      <alignment wrapText="1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9" fillId="0" borderId="0" xfId="0" applyFont="1" applyFill="1" applyBorder="1"/>
    <xf numFmtId="3" fontId="5" fillId="0" borderId="0" xfId="0" applyNumberFormat="1" applyFont="1"/>
    <xf numFmtId="0" fontId="3" fillId="0" borderId="0" xfId="0" applyFont="1"/>
    <xf numFmtId="0" fontId="6" fillId="0" borderId="0" xfId="0" applyFont="1" applyBorder="1" applyAlignment="1"/>
    <xf numFmtId="0" fontId="9" fillId="0" borderId="0" xfId="0" applyFont="1" applyFill="1" applyBorder="1" applyAlignment="1"/>
    <xf numFmtId="0" fontId="11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0" fillId="0" borderId="1" xfId="0" applyFont="1" applyBorder="1" applyAlignment="1"/>
    <xf numFmtId="0" fontId="4" fillId="3" borderId="2" xfId="0" applyFont="1" applyFill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16" fillId="0" borderId="0" xfId="0" applyFont="1" applyFill="1" applyBorder="1" applyAlignment="1">
      <alignment horizontal="center"/>
    </xf>
    <xf numFmtId="0" fontId="0" fillId="0" borderId="0" xfId="0" applyFont="1" applyAlignment="1"/>
    <xf numFmtId="0" fontId="4" fillId="3" borderId="1" xfId="0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8" fillId="0" borderId="0" xfId="3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4">
    <cellStyle name="Ezres" xfId="1" builtinId="3"/>
    <cellStyle name="Normál" xfId="0" builtinId="0"/>
    <cellStyle name="Normál_ktgvetés2007_végleges" xfId="3"/>
    <cellStyle name="Normál_mellékletek testületnek-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jus22/005_2018.%20&#233;vi%20k&#246;lts&#233;gvet&#233;s-m&#243;dos&#237;t&#225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%20&#233;vi%20k&#246;lts&#233;gvet&#233;s/2018.%20&#233;vi%20k&#246;lts&#233;gvet&#233;s/2018%20&#233;vi%20%20B&#201;R%20k&#246;lts&#233;gvet&#233;s-szinkroniz&#225;l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4_ melléklet"/>
      <sheetName val="kisértékű"/>
    </sheetNames>
    <sheetDataSet>
      <sheetData sheetId="0"/>
      <sheetData sheetId="1">
        <row r="7">
          <cell r="B7">
            <v>87256949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 041237"/>
      <sheetName val="Hosszú közfogl  041233"/>
      <sheetName val="VKG 066020"/>
      <sheetName val="072111 Házi o alapellát"/>
      <sheetName val="Önk 011130"/>
      <sheetName val="ParkFürdő 081061"/>
      <sheetName val="011130 Polg Hiv"/>
      <sheetName val="104031 Polgármesteri Hivatal"/>
      <sheetName val="041233 Hosszú HIVATAL"/>
      <sheetName val="013360 Iskola működtetés"/>
      <sheetName val="074031 Védőnők"/>
      <sheetName val="074032 Ifjúság eü"/>
      <sheetName val="102030 Idősek nappali ellátása"/>
      <sheetName val="107051 Szoc. étk"/>
      <sheetName val="GINOP Vincze Edina"/>
      <sheetName val="107052 HSNY"/>
      <sheetName val="104042 Családsegítők"/>
      <sheetName val="104031 Gyermekek napk ellát"/>
      <sheetName val="041233 Gond HOSSZÚ KÖZFOGL"/>
      <sheetName val="Megvált MK"/>
      <sheetName val="Óvoda 041233 Hosszú közfogl"/>
      <sheetName val="091110 Óvodai nevelés"/>
      <sheetName val="091140 Óvoda műk"/>
      <sheetName val="082042 Könyvtár"/>
      <sheetName val="ÖSSZESÍT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">
          <cell r="C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_melléklet"/>
    </sheetNames>
    <sheetDataSet>
      <sheetData sheetId="0">
        <row r="64">
          <cell r="B64">
            <v>1200000</v>
          </cell>
        </row>
        <row r="70">
          <cell r="B70">
            <v>100000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4"/>
  <sheetViews>
    <sheetView tabSelected="1" workbookViewId="0">
      <selection activeCell="G8" sqref="G8"/>
    </sheetView>
  </sheetViews>
  <sheetFormatPr defaultRowHeight="12.75" x14ac:dyDescent="0.2"/>
  <cols>
    <col min="1" max="1" width="68" customWidth="1"/>
    <col min="2" max="2" width="17.5703125" customWidth="1"/>
    <col min="3" max="3" width="2" customWidth="1"/>
  </cols>
  <sheetData>
    <row r="1" spans="1:2" x14ac:dyDescent="0.2">
      <c r="A1" s="71"/>
      <c r="B1" s="71"/>
    </row>
    <row r="2" spans="1:2" x14ac:dyDescent="0.2">
      <c r="A2" s="73" t="s">
        <v>141</v>
      </c>
      <c r="B2" s="74"/>
    </row>
    <row r="3" spans="1:2" x14ac:dyDescent="0.2">
      <c r="A3" s="2"/>
      <c r="B3" s="2"/>
    </row>
    <row r="4" spans="1:2" x14ac:dyDescent="0.2">
      <c r="A4" s="72" t="s">
        <v>140</v>
      </c>
      <c r="B4" s="72"/>
    </row>
    <row r="5" spans="1:2" x14ac:dyDescent="0.2">
      <c r="A5" s="2"/>
      <c r="B5" s="2"/>
    </row>
    <row r="6" spans="1:2" x14ac:dyDescent="0.2">
      <c r="A6" s="72" t="s">
        <v>139</v>
      </c>
      <c r="B6" s="72"/>
    </row>
    <row r="7" spans="1:2" x14ac:dyDescent="0.2">
      <c r="A7" s="52"/>
      <c r="B7" s="2"/>
    </row>
    <row r="8" spans="1:2" x14ac:dyDescent="0.2">
      <c r="A8" s="63" t="s">
        <v>53</v>
      </c>
      <c r="B8" s="63"/>
    </row>
    <row r="9" spans="1:2" x14ac:dyDescent="0.2">
      <c r="A9" s="41"/>
      <c r="B9" s="2"/>
    </row>
    <row r="10" spans="1:2" x14ac:dyDescent="0.2">
      <c r="A10" s="53" t="s">
        <v>138</v>
      </c>
      <c r="B10" s="54"/>
    </row>
    <row r="11" spans="1:2" x14ac:dyDescent="0.2">
      <c r="A11" s="51"/>
      <c r="B11" s="34"/>
    </row>
    <row r="12" spans="1:2" x14ac:dyDescent="0.2">
      <c r="A12" s="13" t="s">
        <v>15</v>
      </c>
      <c r="B12" s="15">
        <f>8250000-650000</f>
        <v>7600000</v>
      </c>
    </row>
    <row r="13" spans="1:2" x14ac:dyDescent="0.2">
      <c r="A13" s="13" t="s">
        <v>8</v>
      </c>
      <c r="B13" s="15">
        <f>B12*0.27</f>
        <v>2052000.0000000002</v>
      </c>
    </row>
    <row r="14" spans="1:2" x14ac:dyDescent="0.2">
      <c r="A14" s="14" t="s">
        <v>13</v>
      </c>
      <c r="B14" s="26">
        <f>SUM(B12:B13)</f>
        <v>9652000</v>
      </c>
    </row>
    <row r="15" spans="1:2" x14ac:dyDescent="0.2">
      <c r="A15" s="50"/>
      <c r="B15" s="26">
        <f>SUM(B14)</f>
        <v>9652000</v>
      </c>
    </row>
    <row r="16" spans="1:2" x14ac:dyDescent="0.2">
      <c r="A16" s="5" t="s">
        <v>6</v>
      </c>
      <c r="B16" s="26">
        <f>+B15</f>
        <v>9652000</v>
      </c>
    </row>
    <row r="17" spans="1:2" x14ac:dyDescent="0.2">
      <c r="A17" s="9" t="s">
        <v>5</v>
      </c>
      <c r="B17" s="26">
        <f>+B16</f>
        <v>9652000</v>
      </c>
    </row>
    <row r="18" spans="1:2" x14ac:dyDescent="0.2">
      <c r="A18" s="9"/>
      <c r="B18" s="26"/>
    </row>
    <row r="19" spans="1:2" x14ac:dyDescent="0.2">
      <c r="A19" s="53" t="s">
        <v>137</v>
      </c>
      <c r="B19" s="54"/>
    </row>
    <row r="20" spans="1:2" x14ac:dyDescent="0.2">
      <c r="A20" s="35"/>
      <c r="B20" s="32"/>
    </row>
    <row r="21" spans="1:2" x14ac:dyDescent="0.2">
      <c r="A21" s="22" t="s">
        <v>38</v>
      </c>
      <c r="B21" s="19">
        <f>823900+310000</f>
        <v>1133900</v>
      </c>
    </row>
    <row r="22" spans="1:2" x14ac:dyDescent="0.2">
      <c r="A22" s="6" t="s">
        <v>4</v>
      </c>
      <c r="B22" s="33">
        <f>SUM(B21)</f>
        <v>1133900</v>
      </c>
    </row>
    <row r="23" spans="1:2" x14ac:dyDescent="0.2">
      <c r="A23" s="6"/>
      <c r="B23" s="33"/>
    </row>
    <row r="24" spans="1:2" x14ac:dyDescent="0.2">
      <c r="A24" s="21" t="s">
        <v>28</v>
      </c>
      <c r="B24" s="19">
        <f>146122+60450</f>
        <v>206572</v>
      </c>
    </row>
    <row r="25" spans="1:2" x14ac:dyDescent="0.2">
      <c r="A25" s="6" t="s">
        <v>3</v>
      </c>
      <c r="B25" s="33">
        <f>SUM(B24)</f>
        <v>206572</v>
      </c>
    </row>
    <row r="26" spans="1:2" x14ac:dyDescent="0.2">
      <c r="A26" s="51"/>
      <c r="B26" s="19"/>
    </row>
    <row r="27" spans="1:2" x14ac:dyDescent="0.2">
      <c r="A27" s="22" t="s">
        <v>35</v>
      </c>
      <c r="B27" s="19">
        <v>20000</v>
      </c>
    </row>
    <row r="28" spans="1:2" x14ac:dyDescent="0.2">
      <c r="A28" s="13" t="s">
        <v>24</v>
      </c>
      <c r="B28" s="19">
        <v>20000</v>
      </c>
    </row>
    <row r="29" spans="1:2" x14ac:dyDescent="0.2">
      <c r="A29" s="13" t="s">
        <v>22</v>
      </c>
      <c r="B29" s="19">
        <v>10000</v>
      </c>
    </row>
    <row r="30" spans="1:2" x14ac:dyDescent="0.2">
      <c r="A30" s="13" t="s">
        <v>20</v>
      </c>
      <c r="B30" s="19">
        <v>80000</v>
      </c>
    </row>
    <row r="31" spans="1:2" x14ac:dyDescent="0.2">
      <c r="A31" s="11" t="s">
        <v>23</v>
      </c>
      <c r="B31" s="33">
        <f>SUM(B27:B30)</f>
        <v>130000</v>
      </c>
    </row>
    <row r="32" spans="1:2" x14ac:dyDescent="0.2">
      <c r="A32" s="27" t="s">
        <v>43</v>
      </c>
      <c r="B32" s="19">
        <v>50000</v>
      </c>
    </row>
    <row r="33" spans="1:2" x14ac:dyDescent="0.2">
      <c r="A33" s="14" t="s">
        <v>17</v>
      </c>
      <c r="B33" s="33">
        <f>SUM(B32:B32)</f>
        <v>50000</v>
      </c>
    </row>
    <row r="34" spans="1:2" x14ac:dyDescent="0.2">
      <c r="A34" s="13" t="s">
        <v>16</v>
      </c>
      <c r="B34" s="19">
        <v>300000</v>
      </c>
    </row>
    <row r="35" spans="1:2" x14ac:dyDescent="0.2">
      <c r="A35" s="13" t="s">
        <v>15</v>
      </c>
      <c r="B35" s="19">
        <v>260000</v>
      </c>
    </row>
    <row r="36" spans="1:2" x14ac:dyDescent="0.2">
      <c r="A36" s="13" t="s">
        <v>14</v>
      </c>
      <c r="B36" s="19">
        <v>150000</v>
      </c>
    </row>
    <row r="37" spans="1:2" x14ac:dyDescent="0.2">
      <c r="A37" s="14" t="s">
        <v>13</v>
      </c>
      <c r="B37" s="33">
        <f>SUM(B34:B36)</f>
        <v>710000</v>
      </c>
    </row>
    <row r="38" spans="1:2" x14ac:dyDescent="0.2">
      <c r="A38" s="13" t="s">
        <v>12</v>
      </c>
      <c r="B38" s="19">
        <v>50000</v>
      </c>
    </row>
    <row r="39" spans="1:2" x14ac:dyDescent="0.2">
      <c r="A39" s="13" t="s">
        <v>33</v>
      </c>
      <c r="B39" s="19">
        <f>5525000+266400+4010000</f>
        <v>9801400</v>
      </c>
    </row>
    <row r="40" spans="1:2" x14ac:dyDescent="0.2">
      <c r="A40" s="13" t="s">
        <v>10</v>
      </c>
      <c r="B40" s="19">
        <v>20000</v>
      </c>
    </row>
    <row r="41" spans="1:2" x14ac:dyDescent="0.2">
      <c r="A41" s="14" t="s">
        <v>9</v>
      </c>
      <c r="B41" s="10">
        <f>SUM(B38:B40)</f>
        <v>9871400</v>
      </c>
    </row>
    <row r="42" spans="1:2" x14ac:dyDescent="0.2">
      <c r="A42" s="13" t="s">
        <v>136</v>
      </c>
      <c r="B42" s="12">
        <v>70000</v>
      </c>
    </row>
    <row r="43" spans="1:2" x14ac:dyDescent="0.2">
      <c r="A43" s="13" t="s">
        <v>8</v>
      </c>
      <c r="B43" s="12">
        <f>(B27+B28+B32+B34+B35+B38+B40+B36+B29+B30)*0.27</f>
        <v>259200.00000000003</v>
      </c>
    </row>
    <row r="44" spans="1:2" x14ac:dyDescent="0.2">
      <c r="A44" s="11" t="s">
        <v>7</v>
      </c>
      <c r="B44" s="10">
        <f>SUM(B42:B43)</f>
        <v>329200</v>
      </c>
    </row>
    <row r="45" spans="1:2" x14ac:dyDescent="0.2">
      <c r="A45" s="11"/>
      <c r="B45" s="12"/>
    </row>
    <row r="46" spans="1:2" x14ac:dyDescent="0.2">
      <c r="A46" s="5" t="s">
        <v>6</v>
      </c>
      <c r="B46" s="10">
        <f>B31+B33+B37+B41+B44</f>
        <v>11090600</v>
      </c>
    </row>
    <row r="47" spans="1:2" x14ac:dyDescent="0.2">
      <c r="A47" s="9" t="s">
        <v>5</v>
      </c>
      <c r="B47" s="10">
        <f>B22+B25+B46</f>
        <v>12431072</v>
      </c>
    </row>
    <row r="48" spans="1:2" x14ac:dyDescent="0.2">
      <c r="A48" s="5"/>
      <c r="B48" s="26"/>
    </row>
    <row r="49" spans="1:2" x14ac:dyDescent="0.2">
      <c r="A49" s="65" t="s">
        <v>135</v>
      </c>
      <c r="B49" s="54"/>
    </row>
    <row r="50" spans="1:2" x14ac:dyDescent="0.2">
      <c r="A50" s="9"/>
      <c r="B50" s="26"/>
    </row>
    <row r="51" spans="1:2" x14ac:dyDescent="0.2">
      <c r="A51" s="13" t="s">
        <v>16</v>
      </c>
      <c r="B51" s="19">
        <v>100000</v>
      </c>
    </row>
    <row r="52" spans="1:2" x14ac:dyDescent="0.2">
      <c r="A52" s="13" t="s">
        <v>15</v>
      </c>
      <c r="B52" s="19">
        <v>65000</v>
      </c>
    </row>
    <row r="53" spans="1:2" x14ac:dyDescent="0.2">
      <c r="A53" s="13" t="s">
        <v>14</v>
      </c>
      <c r="B53" s="19">
        <v>25000</v>
      </c>
    </row>
    <row r="54" spans="1:2" x14ac:dyDescent="0.2">
      <c r="A54" s="14" t="s">
        <v>13</v>
      </c>
      <c r="B54" s="33">
        <f>SUM(B51:B53)</f>
        <v>190000</v>
      </c>
    </row>
    <row r="55" spans="1:2" x14ac:dyDescent="0.2">
      <c r="A55" s="13" t="s">
        <v>12</v>
      </c>
      <c r="B55" s="19">
        <v>20000</v>
      </c>
    </row>
    <row r="56" spans="1:2" x14ac:dyDescent="0.2">
      <c r="A56" s="13" t="s">
        <v>10</v>
      </c>
      <c r="B56" s="19">
        <v>10000</v>
      </c>
    </row>
    <row r="57" spans="1:2" x14ac:dyDescent="0.2">
      <c r="A57" s="14" t="s">
        <v>9</v>
      </c>
      <c r="B57" s="10">
        <f>SUM(B55:B56)</f>
        <v>30000</v>
      </c>
    </row>
    <row r="58" spans="1:2" x14ac:dyDescent="0.2">
      <c r="A58" s="13" t="s">
        <v>8</v>
      </c>
      <c r="B58" s="12">
        <f>(B51+B52+B53+B55+B56)*0.27</f>
        <v>59400.000000000007</v>
      </c>
    </row>
    <row r="59" spans="1:2" x14ac:dyDescent="0.2">
      <c r="A59" s="11" t="s">
        <v>7</v>
      </c>
      <c r="B59" s="10">
        <f>SUM(B58:B58)</f>
        <v>59400.000000000007</v>
      </c>
    </row>
    <row r="60" spans="1:2" x14ac:dyDescent="0.2">
      <c r="A60" s="11"/>
      <c r="B60" s="12"/>
    </row>
    <row r="61" spans="1:2" x14ac:dyDescent="0.2">
      <c r="A61" s="5" t="s">
        <v>6</v>
      </c>
      <c r="B61" s="10">
        <f>+B54+B57+B59</f>
        <v>279400</v>
      </c>
    </row>
    <row r="62" spans="1:2" x14ac:dyDescent="0.2">
      <c r="A62" s="5"/>
      <c r="B62" s="10"/>
    </row>
    <row r="63" spans="1:2" x14ac:dyDescent="0.2">
      <c r="A63" s="9" t="s">
        <v>5</v>
      </c>
      <c r="B63" s="10">
        <f>B61</f>
        <v>279400</v>
      </c>
    </row>
    <row r="64" spans="1:2" x14ac:dyDescent="0.2">
      <c r="A64" s="9"/>
      <c r="B64" s="10"/>
    </row>
    <row r="65" spans="1:2" x14ac:dyDescent="0.2">
      <c r="A65" s="62" t="s">
        <v>134</v>
      </c>
      <c r="B65" s="54"/>
    </row>
    <row r="66" spans="1:2" x14ac:dyDescent="0.2">
      <c r="A66" s="30"/>
      <c r="B66" s="29"/>
    </row>
    <row r="67" spans="1:2" x14ac:dyDescent="0.2">
      <c r="A67" s="21" t="s">
        <v>133</v>
      </c>
      <c r="B67" s="12">
        <v>5734277</v>
      </c>
    </row>
    <row r="68" spans="1:2" x14ac:dyDescent="0.2">
      <c r="A68" s="6" t="s">
        <v>4</v>
      </c>
      <c r="B68" s="10">
        <f>SUM(B67)</f>
        <v>5734277</v>
      </c>
    </row>
    <row r="69" spans="1:2" x14ac:dyDescent="0.2">
      <c r="A69" s="6"/>
      <c r="B69" s="10"/>
    </row>
    <row r="70" spans="1:2" x14ac:dyDescent="0.2">
      <c r="A70" s="21" t="s">
        <v>28</v>
      </c>
      <c r="B70" s="12">
        <v>563508</v>
      </c>
    </row>
    <row r="71" spans="1:2" x14ac:dyDescent="0.2">
      <c r="A71" s="21" t="s">
        <v>27</v>
      </c>
      <c r="B71" s="12">
        <v>10000</v>
      </c>
    </row>
    <row r="72" spans="1:2" x14ac:dyDescent="0.2">
      <c r="A72" s="6" t="s">
        <v>3</v>
      </c>
      <c r="B72" s="10">
        <f>SUM(B70:B71)</f>
        <v>573508</v>
      </c>
    </row>
    <row r="73" spans="1:2" x14ac:dyDescent="0.2">
      <c r="A73" s="6"/>
      <c r="B73" s="10"/>
    </row>
    <row r="74" spans="1:2" x14ac:dyDescent="0.2">
      <c r="A74" s="9" t="s">
        <v>5</v>
      </c>
      <c r="B74" s="10">
        <f>B68+B72</f>
        <v>6307785</v>
      </c>
    </row>
    <row r="75" spans="1:2" x14ac:dyDescent="0.2">
      <c r="A75" s="9"/>
      <c r="B75" s="10"/>
    </row>
    <row r="76" spans="1:2" x14ac:dyDescent="0.2">
      <c r="A76" s="9"/>
      <c r="B76" s="10"/>
    </row>
    <row r="77" spans="1:2" x14ac:dyDescent="0.2">
      <c r="A77" s="62" t="s">
        <v>132</v>
      </c>
      <c r="B77" s="54"/>
    </row>
    <row r="78" spans="1:2" x14ac:dyDescent="0.2">
      <c r="A78" s="30"/>
      <c r="B78" s="29"/>
    </row>
    <row r="79" spans="1:2" x14ac:dyDescent="0.2">
      <c r="A79" s="21" t="s">
        <v>131</v>
      </c>
      <c r="B79" s="12">
        <f>7638000+11778426+11231775</f>
        <v>30648201</v>
      </c>
    </row>
    <row r="80" spans="1:2" x14ac:dyDescent="0.2">
      <c r="A80" s="6" t="s">
        <v>4</v>
      </c>
      <c r="B80" s="10">
        <f>SUM(B79:B79)</f>
        <v>30648201</v>
      </c>
    </row>
    <row r="81" spans="1:2" x14ac:dyDescent="0.2">
      <c r="A81" s="6"/>
      <c r="B81" s="10"/>
    </row>
    <row r="82" spans="1:2" x14ac:dyDescent="0.2">
      <c r="A82" s="21" t="s">
        <v>28</v>
      </c>
      <c r="B82" s="12">
        <f>776530+1148382+1095075</f>
        <v>3019987</v>
      </c>
    </row>
    <row r="83" spans="1:2" x14ac:dyDescent="0.2">
      <c r="A83" s="21" t="s">
        <v>37</v>
      </c>
      <c r="B83" s="12">
        <v>50000</v>
      </c>
    </row>
    <row r="84" spans="1:2" x14ac:dyDescent="0.2">
      <c r="A84" s="6" t="s">
        <v>3</v>
      </c>
      <c r="B84" s="10">
        <f>SUM(B82:B83)</f>
        <v>3069987</v>
      </c>
    </row>
    <row r="85" spans="1:2" x14ac:dyDescent="0.2">
      <c r="A85" s="6"/>
      <c r="B85" s="10"/>
    </row>
    <row r="86" spans="1:2" x14ac:dyDescent="0.2">
      <c r="A86" s="22" t="s">
        <v>130</v>
      </c>
      <c r="B86" s="12">
        <f>110000+112750</f>
        <v>222750</v>
      </c>
    </row>
    <row r="87" spans="1:2" x14ac:dyDescent="0.2">
      <c r="A87" s="13" t="s">
        <v>116</v>
      </c>
      <c r="B87" s="12">
        <f>47691+61491</f>
        <v>109182</v>
      </c>
    </row>
    <row r="88" spans="1:2" x14ac:dyDescent="0.2">
      <c r="A88" s="13" t="s">
        <v>129</v>
      </c>
      <c r="B88" s="12">
        <v>455200</v>
      </c>
    </row>
    <row r="89" spans="1:2" x14ac:dyDescent="0.2">
      <c r="A89" s="13" t="s">
        <v>20</v>
      </c>
      <c r="B89" s="12">
        <v>1625677</v>
      </c>
    </row>
    <row r="90" spans="1:2" x14ac:dyDescent="0.2">
      <c r="A90" s="11" t="s">
        <v>19</v>
      </c>
      <c r="B90" s="10">
        <f>SUM(B86:B89)</f>
        <v>2412809</v>
      </c>
    </row>
    <row r="91" spans="1:2" x14ac:dyDescent="0.2">
      <c r="A91" s="27" t="s">
        <v>16</v>
      </c>
      <c r="B91" s="12">
        <v>160000</v>
      </c>
    </row>
    <row r="92" spans="1:2" x14ac:dyDescent="0.2">
      <c r="A92" s="13" t="s">
        <v>10</v>
      </c>
      <c r="B92" s="12">
        <v>480000</v>
      </c>
    </row>
    <row r="93" spans="1:2" x14ac:dyDescent="0.2">
      <c r="A93" s="14" t="s">
        <v>9</v>
      </c>
      <c r="B93" s="10">
        <f>SUM(B91:B92)</f>
        <v>640000</v>
      </c>
    </row>
    <row r="94" spans="1:2" x14ac:dyDescent="0.2">
      <c r="A94" s="13" t="s">
        <v>8</v>
      </c>
      <c r="B94" s="12">
        <f>12876+29700+438933+16602+30443+129600+122904+40000</f>
        <v>821058</v>
      </c>
    </row>
    <row r="95" spans="1:2" x14ac:dyDescent="0.2">
      <c r="A95" s="11" t="s">
        <v>7</v>
      </c>
      <c r="B95" s="10">
        <f>B94</f>
        <v>821058</v>
      </c>
    </row>
    <row r="96" spans="1:2" x14ac:dyDescent="0.2">
      <c r="A96" s="6"/>
      <c r="B96" s="12"/>
    </row>
    <row r="97" spans="1:2" x14ac:dyDescent="0.2">
      <c r="A97" s="5" t="s">
        <v>6</v>
      </c>
      <c r="B97" s="10">
        <f>B90+B93+B95</f>
        <v>3873867</v>
      </c>
    </row>
    <row r="98" spans="1:2" x14ac:dyDescent="0.2">
      <c r="A98" s="5"/>
      <c r="B98" s="12"/>
    </row>
    <row r="99" spans="1:2" x14ac:dyDescent="0.2">
      <c r="A99" s="9" t="s">
        <v>5</v>
      </c>
      <c r="B99" s="10">
        <f>B84+B80</f>
        <v>33718188</v>
      </c>
    </row>
    <row r="100" spans="1:2" x14ac:dyDescent="0.2">
      <c r="A100" s="9"/>
      <c r="B100" s="10"/>
    </row>
    <row r="101" spans="1:2" x14ac:dyDescent="0.2">
      <c r="A101" s="53" t="s">
        <v>128</v>
      </c>
      <c r="B101" s="59"/>
    </row>
    <row r="102" spans="1:2" x14ac:dyDescent="0.2">
      <c r="A102" s="9"/>
      <c r="B102" s="26"/>
    </row>
    <row r="103" spans="1:2" x14ac:dyDescent="0.2">
      <c r="A103" s="23" t="s">
        <v>49</v>
      </c>
      <c r="B103" s="15">
        <f>1850000-250000</f>
        <v>1600000</v>
      </c>
    </row>
    <row r="104" spans="1:2" x14ac:dyDescent="0.2">
      <c r="A104" s="14" t="s">
        <v>9</v>
      </c>
      <c r="B104" s="26">
        <f>SUM(B100:B103)</f>
        <v>1600000</v>
      </c>
    </row>
    <row r="105" spans="1:2" x14ac:dyDescent="0.2">
      <c r="A105" s="13" t="s">
        <v>8</v>
      </c>
      <c r="B105" s="15">
        <f>(B103)*0.27</f>
        <v>432000</v>
      </c>
    </row>
    <row r="106" spans="1:2" x14ac:dyDescent="0.2">
      <c r="A106" s="11" t="s">
        <v>7</v>
      </c>
      <c r="B106" s="26">
        <f>SUM(B105:B105)</f>
        <v>432000</v>
      </c>
    </row>
    <row r="107" spans="1:2" x14ac:dyDescent="0.2">
      <c r="A107" s="11"/>
      <c r="B107" s="15"/>
    </row>
    <row r="108" spans="1:2" x14ac:dyDescent="0.2">
      <c r="A108" s="5" t="s">
        <v>6</v>
      </c>
      <c r="B108" s="26">
        <f>B106+B104</f>
        <v>2032000</v>
      </c>
    </row>
    <row r="109" spans="1:2" x14ac:dyDescent="0.2">
      <c r="A109" s="5"/>
      <c r="B109" s="26"/>
    </row>
    <row r="110" spans="1:2" x14ac:dyDescent="0.2">
      <c r="A110" s="9" t="s">
        <v>5</v>
      </c>
      <c r="B110" s="26">
        <f>B108</f>
        <v>2032000</v>
      </c>
    </row>
    <row r="111" spans="1:2" x14ac:dyDescent="0.2">
      <c r="A111" s="9"/>
      <c r="B111" s="10"/>
    </row>
    <row r="112" spans="1:2" x14ac:dyDescent="0.2">
      <c r="A112" s="9"/>
      <c r="B112" s="10"/>
    </row>
    <row r="113" spans="1:2" x14ac:dyDescent="0.2">
      <c r="A113" s="64" t="s">
        <v>127</v>
      </c>
      <c r="B113" s="64"/>
    </row>
    <row r="114" spans="1:2" x14ac:dyDescent="0.2">
      <c r="A114" s="9"/>
      <c r="B114" s="10"/>
    </row>
    <row r="115" spans="1:2" x14ac:dyDescent="0.2">
      <c r="A115" s="53" t="s">
        <v>126</v>
      </c>
      <c r="B115" s="54"/>
    </row>
    <row r="116" spans="1:2" x14ac:dyDescent="0.2">
      <c r="A116" s="22" t="s">
        <v>125</v>
      </c>
      <c r="B116" s="19">
        <v>1620000</v>
      </c>
    </row>
    <row r="117" spans="1:2" x14ac:dyDescent="0.2">
      <c r="A117" s="6" t="s">
        <v>4</v>
      </c>
      <c r="B117" s="33">
        <f>SUM(B116:B116)</f>
        <v>1620000</v>
      </c>
    </row>
    <row r="118" spans="1:2" x14ac:dyDescent="0.2">
      <c r="A118" s="6"/>
      <c r="B118" s="33"/>
    </row>
    <row r="119" spans="1:2" x14ac:dyDescent="0.2">
      <c r="A119" s="21" t="s">
        <v>28</v>
      </c>
      <c r="B119" s="19">
        <v>287348</v>
      </c>
    </row>
    <row r="120" spans="1:2" x14ac:dyDescent="0.2">
      <c r="A120" s="6" t="s">
        <v>3</v>
      </c>
      <c r="B120" s="33">
        <f>SUM(B119:B119)</f>
        <v>287348</v>
      </c>
    </row>
    <row r="121" spans="1:2" x14ac:dyDescent="0.2">
      <c r="A121" s="6"/>
      <c r="B121" s="33"/>
    </row>
    <row r="122" spans="1:2" x14ac:dyDescent="0.2">
      <c r="A122" s="22" t="s">
        <v>124</v>
      </c>
      <c r="B122" s="19">
        <f>5000000-100000</f>
        <v>4900000</v>
      </c>
    </row>
    <row r="123" spans="1:2" x14ac:dyDescent="0.2">
      <c r="A123" s="27" t="s">
        <v>123</v>
      </c>
      <c r="B123" s="19">
        <v>4700000</v>
      </c>
    </row>
    <row r="124" spans="1:2" x14ac:dyDescent="0.2">
      <c r="A124" s="27" t="s">
        <v>12</v>
      </c>
      <c r="B124" s="19">
        <v>150000</v>
      </c>
    </row>
    <row r="125" spans="1:2" x14ac:dyDescent="0.2">
      <c r="A125" s="13" t="s">
        <v>122</v>
      </c>
      <c r="B125" s="19">
        <v>400000</v>
      </c>
    </row>
    <row r="126" spans="1:2" x14ac:dyDescent="0.2">
      <c r="A126" s="14" t="s">
        <v>9</v>
      </c>
      <c r="B126" s="33">
        <f>SUM(B122:B125)</f>
        <v>10150000</v>
      </c>
    </row>
    <row r="127" spans="1:2" x14ac:dyDescent="0.2">
      <c r="A127" s="13" t="s">
        <v>8</v>
      </c>
      <c r="B127" s="19">
        <f>(+B125+B123+B124+B122)*0.27</f>
        <v>2740500</v>
      </c>
    </row>
    <row r="128" spans="1:2" x14ac:dyDescent="0.2">
      <c r="A128" s="13" t="s">
        <v>121</v>
      </c>
      <c r="B128" s="19">
        <v>250000</v>
      </c>
    </row>
    <row r="129" spans="1:2" x14ac:dyDescent="0.2">
      <c r="A129" s="11" t="s">
        <v>7</v>
      </c>
      <c r="B129" s="33">
        <f>SUM(B127:B128)</f>
        <v>2990500</v>
      </c>
    </row>
    <row r="130" spans="1:2" x14ac:dyDescent="0.2">
      <c r="A130" s="5" t="s">
        <v>6</v>
      </c>
      <c r="B130" s="10">
        <f>B129+B126</f>
        <v>13140500</v>
      </c>
    </row>
    <row r="131" spans="1:2" x14ac:dyDescent="0.2">
      <c r="A131" s="5"/>
      <c r="B131" s="12"/>
    </row>
    <row r="132" spans="1:2" x14ac:dyDescent="0.2">
      <c r="A132" s="9" t="s">
        <v>5</v>
      </c>
      <c r="B132" s="10">
        <f>B117+B120+B130</f>
        <v>15047848</v>
      </c>
    </row>
    <row r="133" spans="1:2" x14ac:dyDescent="0.2">
      <c r="A133" s="50"/>
      <c r="B133" s="26"/>
    </row>
    <row r="134" spans="1:2" x14ac:dyDescent="0.2">
      <c r="A134" s="55" t="s">
        <v>120</v>
      </c>
      <c r="B134" s="56"/>
    </row>
    <row r="135" spans="1:2" x14ac:dyDescent="0.2">
      <c r="A135" s="21" t="s">
        <v>119</v>
      </c>
      <c r="B135" s="34">
        <v>28212200</v>
      </c>
    </row>
    <row r="136" spans="1:2" x14ac:dyDescent="0.2">
      <c r="A136" s="22" t="s">
        <v>118</v>
      </c>
      <c r="B136" s="34">
        <v>3200000</v>
      </c>
    </row>
    <row r="137" spans="1:2" x14ac:dyDescent="0.2">
      <c r="A137" s="22" t="s">
        <v>30</v>
      </c>
      <c r="B137" s="34">
        <v>260000</v>
      </c>
    </row>
    <row r="138" spans="1:2" x14ac:dyDescent="0.2">
      <c r="A138" s="22" t="s">
        <v>39</v>
      </c>
      <c r="B138" s="34">
        <v>50000</v>
      </c>
    </row>
    <row r="139" spans="1:2" x14ac:dyDescent="0.2">
      <c r="A139" s="22" t="s">
        <v>99</v>
      </c>
      <c r="B139" s="34">
        <v>140000</v>
      </c>
    </row>
    <row r="140" spans="1:2" x14ac:dyDescent="0.2">
      <c r="A140" s="22" t="s">
        <v>38</v>
      </c>
      <c r="B140" s="34">
        <v>550000</v>
      </c>
    </row>
    <row r="141" spans="1:2" x14ac:dyDescent="0.2">
      <c r="A141" s="6" t="s">
        <v>4</v>
      </c>
      <c r="B141" s="32">
        <f>SUM(B135:B140)</f>
        <v>32412200</v>
      </c>
    </row>
    <row r="142" spans="1:2" x14ac:dyDescent="0.2">
      <c r="A142" s="6"/>
      <c r="B142" s="32"/>
    </row>
    <row r="143" spans="1:2" x14ac:dyDescent="0.2">
      <c r="A143" s="21" t="s">
        <v>28</v>
      </c>
      <c r="B143" s="34">
        <v>6495387</v>
      </c>
    </row>
    <row r="144" spans="1:2" x14ac:dyDescent="0.2">
      <c r="A144" s="21" t="s">
        <v>37</v>
      </c>
      <c r="B144" s="34">
        <v>59826</v>
      </c>
    </row>
    <row r="145" spans="1:2" x14ac:dyDescent="0.2">
      <c r="A145" s="21" t="s">
        <v>45</v>
      </c>
      <c r="B145" s="34">
        <v>20000</v>
      </c>
    </row>
    <row r="146" spans="1:2" x14ac:dyDescent="0.2">
      <c r="A146" s="21" t="s">
        <v>44</v>
      </c>
      <c r="B146" s="34">
        <v>46020</v>
      </c>
    </row>
    <row r="147" spans="1:2" x14ac:dyDescent="0.2">
      <c r="A147" s="6" t="s">
        <v>3</v>
      </c>
      <c r="B147" s="32">
        <f>SUM(B143:B146)</f>
        <v>6621233</v>
      </c>
    </row>
    <row r="148" spans="1:2" x14ac:dyDescent="0.2">
      <c r="A148" s="6"/>
      <c r="B148" s="32"/>
    </row>
    <row r="149" spans="1:2" x14ac:dyDescent="0.2">
      <c r="A149" s="13" t="s">
        <v>35</v>
      </c>
      <c r="B149" s="19">
        <v>10000</v>
      </c>
    </row>
    <row r="150" spans="1:2" x14ac:dyDescent="0.2">
      <c r="A150" s="11" t="s">
        <v>23</v>
      </c>
      <c r="B150" s="10">
        <f>SUM(B149:B149)</f>
        <v>10000</v>
      </c>
    </row>
    <row r="151" spans="1:2" x14ac:dyDescent="0.2">
      <c r="A151" s="13" t="s">
        <v>22</v>
      </c>
      <c r="B151" s="12">
        <f>60000-10000</f>
        <v>50000</v>
      </c>
    </row>
    <row r="152" spans="1:2" x14ac:dyDescent="0.2">
      <c r="A152" s="13" t="s">
        <v>117</v>
      </c>
      <c r="B152" s="12">
        <v>30000</v>
      </c>
    </row>
    <row r="153" spans="1:2" x14ac:dyDescent="0.2">
      <c r="A153" s="13" t="s">
        <v>116</v>
      </c>
      <c r="B153" s="12">
        <v>400000</v>
      </c>
    </row>
    <row r="154" spans="1:2" x14ac:dyDescent="0.2">
      <c r="A154" s="13" t="s">
        <v>20</v>
      </c>
      <c r="B154" s="12">
        <f>2800000-200000</f>
        <v>2600000</v>
      </c>
    </row>
    <row r="155" spans="1:2" x14ac:dyDescent="0.2">
      <c r="A155" s="11" t="s">
        <v>19</v>
      </c>
      <c r="B155" s="10">
        <f>SUM(B151:B154)</f>
        <v>3080000</v>
      </c>
    </row>
    <row r="156" spans="1:2" x14ac:dyDescent="0.2">
      <c r="A156" s="27" t="s">
        <v>43</v>
      </c>
      <c r="B156" s="12">
        <v>290000</v>
      </c>
    </row>
    <row r="157" spans="1:2" x14ac:dyDescent="0.2">
      <c r="A157" s="14" t="s">
        <v>17</v>
      </c>
      <c r="B157" s="10">
        <f>SUM(B156:B156)</f>
        <v>290000</v>
      </c>
    </row>
    <row r="158" spans="1:2" x14ac:dyDescent="0.2">
      <c r="A158" s="23" t="s">
        <v>16</v>
      </c>
      <c r="B158" s="12">
        <f>1089000+2385000+800000-1000000-1100000-100000</f>
        <v>2074000</v>
      </c>
    </row>
    <row r="159" spans="1:2" x14ac:dyDescent="0.2">
      <c r="A159" s="13" t="s">
        <v>15</v>
      </c>
      <c r="B159" s="12">
        <f>10000000-100000</f>
        <v>9900000</v>
      </c>
    </row>
    <row r="160" spans="1:2" x14ac:dyDescent="0.2">
      <c r="A160" s="13" t="s">
        <v>14</v>
      </c>
      <c r="B160" s="12">
        <f>2200000-50000</f>
        <v>2150000</v>
      </c>
    </row>
    <row r="161" spans="1:2" x14ac:dyDescent="0.2">
      <c r="A161" s="14" t="s">
        <v>13</v>
      </c>
      <c r="B161" s="10">
        <f>SUM(B158:B160)</f>
        <v>14124000</v>
      </c>
    </row>
    <row r="162" spans="1:2" x14ac:dyDescent="0.2">
      <c r="A162" s="13" t="s">
        <v>12</v>
      </c>
      <c r="B162" s="12">
        <v>3700000</v>
      </c>
    </row>
    <row r="163" spans="1:2" x14ac:dyDescent="0.2">
      <c r="A163" s="13" t="s">
        <v>33</v>
      </c>
      <c r="B163" s="12">
        <v>600000</v>
      </c>
    </row>
    <row r="164" spans="1:2" x14ac:dyDescent="0.2">
      <c r="A164" s="13" t="s">
        <v>115</v>
      </c>
      <c r="B164" s="12">
        <v>800000</v>
      </c>
    </row>
    <row r="165" spans="1:2" x14ac:dyDescent="0.2">
      <c r="A165" s="14" t="s">
        <v>9</v>
      </c>
      <c r="B165" s="10">
        <f>SUM(B162:B164)</f>
        <v>5100000</v>
      </c>
    </row>
    <row r="166" spans="1:2" x14ac:dyDescent="0.2">
      <c r="A166" s="23" t="s">
        <v>73</v>
      </c>
      <c r="B166" s="12">
        <v>30000</v>
      </c>
    </row>
    <row r="167" spans="1:2" x14ac:dyDescent="0.2">
      <c r="A167" s="23" t="s">
        <v>114</v>
      </c>
      <c r="B167" s="12">
        <v>800000</v>
      </c>
    </row>
    <row r="168" spans="1:2" x14ac:dyDescent="0.2">
      <c r="A168" s="13" t="s">
        <v>8</v>
      </c>
      <c r="B168" s="12">
        <f>(B149+B151+B152+B153+B154+B156+B159+B160+B162+B163+B164+B158)*0.27</f>
        <v>6103080</v>
      </c>
    </row>
    <row r="169" spans="1:2" x14ac:dyDescent="0.2">
      <c r="A169" s="11" t="s">
        <v>7</v>
      </c>
      <c r="B169" s="10">
        <f>SUM(B166:B168)</f>
        <v>6933080</v>
      </c>
    </row>
    <row r="170" spans="1:2" x14ac:dyDescent="0.2">
      <c r="A170" s="5" t="s">
        <v>6</v>
      </c>
      <c r="B170" s="10">
        <f>B150+B155+B157+B161+B165+B169</f>
        <v>29537080</v>
      </c>
    </row>
    <row r="171" spans="1:2" x14ac:dyDescent="0.2">
      <c r="A171" s="9" t="s">
        <v>5</v>
      </c>
      <c r="B171" s="16">
        <f>B141+B147+B170</f>
        <v>68570513</v>
      </c>
    </row>
    <row r="172" spans="1:2" x14ac:dyDescent="0.2">
      <c r="A172" s="9"/>
      <c r="B172" s="16"/>
    </row>
    <row r="173" spans="1:2" x14ac:dyDescent="0.2">
      <c r="A173" s="57" t="s">
        <v>103</v>
      </c>
      <c r="B173" s="58"/>
    </row>
    <row r="174" spans="1:2" x14ac:dyDescent="0.2">
      <c r="A174" s="9"/>
      <c r="B174" s="26"/>
    </row>
    <row r="175" spans="1:2" ht="24" customHeight="1" x14ac:dyDescent="0.2">
      <c r="A175" s="55" t="s">
        <v>102</v>
      </c>
      <c r="B175" s="56"/>
    </row>
    <row r="176" spans="1:2" x14ac:dyDescent="0.2">
      <c r="A176" s="35"/>
      <c r="B176" s="29"/>
    </row>
    <row r="177" spans="1:2" x14ac:dyDescent="0.2">
      <c r="A177" s="22" t="s">
        <v>113</v>
      </c>
      <c r="B177" s="19">
        <v>15903522</v>
      </c>
    </row>
    <row r="178" spans="1:2" x14ac:dyDescent="0.2">
      <c r="A178" s="22" t="s">
        <v>100</v>
      </c>
      <c r="B178" s="19">
        <v>149009</v>
      </c>
    </row>
    <row r="179" spans="1:2" x14ac:dyDescent="0.2">
      <c r="A179" s="22" t="s">
        <v>30</v>
      </c>
      <c r="B179" s="19">
        <v>9022</v>
      </c>
    </row>
    <row r="180" spans="1:2" x14ac:dyDescent="0.2">
      <c r="A180" s="22" t="s">
        <v>38</v>
      </c>
      <c r="B180" s="19">
        <v>85211</v>
      </c>
    </row>
    <row r="181" spans="1:2" x14ac:dyDescent="0.2">
      <c r="A181" s="6" t="s">
        <v>4</v>
      </c>
      <c r="B181" s="33">
        <f>SUM(B177:B180)</f>
        <v>16146764</v>
      </c>
    </row>
    <row r="182" spans="1:2" x14ac:dyDescent="0.2">
      <c r="A182" s="6"/>
      <c r="B182" s="33"/>
    </row>
    <row r="183" spans="1:2" x14ac:dyDescent="0.2">
      <c r="A183" s="6"/>
      <c r="B183" s="33"/>
    </row>
    <row r="184" spans="1:2" x14ac:dyDescent="0.2">
      <c r="A184" s="21" t="s">
        <v>28</v>
      </c>
      <c r="B184" s="19">
        <v>3152305</v>
      </c>
    </row>
    <row r="185" spans="1:2" x14ac:dyDescent="0.2">
      <c r="A185" s="21" t="s">
        <v>37</v>
      </c>
      <c r="B185" s="19">
        <v>34287</v>
      </c>
    </row>
    <row r="186" spans="1:2" x14ac:dyDescent="0.2">
      <c r="A186" s="21" t="s">
        <v>44</v>
      </c>
      <c r="B186" s="19">
        <v>26375</v>
      </c>
    </row>
    <row r="187" spans="1:2" x14ac:dyDescent="0.2">
      <c r="A187" s="6" t="s">
        <v>3</v>
      </c>
      <c r="B187" s="33">
        <f>SUM(B184:B186)</f>
        <v>3212967</v>
      </c>
    </row>
    <row r="188" spans="1:2" x14ac:dyDescent="0.2">
      <c r="A188" s="49"/>
      <c r="B188" s="2"/>
    </row>
    <row r="189" spans="1:2" x14ac:dyDescent="0.2">
      <c r="A189" s="13" t="s">
        <v>20</v>
      </c>
      <c r="B189" s="12">
        <v>120000</v>
      </c>
    </row>
    <row r="190" spans="1:2" x14ac:dyDescent="0.2">
      <c r="A190" s="13" t="s">
        <v>112</v>
      </c>
      <c r="B190" s="12">
        <f>300000+2805000</f>
        <v>3105000</v>
      </c>
    </row>
    <row r="191" spans="1:2" x14ac:dyDescent="0.2">
      <c r="A191" s="13" t="s">
        <v>111</v>
      </c>
      <c r="B191" s="12">
        <v>3300000</v>
      </c>
    </row>
    <row r="192" spans="1:2" x14ac:dyDescent="0.2">
      <c r="A192" s="14" t="s">
        <v>9</v>
      </c>
      <c r="B192" s="33">
        <f>SUM(B189:B191)</f>
        <v>6525000</v>
      </c>
    </row>
    <row r="193" spans="1:2" x14ac:dyDescent="0.2">
      <c r="A193" s="13" t="s">
        <v>8</v>
      </c>
      <c r="B193" s="12">
        <f>(B190+B189)*0.27+100000</f>
        <v>970750</v>
      </c>
    </row>
    <row r="194" spans="1:2" x14ac:dyDescent="0.2">
      <c r="A194" s="13" t="s">
        <v>95</v>
      </c>
      <c r="B194" s="48">
        <v>151200</v>
      </c>
    </row>
    <row r="195" spans="1:2" x14ac:dyDescent="0.2">
      <c r="A195" s="47" t="s">
        <v>110</v>
      </c>
      <c r="B195" s="12">
        <v>9100000</v>
      </c>
    </row>
    <row r="196" spans="1:2" x14ac:dyDescent="0.2">
      <c r="A196" s="13" t="s">
        <v>94</v>
      </c>
      <c r="B196" s="12">
        <f>500000+500000</f>
        <v>1000000</v>
      </c>
    </row>
    <row r="197" spans="1:2" x14ac:dyDescent="0.2">
      <c r="A197" s="13" t="s">
        <v>109</v>
      </c>
      <c r="B197" s="12">
        <v>210000</v>
      </c>
    </row>
    <row r="198" spans="1:2" x14ac:dyDescent="0.2">
      <c r="A198" s="11" t="s">
        <v>7</v>
      </c>
      <c r="B198" s="10">
        <f>SUM(B193:B197)</f>
        <v>11431950</v>
      </c>
    </row>
    <row r="199" spans="1:2" x14ac:dyDescent="0.2">
      <c r="A199" s="11"/>
      <c r="B199" s="26"/>
    </row>
    <row r="200" spans="1:2" x14ac:dyDescent="0.2">
      <c r="A200" s="5" t="s">
        <v>6</v>
      </c>
      <c r="B200" s="44">
        <f>B198+B192</f>
        <v>17956950</v>
      </c>
    </row>
    <row r="201" spans="1:2" x14ac:dyDescent="0.2">
      <c r="A201" s="5"/>
      <c r="B201" s="44"/>
    </row>
    <row r="202" spans="1:2" x14ac:dyDescent="0.2">
      <c r="A202" s="9" t="s">
        <v>5</v>
      </c>
      <c r="B202" s="44">
        <f>B200+B181+B187</f>
        <v>37316681</v>
      </c>
    </row>
    <row r="203" spans="1:2" x14ac:dyDescent="0.2">
      <c r="A203" s="9"/>
      <c r="B203" s="44"/>
    </row>
    <row r="204" spans="1:2" x14ac:dyDescent="0.2">
      <c r="A204" s="6" t="s">
        <v>4</v>
      </c>
      <c r="B204" s="26">
        <f>B22+B68+B117+B181+B141+B80</f>
        <v>87695342</v>
      </c>
    </row>
    <row r="205" spans="1:2" x14ac:dyDescent="0.2">
      <c r="A205" s="6" t="s">
        <v>3</v>
      </c>
      <c r="B205" s="26">
        <f>B25+B72+B120+B187+B147+B84</f>
        <v>13971615</v>
      </c>
    </row>
    <row r="206" spans="1:2" x14ac:dyDescent="0.2">
      <c r="A206" s="5" t="s">
        <v>2</v>
      </c>
      <c r="B206" s="26">
        <f>+B16+B46+B61+B130+B200+B170+B108+B97</f>
        <v>87562397</v>
      </c>
    </row>
    <row r="207" spans="1:2" x14ac:dyDescent="0.2">
      <c r="A207" s="5" t="s">
        <v>108</v>
      </c>
      <c r="B207" s="26">
        <f>'[1]4_ melléklet'!B7</f>
        <v>87256949</v>
      </c>
    </row>
    <row r="208" spans="1:2" ht="33.75" x14ac:dyDescent="0.2">
      <c r="A208" s="43" t="s">
        <v>107</v>
      </c>
      <c r="B208" s="26">
        <f>SUM(B204:B207)</f>
        <v>276486303</v>
      </c>
    </row>
    <row r="209" spans="1:2" x14ac:dyDescent="0.2">
      <c r="A209" s="43"/>
      <c r="B209" s="26"/>
    </row>
    <row r="210" spans="1:2" x14ac:dyDescent="0.2">
      <c r="A210" s="43"/>
      <c r="B210" s="26"/>
    </row>
    <row r="211" spans="1:2" x14ac:dyDescent="0.2">
      <c r="A211" s="43"/>
      <c r="B211" s="26"/>
    </row>
    <row r="212" spans="1:2" x14ac:dyDescent="0.2">
      <c r="A212" s="43"/>
      <c r="B212" s="26"/>
    </row>
    <row r="213" spans="1:2" x14ac:dyDescent="0.2">
      <c r="A213" s="57" t="s">
        <v>106</v>
      </c>
      <c r="B213" s="57"/>
    </row>
    <row r="214" spans="1:2" x14ac:dyDescent="0.2">
      <c r="A214" s="46"/>
      <c r="B214" s="26"/>
    </row>
    <row r="215" spans="1:2" x14ac:dyDescent="0.2">
      <c r="A215" s="63" t="s">
        <v>53</v>
      </c>
      <c r="B215" s="63"/>
    </row>
    <row r="216" spans="1:2" x14ac:dyDescent="0.2">
      <c r="A216" s="9"/>
      <c r="B216" s="44"/>
    </row>
    <row r="217" spans="1:2" x14ac:dyDescent="0.2">
      <c r="A217" s="53" t="s">
        <v>105</v>
      </c>
      <c r="B217" s="54"/>
    </row>
    <row r="218" spans="1:2" x14ac:dyDescent="0.2">
      <c r="A218" s="35"/>
      <c r="B218" s="45"/>
    </row>
    <row r="219" spans="1:2" x14ac:dyDescent="0.2">
      <c r="A219" s="13" t="s">
        <v>56</v>
      </c>
      <c r="B219" s="19">
        <v>1200000</v>
      </c>
    </row>
    <row r="220" spans="1:2" x14ac:dyDescent="0.2">
      <c r="A220" s="13" t="s">
        <v>20</v>
      </c>
      <c r="B220" s="19">
        <v>150000</v>
      </c>
    </row>
    <row r="221" spans="1:2" x14ac:dyDescent="0.2">
      <c r="A221" s="11" t="s">
        <v>19</v>
      </c>
      <c r="B221" s="33">
        <f>SUM(B219:B220)</f>
        <v>1350000</v>
      </c>
    </row>
    <row r="222" spans="1:2" x14ac:dyDescent="0.2">
      <c r="A222" s="13" t="s">
        <v>16</v>
      </c>
      <c r="B222" s="19">
        <f>500000+3274000-100000-100000</f>
        <v>3574000</v>
      </c>
    </row>
    <row r="223" spans="1:2" x14ac:dyDescent="0.2">
      <c r="A223" s="13" t="s">
        <v>15</v>
      </c>
      <c r="B223" s="19">
        <f>1000000-100000</f>
        <v>900000</v>
      </c>
    </row>
    <row r="224" spans="1:2" x14ac:dyDescent="0.2">
      <c r="A224" s="13" t="s">
        <v>14</v>
      </c>
      <c r="B224" s="19">
        <f>300000-50000</f>
        <v>250000</v>
      </c>
    </row>
    <row r="225" spans="1:2" x14ac:dyDescent="0.2">
      <c r="A225" s="14" t="s">
        <v>13</v>
      </c>
      <c r="B225" s="10">
        <f>SUM(B222:B224)</f>
        <v>4724000</v>
      </c>
    </row>
    <row r="226" spans="1:2" x14ac:dyDescent="0.2">
      <c r="A226" s="13" t="s">
        <v>12</v>
      </c>
      <c r="B226" s="12">
        <f>200000-50000</f>
        <v>150000</v>
      </c>
    </row>
    <row r="227" spans="1:2" x14ac:dyDescent="0.2">
      <c r="A227" s="13" t="s">
        <v>104</v>
      </c>
      <c r="B227" s="12">
        <v>600000</v>
      </c>
    </row>
    <row r="228" spans="1:2" x14ac:dyDescent="0.2">
      <c r="A228" s="14" t="s">
        <v>9</v>
      </c>
      <c r="B228" s="10">
        <f>SUM(B226:B227)</f>
        <v>750000</v>
      </c>
    </row>
    <row r="229" spans="1:2" x14ac:dyDescent="0.2">
      <c r="A229" s="13" t="s">
        <v>8</v>
      </c>
      <c r="B229" s="12">
        <f>(+B219+B222+B223+B224+B226+B220+B227)*0.27</f>
        <v>1842480.0000000002</v>
      </c>
    </row>
    <row r="230" spans="1:2" x14ac:dyDescent="0.2">
      <c r="A230" s="13" t="s">
        <v>94</v>
      </c>
      <c r="B230" s="12">
        <v>550000</v>
      </c>
    </row>
    <row r="231" spans="1:2" x14ac:dyDescent="0.2">
      <c r="A231" s="11" t="s">
        <v>7</v>
      </c>
      <c r="B231" s="10">
        <f>SUM(B229:B230)</f>
        <v>2392480</v>
      </c>
    </row>
    <row r="232" spans="1:2" x14ac:dyDescent="0.2">
      <c r="A232" s="11"/>
      <c r="B232" s="10"/>
    </row>
    <row r="233" spans="1:2" x14ac:dyDescent="0.2">
      <c r="A233" s="5" t="s">
        <v>6</v>
      </c>
      <c r="B233" s="10">
        <f>+B221+B225+B228+B231</f>
        <v>9216480</v>
      </c>
    </row>
    <row r="234" spans="1:2" x14ac:dyDescent="0.2">
      <c r="A234" s="9" t="s">
        <v>5</v>
      </c>
      <c r="B234" s="10">
        <f>B233</f>
        <v>9216480</v>
      </c>
    </row>
    <row r="235" spans="1:2" x14ac:dyDescent="0.2">
      <c r="A235" s="9"/>
      <c r="B235" s="26"/>
    </row>
    <row r="236" spans="1:2" x14ac:dyDescent="0.2">
      <c r="A236" s="57" t="s">
        <v>103</v>
      </c>
      <c r="B236" s="57"/>
    </row>
    <row r="237" spans="1:2" x14ac:dyDescent="0.2">
      <c r="A237" s="9"/>
      <c r="B237" s="26"/>
    </row>
    <row r="238" spans="1:2" ht="24.75" customHeight="1" x14ac:dyDescent="0.2">
      <c r="A238" s="55" t="s">
        <v>102</v>
      </c>
      <c r="B238" s="56"/>
    </row>
    <row r="239" spans="1:2" x14ac:dyDescent="0.2">
      <c r="A239" s="21"/>
      <c r="B239" s="34"/>
    </row>
    <row r="240" spans="1:2" x14ac:dyDescent="0.2">
      <c r="A240" s="21" t="s">
        <v>101</v>
      </c>
      <c r="B240" s="34">
        <v>61512192</v>
      </c>
    </row>
    <row r="241" spans="1:2" x14ac:dyDescent="0.2">
      <c r="A241" s="22" t="s">
        <v>46</v>
      </c>
      <c r="B241" s="34">
        <f>[2]ÖSSZESÍTÉS!$C$8</f>
        <v>0</v>
      </c>
    </row>
    <row r="242" spans="1:2" x14ac:dyDescent="0.2">
      <c r="A242" s="22" t="s">
        <v>100</v>
      </c>
      <c r="B242" s="34">
        <v>2682144</v>
      </c>
    </row>
    <row r="243" spans="1:2" x14ac:dyDescent="0.2">
      <c r="A243" s="22" t="s">
        <v>30</v>
      </c>
      <c r="B243" s="34">
        <v>800000</v>
      </c>
    </row>
    <row r="244" spans="1:2" x14ac:dyDescent="0.2">
      <c r="A244" s="22" t="s">
        <v>39</v>
      </c>
      <c r="B244" s="34">
        <v>96000</v>
      </c>
    </row>
    <row r="245" spans="1:2" x14ac:dyDescent="0.2">
      <c r="A245" s="22" t="s">
        <v>99</v>
      </c>
      <c r="B245" s="34">
        <v>200000</v>
      </c>
    </row>
    <row r="246" spans="1:2" x14ac:dyDescent="0.2">
      <c r="A246" s="22" t="s">
        <v>57</v>
      </c>
      <c r="B246" s="34">
        <v>1500000</v>
      </c>
    </row>
    <row r="247" spans="1:2" x14ac:dyDescent="0.2">
      <c r="A247" s="22" t="s">
        <v>38</v>
      </c>
      <c r="B247" s="34">
        <v>500000</v>
      </c>
    </row>
    <row r="248" spans="1:2" x14ac:dyDescent="0.2">
      <c r="A248" s="6" t="s">
        <v>4</v>
      </c>
      <c r="B248" s="32">
        <f>SUM(B240:B247)</f>
        <v>67290336</v>
      </c>
    </row>
    <row r="249" spans="1:2" x14ac:dyDescent="0.2">
      <c r="A249" s="6"/>
      <c r="B249" s="32"/>
    </row>
    <row r="250" spans="1:2" x14ac:dyDescent="0.2">
      <c r="A250" s="21" t="s">
        <v>28</v>
      </c>
      <c r="B250" s="34">
        <v>13126994</v>
      </c>
    </row>
    <row r="251" spans="1:2" x14ac:dyDescent="0.2">
      <c r="A251" s="21" t="s">
        <v>37</v>
      </c>
      <c r="B251" s="34">
        <v>1018340</v>
      </c>
    </row>
    <row r="252" spans="1:2" x14ac:dyDescent="0.2">
      <c r="A252" s="21" t="s">
        <v>27</v>
      </c>
      <c r="B252" s="34">
        <v>100000</v>
      </c>
    </row>
    <row r="253" spans="1:2" x14ac:dyDescent="0.2">
      <c r="A253" s="21" t="s">
        <v>44</v>
      </c>
      <c r="B253" s="34">
        <v>881839</v>
      </c>
    </row>
    <row r="254" spans="1:2" x14ac:dyDescent="0.2">
      <c r="A254" s="6" t="s">
        <v>3</v>
      </c>
      <c r="B254" s="32">
        <f>SUM(B250:B253)</f>
        <v>15127173</v>
      </c>
    </row>
    <row r="255" spans="1:2" x14ac:dyDescent="0.2">
      <c r="A255" s="6"/>
      <c r="B255" s="32"/>
    </row>
    <row r="256" spans="1:2" x14ac:dyDescent="0.2">
      <c r="A256" s="13" t="s">
        <v>34</v>
      </c>
      <c r="B256" s="19">
        <v>150000</v>
      </c>
    </row>
    <row r="257" spans="1:2" x14ac:dyDescent="0.2">
      <c r="A257" s="13" t="s">
        <v>25</v>
      </c>
      <c r="B257" s="19">
        <v>550000</v>
      </c>
    </row>
    <row r="258" spans="1:2" x14ac:dyDescent="0.2">
      <c r="A258" s="13" t="s">
        <v>24</v>
      </c>
      <c r="B258" s="12">
        <f>200000-50000</f>
        <v>150000</v>
      </c>
    </row>
    <row r="259" spans="1:2" x14ac:dyDescent="0.2">
      <c r="A259" s="11" t="s">
        <v>23</v>
      </c>
      <c r="B259" s="10">
        <f>SUM(B256:B258)</f>
        <v>850000</v>
      </c>
    </row>
    <row r="260" spans="1:2" x14ac:dyDescent="0.2">
      <c r="A260" s="13" t="s">
        <v>22</v>
      </c>
      <c r="B260" s="12">
        <v>900000</v>
      </c>
    </row>
    <row r="261" spans="1:2" x14ac:dyDescent="0.2">
      <c r="A261" s="13" t="s">
        <v>20</v>
      </c>
      <c r="B261" s="12">
        <v>700000</v>
      </c>
    </row>
    <row r="262" spans="1:2" x14ac:dyDescent="0.2">
      <c r="A262" s="11" t="s">
        <v>19</v>
      </c>
      <c r="B262" s="10">
        <f>SUM(B260:B261)</f>
        <v>1600000</v>
      </c>
    </row>
    <row r="263" spans="1:2" x14ac:dyDescent="0.2">
      <c r="A263" s="27" t="s">
        <v>43</v>
      </c>
      <c r="B263" s="12">
        <v>2900000</v>
      </c>
    </row>
    <row r="264" spans="1:2" x14ac:dyDescent="0.2">
      <c r="A264" s="27" t="s">
        <v>98</v>
      </c>
      <c r="B264" s="12">
        <v>365000</v>
      </c>
    </row>
    <row r="265" spans="1:2" x14ac:dyDescent="0.2">
      <c r="A265" s="13" t="s">
        <v>18</v>
      </c>
      <c r="B265" s="12">
        <v>280000</v>
      </c>
    </row>
    <row r="266" spans="1:2" x14ac:dyDescent="0.2">
      <c r="A266" s="14" t="s">
        <v>17</v>
      </c>
      <c r="B266" s="10">
        <f>SUM(B263:B265)</f>
        <v>3545000</v>
      </c>
    </row>
    <row r="267" spans="1:2" x14ac:dyDescent="0.2">
      <c r="A267" s="13" t="s">
        <v>42</v>
      </c>
      <c r="B267" s="12">
        <f>700000</f>
        <v>700000</v>
      </c>
    </row>
    <row r="268" spans="1:2" x14ac:dyDescent="0.2">
      <c r="A268" s="13" t="s">
        <v>15</v>
      </c>
      <c r="B268" s="12">
        <v>600000</v>
      </c>
    </row>
    <row r="269" spans="1:2" x14ac:dyDescent="0.2">
      <c r="A269" s="13" t="s">
        <v>14</v>
      </c>
      <c r="B269" s="12">
        <v>100000</v>
      </c>
    </row>
    <row r="270" spans="1:2" x14ac:dyDescent="0.2">
      <c r="A270" s="14" t="s">
        <v>13</v>
      </c>
      <c r="B270" s="10">
        <f>SUM(B267:B269)</f>
        <v>1400000</v>
      </c>
    </row>
    <row r="271" spans="1:2" x14ac:dyDescent="0.2">
      <c r="A271" s="13" t="s">
        <v>97</v>
      </c>
      <c r="B271" s="12">
        <v>600000</v>
      </c>
    </row>
    <row r="272" spans="1:2" x14ac:dyDescent="0.2">
      <c r="A272" s="13" t="s">
        <v>12</v>
      </c>
      <c r="B272" s="12">
        <v>500000</v>
      </c>
    </row>
    <row r="273" spans="1:2" x14ac:dyDescent="0.2">
      <c r="A273" s="13" t="s">
        <v>82</v>
      </c>
      <c r="B273" s="15">
        <v>2600000</v>
      </c>
    </row>
    <row r="274" spans="1:2" x14ac:dyDescent="0.2">
      <c r="A274" s="13" t="s">
        <v>33</v>
      </c>
      <c r="B274" s="15">
        <f>1410000-200000</f>
        <v>1210000</v>
      </c>
    </row>
    <row r="275" spans="1:2" x14ac:dyDescent="0.2">
      <c r="A275" s="13" t="s">
        <v>96</v>
      </c>
      <c r="B275" s="15">
        <v>2100000</v>
      </c>
    </row>
    <row r="276" spans="1:2" x14ac:dyDescent="0.2">
      <c r="A276" s="14" t="s">
        <v>9</v>
      </c>
      <c r="B276" s="26">
        <f>SUM(B271:B275)</f>
        <v>7010000</v>
      </c>
    </row>
    <row r="277" spans="1:2" x14ac:dyDescent="0.2">
      <c r="A277" s="14"/>
      <c r="B277" s="26"/>
    </row>
    <row r="278" spans="1:2" x14ac:dyDescent="0.2">
      <c r="A278" s="13" t="s">
        <v>8</v>
      </c>
      <c r="B278" s="15">
        <f>(B256+B257+B258+B260+B263+B265+B268+B269+B271+B272+B273+B274+B275+B261)*0.27+B267*0.05-167000-176338</f>
        <v>3293462.0000000005</v>
      </c>
    </row>
    <row r="279" spans="1:2" x14ac:dyDescent="0.2">
      <c r="A279" s="13" t="s">
        <v>95</v>
      </c>
      <c r="B279" s="15">
        <f>'[3]3_melléklet'!B64*0.27+'[3]3_melléklet'!B70*0.27</f>
        <v>351000</v>
      </c>
    </row>
    <row r="280" spans="1:2" x14ac:dyDescent="0.2">
      <c r="A280" s="13" t="s">
        <v>94</v>
      </c>
      <c r="B280" s="15">
        <v>1300000</v>
      </c>
    </row>
    <row r="281" spans="1:2" x14ac:dyDescent="0.2">
      <c r="A281" s="11" t="s">
        <v>7</v>
      </c>
      <c r="B281" s="10">
        <f>SUM(B278:B280)</f>
        <v>4944462</v>
      </c>
    </row>
    <row r="282" spans="1:2" x14ac:dyDescent="0.2">
      <c r="A282" s="5" t="s">
        <v>6</v>
      </c>
      <c r="B282" s="10">
        <f>B259+B262+B266+B270+B276+B281</f>
        <v>19349462</v>
      </c>
    </row>
    <row r="283" spans="1:2" x14ac:dyDescent="0.2">
      <c r="A283" s="5"/>
      <c r="B283" s="26"/>
    </row>
    <row r="284" spans="1:2" x14ac:dyDescent="0.2">
      <c r="A284" s="9" t="s">
        <v>5</v>
      </c>
      <c r="B284" s="44">
        <f>B248+B254+B282</f>
        <v>101766971</v>
      </c>
    </row>
    <row r="285" spans="1:2" x14ac:dyDescent="0.2">
      <c r="A285" s="9"/>
      <c r="B285" s="44"/>
    </row>
    <row r="286" spans="1:2" x14ac:dyDescent="0.2">
      <c r="A286" s="9"/>
      <c r="B286" s="44"/>
    </row>
    <row r="287" spans="1:2" x14ac:dyDescent="0.2">
      <c r="A287" s="9"/>
      <c r="B287" s="44"/>
    </row>
    <row r="288" spans="1:2" x14ac:dyDescent="0.2">
      <c r="A288" s="9"/>
      <c r="B288" s="44"/>
    </row>
    <row r="289" spans="1:2" x14ac:dyDescent="0.2">
      <c r="A289" s="9"/>
      <c r="B289" s="44"/>
    </row>
    <row r="290" spans="1:2" x14ac:dyDescent="0.2">
      <c r="A290" s="9"/>
      <c r="B290" s="44"/>
    </row>
    <row r="291" spans="1:2" x14ac:dyDescent="0.2">
      <c r="A291" s="53" t="s">
        <v>93</v>
      </c>
      <c r="B291" s="59"/>
    </row>
    <row r="292" spans="1:2" x14ac:dyDescent="0.2">
      <c r="A292" s="22" t="s">
        <v>92</v>
      </c>
      <c r="B292" s="34">
        <v>700000</v>
      </c>
    </row>
    <row r="293" spans="1:2" x14ac:dyDescent="0.2">
      <c r="A293" s="6" t="s">
        <v>4</v>
      </c>
      <c r="B293" s="32">
        <f>SUM(B292:B292)</f>
        <v>700000</v>
      </c>
    </row>
    <row r="294" spans="1:2" x14ac:dyDescent="0.2">
      <c r="A294" s="6"/>
      <c r="B294" s="32"/>
    </row>
    <row r="295" spans="1:2" x14ac:dyDescent="0.2">
      <c r="A295" s="21" t="s">
        <v>28</v>
      </c>
      <c r="B295" s="34">
        <v>122850</v>
      </c>
    </row>
    <row r="296" spans="1:2" x14ac:dyDescent="0.2">
      <c r="A296" s="6" t="s">
        <v>3</v>
      </c>
      <c r="B296" s="32">
        <f>SUM(B295:B295)</f>
        <v>122850</v>
      </c>
    </row>
    <row r="297" spans="1:2" x14ac:dyDescent="0.2">
      <c r="A297" s="6"/>
      <c r="B297" s="32"/>
    </row>
    <row r="298" spans="1:2" x14ac:dyDescent="0.2">
      <c r="A298" s="9" t="s">
        <v>5</v>
      </c>
      <c r="B298" s="32">
        <f>B293+B296</f>
        <v>822850</v>
      </c>
    </row>
    <row r="299" spans="1:2" x14ac:dyDescent="0.2">
      <c r="A299" s="6"/>
      <c r="B299" s="32"/>
    </row>
    <row r="300" spans="1:2" x14ac:dyDescent="0.2">
      <c r="A300" s="53" t="s">
        <v>72</v>
      </c>
      <c r="B300" s="59"/>
    </row>
    <row r="301" spans="1:2" x14ac:dyDescent="0.2">
      <c r="A301" s="21" t="s">
        <v>91</v>
      </c>
      <c r="B301" s="34">
        <v>639659</v>
      </c>
    </row>
    <row r="302" spans="1:2" x14ac:dyDescent="0.2">
      <c r="A302" s="6" t="s">
        <v>4</v>
      </c>
      <c r="B302" s="32">
        <f>SUM(B301:B301)</f>
        <v>639659</v>
      </c>
    </row>
    <row r="303" spans="1:2" x14ac:dyDescent="0.2">
      <c r="A303" s="6"/>
      <c r="B303" s="32"/>
    </row>
    <row r="304" spans="1:2" x14ac:dyDescent="0.2">
      <c r="A304" s="21" t="s">
        <v>28</v>
      </c>
      <c r="B304" s="34">
        <v>125974</v>
      </c>
    </row>
    <row r="305" spans="1:2" x14ac:dyDescent="0.2">
      <c r="A305" s="6" t="s">
        <v>3</v>
      </c>
      <c r="B305" s="32">
        <f>SUM(B304:B304)</f>
        <v>125974</v>
      </c>
    </row>
    <row r="306" spans="1:2" x14ac:dyDescent="0.2">
      <c r="A306" s="9"/>
      <c r="B306" s="44"/>
    </row>
    <row r="307" spans="1:2" x14ac:dyDescent="0.2">
      <c r="A307" s="9" t="s">
        <v>5</v>
      </c>
      <c r="B307" s="32">
        <f>B302+B305</f>
        <v>765633</v>
      </c>
    </row>
    <row r="308" spans="1:2" x14ac:dyDescent="0.2">
      <c r="A308" s="5"/>
      <c r="B308" s="2"/>
    </row>
    <row r="309" spans="1:2" x14ac:dyDescent="0.2">
      <c r="A309" s="5"/>
      <c r="B309" s="2"/>
    </row>
    <row r="310" spans="1:2" x14ac:dyDescent="0.2">
      <c r="A310" s="62" t="s">
        <v>52</v>
      </c>
      <c r="B310" s="54"/>
    </row>
    <row r="311" spans="1:2" x14ac:dyDescent="0.2">
      <c r="A311" s="30"/>
      <c r="B311" s="29"/>
    </row>
    <row r="312" spans="1:2" x14ac:dyDescent="0.2">
      <c r="A312" s="21" t="s">
        <v>90</v>
      </c>
      <c r="B312" s="12">
        <v>532775</v>
      </c>
    </row>
    <row r="313" spans="1:2" x14ac:dyDescent="0.2">
      <c r="A313" s="6" t="s">
        <v>4</v>
      </c>
      <c r="B313" s="10">
        <f>B312</f>
        <v>532775</v>
      </c>
    </row>
    <row r="314" spans="1:2" x14ac:dyDescent="0.2">
      <c r="A314" s="6"/>
      <c r="B314" s="10"/>
    </row>
    <row r="315" spans="1:2" x14ac:dyDescent="0.2">
      <c r="A315" s="21" t="s">
        <v>28</v>
      </c>
      <c r="B315" s="12">
        <v>51946</v>
      </c>
    </row>
    <row r="316" spans="1:2" x14ac:dyDescent="0.2">
      <c r="A316" s="6" t="s">
        <v>3</v>
      </c>
      <c r="B316" s="10">
        <f>SUM(B315:B315)</f>
        <v>51946</v>
      </c>
    </row>
    <row r="317" spans="1:2" x14ac:dyDescent="0.2">
      <c r="A317" s="6"/>
      <c r="B317" s="10"/>
    </row>
    <row r="318" spans="1:2" x14ac:dyDescent="0.2">
      <c r="A318" s="9" t="s">
        <v>5</v>
      </c>
      <c r="B318" s="10">
        <f>B313+B316</f>
        <v>584721</v>
      </c>
    </row>
    <row r="319" spans="1:2" x14ac:dyDescent="0.2">
      <c r="A319" s="5"/>
      <c r="B319" s="2"/>
    </row>
    <row r="320" spans="1:2" x14ac:dyDescent="0.2">
      <c r="A320" s="5"/>
      <c r="B320" s="2"/>
    </row>
    <row r="321" spans="1:2" x14ac:dyDescent="0.2">
      <c r="A321" s="6" t="s">
        <v>4</v>
      </c>
      <c r="B321" s="33">
        <f>B248+B302+B292+B313</f>
        <v>69162770</v>
      </c>
    </row>
    <row r="322" spans="1:2" x14ac:dyDescent="0.2">
      <c r="A322" s="6" t="s">
        <v>3</v>
      </c>
      <c r="B322" s="26">
        <f>B254+B305+B296+B316</f>
        <v>15427943</v>
      </c>
    </row>
    <row r="323" spans="1:2" x14ac:dyDescent="0.2">
      <c r="A323" s="5" t="s">
        <v>2</v>
      </c>
      <c r="B323" s="26">
        <f>B233+B282</f>
        <v>28565942</v>
      </c>
    </row>
    <row r="324" spans="1:2" x14ac:dyDescent="0.2">
      <c r="A324" s="43" t="s">
        <v>89</v>
      </c>
      <c r="B324" s="26">
        <f>SUM(B321:B323)</f>
        <v>113156655</v>
      </c>
    </row>
    <row r="325" spans="1:2" x14ac:dyDescent="0.2">
      <c r="A325" s="43"/>
      <c r="B325" s="26"/>
    </row>
    <row r="326" spans="1:2" ht="12.75" customHeight="1" x14ac:dyDescent="0.2">
      <c r="A326" s="43"/>
      <c r="B326" s="26"/>
    </row>
    <row r="327" spans="1:2" x14ac:dyDescent="0.2">
      <c r="A327" s="43"/>
      <c r="B327" s="26"/>
    </row>
    <row r="328" spans="1:2" x14ac:dyDescent="0.2">
      <c r="A328" s="75" t="s">
        <v>88</v>
      </c>
      <c r="B328" s="75"/>
    </row>
    <row r="329" spans="1:2" x14ac:dyDescent="0.2">
      <c r="A329" s="42"/>
      <c r="B329" s="34"/>
    </row>
    <row r="330" spans="1:2" x14ac:dyDescent="0.2">
      <c r="A330" s="63" t="s">
        <v>53</v>
      </c>
      <c r="B330" s="63"/>
    </row>
    <row r="331" spans="1:2" x14ac:dyDescent="0.2">
      <c r="A331" s="41"/>
      <c r="B331" s="41"/>
    </row>
    <row r="332" spans="1:2" x14ac:dyDescent="0.2">
      <c r="A332" s="62" t="s">
        <v>52</v>
      </c>
      <c r="B332" s="54"/>
    </row>
    <row r="333" spans="1:2" x14ac:dyDescent="0.2">
      <c r="A333" s="30"/>
      <c r="B333" s="29"/>
    </row>
    <row r="334" spans="1:2" ht="12.75" customHeight="1" x14ac:dyDescent="0.2">
      <c r="A334" s="21" t="s">
        <v>87</v>
      </c>
      <c r="B334" s="12">
        <f>14095835+426220</f>
        <v>14522055</v>
      </c>
    </row>
    <row r="335" spans="1:2" x14ac:dyDescent="0.2">
      <c r="A335" s="6" t="s">
        <v>4</v>
      </c>
      <c r="B335" s="10">
        <f>B334</f>
        <v>14522055</v>
      </c>
    </row>
    <row r="336" spans="1:2" x14ac:dyDescent="0.2">
      <c r="A336" s="6"/>
      <c r="B336" s="10"/>
    </row>
    <row r="337" spans="1:2" x14ac:dyDescent="0.2">
      <c r="A337" s="21" t="s">
        <v>28</v>
      </c>
      <c r="B337" s="12">
        <f>1403818+41556</f>
        <v>1445374</v>
      </c>
    </row>
    <row r="338" spans="1:2" x14ac:dyDescent="0.2">
      <c r="A338" s="21" t="s">
        <v>27</v>
      </c>
      <c r="B338" s="12">
        <v>20000</v>
      </c>
    </row>
    <row r="339" spans="1:2" x14ac:dyDescent="0.2">
      <c r="A339" s="6" t="s">
        <v>3</v>
      </c>
      <c r="B339" s="10">
        <f>SUM(B337:B338)</f>
        <v>1465374</v>
      </c>
    </row>
    <row r="340" spans="1:2" x14ac:dyDescent="0.2">
      <c r="A340" s="6"/>
      <c r="B340" s="10"/>
    </row>
    <row r="341" spans="1:2" x14ac:dyDescent="0.2">
      <c r="A341" s="9" t="s">
        <v>5</v>
      </c>
      <c r="B341" s="10">
        <f>B335+B339</f>
        <v>15987429</v>
      </c>
    </row>
    <row r="342" spans="1:2" x14ac:dyDescent="0.2">
      <c r="A342" s="6"/>
      <c r="B342" s="15"/>
    </row>
    <row r="343" spans="1:2" x14ac:dyDescent="0.2">
      <c r="A343" s="6"/>
      <c r="B343" s="15"/>
    </row>
    <row r="344" spans="1:2" x14ac:dyDescent="0.2">
      <c r="A344" s="6"/>
      <c r="B344" s="15"/>
    </row>
    <row r="345" spans="1:2" x14ac:dyDescent="0.2">
      <c r="A345" s="6"/>
      <c r="B345" s="15"/>
    </row>
    <row r="346" spans="1:2" x14ac:dyDescent="0.2">
      <c r="A346" s="6"/>
      <c r="B346" s="40"/>
    </row>
    <row r="347" spans="1:2" x14ac:dyDescent="0.2">
      <c r="A347" s="62" t="s">
        <v>86</v>
      </c>
      <c r="B347" s="54"/>
    </row>
    <row r="348" spans="1:2" x14ac:dyDescent="0.2">
      <c r="A348" s="30"/>
      <c r="B348" s="29"/>
    </row>
    <row r="349" spans="1:2" x14ac:dyDescent="0.2">
      <c r="A349" s="21" t="s">
        <v>85</v>
      </c>
      <c r="B349" s="12">
        <v>2348250</v>
      </c>
    </row>
    <row r="350" spans="1:2" x14ac:dyDescent="0.2">
      <c r="A350" s="6" t="s">
        <v>4</v>
      </c>
      <c r="B350" s="10">
        <f>B349</f>
        <v>2348250</v>
      </c>
    </row>
    <row r="351" spans="1:2" x14ac:dyDescent="0.2">
      <c r="A351" s="6"/>
      <c r="B351" s="10"/>
    </row>
    <row r="352" spans="1:2" x14ac:dyDescent="0.2">
      <c r="A352" s="21" t="s">
        <v>28</v>
      </c>
      <c r="B352" s="12">
        <v>190006</v>
      </c>
    </row>
    <row r="353" spans="1:2" x14ac:dyDescent="0.2">
      <c r="A353" s="21" t="s">
        <v>27</v>
      </c>
      <c r="B353" s="12">
        <v>55000</v>
      </c>
    </row>
    <row r="354" spans="1:2" x14ac:dyDescent="0.2">
      <c r="A354" s="6" t="s">
        <v>3</v>
      </c>
      <c r="B354" s="10">
        <f>SUM(B352:B353)</f>
        <v>245006</v>
      </c>
    </row>
    <row r="355" spans="1:2" x14ac:dyDescent="0.2">
      <c r="A355" s="6"/>
      <c r="B355" s="10"/>
    </row>
    <row r="356" spans="1:2" x14ac:dyDescent="0.2">
      <c r="A356" s="9" t="s">
        <v>5</v>
      </c>
      <c r="B356" s="10">
        <f>B350+B354</f>
        <v>2593256</v>
      </c>
    </row>
    <row r="357" spans="1:2" x14ac:dyDescent="0.2">
      <c r="A357" s="6"/>
      <c r="B357" s="15"/>
    </row>
    <row r="358" spans="1:2" x14ac:dyDescent="0.2">
      <c r="A358" s="6"/>
      <c r="B358" s="40"/>
    </row>
    <row r="359" spans="1:2" x14ac:dyDescent="0.2">
      <c r="A359" s="53" t="s">
        <v>84</v>
      </c>
      <c r="B359" s="76"/>
    </row>
    <row r="360" spans="1:2" x14ac:dyDescent="0.2">
      <c r="A360" s="21"/>
      <c r="B360" s="29"/>
    </row>
    <row r="361" spans="1:2" x14ac:dyDescent="0.2">
      <c r="A361" s="21" t="s">
        <v>83</v>
      </c>
      <c r="B361" s="34">
        <v>7646100</v>
      </c>
    </row>
    <row r="362" spans="1:2" x14ac:dyDescent="0.2">
      <c r="A362" s="22" t="s">
        <v>59</v>
      </c>
      <c r="B362" s="34">
        <v>152922</v>
      </c>
    </row>
    <row r="363" spans="1:2" x14ac:dyDescent="0.2">
      <c r="A363" s="22" t="s">
        <v>77</v>
      </c>
      <c r="B363" s="34">
        <v>86090</v>
      </c>
    </row>
    <row r="364" spans="1:2" x14ac:dyDescent="0.2">
      <c r="A364" s="6" t="s">
        <v>4</v>
      </c>
      <c r="B364" s="32">
        <f>SUM(B361:B363)</f>
        <v>7885112</v>
      </c>
    </row>
    <row r="365" spans="1:2" x14ac:dyDescent="0.2">
      <c r="A365" s="6"/>
      <c r="B365" s="32"/>
    </row>
    <row r="366" spans="1:2" x14ac:dyDescent="0.2">
      <c r="A366" s="21" t="s">
        <v>28</v>
      </c>
      <c r="B366" s="34">
        <v>1631329</v>
      </c>
    </row>
    <row r="367" spans="1:2" x14ac:dyDescent="0.2">
      <c r="A367" s="21" t="s">
        <v>37</v>
      </c>
      <c r="B367" s="34">
        <v>35187</v>
      </c>
    </row>
    <row r="368" spans="1:2" x14ac:dyDescent="0.2">
      <c r="A368" s="21" t="s">
        <v>27</v>
      </c>
      <c r="B368" s="34">
        <v>20000</v>
      </c>
    </row>
    <row r="369" spans="1:2" x14ac:dyDescent="0.2">
      <c r="A369" s="21" t="s">
        <v>44</v>
      </c>
      <c r="B369" s="34">
        <v>27067</v>
      </c>
    </row>
    <row r="370" spans="1:2" x14ac:dyDescent="0.2">
      <c r="A370" s="6" t="s">
        <v>3</v>
      </c>
      <c r="B370" s="32">
        <f>SUM(B366:B369)</f>
        <v>1713583</v>
      </c>
    </row>
    <row r="371" spans="1:2" x14ac:dyDescent="0.2">
      <c r="A371" s="6"/>
      <c r="B371" s="32"/>
    </row>
    <row r="372" spans="1:2" x14ac:dyDescent="0.2">
      <c r="A372" s="22" t="s">
        <v>35</v>
      </c>
      <c r="B372" s="19">
        <v>20000</v>
      </c>
    </row>
    <row r="373" spans="1:2" x14ac:dyDescent="0.2">
      <c r="A373" s="13" t="s">
        <v>34</v>
      </c>
      <c r="B373" s="19">
        <v>5000</v>
      </c>
    </row>
    <row r="374" spans="1:2" x14ac:dyDescent="0.2">
      <c r="A374" s="13" t="s">
        <v>24</v>
      </c>
      <c r="B374" s="12">
        <v>20000</v>
      </c>
    </row>
    <row r="375" spans="1:2" x14ac:dyDescent="0.2">
      <c r="A375" s="11" t="s">
        <v>23</v>
      </c>
      <c r="B375" s="10">
        <f>SUM(B372:B374)</f>
        <v>45000</v>
      </c>
    </row>
    <row r="376" spans="1:2" x14ac:dyDescent="0.2">
      <c r="A376" s="13" t="s">
        <v>22</v>
      </c>
      <c r="B376" s="12">
        <v>50000</v>
      </c>
    </row>
    <row r="377" spans="1:2" x14ac:dyDescent="0.2">
      <c r="A377" s="13" t="s">
        <v>21</v>
      </c>
      <c r="B377" s="12">
        <v>24000</v>
      </c>
    </row>
    <row r="378" spans="1:2" x14ac:dyDescent="0.2">
      <c r="A378" s="13" t="s">
        <v>20</v>
      </c>
      <c r="B378" s="12">
        <v>150000</v>
      </c>
    </row>
    <row r="379" spans="1:2" x14ac:dyDescent="0.2">
      <c r="A379" s="11" t="s">
        <v>19</v>
      </c>
      <c r="B379" s="10">
        <f>SUM(B376:B378)</f>
        <v>224000</v>
      </c>
    </row>
    <row r="380" spans="1:2" x14ac:dyDescent="0.2">
      <c r="A380" s="27" t="s">
        <v>43</v>
      </c>
      <c r="B380" s="12">
        <v>247000</v>
      </c>
    </row>
    <row r="381" spans="1:2" x14ac:dyDescent="0.2">
      <c r="A381" s="13" t="s">
        <v>18</v>
      </c>
      <c r="B381" s="12">
        <v>120000</v>
      </c>
    </row>
    <row r="382" spans="1:2" x14ac:dyDescent="0.2">
      <c r="A382" s="14" t="s">
        <v>17</v>
      </c>
      <c r="B382" s="10">
        <f>SUM(B380:B381)</f>
        <v>367000</v>
      </c>
    </row>
    <row r="383" spans="1:2" x14ac:dyDescent="0.2">
      <c r="A383" s="23" t="s">
        <v>42</v>
      </c>
      <c r="B383" s="12">
        <f>340000-40000</f>
        <v>300000</v>
      </c>
    </row>
    <row r="384" spans="1:2" x14ac:dyDescent="0.2">
      <c r="A384" s="13" t="s">
        <v>16</v>
      </c>
      <c r="B384" s="12">
        <f>160000-60000</f>
        <v>100000</v>
      </c>
    </row>
    <row r="385" spans="1:2" x14ac:dyDescent="0.2">
      <c r="A385" s="13" t="s">
        <v>15</v>
      </c>
      <c r="B385" s="12">
        <v>130000</v>
      </c>
    </row>
    <row r="386" spans="1:2" x14ac:dyDescent="0.2">
      <c r="A386" s="13" t="s">
        <v>14</v>
      </c>
      <c r="B386" s="12">
        <v>15000</v>
      </c>
    </row>
    <row r="387" spans="1:2" x14ac:dyDescent="0.2">
      <c r="A387" s="14" t="s">
        <v>13</v>
      </c>
      <c r="B387" s="10">
        <f>SUM(B383:B386)</f>
        <v>545000</v>
      </c>
    </row>
    <row r="388" spans="1:2" x14ac:dyDescent="0.2">
      <c r="A388" s="13" t="s">
        <v>12</v>
      </c>
      <c r="B388" s="12">
        <v>50000</v>
      </c>
    </row>
    <row r="389" spans="1:2" x14ac:dyDescent="0.2">
      <c r="A389" s="13" t="s">
        <v>82</v>
      </c>
      <c r="B389" s="12">
        <v>2200000</v>
      </c>
    </row>
    <row r="390" spans="1:2" x14ac:dyDescent="0.2">
      <c r="A390" s="13" t="s">
        <v>10</v>
      </c>
      <c r="B390" s="12">
        <v>500000</v>
      </c>
    </row>
    <row r="391" spans="1:2" x14ac:dyDescent="0.2">
      <c r="A391" s="14" t="s">
        <v>9</v>
      </c>
      <c r="B391" s="10">
        <f>SUM(B388:B390)</f>
        <v>2750000</v>
      </c>
    </row>
    <row r="392" spans="1:2" x14ac:dyDescent="0.2">
      <c r="A392" s="13" t="s">
        <v>81</v>
      </c>
      <c r="B392" s="12">
        <f>B389*0.27</f>
        <v>594000</v>
      </c>
    </row>
    <row r="393" spans="1:2" x14ac:dyDescent="0.2">
      <c r="A393" s="13" t="s">
        <v>80</v>
      </c>
      <c r="B393" s="12">
        <f>(B372+B373+B374+B376+B377+B378+B380+B381+B384+B385+B386+B388+B390)*0.27+B383*0.05</f>
        <v>401370</v>
      </c>
    </row>
    <row r="394" spans="1:2" x14ac:dyDescent="0.2">
      <c r="A394" s="11" t="s">
        <v>7</v>
      </c>
      <c r="B394" s="10">
        <f>SUM(B392:B393)</f>
        <v>995370</v>
      </c>
    </row>
    <row r="395" spans="1:2" x14ac:dyDescent="0.2">
      <c r="A395" s="5" t="s">
        <v>6</v>
      </c>
      <c r="B395" s="10">
        <f>B375+B379+B382+B387+B391+B394</f>
        <v>4926370</v>
      </c>
    </row>
    <row r="396" spans="1:2" x14ac:dyDescent="0.2">
      <c r="A396" s="5"/>
      <c r="B396" s="10"/>
    </row>
    <row r="397" spans="1:2" x14ac:dyDescent="0.2">
      <c r="A397" s="9" t="s">
        <v>5</v>
      </c>
      <c r="B397" s="10">
        <f>B364+B370+B395</f>
        <v>14525065</v>
      </c>
    </row>
    <row r="398" spans="1:2" x14ac:dyDescent="0.2">
      <c r="A398" s="9"/>
      <c r="B398" s="32"/>
    </row>
    <row r="399" spans="1:2" x14ac:dyDescent="0.2">
      <c r="A399" s="9"/>
      <c r="B399" s="32"/>
    </row>
    <row r="400" spans="1:2" x14ac:dyDescent="0.2">
      <c r="A400" s="9"/>
      <c r="B400" s="32"/>
    </row>
    <row r="401" spans="1:2" x14ac:dyDescent="0.2">
      <c r="A401" s="9"/>
      <c r="B401" s="32"/>
    </row>
    <row r="402" spans="1:2" x14ac:dyDescent="0.2">
      <c r="A402" s="9"/>
      <c r="B402" s="32"/>
    </row>
    <row r="403" spans="1:2" x14ac:dyDescent="0.2">
      <c r="A403" s="53" t="s">
        <v>79</v>
      </c>
      <c r="B403" s="59"/>
    </row>
    <row r="404" spans="1:2" x14ac:dyDescent="0.2">
      <c r="A404" s="21"/>
      <c r="B404" s="39"/>
    </row>
    <row r="405" spans="1:2" x14ac:dyDescent="0.2">
      <c r="A405" s="21" t="s">
        <v>78</v>
      </c>
      <c r="B405" s="37">
        <v>3245700</v>
      </c>
    </row>
    <row r="406" spans="1:2" x14ac:dyDescent="0.2">
      <c r="A406" s="22" t="s">
        <v>59</v>
      </c>
      <c r="B406" s="37">
        <v>64914</v>
      </c>
    </row>
    <row r="407" spans="1:2" x14ac:dyDescent="0.2">
      <c r="A407" s="22" t="s">
        <v>77</v>
      </c>
      <c r="B407" s="37">
        <v>20000</v>
      </c>
    </row>
    <row r="408" spans="1:2" x14ac:dyDescent="0.2">
      <c r="A408" s="6" t="s">
        <v>4</v>
      </c>
      <c r="B408" s="36">
        <f>SUM(B405:B407)</f>
        <v>3330614</v>
      </c>
    </row>
    <row r="409" spans="1:2" x14ac:dyDescent="0.2">
      <c r="A409" s="6"/>
      <c r="B409" s="36"/>
    </row>
    <row r="410" spans="1:2" x14ac:dyDescent="0.2">
      <c r="A410" s="21" t="s">
        <v>28</v>
      </c>
      <c r="B410" s="37">
        <v>692384</v>
      </c>
    </row>
    <row r="411" spans="1:2" x14ac:dyDescent="0.2">
      <c r="A411" s="21" t="s">
        <v>37</v>
      </c>
      <c r="B411" s="37">
        <v>14937</v>
      </c>
    </row>
    <row r="412" spans="1:2" x14ac:dyDescent="0.2">
      <c r="A412" s="21" t="s">
        <v>27</v>
      </c>
      <c r="B412" s="37">
        <v>10000</v>
      </c>
    </row>
    <row r="413" spans="1:2" x14ac:dyDescent="0.2">
      <c r="A413" s="21" t="s">
        <v>44</v>
      </c>
      <c r="B413" s="37">
        <v>11490</v>
      </c>
    </row>
    <row r="414" spans="1:2" x14ac:dyDescent="0.2">
      <c r="A414" s="6" t="s">
        <v>3</v>
      </c>
      <c r="B414" s="36">
        <f>SUM(B410:B413)</f>
        <v>728811</v>
      </c>
    </row>
    <row r="415" spans="1:2" x14ac:dyDescent="0.2">
      <c r="A415" s="6"/>
      <c r="B415" s="38"/>
    </row>
    <row r="416" spans="1:2" x14ac:dyDescent="0.2">
      <c r="A416" s="6"/>
      <c r="B416" s="38"/>
    </row>
    <row r="417" spans="1:2" x14ac:dyDescent="0.2">
      <c r="A417" s="6"/>
      <c r="B417" s="38"/>
    </row>
    <row r="418" spans="1:2" x14ac:dyDescent="0.2">
      <c r="A418" s="6"/>
      <c r="B418" s="38"/>
    </row>
    <row r="419" spans="1:2" x14ac:dyDescent="0.2">
      <c r="A419" s="13" t="s">
        <v>21</v>
      </c>
      <c r="B419" s="37">
        <v>12000</v>
      </c>
    </row>
    <row r="420" spans="1:2" x14ac:dyDescent="0.2">
      <c r="A420" s="11" t="s">
        <v>19</v>
      </c>
      <c r="B420" s="36">
        <f>B419</f>
        <v>12000</v>
      </c>
    </row>
    <row r="421" spans="1:2" x14ac:dyDescent="0.2">
      <c r="A421" s="13" t="s">
        <v>8</v>
      </c>
      <c r="B421" s="37">
        <f>B419*0.27</f>
        <v>3240</v>
      </c>
    </row>
    <row r="422" spans="1:2" x14ac:dyDescent="0.2">
      <c r="A422" s="11" t="s">
        <v>7</v>
      </c>
      <c r="B422" s="36">
        <f>B421</f>
        <v>3240</v>
      </c>
    </row>
    <row r="423" spans="1:2" x14ac:dyDescent="0.2">
      <c r="A423" s="5" t="s">
        <v>6</v>
      </c>
      <c r="B423" s="36">
        <f>B420+B422</f>
        <v>15240</v>
      </c>
    </row>
    <row r="424" spans="1:2" x14ac:dyDescent="0.2">
      <c r="A424" s="9"/>
      <c r="B424" s="32"/>
    </row>
    <row r="425" spans="1:2" x14ac:dyDescent="0.2">
      <c r="A425" s="9" t="s">
        <v>5</v>
      </c>
      <c r="B425" s="32">
        <f>B408+B414+B423</f>
        <v>4074665</v>
      </c>
    </row>
    <row r="426" spans="1:2" x14ac:dyDescent="0.2">
      <c r="A426" s="9"/>
      <c r="B426" s="32"/>
    </row>
    <row r="427" spans="1:2" x14ac:dyDescent="0.2">
      <c r="A427" s="53" t="s">
        <v>76</v>
      </c>
      <c r="B427" s="59"/>
    </row>
    <row r="428" spans="1:2" x14ac:dyDescent="0.2">
      <c r="A428" s="21"/>
      <c r="B428" s="34"/>
    </row>
    <row r="429" spans="1:2" x14ac:dyDescent="0.2">
      <c r="A429" s="21" t="s">
        <v>75</v>
      </c>
      <c r="B429" s="34">
        <v>14932357</v>
      </c>
    </row>
    <row r="430" spans="1:2" x14ac:dyDescent="0.2">
      <c r="A430" s="22" t="s">
        <v>59</v>
      </c>
      <c r="B430" s="34">
        <v>298647</v>
      </c>
    </row>
    <row r="431" spans="1:2" x14ac:dyDescent="0.2">
      <c r="A431" s="22" t="s">
        <v>58</v>
      </c>
      <c r="B431" s="19">
        <v>138315</v>
      </c>
    </row>
    <row r="432" spans="1:2" x14ac:dyDescent="0.2">
      <c r="A432" s="22" t="s">
        <v>74</v>
      </c>
      <c r="B432" s="19">
        <v>576000</v>
      </c>
    </row>
    <row r="433" spans="1:2" x14ac:dyDescent="0.2">
      <c r="A433" s="22" t="s">
        <v>57</v>
      </c>
      <c r="B433" s="19">
        <v>10000</v>
      </c>
    </row>
    <row r="434" spans="1:2" x14ac:dyDescent="0.2">
      <c r="A434" s="6" t="s">
        <v>4</v>
      </c>
      <c r="B434" s="28">
        <f>SUM(B429:B433)</f>
        <v>15955319</v>
      </c>
    </row>
    <row r="435" spans="1:2" x14ac:dyDescent="0.2">
      <c r="A435" s="6"/>
      <c r="B435" s="34"/>
    </row>
    <row r="436" spans="1:2" x14ac:dyDescent="0.2">
      <c r="A436" s="21" t="s">
        <v>28</v>
      </c>
      <c r="B436" s="19">
        <v>2966544</v>
      </c>
    </row>
    <row r="437" spans="1:2" x14ac:dyDescent="0.2">
      <c r="A437" s="21" t="s">
        <v>37</v>
      </c>
      <c r="B437" s="19">
        <v>435223</v>
      </c>
    </row>
    <row r="438" spans="1:2" x14ac:dyDescent="0.2">
      <c r="A438" s="21" t="s">
        <v>27</v>
      </c>
      <c r="B438" s="19">
        <v>25000</v>
      </c>
    </row>
    <row r="439" spans="1:2" x14ac:dyDescent="0.2">
      <c r="A439" s="21" t="s">
        <v>44</v>
      </c>
      <c r="B439" s="19">
        <v>54631</v>
      </c>
    </row>
    <row r="440" spans="1:2" x14ac:dyDescent="0.2">
      <c r="A440" s="6" t="s">
        <v>3</v>
      </c>
      <c r="B440" s="32">
        <f>SUM(B436:B439)</f>
        <v>3481398</v>
      </c>
    </row>
    <row r="441" spans="1:2" x14ac:dyDescent="0.2">
      <c r="A441" s="6"/>
      <c r="B441" s="32"/>
    </row>
    <row r="442" spans="1:2" x14ac:dyDescent="0.2">
      <c r="A442" s="22" t="s">
        <v>35</v>
      </c>
      <c r="B442" s="19">
        <v>20000</v>
      </c>
    </row>
    <row r="443" spans="1:2" x14ac:dyDescent="0.2">
      <c r="A443" s="13" t="s">
        <v>25</v>
      </c>
      <c r="B443" s="19">
        <v>40000</v>
      </c>
    </row>
    <row r="444" spans="1:2" x14ac:dyDescent="0.2">
      <c r="A444" s="13" t="s">
        <v>24</v>
      </c>
      <c r="B444" s="12">
        <v>40000</v>
      </c>
    </row>
    <row r="445" spans="1:2" x14ac:dyDescent="0.2">
      <c r="A445" s="11" t="s">
        <v>23</v>
      </c>
      <c r="B445" s="10">
        <f>SUM(B442:B444)</f>
        <v>100000</v>
      </c>
    </row>
    <row r="446" spans="1:2" x14ac:dyDescent="0.2">
      <c r="A446" s="13" t="s">
        <v>22</v>
      </c>
      <c r="B446" s="12">
        <v>30000</v>
      </c>
    </row>
    <row r="447" spans="1:2" x14ac:dyDescent="0.2">
      <c r="A447" s="13" t="s">
        <v>56</v>
      </c>
      <c r="B447" s="12">
        <v>10000</v>
      </c>
    </row>
    <row r="448" spans="1:2" x14ac:dyDescent="0.2">
      <c r="A448" s="13" t="s">
        <v>21</v>
      </c>
      <c r="B448" s="12">
        <v>72000</v>
      </c>
    </row>
    <row r="449" spans="1:2" x14ac:dyDescent="0.2">
      <c r="A449" s="13" t="s">
        <v>20</v>
      </c>
      <c r="B449" s="15">
        <v>200000</v>
      </c>
    </row>
    <row r="450" spans="1:2" x14ac:dyDescent="0.2">
      <c r="A450" s="11" t="s">
        <v>19</v>
      </c>
      <c r="B450" s="10">
        <f>SUM(B446:B449)</f>
        <v>312000</v>
      </c>
    </row>
    <row r="451" spans="1:2" x14ac:dyDescent="0.2">
      <c r="A451" s="27" t="s">
        <v>43</v>
      </c>
      <c r="B451" s="12">
        <v>50500</v>
      </c>
    </row>
    <row r="452" spans="1:2" x14ac:dyDescent="0.2">
      <c r="A452" s="13" t="s">
        <v>18</v>
      </c>
      <c r="B452" s="12">
        <v>50000</v>
      </c>
    </row>
    <row r="453" spans="1:2" x14ac:dyDescent="0.2">
      <c r="A453" s="14" t="s">
        <v>17</v>
      </c>
      <c r="B453" s="10">
        <f>SUM(B451:B452)</f>
        <v>100500</v>
      </c>
    </row>
    <row r="454" spans="1:2" x14ac:dyDescent="0.2">
      <c r="A454" s="13" t="s">
        <v>16</v>
      </c>
      <c r="B454" s="12">
        <v>400000</v>
      </c>
    </row>
    <row r="455" spans="1:2" x14ac:dyDescent="0.2">
      <c r="A455" s="13" t="s">
        <v>15</v>
      </c>
      <c r="B455" s="12">
        <v>80000</v>
      </c>
    </row>
    <row r="456" spans="1:2" x14ac:dyDescent="0.2">
      <c r="A456" s="13" t="s">
        <v>14</v>
      </c>
      <c r="B456" s="12">
        <v>110000</v>
      </c>
    </row>
    <row r="457" spans="1:2" x14ac:dyDescent="0.2">
      <c r="A457" s="14" t="s">
        <v>13</v>
      </c>
      <c r="B457" s="10">
        <f>SUM(B454:B456)</f>
        <v>590000</v>
      </c>
    </row>
    <row r="458" spans="1:2" x14ac:dyDescent="0.2">
      <c r="A458" s="14"/>
      <c r="B458" s="10"/>
    </row>
    <row r="459" spans="1:2" x14ac:dyDescent="0.2">
      <c r="A459" s="13" t="s">
        <v>12</v>
      </c>
      <c r="B459" s="12">
        <f>150000-30000</f>
        <v>120000</v>
      </c>
    </row>
    <row r="460" spans="1:2" x14ac:dyDescent="0.2">
      <c r="A460" s="13" t="s">
        <v>33</v>
      </c>
      <c r="B460" s="12">
        <v>35000</v>
      </c>
    </row>
    <row r="461" spans="1:2" x14ac:dyDescent="0.2">
      <c r="A461" s="13" t="s">
        <v>10</v>
      </c>
      <c r="B461" s="12">
        <f>100000+150000</f>
        <v>250000</v>
      </c>
    </row>
    <row r="462" spans="1:2" x14ac:dyDescent="0.2">
      <c r="A462" s="14" t="s">
        <v>9</v>
      </c>
      <c r="B462" s="10">
        <f>SUM(B459:B461)</f>
        <v>405000</v>
      </c>
    </row>
    <row r="463" spans="1:2" x14ac:dyDescent="0.2">
      <c r="A463" s="23" t="s">
        <v>73</v>
      </c>
      <c r="B463" s="12">
        <v>20000</v>
      </c>
    </row>
    <row r="464" spans="1:2" x14ac:dyDescent="0.2">
      <c r="A464" s="13" t="s">
        <v>8</v>
      </c>
      <c r="B464" s="12">
        <f>(B442+B443+B446+B447+B448+B449+B451+B452+B454+B455+B456+B459+B461+B444+B460)*0.27</f>
        <v>407025</v>
      </c>
    </row>
    <row r="465" spans="1:2" x14ac:dyDescent="0.2">
      <c r="A465" s="11" t="s">
        <v>7</v>
      </c>
      <c r="B465" s="10">
        <f>SUM(B463:B464)</f>
        <v>427025</v>
      </c>
    </row>
    <row r="466" spans="1:2" x14ac:dyDescent="0.2">
      <c r="A466" s="5" t="s">
        <v>6</v>
      </c>
      <c r="B466" s="10">
        <f>B445+B450+B453+B457+B462+B465</f>
        <v>1934525</v>
      </c>
    </row>
    <row r="467" spans="1:2" x14ac:dyDescent="0.2">
      <c r="A467" s="5"/>
      <c r="B467" s="12"/>
    </row>
    <row r="468" spans="1:2" x14ac:dyDescent="0.2">
      <c r="A468" s="9" t="s">
        <v>5</v>
      </c>
      <c r="B468" s="10">
        <f>B434+B440+B466</f>
        <v>21371242</v>
      </c>
    </row>
    <row r="469" spans="1:2" x14ac:dyDescent="0.2">
      <c r="A469" s="9"/>
      <c r="B469" s="10"/>
    </row>
    <row r="470" spans="1:2" x14ac:dyDescent="0.2">
      <c r="A470" s="53" t="s">
        <v>72</v>
      </c>
      <c r="B470" s="59"/>
    </row>
    <row r="471" spans="1:2" x14ac:dyDescent="0.2">
      <c r="A471" s="21" t="s">
        <v>71</v>
      </c>
      <c r="B471" s="34">
        <v>23008300</v>
      </c>
    </row>
    <row r="472" spans="1:2" x14ac:dyDescent="0.2">
      <c r="A472" s="22" t="s">
        <v>59</v>
      </c>
      <c r="B472" s="34">
        <v>460166</v>
      </c>
    </row>
    <row r="473" spans="1:2" x14ac:dyDescent="0.2">
      <c r="A473" s="22" t="s">
        <v>58</v>
      </c>
      <c r="B473" s="34">
        <v>144360</v>
      </c>
    </row>
    <row r="474" spans="1:2" x14ac:dyDescent="0.2">
      <c r="A474" s="22" t="s">
        <v>38</v>
      </c>
      <c r="B474" s="34">
        <v>120000</v>
      </c>
    </row>
    <row r="475" spans="1:2" x14ac:dyDescent="0.2">
      <c r="A475" s="6" t="s">
        <v>4</v>
      </c>
      <c r="B475" s="32">
        <f>SUM(B471:B474)</f>
        <v>23732826</v>
      </c>
    </row>
    <row r="476" spans="1:2" x14ac:dyDescent="0.2">
      <c r="A476" s="6"/>
      <c r="B476" s="32"/>
    </row>
    <row r="477" spans="1:2" x14ac:dyDescent="0.2">
      <c r="A477" s="21" t="s">
        <v>28</v>
      </c>
      <c r="B477" s="34">
        <v>4574651</v>
      </c>
    </row>
    <row r="478" spans="1:2" x14ac:dyDescent="0.2">
      <c r="A478" s="21" t="s">
        <v>37</v>
      </c>
      <c r="B478" s="34">
        <v>105884</v>
      </c>
    </row>
    <row r="479" spans="1:2" x14ac:dyDescent="0.2">
      <c r="A479" s="21" t="s">
        <v>27</v>
      </c>
      <c r="B479" s="34">
        <v>30000</v>
      </c>
    </row>
    <row r="480" spans="1:2" x14ac:dyDescent="0.2">
      <c r="A480" s="21" t="s">
        <v>44</v>
      </c>
      <c r="B480" s="34">
        <v>81449</v>
      </c>
    </row>
    <row r="481" spans="1:2" x14ac:dyDescent="0.2">
      <c r="A481" s="6" t="s">
        <v>3</v>
      </c>
      <c r="B481" s="32">
        <f>SUM(B477:B480)</f>
        <v>4791984</v>
      </c>
    </row>
    <row r="482" spans="1:2" x14ac:dyDescent="0.2">
      <c r="A482" s="6"/>
      <c r="B482" s="32"/>
    </row>
    <row r="483" spans="1:2" x14ac:dyDescent="0.2">
      <c r="A483" s="22" t="s">
        <v>35</v>
      </c>
      <c r="B483" s="19">
        <v>10000</v>
      </c>
    </row>
    <row r="484" spans="1:2" x14ac:dyDescent="0.2">
      <c r="A484" s="13" t="s">
        <v>34</v>
      </c>
      <c r="B484" s="19">
        <v>15000</v>
      </c>
    </row>
    <row r="485" spans="1:2" x14ac:dyDescent="0.2">
      <c r="A485" s="13" t="s">
        <v>25</v>
      </c>
      <c r="B485" s="19">
        <v>20000</v>
      </c>
    </row>
    <row r="486" spans="1:2" x14ac:dyDescent="0.2">
      <c r="A486" s="13" t="s">
        <v>24</v>
      </c>
      <c r="B486" s="12">
        <v>20000</v>
      </c>
    </row>
    <row r="487" spans="1:2" x14ac:dyDescent="0.2">
      <c r="A487" s="11" t="s">
        <v>23</v>
      </c>
      <c r="B487" s="10">
        <f>SUM(B483:B486)</f>
        <v>65000</v>
      </c>
    </row>
    <row r="488" spans="1:2" x14ac:dyDescent="0.2">
      <c r="A488" s="13" t="s">
        <v>22</v>
      </c>
      <c r="B488" s="12">
        <v>50000</v>
      </c>
    </row>
    <row r="489" spans="1:2" x14ac:dyDescent="0.2">
      <c r="A489" s="13" t="s">
        <v>21</v>
      </c>
      <c r="B489" s="12">
        <f>8*32000</f>
        <v>256000</v>
      </c>
    </row>
    <row r="490" spans="1:2" x14ac:dyDescent="0.2">
      <c r="A490" s="13" t="s">
        <v>20</v>
      </c>
      <c r="B490" s="12">
        <f>240000-60000</f>
        <v>180000</v>
      </c>
    </row>
    <row r="491" spans="1:2" x14ac:dyDescent="0.2">
      <c r="A491" s="11" t="s">
        <v>19</v>
      </c>
      <c r="B491" s="10">
        <f>SUM(B488:B490)</f>
        <v>486000</v>
      </c>
    </row>
    <row r="492" spans="1:2" x14ac:dyDescent="0.2">
      <c r="A492" s="27" t="s">
        <v>43</v>
      </c>
      <c r="B492" s="12">
        <v>36000</v>
      </c>
    </row>
    <row r="493" spans="1:2" x14ac:dyDescent="0.2">
      <c r="A493" s="13" t="s">
        <v>18</v>
      </c>
      <c r="B493" s="12">
        <v>60000</v>
      </c>
    </row>
    <row r="494" spans="1:2" x14ac:dyDescent="0.2">
      <c r="A494" s="14" t="s">
        <v>17</v>
      </c>
      <c r="B494" s="10">
        <f>SUM(B492:B493)</f>
        <v>96000</v>
      </c>
    </row>
    <row r="495" spans="1:2" x14ac:dyDescent="0.2">
      <c r="A495" s="13" t="s">
        <v>16</v>
      </c>
      <c r="B495" s="12">
        <v>530000</v>
      </c>
    </row>
    <row r="496" spans="1:2" x14ac:dyDescent="0.2">
      <c r="A496" s="13" t="s">
        <v>15</v>
      </c>
      <c r="B496" s="12">
        <v>320000</v>
      </c>
    </row>
    <row r="497" spans="1:2" x14ac:dyDescent="0.2">
      <c r="A497" s="13" t="s">
        <v>14</v>
      </c>
      <c r="B497" s="12">
        <v>140000</v>
      </c>
    </row>
    <row r="498" spans="1:2" x14ac:dyDescent="0.2">
      <c r="A498" s="14" t="s">
        <v>13</v>
      </c>
      <c r="B498" s="10">
        <f>SUM(B495:B497)</f>
        <v>990000</v>
      </c>
    </row>
    <row r="499" spans="1:2" x14ac:dyDescent="0.2">
      <c r="A499" s="13" t="s">
        <v>12</v>
      </c>
      <c r="B499" s="12">
        <v>70000</v>
      </c>
    </row>
    <row r="500" spans="1:2" x14ac:dyDescent="0.2">
      <c r="A500" s="13" t="s">
        <v>33</v>
      </c>
      <c r="B500" s="12">
        <v>60000</v>
      </c>
    </row>
    <row r="501" spans="1:2" x14ac:dyDescent="0.2">
      <c r="A501" s="13" t="s">
        <v>70</v>
      </c>
      <c r="B501" s="12">
        <v>140000</v>
      </c>
    </row>
    <row r="502" spans="1:2" x14ac:dyDescent="0.2">
      <c r="A502" s="14" t="s">
        <v>9</v>
      </c>
      <c r="B502" s="10">
        <f>SUM(B499:B501)</f>
        <v>270000</v>
      </c>
    </row>
    <row r="503" spans="1:2" x14ac:dyDescent="0.2">
      <c r="A503" s="13" t="s">
        <v>8</v>
      </c>
      <c r="B503" s="12">
        <f>(B484+B483+B486+B488+B489+B492+B493+B495+B496+B497+B499+B500+B501+B490)*0.27</f>
        <v>509490.00000000006</v>
      </c>
    </row>
    <row r="504" spans="1:2" x14ac:dyDescent="0.2">
      <c r="A504" s="11" t="s">
        <v>7</v>
      </c>
      <c r="B504" s="10">
        <f>SUM(B503:B503)</f>
        <v>509490.00000000006</v>
      </c>
    </row>
    <row r="505" spans="1:2" x14ac:dyDescent="0.2">
      <c r="A505" s="5" t="s">
        <v>6</v>
      </c>
      <c r="B505" s="10">
        <f>B487+B491+B494+B498+B502+B504</f>
        <v>2416490</v>
      </c>
    </row>
    <row r="506" spans="1:2" x14ac:dyDescent="0.2">
      <c r="A506" s="5"/>
      <c r="B506" s="10"/>
    </row>
    <row r="507" spans="1:2" x14ac:dyDescent="0.2">
      <c r="A507" s="9" t="s">
        <v>5</v>
      </c>
      <c r="B507" s="10">
        <f>B475+B481+B505</f>
        <v>30941300</v>
      </c>
    </row>
    <row r="508" spans="1:2" x14ac:dyDescent="0.2">
      <c r="A508" s="9"/>
      <c r="B508" s="10"/>
    </row>
    <row r="509" spans="1:2" x14ac:dyDescent="0.2">
      <c r="A509" s="9"/>
      <c r="B509" s="10"/>
    </row>
    <row r="510" spans="1:2" x14ac:dyDescent="0.2">
      <c r="A510" s="9"/>
      <c r="B510" s="10"/>
    </row>
    <row r="511" spans="1:2" x14ac:dyDescent="0.2">
      <c r="A511" s="9"/>
      <c r="B511" s="10"/>
    </row>
    <row r="512" spans="1:2" x14ac:dyDescent="0.2">
      <c r="A512" s="9"/>
      <c r="B512" s="10"/>
    </row>
    <row r="513" spans="1:2" x14ac:dyDescent="0.2">
      <c r="A513" s="9"/>
      <c r="B513" s="10"/>
    </row>
    <row r="514" spans="1:2" x14ac:dyDescent="0.2">
      <c r="A514" s="9"/>
      <c r="B514" s="10"/>
    </row>
    <row r="515" spans="1:2" x14ac:dyDescent="0.2">
      <c r="A515" s="53" t="s">
        <v>69</v>
      </c>
      <c r="B515" s="59"/>
    </row>
    <row r="516" spans="1:2" x14ac:dyDescent="0.2">
      <c r="A516" s="9"/>
      <c r="B516" s="26"/>
    </row>
    <row r="517" spans="1:2" x14ac:dyDescent="0.2">
      <c r="A517" s="23" t="s">
        <v>49</v>
      </c>
      <c r="B517" s="15">
        <v>3024000</v>
      </c>
    </row>
    <row r="518" spans="1:2" x14ac:dyDescent="0.2">
      <c r="A518" s="14" t="s">
        <v>9</v>
      </c>
      <c r="B518" s="26">
        <f>SUM(B515:B517)</f>
        <v>3024000</v>
      </c>
    </row>
    <row r="519" spans="1:2" x14ac:dyDescent="0.2">
      <c r="A519" s="13" t="s">
        <v>8</v>
      </c>
      <c r="B519" s="15">
        <f>(B517)*0.27</f>
        <v>816480</v>
      </c>
    </row>
    <row r="520" spans="1:2" x14ac:dyDescent="0.2">
      <c r="A520" s="11" t="s">
        <v>7</v>
      </c>
      <c r="B520" s="26">
        <f>SUM(B519:B519)</f>
        <v>816480</v>
      </c>
    </row>
    <row r="521" spans="1:2" x14ac:dyDescent="0.2">
      <c r="A521" s="11"/>
      <c r="B521" s="15"/>
    </row>
    <row r="522" spans="1:2" x14ac:dyDescent="0.2">
      <c r="A522" s="5" t="s">
        <v>6</v>
      </c>
      <c r="B522" s="26">
        <f>B520+B518</f>
        <v>3840480</v>
      </c>
    </row>
    <row r="523" spans="1:2" x14ac:dyDescent="0.2">
      <c r="A523" s="5"/>
      <c r="B523" s="26"/>
    </row>
    <row r="524" spans="1:2" x14ac:dyDescent="0.2">
      <c r="A524" s="9" t="s">
        <v>5</v>
      </c>
      <c r="B524" s="26">
        <f>B522</f>
        <v>3840480</v>
      </c>
    </row>
    <row r="525" spans="1:2" x14ac:dyDescent="0.2">
      <c r="A525" s="9"/>
      <c r="B525" s="10"/>
    </row>
    <row r="526" spans="1:2" x14ac:dyDescent="0.2">
      <c r="A526" s="69" t="s">
        <v>68</v>
      </c>
      <c r="B526" s="70"/>
    </row>
    <row r="527" spans="1:2" x14ac:dyDescent="0.2">
      <c r="A527" s="21" t="s">
        <v>67</v>
      </c>
      <c r="B527" s="34">
        <v>9555356</v>
      </c>
    </row>
    <row r="528" spans="1:2" x14ac:dyDescent="0.2">
      <c r="A528" s="22" t="s">
        <v>59</v>
      </c>
      <c r="B528" s="34">
        <v>191107</v>
      </c>
    </row>
    <row r="529" spans="1:2" x14ac:dyDescent="0.2">
      <c r="A529" s="22" t="s">
        <v>58</v>
      </c>
      <c r="B529" s="34">
        <v>84135</v>
      </c>
    </row>
    <row r="530" spans="1:2" x14ac:dyDescent="0.2">
      <c r="A530" s="22" t="s">
        <v>57</v>
      </c>
      <c r="B530" s="34">
        <v>6000</v>
      </c>
    </row>
    <row r="531" spans="1:2" x14ac:dyDescent="0.2">
      <c r="A531" s="6" t="s">
        <v>4</v>
      </c>
      <c r="B531" s="32">
        <f>SUM(B527:B530)</f>
        <v>9836598</v>
      </c>
    </row>
    <row r="532" spans="1:2" x14ac:dyDescent="0.2">
      <c r="A532" s="6"/>
      <c r="B532" s="32"/>
    </row>
    <row r="533" spans="1:2" x14ac:dyDescent="0.2">
      <c r="A533" s="21" t="s">
        <v>28</v>
      </c>
      <c r="B533" s="34">
        <v>1897889</v>
      </c>
    </row>
    <row r="534" spans="1:2" x14ac:dyDescent="0.2">
      <c r="A534" s="21" t="s">
        <v>37</v>
      </c>
      <c r="B534" s="34">
        <v>45354</v>
      </c>
    </row>
    <row r="535" spans="1:2" x14ac:dyDescent="0.2">
      <c r="A535" s="21" t="s">
        <v>27</v>
      </c>
      <c r="B535" s="34">
        <v>10000</v>
      </c>
    </row>
    <row r="536" spans="1:2" x14ac:dyDescent="0.2">
      <c r="A536" s="21" t="s">
        <v>44</v>
      </c>
      <c r="B536" s="34">
        <v>34888</v>
      </c>
    </row>
    <row r="537" spans="1:2" x14ac:dyDescent="0.2">
      <c r="A537" s="6" t="s">
        <v>3</v>
      </c>
      <c r="B537" s="32">
        <f>SUM(B533:B536)</f>
        <v>1988131</v>
      </c>
    </row>
    <row r="538" spans="1:2" x14ac:dyDescent="0.2">
      <c r="A538" s="6"/>
      <c r="B538" s="32"/>
    </row>
    <row r="539" spans="1:2" x14ac:dyDescent="0.2">
      <c r="A539" s="13" t="s">
        <v>24</v>
      </c>
      <c r="B539" s="15">
        <v>20000</v>
      </c>
    </row>
    <row r="540" spans="1:2" x14ac:dyDescent="0.2">
      <c r="A540" s="11" t="s">
        <v>23</v>
      </c>
      <c r="B540" s="26">
        <f>SUM(B539:B539)</f>
        <v>20000</v>
      </c>
    </row>
    <row r="541" spans="1:2" x14ac:dyDescent="0.2">
      <c r="A541" s="13" t="s">
        <v>22</v>
      </c>
      <c r="B541" s="15">
        <f>60000-10000</f>
        <v>50000</v>
      </c>
    </row>
    <row r="542" spans="1:2" x14ac:dyDescent="0.2">
      <c r="A542" s="13" t="s">
        <v>21</v>
      </c>
      <c r="B542" s="15">
        <f>3*12000</f>
        <v>36000</v>
      </c>
    </row>
    <row r="543" spans="1:2" x14ac:dyDescent="0.2">
      <c r="A543" s="13" t="s">
        <v>20</v>
      </c>
      <c r="B543" s="15">
        <v>70000</v>
      </c>
    </row>
    <row r="544" spans="1:2" x14ac:dyDescent="0.2">
      <c r="A544" s="11" t="s">
        <v>19</v>
      </c>
      <c r="B544" s="10">
        <f>SUM(B541:B543)</f>
        <v>156000</v>
      </c>
    </row>
    <row r="545" spans="1:2" x14ac:dyDescent="0.2">
      <c r="A545" s="27" t="s">
        <v>43</v>
      </c>
      <c r="B545" s="15">
        <v>86000</v>
      </c>
    </row>
    <row r="546" spans="1:2" x14ac:dyDescent="0.2">
      <c r="A546" s="13" t="s">
        <v>18</v>
      </c>
      <c r="B546" s="15">
        <v>70000</v>
      </c>
    </row>
    <row r="547" spans="1:2" x14ac:dyDescent="0.2">
      <c r="A547" s="14" t="s">
        <v>17</v>
      </c>
      <c r="B547" s="26">
        <f>SUM(B545:B546)</f>
        <v>156000</v>
      </c>
    </row>
    <row r="548" spans="1:2" x14ac:dyDescent="0.2">
      <c r="A548" s="23" t="s">
        <v>42</v>
      </c>
      <c r="B548" s="12">
        <f>200000-50000</f>
        <v>150000</v>
      </c>
    </row>
    <row r="549" spans="1:2" x14ac:dyDescent="0.2">
      <c r="A549" s="13" t="s">
        <v>16</v>
      </c>
      <c r="B549" s="12">
        <f>80000-30000</f>
        <v>50000</v>
      </c>
    </row>
    <row r="550" spans="1:2" x14ac:dyDescent="0.2">
      <c r="A550" s="13" t="s">
        <v>15</v>
      </c>
      <c r="B550" s="12">
        <v>65000</v>
      </c>
    </row>
    <row r="551" spans="1:2" x14ac:dyDescent="0.2">
      <c r="A551" s="13" t="s">
        <v>14</v>
      </c>
      <c r="B551" s="12">
        <v>15000</v>
      </c>
    </row>
    <row r="552" spans="1:2" x14ac:dyDescent="0.2">
      <c r="A552" s="14" t="s">
        <v>13</v>
      </c>
      <c r="B552" s="10">
        <f>SUM(B548:B551)</f>
        <v>280000</v>
      </c>
    </row>
    <row r="553" spans="1:2" x14ac:dyDescent="0.2">
      <c r="A553" s="13" t="s">
        <v>12</v>
      </c>
      <c r="B553" s="12">
        <v>75000</v>
      </c>
    </row>
    <row r="554" spans="1:2" x14ac:dyDescent="0.2">
      <c r="A554" s="13" t="s">
        <v>66</v>
      </c>
      <c r="B554" s="12">
        <v>80000</v>
      </c>
    </row>
    <row r="555" spans="1:2" x14ac:dyDescent="0.2">
      <c r="A555" s="14" t="s">
        <v>9</v>
      </c>
      <c r="B555" s="10">
        <f>SUM(B553:B554)</f>
        <v>155000</v>
      </c>
    </row>
    <row r="556" spans="1:2" x14ac:dyDescent="0.2">
      <c r="A556" s="13" t="s">
        <v>65</v>
      </c>
      <c r="B556" s="12">
        <v>30000</v>
      </c>
    </row>
    <row r="557" spans="1:2" x14ac:dyDescent="0.2">
      <c r="A557" s="14" t="s">
        <v>64</v>
      </c>
      <c r="B557" s="10">
        <f>SUM(B556:B556)</f>
        <v>30000</v>
      </c>
    </row>
    <row r="558" spans="1:2" x14ac:dyDescent="0.2">
      <c r="A558" s="13" t="s">
        <v>8</v>
      </c>
      <c r="B558" s="12">
        <f>(B539+B542+B545+B546+B549+B550+B551+B553+B556+B554+B543+B541)*0.27+B548*0.05</f>
        <v>182190</v>
      </c>
    </row>
    <row r="559" spans="1:2" x14ac:dyDescent="0.2">
      <c r="A559" s="11" t="s">
        <v>7</v>
      </c>
      <c r="B559" s="10">
        <f>SUM(B558:B558)</f>
        <v>182190</v>
      </c>
    </row>
    <row r="560" spans="1:2" x14ac:dyDescent="0.2">
      <c r="A560" s="5" t="s">
        <v>6</v>
      </c>
      <c r="B560" s="10">
        <f>B540+B544+B547+B552+B555+B557+B559</f>
        <v>979190</v>
      </c>
    </row>
    <row r="561" spans="1:2" x14ac:dyDescent="0.2">
      <c r="A561" s="5"/>
      <c r="B561" s="33"/>
    </row>
    <row r="562" spans="1:2" x14ac:dyDescent="0.2">
      <c r="A562" s="9" t="s">
        <v>5</v>
      </c>
      <c r="B562" s="33">
        <f>B531+B537+B560</f>
        <v>12803919</v>
      </c>
    </row>
    <row r="563" spans="1:2" x14ac:dyDescent="0.2">
      <c r="A563" s="9"/>
      <c r="B563" s="32"/>
    </row>
    <row r="564" spans="1:2" x14ac:dyDescent="0.2">
      <c r="A564" s="53" t="s">
        <v>63</v>
      </c>
      <c r="B564" s="59"/>
    </row>
    <row r="565" spans="1:2" x14ac:dyDescent="0.2">
      <c r="A565" s="35"/>
      <c r="B565" s="35"/>
    </row>
    <row r="566" spans="1:2" x14ac:dyDescent="0.2">
      <c r="A566" s="21" t="s">
        <v>62</v>
      </c>
      <c r="B566" s="19">
        <v>3434939</v>
      </c>
    </row>
    <row r="567" spans="1:2" x14ac:dyDescent="0.2">
      <c r="A567" s="22" t="s">
        <v>59</v>
      </c>
      <c r="B567" s="19">
        <v>68699</v>
      </c>
    </row>
    <row r="568" spans="1:2" x14ac:dyDescent="0.2">
      <c r="A568" s="22" t="s">
        <v>58</v>
      </c>
      <c r="B568" s="19">
        <v>18045</v>
      </c>
    </row>
    <row r="569" spans="1:2" x14ac:dyDescent="0.2">
      <c r="A569" s="6" t="s">
        <v>4</v>
      </c>
      <c r="B569" s="33">
        <f>SUM(B566:B568)</f>
        <v>3521683</v>
      </c>
    </row>
    <row r="570" spans="1:2" x14ac:dyDescent="0.2">
      <c r="A570" s="6"/>
      <c r="B570" s="19"/>
    </row>
    <row r="571" spans="1:2" x14ac:dyDescent="0.2">
      <c r="A571" s="21" t="s">
        <v>28</v>
      </c>
      <c r="B571" s="19">
        <v>679787</v>
      </c>
    </row>
    <row r="572" spans="1:2" x14ac:dyDescent="0.2">
      <c r="A572" s="21" t="s">
        <v>37</v>
      </c>
      <c r="B572" s="19">
        <v>15808</v>
      </c>
    </row>
    <row r="573" spans="1:2" x14ac:dyDescent="0.2">
      <c r="A573" s="21" t="s">
        <v>44</v>
      </c>
      <c r="B573" s="19">
        <v>12160</v>
      </c>
    </row>
    <row r="574" spans="1:2" x14ac:dyDescent="0.2">
      <c r="A574" s="6" t="s">
        <v>3</v>
      </c>
      <c r="B574" s="33">
        <f>SUM(B571:B573)</f>
        <v>707755</v>
      </c>
    </row>
    <row r="575" spans="1:2" x14ac:dyDescent="0.2">
      <c r="A575" s="6"/>
      <c r="B575" s="33"/>
    </row>
    <row r="576" spans="1:2" x14ac:dyDescent="0.2">
      <c r="A576" s="23" t="s">
        <v>49</v>
      </c>
      <c r="B576" s="15">
        <v>14380000</v>
      </c>
    </row>
    <row r="577" spans="1:2" x14ac:dyDescent="0.2">
      <c r="A577" s="13" t="s">
        <v>21</v>
      </c>
      <c r="B577" s="15">
        <v>12000</v>
      </c>
    </row>
    <row r="578" spans="1:2" x14ac:dyDescent="0.2">
      <c r="A578" s="13" t="s">
        <v>8</v>
      </c>
      <c r="B578" s="15">
        <f>(B576+B577)*0.27</f>
        <v>3885840.0000000005</v>
      </c>
    </row>
    <row r="579" spans="1:2" x14ac:dyDescent="0.2">
      <c r="A579" s="14" t="s">
        <v>9</v>
      </c>
      <c r="B579" s="26">
        <f>B576+B577+B578</f>
        <v>18277840</v>
      </c>
    </row>
    <row r="580" spans="1:2" x14ac:dyDescent="0.2">
      <c r="A580" s="5" t="s">
        <v>6</v>
      </c>
      <c r="B580" s="26">
        <f>B579</f>
        <v>18277840</v>
      </c>
    </row>
    <row r="581" spans="1:2" x14ac:dyDescent="0.2">
      <c r="A581" s="9" t="s">
        <v>5</v>
      </c>
      <c r="B581" s="32">
        <f>B569+B574+B579</f>
        <v>22507278</v>
      </c>
    </row>
    <row r="582" spans="1:2" x14ac:dyDescent="0.2">
      <c r="A582" s="9"/>
      <c r="B582" s="32"/>
    </row>
    <row r="583" spans="1:2" x14ac:dyDescent="0.2">
      <c r="A583" s="53" t="s">
        <v>61</v>
      </c>
      <c r="B583" s="59"/>
    </row>
    <row r="584" spans="1:2" x14ac:dyDescent="0.2">
      <c r="A584" s="21" t="s">
        <v>60</v>
      </c>
      <c r="B584" s="34">
        <f>29158300+538200</f>
        <v>29696500</v>
      </c>
    </row>
    <row r="585" spans="1:2" x14ac:dyDescent="0.2">
      <c r="A585" s="22" t="s">
        <v>59</v>
      </c>
      <c r="B585" s="34">
        <v>583166</v>
      </c>
    </row>
    <row r="586" spans="1:2" x14ac:dyDescent="0.2">
      <c r="A586" s="22" t="s">
        <v>46</v>
      </c>
      <c r="B586" s="34">
        <v>0</v>
      </c>
    </row>
    <row r="587" spans="1:2" x14ac:dyDescent="0.2">
      <c r="A587" s="22" t="s">
        <v>58</v>
      </c>
      <c r="B587" s="34">
        <v>198495</v>
      </c>
    </row>
    <row r="588" spans="1:2" x14ac:dyDescent="0.2">
      <c r="A588" s="22" t="s">
        <v>39</v>
      </c>
      <c r="B588" s="34">
        <v>0</v>
      </c>
    </row>
    <row r="589" spans="1:2" x14ac:dyDescent="0.2">
      <c r="A589" s="22" t="s">
        <v>57</v>
      </c>
      <c r="B589" s="34">
        <v>6000</v>
      </c>
    </row>
    <row r="590" spans="1:2" x14ac:dyDescent="0.2">
      <c r="A590" s="6" t="s">
        <v>4</v>
      </c>
      <c r="B590" s="32">
        <f>SUM(B584:B589)</f>
        <v>30484161</v>
      </c>
    </row>
    <row r="591" spans="1:2" x14ac:dyDescent="0.2">
      <c r="A591" s="6"/>
      <c r="B591" s="32"/>
    </row>
    <row r="592" spans="1:2" x14ac:dyDescent="0.2">
      <c r="A592" s="21" t="s">
        <v>28</v>
      </c>
      <c r="B592" s="34">
        <v>6158854</v>
      </c>
    </row>
    <row r="593" spans="1:2" x14ac:dyDescent="0.2">
      <c r="A593" s="21" t="s">
        <v>37</v>
      </c>
      <c r="B593" s="34">
        <v>135567</v>
      </c>
    </row>
    <row r="594" spans="1:2" x14ac:dyDescent="0.2">
      <c r="A594" s="21" t="s">
        <v>45</v>
      </c>
      <c r="B594" s="34">
        <v>50000</v>
      </c>
    </row>
    <row r="595" spans="1:2" x14ac:dyDescent="0.2">
      <c r="A595" s="21" t="s">
        <v>44</v>
      </c>
      <c r="B595" s="34">
        <v>104282</v>
      </c>
    </row>
    <row r="596" spans="1:2" x14ac:dyDescent="0.2">
      <c r="A596" s="6" t="s">
        <v>3</v>
      </c>
      <c r="B596" s="32">
        <f>SUM(B592:B595)</f>
        <v>6448703</v>
      </c>
    </row>
    <row r="597" spans="1:2" x14ac:dyDescent="0.2">
      <c r="A597" s="6"/>
      <c r="B597" s="32"/>
    </row>
    <row r="598" spans="1:2" x14ac:dyDescent="0.2">
      <c r="A598" s="22" t="s">
        <v>35</v>
      </c>
      <c r="B598" s="19">
        <v>5000</v>
      </c>
    </row>
    <row r="599" spans="1:2" x14ac:dyDescent="0.2">
      <c r="A599" s="13" t="s">
        <v>24</v>
      </c>
      <c r="B599" s="12">
        <v>60000</v>
      </c>
    </row>
    <row r="600" spans="1:2" x14ac:dyDescent="0.2">
      <c r="A600" s="11" t="s">
        <v>23</v>
      </c>
      <c r="B600" s="10">
        <f>SUM(B598:B599)</f>
        <v>65000</v>
      </c>
    </row>
    <row r="601" spans="1:2" x14ac:dyDescent="0.2">
      <c r="A601" s="13" t="s">
        <v>22</v>
      </c>
      <c r="B601" s="12">
        <v>60000</v>
      </c>
    </row>
    <row r="602" spans="1:2" x14ac:dyDescent="0.2">
      <c r="A602" s="13" t="s">
        <v>56</v>
      </c>
      <c r="B602" s="12">
        <v>50000</v>
      </c>
    </row>
    <row r="603" spans="1:2" x14ac:dyDescent="0.2">
      <c r="A603" s="13" t="s">
        <v>21</v>
      </c>
      <c r="B603" s="12">
        <v>156000</v>
      </c>
    </row>
    <row r="604" spans="1:2" x14ac:dyDescent="0.2">
      <c r="A604" s="13" t="s">
        <v>20</v>
      </c>
      <c r="B604" s="15">
        <v>150000</v>
      </c>
    </row>
    <row r="605" spans="1:2" x14ac:dyDescent="0.2">
      <c r="A605" s="11" t="s">
        <v>19</v>
      </c>
      <c r="B605" s="26">
        <f>SUM(B601:B604)</f>
        <v>416000</v>
      </c>
    </row>
    <row r="606" spans="1:2" x14ac:dyDescent="0.2">
      <c r="A606" s="27" t="s">
        <v>43</v>
      </c>
      <c r="B606" s="15">
        <v>50000</v>
      </c>
    </row>
    <row r="607" spans="1:2" x14ac:dyDescent="0.2">
      <c r="A607" s="13" t="s">
        <v>18</v>
      </c>
      <c r="B607" s="15">
        <v>92000</v>
      </c>
    </row>
    <row r="608" spans="1:2" x14ac:dyDescent="0.2">
      <c r="A608" s="14" t="s">
        <v>17</v>
      </c>
      <c r="B608" s="26">
        <f>SUM(B606:B607)</f>
        <v>142000</v>
      </c>
    </row>
    <row r="609" spans="1:2" x14ac:dyDescent="0.2">
      <c r="A609" s="13" t="s">
        <v>16</v>
      </c>
      <c r="B609" s="12">
        <v>160000</v>
      </c>
    </row>
    <row r="610" spans="1:2" x14ac:dyDescent="0.2">
      <c r="A610" s="13" t="s">
        <v>15</v>
      </c>
      <c r="B610" s="12">
        <v>100000</v>
      </c>
    </row>
    <row r="611" spans="1:2" x14ac:dyDescent="0.2">
      <c r="A611" s="13" t="s">
        <v>14</v>
      </c>
      <c r="B611" s="12">
        <v>110000</v>
      </c>
    </row>
    <row r="612" spans="1:2" x14ac:dyDescent="0.2">
      <c r="A612" s="14" t="s">
        <v>13</v>
      </c>
      <c r="B612" s="10">
        <f>SUM(B609:B611)</f>
        <v>370000</v>
      </c>
    </row>
    <row r="613" spans="1:2" x14ac:dyDescent="0.2">
      <c r="A613" s="13" t="s">
        <v>12</v>
      </c>
      <c r="B613" s="12">
        <v>100000</v>
      </c>
    </row>
    <row r="614" spans="1:2" x14ac:dyDescent="0.2">
      <c r="A614" s="13" t="s">
        <v>10</v>
      </c>
      <c r="B614" s="12">
        <v>50000</v>
      </c>
    </row>
    <row r="615" spans="1:2" x14ac:dyDescent="0.2">
      <c r="A615" s="14" t="s">
        <v>9</v>
      </c>
      <c r="B615" s="10">
        <f>SUM(B613:B614)</f>
        <v>150000</v>
      </c>
    </row>
    <row r="616" spans="1:2" x14ac:dyDescent="0.2">
      <c r="A616" s="13" t="s">
        <v>8</v>
      </c>
      <c r="B616" s="12">
        <f>(B598+B599+B602+B603+B606+B607+B610+B611+B613+B601+B604+B614)*0.27+40000</f>
        <v>305410</v>
      </c>
    </row>
    <row r="617" spans="1:2" x14ac:dyDescent="0.2">
      <c r="A617" s="11" t="s">
        <v>7</v>
      </c>
      <c r="B617" s="10">
        <f>SUM(B616:B616)</f>
        <v>305410</v>
      </c>
    </row>
    <row r="618" spans="1:2" x14ac:dyDescent="0.2">
      <c r="A618" s="5" t="s">
        <v>6</v>
      </c>
      <c r="B618" s="10">
        <f>B600+B605+B608+B612+B615+B617</f>
        <v>1448410</v>
      </c>
    </row>
    <row r="619" spans="1:2" x14ac:dyDescent="0.2">
      <c r="A619" s="9" t="s">
        <v>5</v>
      </c>
      <c r="B619" s="33">
        <f>B590+B596+B618</f>
        <v>38381274</v>
      </c>
    </row>
    <row r="620" spans="1:2" x14ac:dyDescent="0.2">
      <c r="A620" s="68"/>
      <c r="B620" s="68"/>
    </row>
    <row r="621" spans="1:2" x14ac:dyDescent="0.2">
      <c r="A621" s="9"/>
      <c r="B621" s="26"/>
    </row>
    <row r="622" spans="1:2" x14ac:dyDescent="0.2">
      <c r="A622" s="6" t="s">
        <v>4</v>
      </c>
      <c r="B622" s="32">
        <f>B335+B364+B408+B434+B475+B531+B569+B590+B350</f>
        <v>111616618</v>
      </c>
    </row>
    <row r="623" spans="1:2" x14ac:dyDescent="0.2">
      <c r="A623" s="6" t="s">
        <v>3</v>
      </c>
      <c r="B623" s="32">
        <f>B339+B370+B414+B440+B481+B537+B574+B596+B354</f>
        <v>21570745</v>
      </c>
    </row>
    <row r="624" spans="1:2" x14ac:dyDescent="0.2">
      <c r="A624" s="5" t="s">
        <v>2</v>
      </c>
      <c r="B624" s="32">
        <f>B395+B423+B466+B505+B522+B560+B580+B618</f>
        <v>33838545</v>
      </c>
    </row>
    <row r="625" spans="1:2" ht="22.5" x14ac:dyDescent="0.2">
      <c r="A625" s="4" t="s">
        <v>55</v>
      </c>
      <c r="B625" s="32">
        <f>SUM(B622:B624)</f>
        <v>167025908</v>
      </c>
    </row>
    <row r="626" spans="1:2" x14ac:dyDescent="0.2">
      <c r="A626" s="5"/>
      <c r="B626" s="32"/>
    </row>
    <row r="627" spans="1:2" x14ac:dyDescent="0.2">
      <c r="A627" s="5"/>
      <c r="B627" s="32"/>
    </row>
    <row r="628" spans="1:2" x14ac:dyDescent="0.2">
      <c r="A628" s="66" t="s">
        <v>54</v>
      </c>
      <c r="B628" s="66"/>
    </row>
    <row r="629" spans="1:2" x14ac:dyDescent="0.2">
      <c r="A629" s="31"/>
      <c r="B629" s="31"/>
    </row>
    <row r="630" spans="1:2" x14ac:dyDescent="0.2">
      <c r="A630" s="67" t="s">
        <v>53</v>
      </c>
      <c r="B630" s="67"/>
    </row>
    <row r="631" spans="1:2" x14ac:dyDescent="0.2">
      <c r="A631" s="8"/>
      <c r="B631" s="7"/>
    </row>
    <row r="632" spans="1:2" x14ac:dyDescent="0.2">
      <c r="A632" s="62" t="s">
        <v>52</v>
      </c>
      <c r="B632" s="54"/>
    </row>
    <row r="633" spans="1:2" x14ac:dyDescent="0.2">
      <c r="A633" s="30"/>
      <c r="B633" s="29"/>
    </row>
    <row r="634" spans="1:2" x14ac:dyDescent="0.2">
      <c r="A634" s="21" t="s">
        <v>51</v>
      </c>
      <c r="B634" s="12">
        <v>2407965</v>
      </c>
    </row>
    <row r="635" spans="1:2" x14ac:dyDescent="0.2">
      <c r="A635" s="6" t="s">
        <v>4</v>
      </c>
      <c r="B635" s="10">
        <f>B634</f>
        <v>2407965</v>
      </c>
    </row>
    <row r="636" spans="1:2" x14ac:dyDescent="0.2">
      <c r="A636" s="6"/>
      <c r="B636" s="10"/>
    </row>
    <row r="637" spans="1:2" x14ac:dyDescent="0.2">
      <c r="A637" s="21" t="s">
        <v>28</v>
      </c>
      <c r="B637" s="12">
        <v>238853</v>
      </c>
    </row>
    <row r="638" spans="1:2" x14ac:dyDescent="0.2">
      <c r="A638" s="21" t="s">
        <v>27</v>
      </c>
      <c r="B638" s="12">
        <v>40000</v>
      </c>
    </row>
    <row r="639" spans="1:2" x14ac:dyDescent="0.2">
      <c r="A639" s="6" t="s">
        <v>3</v>
      </c>
      <c r="B639" s="10">
        <f>SUM(B637:B638)</f>
        <v>278853</v>
      </c>
    </row>
    <row r="640" spans="1:2" x14ac:dyDescent="0.2">
      <c r="A640" s="9" t="s">
        <v>5</v>
      </c>
      <c r="B640" s="10">
        <f>B635+B639</f>
        <v>2686818</v>
      </c>
    </row>
    <row r="641" spans="1:2" x14ac:dyDescent="0.2">
      <c r="A641" s="8"/>
      <c r="B641" s="7"/>
    </row>
    <row r="642" spans="1:2" x14ac:dyDescent="0.2">
      <c r="A642" s="60" t="s">
        <v>50</v>
      </c>
      <c r="B642" s="61"/>
    </row>
    <row r="643" spans="1:2" x14ac:dyDescent="0.2">
      <c r="A643" s="23" t="s">
        <v>49</v>
      </c>
      <c r="B643" s="15">
        <v>39974000</v>
      </c>
    </row>
    <row r="644" spans="1:2" x14ac:dyDescent="0.2">
      <c r="A644" s="13" t="s">
        <v>8</v>
      </c>
      <c r="B644" s="15">
        <f>0.27*B643</f>
        <v>10792980</v>
      </c>
    </row>
    <row r="645" spans="1:2" x14ac:dyDescent="0.2">
      <c r="A645" s="14" t="s">
        <v>9</v>
      </c>
      <c r="B645" s="26">
        <f>SUM(B643:B644)</f>
        <v>50766980</v>
      </c>
    </row>
    <row r="646" spans="1:2" x14ac:dyDescent="0.2">
      <c r="A646" s="5" t="s">
        <v>6</v>
      </c>
      <c r="B646" s="26">
        <f>B645</f>
        <v>50766980</v>
      </c>
    </row>
    <row r="647" spans="1:2" x14ac:dyDescent="0.2">
      <c r="A647" s="5"/>
      <c r="B647" s="26"/>
    </row>
    <row r="648" spans="1:2" x14ac:dyDescent="0.2">
      <c r="A648" s="9" t="s">
        <v>5</v>
      </c>
      <c r="B648" s="26">
        <f>B646</f>
        <v>50766980</v>
      </c>
    </row>
    <row r="649" spans="1:2" x14ac:dyDescent="0.2">
      <c r="A649" s="8"/>
      <c r="B649" s="24"/>
    </row>
    <row r="650" spans="1:2" x14ac:dyDescent="0.2">
      <c r="A650" s="60" t="s">
        <v>48</v>
      </c>
      <c r="B650" s="61"/>
    </row>
    <row r="651" spans="1:2" x14ac:dyDescent="0.2">
      <c r="A651" s="21" t="s">
        <v>47</v>
      </c>
      <c r="B651" s="24">
        <v>14170200</v>
      </c>
    </row>
    <row r="652" spans="1:2" x14ac:dyDescent="0.2">
      <c r="A652" s="22" t="s">
        <v>46</v>
      </c>
      <c r="B652" s="24">
        <v>0</v>
      </c>
    </row>
    <row r="653" spans="1:2" x14ac:dyDescent="0.2">
      <c r="A653" s="22" t="s">
        <v>30</v>
      </c>
      <c r="B653" s="19">
        <v>100000</v>
      </c>
    </row>
    <row r="654" spans="1:2" x14ac:dyDescent="0.2">
      <c r="A654" s="22" t="s">
        <v>39</v>
      </c>
      <c r="B654" s="19">
        <v>200000</v>
      </c>
    </row>
    <row r="655" spans="1:2" x14ac:dyDescent="0.2">
      <c r="A655" s="6" t="s">
        <v>4</v>
      </c>
      <c r="B655" s="25">
        <f>SUM(B651:B654)</f>
        <v>14470200</v>
      </c>
    </row>
    <row r="656" spans="1:2" x14ac:dyDescent="0.2">
      <c r="A656" s="6"/>
      <c r="B656" s="25"/>
    </row>
    <row r="657" spans="1:2" x14ac:dyDescent="0.2">
      <c r="A657" s="21" t="s">
        <v>28</v>
      </c>
      <c r="B657" s="24">
        <v>2838504</v>
      </c>
    </row>
    <row r="658" spans="1:2" x14ac:dyDescent="0.2">
      <c r="A658" s="21" t="s">
        <v>37</v>
      </c>
      <c r="B658" s="24">
        <v>11505</v>
      </c>
    </row>
    <row r="659" spans="1:2" x14ac:dyDescent="0.2">
      <c r="A659" s="21" t="s">
        <v>45</v>
      </c>
      <c r="B659" s="24">
        <v>25000</v>
      </c>
    </row>
    <row r="660" spans="1:2" x14ac:dyDescent="0.2">
      <c r="A660" s="21" t="s">
        <v>44</v>
      </c>
      <c r="B660" s="24">
        <v>8850</v>
      </c>
    </row>
    <row r="661" spans="1:2" x14ac:dyDescent="0.2">
      <c r="A661" s="6" t="s">
        <v>3</v>
      </c>
      <c r="B661" s="28">
        <f>SUM(B657:B660)</f>
        <v>2883859</v>
      </c>
    </row>
    <row r="662" spans="1:2" x14ac:dyDescent="0.2">
      <c r="A662" s="6"/>
      <c r="B662" s="24"/>
    </row>
    <row r="663" spans="1:2" x14ac:dyDescent="0.2">
      <c r="A663" s="13" t="s">
        <v>22</v>
      </c>
      <c r="B663" s="15">
        <f>250000-50000</f>
        <v>200000</v>
      </c>
    </row>
    <row r="664" spans="1:2" x14ac:dyDescent="0.2">
      <c r="A664" s="13" t="s">
        <v>21</v>
      </c>
      <c r="B664" s="15">
        <v>228000</v>
      </c>
    </row>
    <row r="665" spans="1:2" x14ac:dyDescent="0.2">
      <c r="A665" s="13" t="s">
        <v>20</v>
      </c>
      <c r="B665" s="15">
        <f>800000-100000</f>
        <v>700000</v>
      </c>
    </row>
    <row r="666" spans="1:2" x14ac:dyDescent="0.2">
      <c r="A666" s="11" t="s">
        <v>19</v>
      </c>
      <c r="B666" s="26">
        <f>SUM(B663:B665)</f>
        <v>1128000</v>
      </c>
    </row>
    <row r="667" spans="1:2" x14ac:dyDescent="0.2">
      <c r="A667" s="27" t="s">
        <v>43</v>
      </c>
      <c r="B667" s="15">
        <v>125000</v>
      </c>
    </row>
    <row r="668" spans="1:2" x14ac:dyDescent="0.2">
      <c r="A668" s="13" t="s">
        <v>18</v>
      </c>
      <c r="B668" s="15">
        <v>230000</v>
      </c>
    </row>
    <row r="669" spans="1:2" x14ac:dyDescent="0.2">
      <c r="A669" s="14" t="s">
        <v>17</v>
      </c>
      <c r="B669" s="26">
        <f>SUM(B667:B668)</f>
        <v>355000</v>
      </c>
    </row>
    <row r="670" spans="1:2" x14ac:dyDescent="0.2">
      <c r="A670" s="13" t="s">
        <v>16</v>
      </c>
      <c r="B670" s="12">
        <f>750000-100000</f>
        <v>650000</v>
      </c>
    </row>
    <row r="671" spans="1:2" x14ac:dyDescent="0.2">
      <c r="A671" s="13" t="s">
        <v>42</v>
      </c>
      <c r="B671" s="12">
        <v>750000</v>
      </c>
    </row>
    <row r="672" spans="1:2" x14ac:dyDescent="0.2">
      <c r="A672" s="13" t="s">
        <v>15</v>
      </c>
      <c r="B672" s="12">
        <v>650000</v>
      </c>
    </row>
    <row r="673" spans="1:2" x14ac:dyDescent="0.2">
      <c r="A673" s="13" t="s">
        <v>14</v>
      </c>
      <c r="B673" s="12">
        <v>400000</v>
      </c>
    </row>
    <row r="674" spans="1:2" x14ac:dyDescent="0.2">
      <c r="A674" s="14" t="s">
        <v>13</v>
      </c>
      <c r="B674" s="10">
        <f>SUM(B670:B673)</f>
        <v>2450000</v>
      </c>
    </row>
    <row r="675" spans="1:2" x14ac:dyDescent="0.2">
      <c r="A675" s="13" t="s">
        <v>12</v>
      </c>
      <c r="B675" s="12">
        <f>150000-30000</f>
        <v>120000</v>
      </c>
    </row>
    <row r="676" spans="1:2" x14ac:dyDescent="0.2">
      <c r="A676" s="13" t="s">
        <v>10</v>
      </c>
      <c r="B676" s="12">
        <v>600000</v>
      </c>
    </row>
    <row r="677" spans="1:2" x14ac:dyDescent="0.2">
      <c r="A677" s="14" t="s">
        <v>9</v>
      </c>
      <c r="B677" s="10">
        <f>SUM(B675:B676)</f>
        <v>720000</v>
      </c>
    </row>
    <row r="678" spans="1:2" x14ac:dyDescent="0.2">
      <c r="A678" s="13" t="s">
        <v>8</v>
      </c>
      <c r="B678" s="12">
        <f>(B663+B664+B665+B667+B668+B670+B672+B673+B676+B675)*0.27+B671*0.05</f>
        <v>1091310</v>
      </c>
    </row>
    <row r="679" spans="1:2" x14ac:dyDescent="0.2">
      <c r="A679" s="11" t="s">
        <v>7</v>
      </c>
      <c r="B679" s="10">
        <f>SUM(B678:B678)</f>
        <v>1091310</v>
      </c>
    </row>
    <row r="680" spans="1:2" x14ac:dyDescent="0.2">
      <c r="A680" s="5" t="s">
        <v>6</v>
      </c>
      <c r="B680" s="10">
        <f>+B666+B669+B674+B677+B679</f>
        <v>5744310</v>
      </c>
    </row>
    <row r="681" spans="1:2" x14ac:dyDescent="0.2">
      <c r="A681" s="9" t="s">
        <v>5</v>
      </c>
      <c r="B681" s="25">
        <f>B655+B661+B680</f>
        <v>23098369</v>
      </c>
    </row>
    <row r="682" spans="1:2" x14ac:dyDescent="0.2">
      <c r="A682" s="9"/>
      <c r="B682" s="24"/>
    </row>
    <row r="683" spans="1:2" x14ac:dyDescent="0.2">
      <c r="A683" s="60" t="s">
        <v>41</v>
      </c>
      <c r="B683" s="61"/>
    </row>
    <row r="684" spans="1:2" x14ac:dyDescent="0.2">
      <c r="A684" s="8"/>
      <c r="B684" s="7"/>
    </row>
    <row r="685" spans="1:2" x14ac:dyDescent="0.2">
      <c r="A685" s="21" t="s">
        <v>40</v>
      </c>
      <c r="B685" s="7">
        <v>47100060</v>
      </c>
    </row>
    <row r="686" spans="1:2" x14ac:dyDescent="0.2">
      <c r="A686" s="22" t="s">
        <v>30</v>
      </c>
      <c r="B686" s="7">
        <v>352630</v>
      </c>
    </row>
    <row r="687" spans="1:2" x14ac:dyDescent="0.2">
      <c r="A687" s="22" t="s">
        <v>39</v>
      </c>
      <c r="B687" s="7">
        <v>150000</v>
      </c>
    </row>
    <row r="688" spans="1:2" x14ac:dyDescent="0.2">
      <c r="A688" s="22" t="s">
        <v>38</v>
      </c>
      <c r="B688" s="7">
        <v>816000</v>
      </c>
    </row>
    <row r="689" spans="1:2" x14ac:dyDescent="0.2">
      <c r="A689" s="6" t="s">
        <v>4</v>
      </c>
      <c r="B689" s="3">
        <f>SUM(B685:B688)</f>
        <v>48418690</v>
      </c>
    </row>
    <row r="690" spans="1:2" x14ac:dyDescent="0.2">
      <c r="A690" s="6"/>
      <c r="B690" s="3"/>
    </row>
    <row r="691" spans="1:2" x14ac:dyDescent="0.2">
      <c r="A691" s="21" t="s">
        <v>28</v>
      </c>
      <c r="B691" s="7">
        <v>10241969</v>
      </c>
    </row>
    <row r="692" spans="1:2" x14ac:dyDescent="0.2">
      <c r="A692" s="21" t="s">
        <v>27</v>
      </c>
      <c r="B692" s="7">
        <v>11505</v>
      </c>
    </row>
    <row r="693" spans="1:2" x14ac:dyDescent="0.2">
      <c r="A693" s="21" t="s">
        <v>37</v>
      </c>
      <c r="B693" s="7">
        <v>50000</v>
      </c>
    </row>
    <row r="694" spans="1:2" x14ac:dyDescent="0.2">
      <c r="A694" s="21" t="s">
        <v>36</v>
      </c>
      <c r="B694" s="7">
        <v>8850</v>
      </c>
    </row>
    <row r="695" spans="1:2" x14ac:dyDescent="0.2">
      <c r="A695" s="6" t="s">
        <v>3</v>
      </c>
      <c r="B695" s="3">
        <f>SUM(B691:B694)</f>
        <v>10312324</v>
      </c>
    </row>
    <row r="696" spans="1:2" x14ac:dyDescent="0.2">
      <c r="A696" s="20"/>
      <c r="B696" s="7"/>
    </row>
    <row r="697" spans="1:2" x14ac:dyDescent="0.2">
      <c r="A697" s="23" t="s">
        <v>35</v>
      </c>
      <c r="B697" s="19">
        <v>20000</v>
      </c>
    </row>
    <row r="698" spans="1:2" x14ac:dyDescent="0.2">
      <c r="A698" s="13" t="s">
        <v>34</v>
      </c>
      <c r="B698" s="19">
        <v>60000</v>
      </c>
    </row>
    <row r="699" spans="1:2" x14ac:dyDescent="0.2">
      <c r="A699" s="13" t="s">
        <v>25</v>
      </c>
      <c r="B699" s="19">
        <v>60000</v>
      </c>
    </row>
    <row r="700" spans="1:2" x14ac:dyDescent="0.2">
      <c r="A700" s="13" t="s">
        <v>24</v>
      </c>
      <c r="B700" s="12">
        <f>300000-50000</f>
        <v>250000</v>
      </c>
    </row>
    <row r="701" spans="1:2" x14ac:dyDescent="0.2">
      <c r="A701" s="11" t="s">
        <v>23</v>
      </c>
      <c r="B701" s="10">
        <f>SUM(B697:B700)</f>
        <v>390000</v>
      </c>
    </row>
    <row r="702" spans="1:2" x14ac:dyDescent="0.2">
      <c r="A702" s="13" t="s">
        <v>33</v>
      </c>
      <c r="B702" s="12">
        <f>460800+100000+39200</f>
        <v>600000</v>
      </c>
    </row>
    <row r="703" spans="1:2" x14ac:dyDescent="0.2">
      <c r="A703" s="14" t="s">
        <v>9</v>
      </c>
      <c r="B703" s="10">
        <f>SUM(B702:B702)</f>
        <v>600000</v>
      </c>
    </row>
    <row r="704" spans="1:2" x14ac:dyDescent="0.2">
      <c r="A704" s="13" t="s">
        <v>8</v>
      </c>
      <c r="B704" s="12">
        <f>(B697+B698+B699+B700)*0.27</f>
        <v>105300</v>
      </c>
    </row>
    <row r="705" spans="1:2" x14ac:dyDescent="0.2">
      <c r="A705" s="11" t="s">
        <v>7</v>
      </c>
      <c r="B705" s="10">
        <f>SUM(B704:B704)</f>
        <v>105300</v>
      </c>
    </row>
    <row r="706" spans="1:2" x14ac:dyDescent="0.2">
      <c r="A706" s="5" t="s">
        <v>6</v>
      </c>
      <c r="B706" s="10">
        <f>B701+B703+B705</f>
        <v>1095300</v>
      </c>
    </row>
    <row r="707" spans="1:2" x14ac:dyDescent="0.2">
      <c r="A707" s="5"/>
      <c r="B707" s="7"/>
    </row>
    <row r="708" spans="1:2" x14ac:dyDescent="0.2">
      <c r="A708" s="9" t="s">
        <v>5</v>
      </c>
      <c r="B708" s="3">
        <f>B689+B695+B706</f>
        <v>59826314</v>
      </c>
    </row>
    <row r="709" spans="1:2" x14ac:dyDescent="0.2">
      <c r="A709" s="8"/>
      <c r="B709" s="7"/>
    </row>
    <row r="710" spans="1:2" x14ac:dyDescent="0.2">
      <c r="A710" s="60" t="s">
        <v>32</v>
      </c>
      <c r="B710" s="61"/>
    </row>
    <row r="711" spans="1:2" x14ac:dyDescent="0.2">
      <c r="A711" s="21" t="s">
        <v>31</v>
      </c>
      <c r="B711" s="7">
        <v>3820800</v>
      </c>
    </row>
    <row r="712" spans="1:2" x14ac:dyDescent="0.2">
      <c r="A712" s="22" t="s">
        <v>30</v>
      </c>
      <c r="B712" s="7">
        <v>27066</v>
      </c>
    </row>
    <row r="713" spans="1:2" x14ac:dyDescent="0.2">
      <c r="A713" s="22" t="s">
        <v>29</v>
      </c>
      <c r="B713" s="7">
        <v>50000</v>
      </c>
    </row>
    <row r="714" spans="1:2" x14ac:dyDescent="0.2">
      <c r="A714" s="6" t="s">
        <v>4</v>
      </c>
      <c r="B714" s="3">
        <f>SUM(B711:B713)</f>
        <v>3897866</v>
      </c>
    </row>
    <row r="715" spans="1:2" x14ac:dyDescent="0.2">
      <c r="A715" s="6"/>
      <c r="B715" s="3"/>
    </row>
    <row r="716" spans="1:2" x14ac:dyDescent="0.2">
      <c r="A716" s="21" t="s">
        <v>28</v>
      </c>
      <c r="B716" s="7">
        <v>766179</v>
      </c>
    </row>
    <row r="717" spans="1:2" x14ac:dyDescent="0.2">
      <c r="A717" s="21" t="s">
        <v>27</v>
      </c>
      <c r="B717" s="7">
        <v>15000</v>
      </c>
    </row>
    <row r="718" spans="1:2" x14ac:dyDescent="0.2">
      <c r="A718" s="6" t="s">
        <v>3</v>
      </c>
      <c r="B718" s="3">
        <f>SUM(B716:B717)</f>
        <v>781179</v>
      </c>
    </row>
    <row r="719" spans="1:2" x14ac:dyDescent="0.2">
      <c r="A719" s="20"/>
      <c r="B719" s="7"/>
    </row>
    <row r="720" spans="1:2" x14ac:dyDescent="0.2">
      <c r="A720" s="13" t="s">
        <v>26</v>
      </c>
      <c r="B720" s="19">
        <v>610000</v>
      </c>
    </row>
    <row r="721" spans="1:2" x14ac:dyDescent="0.2">
      <c r="A721" s="13" t="s">
        <v>25</v>
      </c>
      <c r="B721" s="19">
        <v>250000</v>
      </c>
    </row>
    <row r="722" spans="1:2" x14ac:dyDescent="0.2">
      <c r="A722" s="13" t="s">
        <v>24</v>
      </c>
      <c r="B722" s="18">
        <v>30000</v>
      </c>
    </row>
    <row r="723" spans="1:2" x14ac:dyDescent="0.2">
      <c r="A723" s="11" t="s">
        <v>23</v>
      </c>
      <c r="B723" s="16">
        <f>SUM(B720:B722)</f>
        <v>890000</v>
      </c>
    </row>
    <row r="724" spans="1:2" x14ac:dyDescent="0.2">
      <c r="A724" s="13" t="s">
        <v>22</v>
      </c>
      <c r="B724" s="17">
        <v>60000</v>
      </c>
    </row>
    <row r="725" spans="1:2" x14ac:dyDescent="0.2">
      <c r="A725" s="13" t="s">
        <v>21</v>
      </c>
      <c r="B725" s="17">
        <v>12000</v>
      </c>
    </row>
    <row r="726" spans="1:2" x14ac:dyDescent="0.2">
      <c r="A726" s="13" t="s">
        <v>20</v>
      </c>
      <c r="B726" s="17">
        <v>50000</v>
      </c>
    </row>
    <row r="727" spans="1:2" x14ac:dyDescent="0.2">
      <c r="A727" s="11" t="s">
        <v>19</v>
      </c>
      <c r="B727" s="16">
        <f>SUM(B724:B726)</f>
        <v>122000</v>
      </c>
    </row>
    <row r="728" spans="1:2" x14ac:dyDescent="0.2">
      <c r="A728" s="13" t="s">
        <v>18</v>
      </c>
      <c r="B728" s="12">
        <v>60000</v>
      </c>
    </row>
    <row r="729" spans="1:2" x14ac:dyDescent="0.2">
      <c r="A729" s="14" t="s">
        <v>17</v>
      </c>
      <c r="B729" s="10">
        <f>SUM(B728:B728)</f>
        <v>60000</v>
      </c>
    </row>
    <row r="730" spans="1:2" x14ac:dyDescent="0.2">
      <c r="A730" s="13" t="s">
        <v>16</v>
      </c>
      <c r="B730" s="12">
        <v>270000</v>
      </c>
    </row>
    <row r="731" spans="1:2" x14ac:dyDescent="0.2">
      <c r="A731" s="13" t="s">
        <v>15</v>
      </c>
      <c r="B731" s="12">
        <v>120000</v>
      </c>
    </row>
    <row r="732" spans="1:2" x14ac:dyDescent="0.2">
      <c r="A732" s="13" t="s">
        <v>14</v>
      </c>
      <c r="B732" s="12">
        <v>15000</v>
      </c>
    </row>
    <row r="733" spans="1:2" x14ac:dyDescent="0.2">
      <c r="A733" s="14" t="s">
        <v>13</v>
      </c>
      <c r="B733" s="10">
        <f>SUM(B730:B732)</f>
        <v>405000</v>
      </c>
    </row>
    <row r="734" spans="1:2" x14ac:dyDescent="0.2">
      <c r="A734" s="13" t="s">
        <v>12</v>
      </c>
      <c r="B734" s="12">
        <v>50000</v>
      </c>
    </row>
    <row r="735" spans="1:2" x14ac:dyDescent="0.2">
      <c r="A735" s="13" t="s">
        <v>11</v>
      </c>
      <c r="B735" s="12">
        <f>1300000-50000</f>
        <v>1250000</v>
      </c>
    </row>
    <row r="736" spans="1:2" x14ac:dyDescent="0.2">
      <c r="A736" s="13" t="s">
        <v>10</v>
      </c>
      <c r="B736" s="15">
        <v>80000</v>
      </c>
    </row>
    <row r="737" spans="1:3" x14ac:dyDescent="0.2">
      <c r="A737" s="14" t="s">
        <v>9</v>
      </c>
      <c r="B737" s="10">
        <f>SUM(B734:B736)</f>
        <v>1380000</v>
      </c>
    </row>
    <row r="738" spans="1:3" x14ac:dyDescent="0.2">
      <c r="A738" s="13" t="s">
        <v>8</v>
      </c>
      <c r="B738" s="12">
        <f>B720*0.05+(B721+B735)*0.05+(B724+B725+B726+B728+B730+B732+B734+B736+B731+B722)*0.27</f>
        <v>307190</v>
      </c>
    </row>
    <row r="739" spans="1:3" x14ac:dyDescent="0.2">
      <c r="A739" s="11" t="s">
        <v>7</v>
      </c>
      <c r="B739" s="10">
        <f>SUM(B738:B738)</f>
        <v>307190</v>
      </c>
    </row>
    <row r="740" spans="1:3" x14ac:dyDescent="0.2">
      <c r="A740" s="5" t="s">
        <v>6</v>
      </c>
      <c r="B740" s="10">
        <f>B723+B727+B729+B733+B737+B739</f>
        <v>3164190</v>
      </c>
    </row>
    <row r="741" spans="1:3" x14ac:dyDescent="0.2">
      <c r="A741" s="5"/>
      <c r="B741" s="7"/>
    </row>
    <row r="742" spans="1:3" x14ac:dyDescent="0.2">
      <c r="A742" s="9" t="s">
        <v>5</v>
      </c>
      <c r="B742" s="3">
        <f>B714+B718+B740</f>
        <v>7843235</v>
      </c>
    </row>
    <row r="743" spans="1:3" x14ac:dyDescent="0.2">
      <c r="A743" s="8"/>
      <c r="B743" s="7"/>
    </row>
    <row r="744" spans="1:3" x14ac:dyDescent="0.2">
      <c r="A744" s="6" t="s">
        <v>4</v>
      </c>
      <c r="B744" s="3">
        <f>B655+B689+B714+B635</f>
        <v>69194721</v>
      </c>
    </row>
    <row r="745" spans="1:3" x14ac:dyDescent="0.2">
      <c r="A745" s="6" t="s">
        <v>3</v>
      </c>
      <c r="B745" s="3">
        <f>B661+B695+B718+B639</f>
        <v>14256215</v>
      </c>
    </row>
    <row r="746" spans="1:3" x14ac:dyDescent="0.2">
      <c r="A746" s="5" t="s">
        <v>2</v>
      </c>
      <c r="B746" s="3">
        <f>B646+B680+B706+B740</f>
        <v>60770780</v>
      </c>
    </row>
    <row r="747" spans="1:3" ht="22.5" x14ac:dyDescent="0.2">
      <c r="A747" s="4" t="s">
        <v>1</v>
      </c>
      <c r="B747" s="3">
        <f>SUM(B744:B746)</f>
        <v>144221716</v>
      </c>
      <c r="C747" t="s">
        <v>0</v>
      </c>
    </row>
    <row r="748" spans="1:3" x14ac:dyDescent="0.2">
      <c r="A748" s="2"/>
      <c r="B748" s="2"/>
    </row>
    <row r="749" spans="1:3" x14ac:dyDescent="0.2">
      <c r="A749" s="2"/>
      <c r="B749" s="2"/>
    </row>
    <row r="750" spans="1:3" x14ac:dyDescent="0.2">
      <c r="A750" s="2"/>
      <c r="B750" s="2"/>
    </row>
    <row r="751" spans="1:3" x14ac:dyDescent="0.2">
      <c r="A751" s="2"/>
      <c r="B751" s="2"/>
    </row>
    <row r="752" spans="1:3" x14ac:dyDescent="0.2">
      <c r="A752" s="2"/>
      <c r="B752" s="2"/>
    </row>
    <row r="753" spans="1:2" x14ac:dyDescent="0.2">
      <c r="A753" s="2"/>
      <c r="B753" s="2"/>
    </row>
    <row r="754" spans="1:2" x14ac:dyDescent="0.2">
      <c r="A754" s="2"/>
      <c r="B754" s="2"/>
    </row>
    <row r="755" spans="1:2" x14ac:dyDescent="0.2">
      <c r="A755" s="2"/>
      <c r="B755" s="2"/>
    </row>
    <row r="756" spans="1:2" x14ac:dyDescent="0.2">
      <c r="A756" s="2"/>
      <c r="B756" s="2"/>
    </row>
    <row r="757" spans="1:2" x14ac:dyDescent="0.2">
      <c r="A757" s="2"/>
      <c r="B757" s="2"/>
    </row>
    <row r="758" spans="1:2" x14ac:dyDescent="0.2">
      <c r="A758" s="2"/>
      <c r="B758" s="2"/>
    </row>
    <row r="759" spans="1:2" x14ac:dyDescent="0.2">
      <c r="A759" s="2"/>
      <c r="B759" s="2"/>
    </row>
    <row r="760" spans="1:2" x14ac:dyDescent="0.2">
      <c r="A760" s="2"/>
      <c r="B760" s="2"/>
    </row>
    <row r="761" spans="1:2" x14ac:dyDescent="0.2">
      <c r="A761" s="2"/>
      <c r="B761" s="2"/>
    </row>
    <row r="762" spans="1:2" x14ac:dyDescent="0.2">
      <c r="A762" s="2"/>
      <c r="B762" s="2"/>
    </row>
    <row r="763" spans="1:2" x14ac:dyDescent="0.2">
      <c r="A763" s="2"/>
      <c r="B763" s="2"/>
    </row>
    <row r="764" spans="1:2" x14ac:dyDescent="0.2">
      <c r="A764" s="2"/>
      <c r="B764" s="2"/>
    </row>
    <row r="765" spans="1:2" x14ac:dyDescent="0.2">
      <c r="A765" s="2"/>
      <c r="B765" s="2"/>
    </row>
    <row r="766" spans="1:2" x14ac:dyDescent="0.2">
      <c r="A766" s="2"/>
      <c r="B766" s="2"/>
    </row>
    <row r="767" spans="1:2" x14ac:dyDescent="0.2">
      <c r="A767" s="2"/>
      <c r="B767" s="2"/>
    </row>
    <row r="768" spans="1:2" x14ac:dyDescent="0.2">
      <c r="A768" s="2"/>
      <c r="B768" s="2"/>
    </row>
    <row r="769" spans="1:2" x14ac:dyDescent="0.2">
      <c r="A769" s="2"/>
      <c r="B769" s="2"/>
    </row>
    <row r="770" spans="1:2" x14ac:dyDescent="0.2">
      <c r="A770" s="2"/>
      <c r="B770" s="2"/>
    </row>
    <row r="771" spans="1:2" x14ac:dyDescent="0.2">
      <c r="A771" s="2"/>
      <c r="B771" s="2"/>
    </row>
    <row r="772" spans="1:2" x14ac:dyDescent="0.2">
      <c r="A772" s="2"/>
      <c r="B772" s="2"/>
    </row>
    <row r="773" spans="1:2" x14ac:dyDescent="0.2">
      <c r="A773" s="2"/>
      <c r="B773" s="2"/>
    </row>
    <row r="774" spans="1:2" x14ac:dyDescent="0.2">
      <c r="A774" s="2"/>
      <c r="B774" s="2"/>
    </row>
    <row r="775" spans="1:2" x14ac:dyDescent="0.2">
      <c r="A775" s="2"/>
      <c r="B775" s="2"/>
    </row>
    <row r="776" spans="1:2" x14ac:dyDescent="0.2">
      <c r="A776" s="2"/>
      <c r="B776" s="2"/>
    </row>
    <row r="777" spans="1:2" x14ac:dyDescent="0.2">
      <c r="A777" s="2"/>
      <c r="B777" s="2"/>
    </row>
    <row r="778" spans="1:2" x14ac:dyDescent="0.2">
      <c r="A778" s="2"/>
      <c r="B778" s="2"/>
    </row>
    <row r="779" spans="1:2" x14ac:dyDescent="0.2">
      <c r="A779" s="2"/>
      <c r="B779" s="2"/>
    </row>
    <row r="780" spans="1:2" x14ac:dyDescent="0.2">
      <c r="A780" s="2"/>
      <c r="B780" s="2"/>
    </row>
    <row r="781" spans="1:2" x14ac:dyDescent="0.2">
      <c r="A781" s="2"/>
      <c r="B781" s="2"/>
    </row>
    <row r="782" spans="1:2" x14ac:dyDescent="0.2">
      <c r="A782" s="2"/>
      <c r="B782" s="2"/>
    </row>
    <row r="783" spans="1:2" x14ac:dyDescent="0.2">
      <c r="A783" s="2"/>
      <c r="B783" s="2"/>
    </row>
    <row r="784" spans="1:2" x14ac:dyDescent="0.2">
      <c r="A784" s="2"/>
      <c r="B784" s="2"/>
    </row>
    <row r="785" spans="1:2" x14ac:dyDescent="0.2">
      <c r="A785" s="2"/>
      <c r="B785" s="2"/>
    </row>
    <row r="786" spans="1:2" x14ac:dyDescent="0.2">
      <c r="A786" s="2"/>
      <c r="B786" s="2"/>
    </row>
    <row r="787" spans="1:2" x14ac:dyDescent="0.2">
      <c r="A787" s="2"/>
      <c r="B787" s="2"/>
    </row>
    <row r="788" spans="1:2" x14ac:dyDescent="0.2">
      <c r="A788" s="2"/>
      <c r="B788" s="2"/>
    </row>
    <row r="789" spans="1:2" x14ac:dyDescent="0.2">
      <c r="A789" s="2"/>
      <c r="B789" s="2"/>
    </row>
    <row r="790" spans="1:2" x14ac:dyDescent="0.2">
      <c r="A790" s="2"/>
      <c r="B790" s="2"/>
    </row>
    <row r="791" spans="1:2" x14ac:dyDescent="0.2">
      <c r="A791" s="2"/>
      <c r="B791" s="2"/>
    </row>
    <row r="792" spans="1:2" x14ac:dyDescent="0.2">
      <c r="A792" s="2"/>
      <c r="B792" s="2"/>
    </row>
    <row r="793" spans="1:2" x14ac:dyDescent="0.2">
      <c r="A793" s="2"/>
      <c r="B793" s="2"/>
    </row>
    <row r="794" spans="1:2" x14ac:dyDescent="0.2">
      <c r="A794" s="2"/>
      <c r="B794" s="2"/>
    </row>
    <row r="795" spans="1:2" x14ac:dyDescent="0.2">
      <c r="A795" s="2"/>
      <c r="B795" s="2"/>
    </row>
    <row r="796" spans="1:2" x14ac:dyDescent="0.2">
      <c r="A796" s="2"/>
      <c r="B796" s="2"/>
    </row>
    <row r="797" spans="1:2" x14ac:dyDescent="0.2">
      <c r="A797" s="2"/>
      <c r="B797" s="2"/>
    </row>
    <row r="798" spans="1:2" x14ac:dyDescent="0.2">
      <c r="A798" s="2"/>
      <c r="B798" s="2"/>
    </row>
    <row r="799" spans="1:2" x14ac:dyDescent="0.2">
      <c r="A799" s="2"/>
      <c r="B799" s="2"/>
    </row>
    <row r="800" spans="1:2" x14ac:dyDescent="0.2">
      <c r="A800" s="2"/>
      <c r="B800" s="2"/>
    </row>
    <row r="801" spans="1:2" x14ac:dyDescent="0.2">
      <c r="A801" s="2"/>
      <c r="B801" s="2"/>
    </row>
    <row r="802" spans="1:2" x14ac:dyDescent="0.2">
      <c r="A802" s="2"/>
      <c r="B802" s="2"/>
    </row>
    <row r="803" spans="1:2" x14ac:dyDescent="0.2">
      <c r="A803" s="2"/>
      <c r="B803" s="2"/>
    </row>
    <row r="804" spans="1:2" x14ac:dyDescent="0.2">
      <c r="A804" s="2"/>
      <c r="B804" s="2"/>
    </row>
    <row r="805" spans="1:2" x14ac:dyDescent="0.2">
      <c r="A805" s="2"/>
      <c r="B805" s="2"/>
    </row>
    <row r="806" spans="1:2" x14ac:dyDescent="0.2">
      <c r="A806" s="2"/>
      <c r="B806" s="2"/>
    </row>
    <row r="807" spans="1:2" x14ac:dyDescent="0.2">
      <c r="A807" s="2"/>
      <c r="B807" s="2"/>
    </row>
    <row r="808" spans="1:2" x14ac:dyDescent="0.2">
      <c r="A808" s="2"/>
      <c r="B808" s="2"/>
    </row>
    <row r="809" spans="1:2" x14ac:dyDescent="0.2">
      <c r="A809" s="2"/>
      <c r="B809" s="2"/>
    </row>
    <row r="810" spans="1:2" x14ac:dyDescent="0.2">
      <c r="A810" s="2"/>
      <c r="B810" s="2"/>
    </row>
    <row r="811" spans="1:2" x14ac:dyDescent="0.2">
      <c r="A811" s="2"/>
      <c r="B811" s="2"/>
    </row>
    <row r="812" spans="1:2" x14ac:dyDescent="0.2">
      <c r="A812" s="2"/>
      <c r="B812" s="2"/>
    </row>
    <row r="813" spans="1:2" x14ac:dyDescent="0.2">
      <c r="A813" s="1"/>
      <c r="B813" s="1"/>
    </row>
    <row r="814" spans="1:2" x14ac:dyDescent="0.2">
      <c r="A814" s="1"/>
      <c r="B814" s="1"/>
    </row>
  </sheetData>
  <mergeCells count="44">
    <mergeCell ref="A1:B1"/>
    <mergeCell ref="A4:B4"/>
    <mergeCell ref="A6:B6"/>
    <mergeCell ref="A175:B175"/>
    <mergeCell ref="A213:B213"/>
    <mergeCell ref="A2:B2"/>
    <mergeCell ref="A19:B19"/>
    <mergeCell ref="A115:B115"/>
    <mergeCell ref="A101:B101"/>
    <mergeCell ref="A8:B8"/>
    <mergeCell ref="A77:B77"/>
    <mergeCell ref="A49:B49"/>
    <mergeCell ref="A65:B65"/>
    <mergeCell ref="A710:B710"/>
    <mergeCell ref="A628:B628"/>
    <mergeCell ref="A403:B403"/>
    <mergeCell ref="A630:B630"/>
    <mergeCell ref="A620:B620"/>
    <mergeCell ref="A347:B347"/>
    <mergeCell ref="A526:B526"/>
    <mergeCell ref="A515:B515"/>
    <mergeCell ref="A650:B650"/>
    <mergeCell ref="A291:B291"/>
    <mergeCell ref="A236:B236"/>
    <mergeCell ref="A470:B470"/>
    <mergeCell ref="A683:B683"/>
    <mergeCell ref="A642:B642"/>
    <mergeCell ref="A564:B564"/>
    <mergeCell ref="A632:B632"/>
    <mergeCell ref="A330:B330"/>
    <mergeCell ref="A427:B427"/>
    <mergeCell ref="A359:B359"/>
    <mergeCell ref="A332:B332"/>
    <mergeCell ref="A217:B217"/>
    <mergeCell ref="A10:B10"/>
    <mergeCell ref="A134:B134"/>
    <mergeCell ref="A173:B173"/>
    <mergeCell ref="A583:B583"/>
    <mergeCell ref="A113:B113"/>
    <mergeCell ref="A215:B215"/>
    <mergeCell ref="A300:B300"/>
    <mergeCell ref="A328:B328"/>
    <mergeCell ref="A238:B238"/>
    <mergeCell ref="A310:B310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2018-05-22T07:26:30Z</dcterms:created>
  <dcterms:modified xsi:type="dcterms:W3CDTF">2018-05-22T08:07:56Z</dcterms:modified>
</cp:coreProperties>
</file>