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firstSheet="7" activeTab="15"/>
  </bookViews>
  <sheets>
    <sheet name="Konszolid" sheetId="1" r:id="rId1"/>
    <sheet name="Deszk Összes" sheetId="2" r:id="rId2"/>
    <sheet name="Önkor" sheetId="3" r:id="rId3"/>
    <sheet name="Hivatal" sheetId="4" r:id="rId4"/>
    <sheet name="Közös Hivatal" sheetId="5" r:id="rId5"/>
    <sheet name="MűvHáz" sheetId="6" r:id="rId6"/>
    <sheet name="Szktt" sheetId="7" r:id="rId7"/>
    <sheet name="Datht" sheetId="8" r:id="rId8"/>
    <sheet name="Tmszszt" sheetId="9" r:id="rId9"/>
    <sheet name="Adóbevétel" sheetId="10" r:id="rId10"/>
    <sheet name="Személyi" sheetId="11" r:id="rId11"/>
    <sheet name="Dologi" sheetId="12" r:id="rId12"/>
    <sheet name="Támogatások" sheetId="13" r:id="rId13"/>
    <sheet name="Szociális" sheetId="14" r:id="rId14"/>
    <sheet name="Felhalmozás " sheetId="15" r:id="rId15"/>
    <sheet name="Létszám" sheetId="16" r:id="rId16"/>
    <sheet name="Munka1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<sst xmlns="http://schemas.openxmlformats.org/spreadsheetml/2006/main" count="882" uniqueCount="336">
  <si>
    <t>Megnevezés</t>
  </si>
  <si>
    <t>Támogatások</t>
  </si>
  <si>
    <t>3.1. Pályázat</t>
  </si>
  <si>
    <t>Bevételek összesen</t>
  </si>
  <si>
    <t>Működési kiadások</t>
  </si>
  <si>
    <t>1. Személyi juttatások</t>
  </si>
  <si>
    <t>2. Munkaadókat terhelő járulékok</t>
  </si>
  <si>
    <t>Kiadások összesen</t>
  </si>
  <si>
    <t>Bevételi jogcímek</t>
  </si>
  <si>
    <t>Intézményi működési bevételek</t>
  </si>
  <si>
    <t>Helyi adó bevételek</t>
  </si>
  <si>
    <t>1. Építményadó (16/02)</t>
  </si>
  <si>
    <t>2. Telekadó (16/03)</t>
  </si>
  <si>
    <t>4. Iparűzési adó (16/085+16/09)</t>
  </si>
  <si>
    <t>6. H.adókhoz kapcs. pótl., bírság (16/11)</t>
  </si>
  <si>
    <t>Átengedett központi adók</t>
  </si>
  <si>
    <t xml:space="preserve"> 2. SZJA kieg./jöved.különbség mérsékl. (16/13)</t>
  </si>
  <si>
    <t xml:space="preserve"> 3. Gépjárműadó (16/14)</t>
  </si>
  <si>
    <t xml:space="preserve"> 4. Termőföld bérbeadásából Szja (16/16)</t>
  </si>
  <si>
    <t>Költségvetési támogatások</t>
  </si>
  <si>
    <t>3. Szociális kiadások normatív  (16/46)</t>
  </si>
  <si>
    <t>I. MŰKÖDÉSI BEVÉTELEK</t>
  </si>
  <si>
    <t>Egyéb sajátos felhalmozási bevétel</t>
  </si>
  <si>
    <t>Támogatásértékű bevételek</t>
  </si>
  <si>
    <t>3. Környezetvédelmi alap</t>
  </si>
  <si>
    <t>Támogatás értékű bevételek</t>
  </si>
  <si>
    <t>Felhalmozási és tőke jellegű bevételek</t>
  </si>
  <si>
    <t>1. Tárgyi eszközök, imm. jav. Értékesítése (08/13)</t>
  </si>
  <si>
    <t xml:space="preserve">II. FELHALMOZÁSI BEVÉTELEK </t>
  </si>
  <si>
    <t xml:space="preserve">BEVÉTELEK ÖSSZESEN </t>
  </si>
  <si>
    <t>Finanszirozási bevételek</t>
  </si>
  <si>
    <t>2. Pénzügyi befektetések bevételei (kölcsön) (10/23)</t>
  </si>
  <si>
    <t>4. Hosszú lejáratú hitelfelvétel (Felhalmozási) (10/70)</t>
  </si>
  <si>
    <t xml:space="preserve"> BEVÉTELEK MINDÖSSZESEN:</t>
  </si>
  <si>
    <t>Kiadási jogcímek</t>
  </si>
  <si>
    <t>1. Személyi juttatások (02/49)</t>
  </si>
  <si>
    <t>I. MŰKÖDÉSI KIADÁSOK</t>
  </si>
  <si>
    <t>1. Felújítások (05/06)</t>
  </si>
  <si>
    <t>2. Beruházások (05/31)</t>
  </si>
  <si>
    <t>3. Saját erő alapok (Pályázati) (06/63)</t>
  </si>
  <si>
    <t>4. Felhalmozási célú pénzeszközátadás (04/23)</t>
  </si>
  <si>
    <t>5. Fejlesztési célú tartalék (Földvásárlás) (06/63)</t>
  </si>
  <si>
    <t>6. Fejlesztési céltartalék (Bérház) (06/63)</t>
  </si>
  <si>
    <t>II. FELHALMOZÁSI KIADÁSOK</t>
  </si>
  <si>
    <t>KIADÁSOK ÖSSZESEN</t>
  </si>
  <si>
    <t>Finanszirozási kiadások</t>
  </si>
  <si>
    <t>1. Rövid lajáratú hitel visszafizetése (működési) (06/72)</t>
  </si>
  <si>
    <t>2. Hosszú lejáratú hitel visszafizetése (fejlesztési) (06/69)</t>
  </si>
  <si>
    <t>3. Függő átfutó kiegyenlítő kiadások (06/100)</t>
  </si>
  <si>
    <t>4. Működési célú támogatási kölcsön nyújtása háztartásoknak (06/26)</t>
  </si>
  <si>
    <t xml:space="preserve"> KIADÁSOK MINDÖSSZESEN:</t>
  </si>
  <si>
    <t>Intézményi saját bevételek</t>
  </si>
  <si>
    <t>1. Alaptevékenység bevételei</t>
  </si>
  <si>
    <t>1.1. Könyvtártámogatás</t>
  </si>
  <si>
    <t>1.2. Fénymásolás</t>
  </si>
  <si>
    <t>1.3. Internethasználat</t>
  </si>
  <si>
    <t>1.5. Mozi bevétele</t>
  </si>
  <si>
    <t>1.6  Telefon költség térítés</t>
  </si>
  <si>
    <t>1.7 Egyéb bevétel</t>
  </si>
  <si>
    <t xml:space="preserve">3. Támogatások </t>
  </si>
  <si>
    <t>3.2. Működési támogatás (Önk.)</t>
  </si>
  <si>
    <t>3. Dologi kiadások</t>
  </si>
  <si>
    <t>4. Pénzeszköz átadások</t>
  </si>
  <si>
    <t>ÖSSZESEN:</t>
  </si>
  <si>
    <t>Felhalmozási kiadások</t>
  </si>
  <si>
    <t>1. Felújítások</t>
  </si>
  <si>
    <t>2. Beruházások</t>
  </si>
  <si>
    <t>Felújítások</t>
  </si>
  <si>
    <t>Beruházások</t>
  </si>
  <si>
    <t xml:space="preserve"> Költségvetési bevételek és kiadások egyenlege: (költségvetési többlet+/hiány- )</t>
  </si>
  <si>
    <t>Finanszírozási műveletek egyenlege</t>
  </si>
  <si>
    <t xml:space="preserve">Finanszírozási műveletek, tárgyévi bevételek és kiadások egyenlege </t>
  </si>
  <si>
    <t>3. Magánszemélyek kommunális adója (16/05)</t>
  </si>
  <si>
    <t>3.Magánszemélyek kommunális adója (16/05)</t>
  </si>
  <si>
    <t>Intézményi bevétel</t>
  </si>
  <si>
    <t xml:space="preserve">3. Dologi kiadások </t>
  </si>
  <si>
    <t>1. Önkormányzatok költségvetési támogatása (09/06)</t>
  </si>
  <si>
    <t>2. Önkormányzatok költségvetési támogatása (09/06)</t>
  </si>
  <si>
    <t>4. Környezetvédelmi alap</t>
  </si>
  <si>
    <t>7. Működési célú pénzeszköz átadások áh-on kívülre (04/58)</t>
  </si>
  <si>
    <t>2.</t>
  </si>
  <si>
    <t>1.</t>
  </si>
  <si>
    <t>3.</t>
  </si>
  <si>
    <t>4.</t>
  </si>
  <si>
    <t>5.</t>
  </si>
  <si>
    <t>6.</t>
  </si>
  <si>
    <t>7.</t>
  </si>
  <si>
    <t>Sor-szám</t>
  </si>
  <si>
    <t>Összesen:</t>
  </si>
  <si>
    <t xml:space="preserve">Adónem </t>
  </si>
  <si>
    <t>Ft</t>
  </si>
  <si>
    <t>Építményadó</t>
  </si>
  <si>
    <t>Telekadó</t>
  </si>
  <si>
    <t>Helyi iparűzési adó</t>
  </si>
  <si>
    <t>Gépjárműadó</t>
  </si>
  <si>
    <t>Föld SZJA</t>
  </si>
  <si>
    <t>Pótlék,bírság</t>
  </si>
  <si>
    <t>Magánszemélyek kommunális adója</t>
  </si>
  <si>
    <t>Vállalkozók kommunális adó</t>
  </si>
  <si>
    <t>Eredeti előirányzat</t>
  </si>
  <si>
    <t>Rendszeres személyi juttatások</t>
  </si>
  <si>
    <t>Nem rendszeres személyi juttatások</t>
  </si>
  <si>
    <t>Külső személyi juttatások</t>
  </si>
  <si>
    <t>Személyi juttatások összesen</t>
  </si>
  <si>
    <t>Munkaadót terhelő járulékok</t>
  </si>
  <si>
    <t>Készletbeszerzés</t>
  </si>
  <si>
    <t xml:space="preserve">Kommunikációs szolgáltatások </t>
  </si>
  <si>
    <t xml:space="preserve">Szolgáltatási kiadások </t>
  </si>
  <si>
    <t>Vásárolt közszolgáltatások</t>
  </si>
  <si>
    <t>Működési célú általános forgalmi adó összesen</t>
  </si>
  <si>
    <t xml:space="preserve">Kiküldetés, reprezentáció, reklámkiadások </t>
  </si>
  <si>
    <t>Szellemi tevékenység teljesítéséhez kapcsolódó kifizetés</t>
  </si>
  <si>
    <t>Egyéb dologi kiadások</t>
  </si>
  <si>
    <t>Dologi kiadások (1+..+8)</t>
  </si>
  <si>
    <t xml:space="preserve">Különféle költségvetési befizetések </t>
  </si>
  <si>
    <t xml:space="preserve">Adók, díjak, egyéb befizetések </t>
  </si>
  <si>
    <t xml:space="preserve">Kamatkiadások összesen </t>
  </si>
  <si>
    <t>Realizált árfolyamveszteségek</t>
  </si>
  <si>
    <t>Követelés elengedés, tartozásátvállalás kiadásai</t>
  </si>
  <si>
    <t>Egyéb folyó kiadások (10+…+14)</t>
  </si>
  <si>
    <t>Dologi kiadások és egyéb folyó kiadások (9+15)</t>
  </si>
  <si>
    <t xml:space="preserve"> Támogatási célű pénzeszköz átadások</t>
  </si>
  <si>
    <t>1.Kötelező feladatokkal kapcsolatos pénzeszközátadás</t>
  </si>
  <si>
    <t>I. Működési célú pénzeszközátadás összesen</t>
  </si>
  <si>
    <t>II. Felhalmozási célú pénzeszközátadás</t>
  </si>
  <si>
    <t>II. Felhalmozási célú pénzeszközátadás összesen</t>
  </si>
  <si>
    <t>Pénzeszközátadások összesen (I.+II.)</t>
  </si>
  <si>
    <t>I. Működési célú pénzeszköz átadás (intézmény finanszírozás)</t>
  </si>
  <si>
    <t xml:space="preserve">  1.1. Polgármesteri Hivatal </t>
  </si>
  <si>
    <t xml:space="preserve">  1.1. Deszki Művelődési Ház és Könyvtár</t>
  </si>
  <si>
    <t xml:space="preserve">  1.2. SZKTT Szociális Szolgáltató </t>
  </si>
  <si>
    <t xml:space="preserve">  1.3. Deszki Település-üzemeltetési  Nonprofit Kft </t>
  </si>
  <si>
    <t xml:space="preserve">  1.3. Civil Szervezetek működési támogatása </t>
  </si>
  <si>
    <t xml:space="preserve">  1.1.Közösségi közlekedés fejlesztése (buszforduló)(04/23)</t>
  </si>
  <si>
    <t xml:space="preserve"> Eredeti előirányzat</t>
  </si>
  <si>
    <t>Támogatás jogcíme</t>
  </si>
  <si>
    <t>Rászorultságtól függő pénzbeli szociális, gyermekvéd ell.</t>
  </si>
  <si>
    <t xml:space="preserve"> 1. Rendszeres szociális segély</t>
  </si>
  <si>
    <t>Természetben nyújtott szociális ellátások</t>
  </si>
  <si>
    <t xml:space="preserve"> 1. Köztemetés </t>
  </si>
  <si>
    <t>Önkormányzat által saját hatáskörben adott ellátások</t>
  </si>
  <si>
    <t xml:space="preserve"> 1. Pénzbeni</t>
  </si>
  <si>
    <t xml:space="preserve"> 2. Természetbeni</t>
  </si>
  <si>
    <t xml:space="preserve">Önkormányzat által folyósított ellátások összesen: </t>
  </si>
  <si>
    <t xml:space="preserve"> 2. Rendelkezésre állási támogatás</t>
  </si>
  <si>
    <t xml:space="preserve"> 3. Lakásfenntartási támogatás</t>
  </si>
  <si>
    <t xml:space="preserve"> 6. Átmeneti segély</t>
  </si>
  <si>
    <t xml:space="preserve"> 7. Temetési segély</t>
  </si>
  <si>
    <t xml:space="preserve"> 8. Rendsz. gyermekvéd. kedv. rész. pénzbeli</t>
  </si>
  <si>
    <t xml:space="preserve"> 9. Kiegészítő gyv. tám. pótléka</t>
  </si>
  <si>
    <t>10. Óvodáztatási támogatás</t>
  </si>
  <si>
    <t xml:space="preserve"> 2. Közgyógyellátás</t>
  </si>
  <si>
    <t xml:space="preserve"> 3. Rászorultságtól függő normatív kedvezmények</t>
  </si>
  <si>
    <t xml:space="preserve"> 4. Étkeztetés</t>
  </si>
  <si>
    <t>11. Rendkívüli gyv. támogatás</t>
  </si>
  <si>
    <t>12. Egyéb önk. rendeletben megáll. juttatás</t>
  </si>
  <si>
    <t>3. sz. melléklet</t>
  </si>
  <si>
    <t>5. sz. melléklet</t>
  </si>
  <si>
    <t>1. Közhatalmi bevételek (07/04)</t>
  </si>
  <si>
    <t>1. Egyéb saját működési bevétel (07/14)</t>
  </si>
  <si>
    <t>2. ÁFA bevételek (07/20)</t>
  </si>
  <si>
    <t>3. Hozam- és Kamatbevételek (07/24)</t>
  </si>
  <si>
    <t>4. Iparűzési adó (16/08+16/09)</t>
  </si>
  <si>
    <t xml:space="preserve"> 1. SZJA helyben maradó része (16/15)</t>
  </si>
  <si>
    <t>Költségvetési támogatások (16/53)</t>
  </si>
  <si>
    <t>Önkormányzat egyéb sajátos működési bevételei (16/25)</t>
  </si>
  <si>
    <t>Támogatásértékű működési bevételek (OEP is) (09/18)</t>
  </si>
  <si>
    <t xml:space="preserve"> 1. Önkormányzati lakás értékesítése (06/26)</t>
  </si>
  <si>
    <t xml:space="preserve"> 2. Önkormányzati vagyon bérbedása/lakbér (16/32)</t>
  </si>
  <si>
    <t>2. Támogatásértékű felhalmozási bevételek (09/41)</t>
  </si>
  <si>
    <t>3 Támogatásértékű felhalmozási bevételek (09/41)</t>
  </si>
  <si>
    <t>2. Pénzügyi befektetések bevételei (08/22)</t>
  </si>
  <si>
    <t>3. Felhalmozási célú pénzeszköz átvétel áh-on kívülről (08/40)</t>
  </si>
  <si>
    <t>3. Rövid lejáratú hitelek felvétele (Működési) (10/67)</t>
  </si>
  <si>
    <t>5. Függő átfutó kiegyenlítő bevételek (10/104)</t>
  </si>
  <si>
    <t>2. Munkaadói járulékok (02/55)</t>
  </si>
  <si>
    <t>3. Dologi és folyó kiadások (03/70)</t>
  </si>
  <si>
    <t>5. Szociális kiadások (12/36)</t>
  </si>
  <si>
    <t>6. Támogatások folyósítása (04/03+04/15)</t>
  </si>
  <si>
    <t xml:space="preserve"> 1.4.  Más hová nem sorolható egyéb sporttámogatás</t>
  </si>
  <si>
    <t>3.2. Önkormányzati Hivatal műk. Tám.</t>
  </si>
  <si>
    <t>3.3. Intézmény finaszírozás</t>
  </si>
  <si>
    <t>Deszk Község Önkormányzat helyi és átengedett adó 2013. évi összege</t>
  </si>
  <si>
    <t>2013. évi eredeti előirányzat</t>
  </si>
  <si>
    <t xml:space="preserve">4. Központosított támogatások </t>
  </si>
  <si>
    <t>3.1. Pályázat (Támop, Tiop, Videb)Műk.</t>
  </si>
  <si>
    <t>3.1. Pályázat (Támop, Tiop, Videb)Felh.</t>
  </si>
  <si>
    <t>M e g n e v e z é s</t>
  </si>
  <si>
    <t>I.</t>
  </si>
  <si>
    <t>I.Felújítások összesen:</t>
  </si>
  <si>
    <t>II.</t>
  </si>
  <si>
    <t>II.Beruházások összesen:</t>
  </si>
  <si>
    <t>Ö S S Z E S E N (I+II.)</t>
  </si>
  <si>
    <t xml:space="preserve">Szükség lakás </t>
  </si>
  <si>
    <t>Deszk Község Önkormányzat 2013. évi folyamatban lévő fejlesztései</t>
  </si>
  <si>
    <t>Bérlakás</t>
  </si>
  <si>
    <t>Mozi fénytechnika (VIDEB)</t>
  </si>
  <si>
    <t>Számítógépek, softver, nyomtató, projektor (TIOP)</t>
  </si>
  <si>
    <t>Őstermelői piac kialakítása</t>
  </si>
  <si>
    <t>Napelemes rendszer kiépítése PH, MH, Sportcs.</t>
  </si>
  <si>
    <t>Zrínyi utca bérház vételár II. részlete</t>
  </si>
  <si>
    <t>Módosított előirányzat</t>
  </si>
  <si>
    <t>Közös Önkormányzati Hivatal 2013. évi költségvetése</t>
  </si>
  <si>
    <t>Deszk Község Önkormányzatának 2013. évi költségvetése</t>
  </si>
  <si>
    <t>Önkormányzati Hivatal 2013. évi költségvetése</t>
  </si>
  <si>
    <t>Deszki Művelődési Ház és Könyvtár 2013. évi költségvetése</t>
  </si>
  <si>
    <t>1. Normatív állami hj. feladatmutatóhoz kötött</t>
  </si>
  <si>
    <t>2. Könyvtári, közművelődési és múzeumi feladatok támogatása</t>
  </si>
  <si>
    <t>3.2. Deszk Önkormányzati hozzájárulás</t>
  </si>
  <si>
    <t>Működési célú pénzeszköz átadás visszatérülése(09/50)</t>
  </si>
  <si>
    <t>1. Pénzforgalom nélküli bevételek.(pénzmaradvány) (5652)</t>
  </si>
  <si>
    <t>Pénzforgalom nélküli bevételek (4477)</t>
  </si>
  <si>
    <t>4. Pénzforgalom nélküli bevételek (5014)</t>
  </si>
  <si>
    <t>1. Pénzforgalom nélküli bevételek.(pénzmaradvány) (10/66)(15143)</t>
  </si>
  <si>
    <t>3.3. Újszentiván Önkormányzati hozzájárulás</t>
  </si>
  <si>
    <t>5. Egyes jövedelempótló támogatások</t>
  </si>
  <si>
    <t>6. Központosított működési célú előirányzatok</t>
  </si>
  <si>
    <t>7. Szerkezetátalakítási tartalék</t>
  </si>
  <si>
    <t xml:space="preserve">  1.1. Közös Önkormányzati Hivatal</t>
  </si>
  <si>
    <t>4. Felhalmozási célú pénzeszköz átvétel áh belülről</t>
  </si>
  <si>
    <t>7. Vállalkozók komm. Adója</t>
  </si>
  <si>
    <t xml:space="preserve">7. Vállalkozók komm. Adója </t>
  </si>
  <si>
    <t>2. Felhalmozási bevételek</t>
  </si>
  <si>
    <t>Függő, átfutó kiegyenlítő kiadások</t>
  </si>
  <si>
    <t>Függő, átfutó kiegyenlítő bevételek</t>
  </si>
  <si>
    <t>Fügő, átfutó, kiegyenlítő kiadás</t>
  </si>
  <si>
    <t>Egyéb működési kiadás</t>
  </si>
  <si>
    <t>Teljesítés %</t>
  </si>
  <si>
    <t>Függő, átfutó, kiegyenlítő kiadások</t>
  </si>
  <si>
    <t xml:space="preserve">  1.2. SZKTT Belső ellenőr</t>
  </si>
  <si>
    <t xml:space="preserve">  1.2. SZKTT Közoktatási Intézmények </t>
  </si>
  <si>
    <t xml:space="preserve"> 1.5. Bánát Szerb Kultúrális Közhasznú Egyesület</t>
  </si>
  <si>
    <t xml:space="preserve">  1.2. Dél-alföldi Térségi Hulladékgazdálkodási Társulás(szilárdhull. gazd.)</t>
  </si>
  <si>
    <t>Teljesítés</t>
  </si>
  <si>
    <t>Adatok ezer  Ft-ban</t>
  </si>
  <si>
    <t xml:space="preserve"> 5. Ápolási díj (helyi)</t>
  </si>
  <si>
    <t xml:space="preserve"> 4. Ápolási díj (normatív) 2012. december</t>
  </si>
  <si>
    <t>Közhatalami bevételek</t>
  </si>
  <si>
    <t>Közhatalmi bevétel</t>
  </si>
  <si>
    <t>%</t>
  </si>
  <si>
    <t xml:space="preserve">8. Óvodapedagógus nevelő munkáját segítő bértámogatás </t>
  </si>
  <si>
    <t>9. Óvodaműködtetési támogatás</t>
  </si>
  <si>
    <t>10. Ingyenes és kedvezményes gyermekétekeztetés támogatása</t>
  </si>
  <si>
    <t>11. Egyes szociális és gyermekjóléti feladatok támogatása</t>
  </si>
  <si>
    <t>12. Települési önkormányzat idősek átmen. tartós szocszak.ellá.támogatása</t>
  </si>
  <si>
    <t xml:space="preserve">1. Normatív állami hj. feladatmutatóhoz kötött </t>
  </si>
  <si>
    <t xml:space="preserve"> 1.6. Műk. célú pénzeszk.átadás, kölcsön nyújtás háztartásoknak</t>
  </si>
  <si>
    <t xml:space="preserve">  1.3. Szerb Ortodox Egyházközség</t>
  </si>
  <si>
    <t>Deszk Község Önkormányzatának és intézményeinek összevont költségvetése</t>
  </si>
  <si>
    <t>8.</t>
  </si>
  <si>
    <t>9.</t>
  </si>
  <si>
    <t>10.</t>
  </si>
  <si>
    <t>11.</t>
  </si>
  <si>
    <t>Idősek otthona falburkolat</t>
  </si>
  <si>
    <t xml:space="preserve"> 1.7. Szegedi Kistérség Többcélú Társulása</t>
  </si>
  <si>
    <t xml:space="preserve">„Szeged agglomerációjának és az ahhoz kapcsolódó települések közösségi közlekedésének fejlesztése” </t>
  </si>
  <si>
    <t>„Rehabilitációs szolgáltatások fejlesztése a Dél-alföldi régióban” (Szatymaz)</t>
  </si>
  <si>
    <t>„Óvodafejlesztés a Szegedi kistérség tagóvodáiban”</t>
  </si>
  <si>
    <t>12.</t>
  </si>
  <si>
    <t>13.</t>
  </si>
  <si>
    <t>14.</t>
  </si>
  <si>
    <t>15.</t>
  </si>
  <si>
    <t>16.</t>
  </si>
  <si>
    <t>17.</t>
  </si>
  <si>
    <t>IV. n.év teljesítés</t>
  </si>
  <si>
    <t xml:space="preserve">IV. n.éves teljesítés </t>
  </si>
  <si>
    <t>1.8 Továbbszámlázott szolgáltatás</t>
  </si>
  <si>
    <t>1.9 Kamatbevétel</t>
  </si>
  <si>
    <t>3.3 Támogatásértűkű bevétel nemzetközi</t>
  </si>
  <si>
    <t>IV. n.évi teljesítés</t>
  </si>
  <si>
    <t>1. Önkormányzatok költségvetési támogatása (09/79)</t>
  </si>
  <si>
    <t>2. Támogatásértékű felhalmozási bevételek (09/101)</t>
  </si>
  <si>
    <t>4. Központi, irányítószervi támogatás folyósítása (06/18)</t>
  </si>
  <si>
    <t>IV. névi teljesítés</t>
  </si>
  <si>
    <t>13. Egyéb lakhatással kapcsolatos ellátás</t>
  </si>
  <si>
    <t>Intézményi ellátottak pénzbeli juttatásai (Szktt)</t>
  </si>
  <si>
    <t>Sportcentrum felújjítása</t>
  </si>
  <si>
    <t>Bejárati ajtók cseréje</t>
  </si>
  <si>
    <t>Rehabilitációs szolgáltatások feljesztése Szatymaz</t>
  </si>
  <si>
    <t>Tiszaszigeti szociális intézmény fejlesztése</t>
  </si>
  <si>
    <t>Irodai ablakok felújítása</t>
  </si>
  <si>
    <t>Sándorfalvi óvoda fejlesztése</t>
  </si>
  <si>
    <t>4. Egyéb működési célú központi támogatások</t>
  </si>
  <si>
    <t>4. Önkormányzatok felhalmozási célú költségvetési támogatása</t>
  </si>
  <si>
    <t xml:space="preserve"> 1.7. Szegedi Kistérség Többcélú Társulása által nyújtott</t>
  </si>
  <si>
    <t xml:space="preserve">  1.3. Deszki Település-üzemeltetési  Nonprofit Kft visszatérítendő</t>
  </si>
  <si>
    <t>Pallavicini Sándor Iskola napelemes pályázat</t>
  </si>
  <si>
    <t>Orvosi ügyeletre eszköz beszerzés</t>
  </si>
  <si>
    <t>Egyesített szociális Intézmény egyéb gép</t>
  </si>
  <si>
    <t>Irattári polcok</t>
  </si>
  <si>
    <t>Hulladéklerakó rekultivációja (DATHT)</t>
  </si>
  <si>
    <t>Földvásárlás</t>
  </si>
  <si>
    <t>Meliorációs csat., rendez., eng.tervdokumentáció</t>
  </si>
  <si>
    <t xml:space="preserve">Felszabadulás utca 33. </t>
  </si>
  <si>
    <t>Egyéb építmény vásárlás</t>
  </si>
  <si>
    <t>Gép, berendezés vásárlás Deszk</t>
  </si>
  <si>
    <t>18.</t>
  </si>
  <si>
    <t>Deszk Község Önkormányzata</t>
  </si>
  <si>
    <t>Intézmény</t>
  </si>
  <si>
    <t>Köztisztviselők</t>
  </si>
  <si>
    <t>Közalkalmazottak</t>
  </si>
  <si>
    <t>Munkaszerződéssel</t>
  </si>
  <si>
    <t xml:space="preserve">     Igazgatás</t>
  </si>
  <si>
    <t xml:space="preserve">     Részmunkaidősök</t>
  </si>
  <si>
    <t xml:space="preserve">     Védőnői szolgálat</t>
  </si>
  <si>
    <t xml:space="preserve">     Település üzemeltetés</t>
  </si>
  <si>
    <t>Művelődési Ház és Könyvtár</t>
  </si>
  <si>
    <t xml:space="preserve">     Szakdolgozó</t>
  </si>
  <si>
    <t xml:space="preserve">     Technikai alkalmazott</t>
  </si>
  <si>
    <t xml:space="preserve">     Közfoglalkoztatottak</t>
  </si>
  <si>
    <t xml:space="preserve">    Teljes munkaidős</t>
  </si>
  <si>
    <t xml:space="preserve">    Részmunkaidős</t>
  </si>
  <si>
    <t>Mindösszesen</t>
  </si>
  <si>
    <t>Az önkormányzat költségvetési szerveinek létszámkerete</t>
  </si>
  <si>
    <t>2013.</t>
  </si>
  <si>
    <t>fő</t>
  </si>
  <si>
    <t>Polgármesteri Hivatal (1-2 hó)</t>
  </si>
  <si>
    <t>Közös Önkormányzati Hivatal (3-12 hó)</t>
  </si>
  <si>
    <t>Szegedi Kistérség Többcélú Társulása</t>
  </si>
  <si>
    <t>Dél-alföldi Térségi Hulladékgazdálkodási Társulás</t>
  </si>
  <si>
    <t>Összes</t>
  </si>
  <si>
    <t>1. számú melléklet</t>
  </si>
  <si>
    <t>2. számú melléklet</t>
  </si>
  <si>
    <t>4. számú melléklet</t>
  </si>
  <si>
    <t>6. számú melléklet</t>
  </si>
  <si>
    <t>7. számú melléklet</t>
  </si>
  <si>
    <t>8. számú melléklet</t>
  </si>
  <si>
    <t>9. számú melléklet</t>
  </si>
  <si>
    <t>10. számú melléklet</t>
  </si>
  <si>
    <t>11. számú melléklet</t>
  </si>
  <si>
    <t>12. számú melléklet</t>
  </si>
  <si>
    <t>13. számú melléklet</t>
  </si>
  <si>
    <t>14. számú melléklet</t>
  </si>
  <si>
    <t>15. számú melléklet</t>
  </si>
  <si>
    <t>16. sz. melléklet</t>
  </si>
  <si>
    <t>IV. n.éves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</si>
</sst>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.0"/>
    <numFmt numFmtId="166" formatCode="#,##0\ _F_t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i/>
      <sz val="13"/>
      <name val="Times New Roman"/>
      <family val="1"/>
    </font>
    <font>
      <b/>
      <i/>
      <sz val="13"/>
      <color indexed="8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i/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3" fontId="2" fillId="0" borderId="23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3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2" fillId="34" borderId="15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/>
    </xf>
    <xf numFmtId="16" fontId="3" fillId="0" borderId="0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12" fillId="33" borderId="1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2" fillId="0" borderId="24" xfId="0" applyNumberFormat="1" applyFont="1" applyBorder="1" applyAlignment="1">
      <alignment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2" fillId="0" borderId="22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3" fontId="5" fillId="0" borderId="36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 wrapText="1"/>
    </xf>
    <xf numFmtId="0" fontId="16" fillId="0" borderId="31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3" fillId="0" borderId="3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3" fontId="2" fillId="35" borderId="40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2" fillId="35" borderId="41" xfId="0" applyFont="1" applyFill="1" applyBorder="1" applyAlignment="1">
      <alignment/>
    </xf>
    <xf numFmtId="3" fontId="2" fillId="35" borderId="42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left" vertical="center"/>
    </xf>
    <xf numFmtId="3" fontId="2" fillId="33" borderId="33" xfId="0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4" fillId="0" borderId="44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44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4" fillId="0" borderId="44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4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34" xfId="0" applyFont="1" applyBorder="1" applyAlignment="1">
      <alignment/>
    </xf>
    <xf numFmtId="0" fontId="2" fillId="0" borderId="0" xfId="0" applyFont="1" applyAlignment="1">
      <alignment/>
    </xf>
    <xf numFmtId="3" fontId="3" fillId="0" borderId="30" xfId="0" applyNumberFormat="1" applyFont="1" applyBorder="1" applyAlignment="1">
      <alignment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44" xfId="0" applyFont="1" applyBorder="1" applyAlignment="1">
      <alignment/>
    </xf>
    <xf numFmtId="0" fontId="3" fillId="0" borderId="0" xfId="0" applyFont="1" applyAlignment="1">
      <alignment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3" fontId="2" fillId="35" borderId="34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46" xfId="0" applyFont="1" applyBorder="1" applyAlignment="1">
      <alignment horizontal="left"/>
    </xf>
    <xf numFmtId="0" fontId="2" fillId="35" borderId="29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7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3" fillId="33" borderId="43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16" fontId="3" fillId="0" borderId="44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4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21" xfId="0" applyNumberFormat="1" applyFont="1" applyBorder="1" applyAlignment="1">
      <alignment vertical="center"/>
    </xf>
    <xf numFmtId="165" fontId="4" fillId="0" borderId="23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5" fontId="2" fillId="0" borderId="2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vertical="center"/>
    </xf>
    <xf numFmtId="3" fontId="15" fillId="0" borderId="51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horizontal="right" vertical="center"/>
    </xf>
    <xf numFmtId="3" fontId="16" fillId="0" borderId="52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" fillId="0" borderId="23" xfId="0" applyNumberFormat="1" applyFont="1" applyBorder="1" applyAlignment="1">
      <alignment vertical="center"/>
    </xf>
    <xf numFmtId="0" fontId="18" fillId="0" borderId="12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4" fontId="2" fillId="34" borderId="15" xfId="0" applyNumberFormat="1" applyFont="1" applyFill="1" applyBorder="1" applyAlignment="1">
      <alignment vertical="center"/>
    </xf>
    <xf numFmtId="165" fontId="3" fillId="0" borderId="24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3" fontId="12" fillId="33" borderId="33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3" fontId="3" fillId="0" borderId="53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15" fillId="0" borderId="55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5" fillId="0" borderId="56" xfId="0" applyNumberFormat="1" applyFont="1" applyFill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/>
    </xf>
    <xf numFmtId="4" fontId="16" fillId="0" borderId="39" xfId="0" applyNumberFormat="1" applyFont="1" applyFill="1" applyBorder="1" applyAlignment="1">
      <alignment horizontal="right" vertical="center"/>
    </xf>
    <xf numFmtId="4" fontId="15" fillId="0" borderId="39" xfId="0" applyNumberFormat="1" applyFont="1" applyFill="1" applyBorder="1" applyAlignment="1">
      <alignment horizontal="right" vertical="center"/>
    </xf>
    <xf numFmtId="4" fontId="16" fillId="0" borderId="52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/>
    </xf>
    <xf numFmtId="4" fontId="3" fillId="0" borderId="39" xfId="0" applyNumberFormat="1" applyFont="1" applyBorder="1" applyAlignment="1">
      <alignment/>
    </xf>
    <xf numFmtId="4" fontId="2" fillId="35" borderId="40" xfId="0" applyNumberFormat="1" applyFont="1" applyFill="1" applyBorder="1" applyAlignment="1">
      <alignment/>
    </xf>
    <xf numFmtId="4" fontId="2" fillId="35" borderId="4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/>
    </xf>
    <xf numFmtId="4" fontId="2" fillId="33" borderId="50" xfId="0" applyNumberFormat="1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Font="1" applyAlignment="1">
      <alignment/>
    </xf>
    <xf numFmtId="4" fontId="2" fillId="0" borderId="30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3" fontId="2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/>
    </xf>
    <xf numFmtId="0" fontId="3" fillId="36" borderId="29" xfId="0" applyFont="1" applyFill="1" applyBorder="1" applyAlignment="1">
      <alignment horizontal="center"/>
    </xf>
    <xf numFmtId="0" fontId="9" fillId="36" borderId="34" xfId="0" applyFont="1" applyFill="1" applyBorder="1" applyAlignment="1">
      <alignment vertical="center" wrapText="1"/>
    </xf>
    <xf numFmtId="3" fontId="3" fillId="36" borderId="40" xfId="0" applyNumberFormat="1" applyFont="1" applyFill="1" applyBorder="1" applyAlignment="1">
      <alignment/>
    </xf>
    <xf numFmtId="0" fontId="3" fillId="37" borderId="29" xfId="0" applyFont="1" applyFill="1" applyBorder="1" applyAlignment="1">
      <alignment horizontal="center"/>
    </xf>
    <xf numFmtId="0" fontId="9" fillId="37" borderId="34" xfId="0" applyFont="1" applyFill="1" applyBorder="1" applyAlignment="1">
      <alignment vertical="center" wrapText="1"/>
    </xf>
    <xf numFmtId="3" fontId="3" fillId="37" borderId="40" xfId="0" applyNumberFormat="1" applyFont="1" applyFill="1" applyBorder="1" applyAlignment="1">
      <alignment/>
    </xf>
    <xf numFmtId="3" fontId="3" fillId="37" borderId="30" xfId="0" applyNumberFormat="1" applyFont="1" applyFill="1" applyBorder="1" applyAlignment="1">
      <alignment/>
    </xf>
    <xf numFmtId="4" fontId="3" fillId="37" borderId="30" xfId="0" applyNumberFormat="1" applyFont="1" applyFill="1" applyBorder="1" applyAlignment="1">
      <alignment/>
    </xf>
    <xf numFmtId="4" fontId="3" fillId="38" borderId="30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3" fontId="3" fillId="0" borderId="3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22" fillId="0" borderId="48" xfId="0" applyNumberFormat="1" applyFont="1" applyBorder="1" applyAlignment="1">
      <alignment/>
    </xf>
    <xf numFmtId="3" fontId="2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 vertical="center"/>
    </xf>
    <xf numFmtId="165" fontId="2" fillId="34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9" fillId="0" borderId="57" xfId="0" applyFont="1" applyBorder="1" applyAlignment="1">
      <alignment/>
    </xf>
    <xf numFmtId="0" fontId="14" fillId="0" borderId="5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.%20I\(Ktsgvet&#233;s%202013)I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adatok"/>
      <sheetName val="Címrend"/>
      <sheetName val="Konszolid"/>
      <sheetName val="Önkor"/>
      <sheetName val="Hivatal"/>
      <sheetName val="Közös Hivatal"/>
      <sheetName val="MűvHáz"/>
      <sheetName val="Szktt szoc"/>
      <sheetName val="Szktt okt"/>
      <sheetName val="Nonprofit Kft"/>
      <sheetName val="Létszám"/>
      <sheetName val="Adóbevétel"/>
      <sheetName val="Személyi"/>
      <sheetName val="Dologi"/>
      <sheetName val="Támogatások"/>
      <sheetName val="Szociális"/>
      <sheetName val="Felhalmozás "/>
      <sheetName val="Likviditás"/>
      <sheetName val="3 évre épülő"/>
      <sheetName val="Többéves"/>
      <sheetName val="Határozat melléklete"/>
    </sheetNames>
    <sheetDataSet>
      <sheetData sheetId="3">
        <row r="40">
          <cell r="B40">
            <v>0</v>
          </cell>
          <cell r="C40">
            <v>0</v>
          </cell>
        </row>
        <row r="45">
          <cell r="B45">
            <v>0</v>
          </cell>
          <cell r="C45">
            <v>0</v>
          </cell>
        </row>
        <row r="47">
          <cell r="B47">
            <v>0</v>
          </cell>
          <cell r="C47">
            <v>0</v>
          </cell>
        </row>
        <row r="59">
          <cell r="C59">
            <v>0</v>
          </cell>
        </row>
        <row r="60">
          <cell r="B60">
            <v>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75">
          <cell r="B75">
            <v>0</v>
          </cell>
          <cell r="C75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80.28125" style="0" bestFit="1" customWidth="1"/>
    <col min="2" max="2" width="14.421875" style="0" customWidth="1"/>
    <col min="3" max="3" width="14.57421875" style="0" customWidth="1"/>
    <col min="4" max="4" width="14.7109375" style="0" customWidth="1"/>
    <col min="5" max="5" width="13.28125" style="0" customWidth="1"/>
  </cols>
  <sheetData>
    <row r="1" ht="12.75">
      <c r="D1" s="315" t="s">
        <v>321</v>
      </c>
    </row>
    <row r="2" ht="13.5" thickBot="1"/>
    <row r="3" spans="1:5" ht="12.75" customHeight="1">
      <c r="A3" s="316" t="s">
        <v>0</v>
      </c>
      <c r="B3" s="316" t="s">
        <v>183</v>
      </c>
      <c r="C3" s="316" t="s">
        <v>201</v>
      </c>
      <c r="D3" s="316" t="s">
        <v>269</v>
      </c>
      <c r="E3" s="316" t="s">
        <v>227</v>
      </c>
    </row>
    <row r="4" spans="1:5" ht="18" customHeight="1" thickBot="1">
      <c r="A4" s="317"/>
      <c r="B4" s="317"/>
      <c r="C4" s="317"/>
      <c r="D4" s="317"/>
      <c r="E4" s="317"/>
    </row>
    <row r="5" spans="1:5" ht="15.75">
      <c r="A5" s="22" t="s">
        <v>8</v>
      </c>
      <c r="B5" s="23"/>
      <c r="C5" s="23"/>
      <c r="D5" s="23"/>
      <c r="E5" s="198"/>
    </row>
    <row r="6" spans="1:5" ht="15.75">
      <c r="A6" s="24" t="s">
        <v>9</v>
      </c>
      <c r="B6" s="25"/>
      <c r="C6" s="25"/>
      <c r="D6" s="25"/>
      <c r="E6" s="199"/>
    </row>
    <row r="7" spans="1:5" ht="15.75">
      <c r="A7" s="26" t="s">
        <v>158</v>
      </c>
      <c r="B7" s="27">
        <f>'Deszk Összes'!B7+Szktt!B8+Datht!B8+Tmszszt!B8</f>
        <v>70</v>
      </c>
      <c r="C7" s="27">
        <f>'Deszk Összes'!C7+Szktt!C8+Datht!C8+Tmszszt!C8</f>
        <v>180</v>
      </c>
      <c r="D7" s="27">
        <f>'Deszk Összes'!D7+Szktt!D8+Datht!D8+Tmszszt!D8</f>
        <v>100</v>
      </c>
      <c r="E7" s="220">
        <f>D7/C7*100</f>
        <v>55.55555555555556</v>
      </c>
    </row>
    <row r="8" spans="1:5" ht="15.75">
      <c r="A8" s="26" t="s">
        <v>159</v>
      </c>
      <c r="B8" s="27">
        <f>'Deszk Összes'!B8+Szktt!B9+Datht!B9+Tmszszt!B9</f>
        <v>3508</v>
      </c>
      <c r="C8" s="27">
        <f>'Deszk Összes'!C8+Szktt!C9+Datht!C9+Tmszszt!C9</f>
        <v>655959</v>
      </c>
      <c r="D8" s="27">
        <f>'Deszk Összes'!D8+Szktt!D9+Datht!D9+Tmszszt!D9</f>
        <v>670970</v>
      </c>
      <c r="E8" s="220">
        <f>D8/C8*100</f>
        <v>102.28840522044823</v>
      </c>
    </row>
    <row r="9" spans="1:5" ht="15.75">
      <c r="A9" s="26" t="s">
        <v>160</v>
      </c>
      <c r="B9" s="27">
        <f>'Deszk Összes'!B9+Szktt!B10+Datht!B10+Tmszszt!B10</f>
        <v>1500</v>
      </c>
      <c r="C9" s="27">
        <f>'Deszk Összes'!C9+Szktt!C10+Datht!C10+Tmszszt!C10</f>
        <v>107832</v>
      </c>
      <c r="D9" s="27">
        <f>'Deszk Összes'!D9+Szktt!D10+Datht!D10+Tmszszt!D10</f>
        <v>104670</v>
      </c>
      <c r="E9" s="220">
        <f>D9/C9*100</f>
        <v>97.06766080569776</v>
      </c>
    </row>
    <row r="10" spans="1:5" ht="16.5" thickBot="1">
      <c r="A10" s="26" t="s">
        <v>161</v>
      </c>
      <c r="B10" s="27">
        <f>'Deszk Összes'!B10+Szktt!B11+Datht!B11+Tmszszt!B11</f>
        <v>1661</v>
      </c>
      <c r="C10" s="27">
        <f>'Deszk Összes'!C10+Szktt!C11+Datht!C11+Tmszszt!C11</f>
        <v>6426</v>
      </c>
      <c r="D10" s="27">
        <f>'Deszk Összes'!D10+Szktt!D11+Datht!D11+Tmszszt!D11</f>
        <v>6589</v>
      </c>
      <c r="E10" s="256">
        <f>D10/C10*100</f>
        <v>102.53657018362901</v>
      </c>
    </row>
    <row r="11" spans="1:5" ht="16.5" thickBot="1">
      <c r="A11" s="28" t="s">
        <v>9</v>
      </c>
      <c r="B11" s="29">
        <f>SUM(B7:B10)</f>
        <v>6739</v>
      </c>
      <c r="C11" s="29">
        <f>SUM(C7:C10)</f>
        <v>770397</v>
      </c>
      <c r="D11" s="29">
        <f>SUM(D7:D10)</f>
        <v>782329</v>
      </c>
      <c r="E11" s="237">
        <f>D11/C11*100</f>
        <v>101.54881184635973</v>
      </c>
    </row>
    <row r="12" spans="1:5" ht="15.75">
      <c r="A12" s="30" t="s">
        <v>10</v>
      </c>
      <c r="B12" s="31"/>
      <c r="C12" s="31"/>
      <c r="D12" s="31"/>
      <c r="E12" s="200"/>
    </row>
    <row r="13" spans="1:5" ht="15.75">
      <c r="A13" s="32" t="s">
        <v>11</v>
      </c>
      <c r="B13" s="33">
        <f>'Deszk Összes'!B13+Szktt!B14+Datht!B14+Tmszszt!B14</f>
        <v>15000</v>
      </c>
      <c r="C13" s="33">
        <f>'Deszk Összes'!C13+Szktt!C14+Datht!C14+Tmszszt!C14</f>
        <v>15000</v>
      </c>
      <c r="D13" s="33">
        <f>'Deszk Összes'!D13+Szktt!D14+Datht!D14+Tmszszt!D14</f>
        <v>15694</v>
      </c>
      <c r="E13" s="220">
        <f>D13/C13*100</f>
        <v>104.62666666666667</v>
      </c>
    </row>
    <row r="14" spans="1:5" ht="15.75">
      <c r="A14" s="32" t="s">
        <v>12</v>
      </c>
      <c r="B14" s="33">
        <f>'Deszk Összes'!B14+Szktt!B15+Datht!B15+Tmszszt!B15</f>
        <v>23000</v>
      </c>
      <c r="C14" s="33">
        <f>'Deszk Összes'!C14+Szktt!C15+Datht!C15+Tmszszt!C15</f>
        <v>23000</v>
      </c>
      <c r="D14" s="33">
        <f>'Deszk Összes'!D14+Szktt!D15+Datht!D15+Tmszszt!D15</f>
        <v>20624</v>
      </c>
      <c r="E14" s="220">
        <f>D14/C14*100</f>
        <v>89.6695652173913</v>
      </c>
    </row>
    <row r="15" spans="1:5" ht="15.75">
      <c r="A15" s="32" t="s">
        <v>73</v>
      </c>
      <c r="B15" s="33">
        <f>'Deszk Összes'!B15+Szktt!B16+Datht!B16+Tmszszt!B16</f>
        <v>10000</v>
      </c>
      <c r="C15" s="33">
        <f>'Deszk Összes'!C15+Szktt!C16+Datht!C16+Tmszszt!C16</f>
        <v>10000</v>
      </c>
      <c r="D15" s="33">
        <f>'Deszk Összes'!D15+Szktt!D16+Datht!D16+Tmszszt!D16</f>
        <v>12439</v>
      </c>
      <c r="E15" s="220">
        <f>D15/C15*100</f>
        <v>124.39</v>
      </c>
    </row>
    <row r="16" spans="1:5" ht="15.75">
      <c r="A16" s="34" t="s">
        <v>13</v>
      </c>
      <c r="B16" s="33">
        <f>'Deszk Összes'!B16+Szktt!B17+Datht!B17+Tmszszt!B17</f>
        <v>64000</v>
      </c>
      <c r="C16" s="33">
        <f>'Deszk Összes'!C16+Szktt!C17+Datht!C17+Tmszszt!C17</f>
        <v>64000</v>
      </c>
      <c r="D16" s="33">
        <f>'Deszk Összes'!D16+Szktt!D17+Datht!D17+Tmszszt!D17</f>
        <v>85206</v>
      </c>
      <c r="E16" s="220">
        <f>D16/C16*100</f>
        <v>133.134375</v>
      </c>
    </row>
    <row r="17" spans="1:5" ht="15.75">
      <c r="A17" s="35" t="s">
        <v>14</v>
      </c>
      <c r="B17" s="33">
        <f>'Deszk Összes'!B17+Szktt!B18+Datht!B18+Tmszszt!B18</f>
        <v>1000</v>
      </c>
      <c r="C17" s="33">
        <f>'Deszk Összes'!C17+Szktt!C18+Datht!C18+Tmszszt!C18</f>
        <v>1000</v>
      </c>
      <c r="D17" s="33">
        <f>'Deszk Összes'!D17+Szktt!D18+Datht!D18+Tmszszt!D18</f>
        <v>1259</v>
      </c>
      <c r="E17" s="220">
        <f>D17/C17*100</f>
        <v>125.89999999999999</v>
      </c>
    </row>
    <row r="18" spans="1:5" ht="16.5" thickBot="1">
      <c r="A18" s="26" t="s">
        <v>221</v>
      </c>
      <c r="B18" s="33">
        <f>'Deszk Összes'!B18+Szktt!B19+Datht!B19+Tmszszt!B19</f>
        <v>0</v>
      </c>
      <c r="C18" s="33">
        <f>'Deszk Összes'!C18+Szktt!C19+Datht!C19+Tmszszt!C19</f>
        <v>0</v>
      </c>
      <c r="D18" s="33">
        <f>'Deszk Összes'!D18+Szktt!D19+Datht!D19+Tmszszt!D19</f>
        <v>4</v>
      </c>
      <c r="E18" s="220">
        <v>0</v>
      </c>
    </row>
    <row r="19" spans="1:5" ht="16.5" thickBot="1">
      <c r="A19" s="36" t="s">
        <v>10</v>
      </c>
      <c r="B19" s="37">
        <f>SUM(B13:B18)</f>
        <v>113000</v>
      </c>
      <c r="C19" s="37">
        <f>SUM(C13:C18)</f>
        <v>113000</v>
      </c>
      <c r="D19" s="37">
        <f>SUM(D13:D18)</f>
        <v>135226</v>
      </c>
      <c r="E19" s="212">
        <f>D19/C19*100</f>
        <v>119.66902654867258</v>
      </c>
    </row>
    <row r="20" spans="1:5" ht="15.75">
      <c r="A20" s="38" t="s">
        <v>15</v>
      </c>
      <c r="B20" s="39"/>
      <c r="C20" s="39"/>
      <c r="D20" s="39"/>
      <c r="E20" s="201"/>
    </row>
    <row r="21" spans="1:5" ht="15.75">
      <c r="A21" s="34" t="s">
        <v>163</v>
      </c>
      <c r="B21" s="27">
        <f>'Deszk Összes'!B21+Szktt!B22+Datht!B22+Tmszszt!B22</f>
        <v>0</v>
      </c>
      <c r="C21" s="27">
        <f>'Deszk Összes'!C21+Szktt!C22+Datht!C22+Tmszszt!C22</f>
        <v>0</v>
      </c>
      <c r="D21" s="27">
        <f>'Deszk Összes'!D21+Szktt!D22+Datht!D22+Tmszszt!D22</f>
        <v>0</v>
      </c>
      <c r="E21" s="220">
        <v>0</v>
      </c>
    </row>
    <row r="22" spans="1:5" ht="15.75">
      <c r="A22" s="34" t="s">
        <v>16</v>
      </c>
      <c r="B22" s="27">
        <f>'Deszk Összes'!B22+Szktt!B23+Datht!B23+Tmszszt!B23</f>
        <v>0</v>
      </c>
      <c r="C22" s="27">
        <f>'Deszk Összes'!C22+Szktt!C23+Datht!C23+Tmszszt!C23</f>
        <v>0</v>
      </c>
      <c r="D22" s="27">
        <f>'Deszk Összes'!D22+Szktt!D23+Datht!D23+Tmszszt!D23</f>
        <v>0</v>
      </c>
      <c r="E22" s="220">
        <v>0</v>
      </c>
    </row>
    <row r="23" spans="1:5" ht="15.75">
      <c r="A23" s="34" t="s">
        <v>17</v>
      </c>
      <c r="B23" s="27">
        <f>'Deszk Összes'!B23+Szktt!B24+Datht!B24+Tmszszt!B24</f>
        <v>10000</v>
      </c>
      <c r="C23" s="27">
        <f>'Deszk Összes'!C23+Szktt!C24+Datht!C24+Tmszszt!C24</f>
        <v>10000</v>
      </c>
      <c r="D23" s="27">
        <f>'Deszk Összes'!D23+Szktt!D24+Datht!D24+Tmszszt!D24</f>
        <v>9615</v>
      </c>
      <c r="E23" s="220">
        <f>D23/C23*100</f>
        <v>96.15</v>
      </c>
    </row>
    <row r="24" spans="1:5" ht="16.5" thickBot="1">
      <c r="A24" s="40" t="s">
        <v>18</v>
      </c>
      <c r="B24" s="41">
        <f>'Deszk Összes'!B24+Szktt!B25+Datht!B25+Tmszszt!B25</f>
        <v>14</v>
      </c>
      <c r="C24" s="41">
        <f>'Deszk Összes'!C24+Szktt!C25+Datht!C25+Tmszszt!C25</f>
        <v>14</v>
      </c>
      <c r="D24" s="41">
        <f>'Deszk Összes'!D24+Szktt!D25+Datht!D25+Tmszszt!D25</f>
        <v>32</v>
      </c>
      <c r="E24" s="256">
        <f>D24/C24*100</f>
        <v>228.57142857142856</v>
      </c>
    </row>
    <row r="25" spans="1:5" ht="16.5" thickBot="1">
      <c r="A25" s="42" t="s">
        <v>15</v>
      </c>
      <c r="B25" s="43">
        <f>SUM(B21:B24)</f>
        <v>10014</v>
      </c>
      <c r="C25" s="43">
        <f>SUM(C21:C24)</f>
        <v>10014</v>
      </c>
      <c r="D25" s="43">
        <f>SUM(D21:D24)</f>
        <v>9647</v>
      </c>
      <c r="E25" s="237">
        <f>D25/C25*100</f>
        <v>96.33513081685639</v>
      </c>
    </row>
    <row r="26" spans="1:5" ht="15.75">
      <c r="A26" s="44" t="s">
        <v>19</v>
      </c>
      <c r="B26" s="23"/>
      <c r="C26" s="23"/>
      <c r="D26" s="23"/>
      <c r="E26" s="198"/>
    </row>
    <row r="27" spans="1:5" ht="15.75">
      <c r="A27" s="45" t="s">
        <v>206</v>
      </c>
      <c r="B27" s="46">
        <f>'Deszk Összes'!B27+Szktt!B28+Datht!B28+Tmszszt!B28</f>
        <v>52692</v>
      </c>
      <c r="C27" s="46">
        <f>'Deszk Összes'!C27+Szktt!C28+Datht!C28+Tmszszt!C28</f>
        <v>50815</v>
      </c>
      <c r="D27" s="46">
        <f>'Deszk Összes'!D27+Szktt!D28+Datht!D28+Tmszszt!D28</f>
        <v>50815</v>
      </c>
      <c r="E27" s="220">
        <f>D27/C27*100</f>
        <v>100</v>
      </c>
    </row>
    <row r="28" spans="1:5" ht="15.75">
      <c r="A28" s="47" t="s">
        <v>207</v>
      </c>
      <c r="B28" s="46">
        <f>'Deszk Összes'!B28+Szktt!B29+Datht!B29+Tmszszt!B29</f>
        <v>0</v>
      </c>
      <c r="C28" s="46">
        <f>'Deszk Összes'!C28+Szktt!C29+Datht!C29+Tmszszt!C29</f>
        <v>4196</v>
      </c>
      <c r="D28" s="46">
        <f>'Deszk Összes'!D28+Szktt!D29+Datht!D29+Tmszszt!D29</f>
        <v>4196</v>
      </c>
      <c r="E28" s="220">
        <f aca="true" t="shared" si="0" ref="E28:E38">D28/C28*100</f>
        <v>100</v>
      </c>
    </row>
    <row r="29" spans="1:5" ht="15.75">
      <c r="A29" s="47" t="s">
        <v>20</v>
      </c>
      <c r="B29" s="46">
        <f>'Deszk Összes'!B29+Szktt!B30+Datht!B30+Tmszszt!B30</f>
        <v>5730</v>
      </c>
      <c r="C29" s="46">
        <f>'Deszk Összes'!C29+Szktt!C30+Datht!C30+Tmszszt!C30</f>
        <v>5731</v>
      </c>
      <c r="D29" s="46">
        <f>'Deszk Összes'!D29+Szktt!D30+Datht!D30+Tmszszt!D30</f>
        <v>5731</v>
      </c>
      <c r="E29" s="220">
        <f t="shared" si="0"/>
        <v>100</v>
      </c>
    </row>
    <row r="30" spans="1:5" ht="15.75">
      <c r="A30" s="49" t="s">
        <v>184</v>
      </c>
      <c r="B30" s="46">
        <f>'Deszk Összes'!B30+Szktt!B31+Datht!B31+Tmszszt!B31</f>
        <v>0</v>
      </c>
      <c r="C30" s="46">
        <f>'Deszk Összes'!C30+Szktt!C31+Datht!C31+Tmszszt!C31</f>
        <v>25073</v>
      </c>
      <c r="D30" s="46">
        <f>'Deszk Összes'!D30+Szktt!D31+Datht!D31+Tmszszt!D31</f>
        <v>12269</v>
      </c>
      <c r="E30" s="220">
        <f t="shared" si="0"/>
        <v>48.933115303314324</v>
      </c>
    </row>
    <row r="31" spans="1:5" ht="15.75">
      <c r="A31" s="47" t="s">
        <v>215</v>
      </c>
      <c r="B31" s="46">
        <f>'Deszk Összes'!B31+Szktt!B32+Datht!B32+Tmszszt!B32</f>
        <v>0</v>
      </c>
      <c r="C31" s="46">
        <f>'Deszk Összes'!C31+Szktt!C32+Datht!C32+Tmszszt!C32</f>
        <v>11648</v>
      </c>
      <c r="D31" s="46">
        <f>'Deszk Összes'!D31+Szktt!D32+Datht!D32+Tmszszt!D32</f>
        <v>11648</v>
      </c>
      <c r="E31" s="220">
        <f t="shared" si="0"/>
        <v>100</v>
      </c>
    </row>
    <row r="32" spans="1:5" ht="15.75">
      <c r="A32" s="47" t="s">
        <v>216</v>
      </c>
      <c r="B32" s="46">
        <f>'Deszk Összes'!B32+Szktt!B33+Datht!B33+Tmszszt!B33</f>
        <v>0</v>
      </c>
      <c r="C32" s="46">
        <f>'Deszk Összes'!C32+Szktt!C33+Datht!C33+Tmszszt!C33</f>
        <v>12269</v>
      </c>
      <c r="D32" s="46">
        <f>'Deszk Összes'!D32+Szktt!D33+Datht!D33+Tmszszt!D33</f>
        <v>25073</v>
      </c>
      <c r="E32" s="220">
        <f t="shared" si="0"/>
        <v>204.36058358464422</v>
      </c>
    </row>
    <row r="33" spans="1:5" ht="15.75">
      <c r="A33" s="49" t="s">
        <v>217</v>
      </c>
      <c r="B33" s="46">
        <f>'Deszk Összes'!B33+Szktt!B34+Datht!B34+Tmszszt!B34</f>
        <v>0</v>
      </c>
      <c r="C33" s="46">
        <f>'Deszk Összes'!C33+Szktt!C34+Datht!C34+Tmszszt!C34</f>
        <v>69194</v>
      </c>
      <c r="D33" s="46">
        <f>'Deszk Összes'!D33+Szktt!D34+Datht!D34+Tmszszt!D34</f>
        <v>69193</v>
      </c>
      <c r="E33" s="220">
        <f t="shared" si="0"/>
        <v>99.99855478798739</v>
      </c>
    </row>
    <row r="34" spans="1:5" ht="15.75">
      <c r="A34" s="34" t="s">
        <v>240</v>
      </c>
      <c r="B34" s="46">
        <f>'Deszk Összes'!B34+Szktt!B35+Datht!B35+Tmszszt!B35</f>
        <v>0</v>
      </c>
      <c r="C34" s="46">
        <f>'Deszk Összes'!C34+Szktt!C35+Datht!C35+Tmszszt!C35</f>
        <v>97223</v>
      </c>
      <c r="D34" s="46">
        <f>'Deszk Összes'!D34+Szktt!D35+Datht!D35+Tmszszt!D35</f>
        <v>97223</v>
      </c>
      <c r="E34" s="220">
        <f t="shared" si="0"/>
        <v>100</v>
      </c>
    </row>
    <row r="35" spans="1:5" ht="15.75">
      <c r="A35" s="34" t="s">
        <v>241</v>
      </c>
      <c r="B35" s="46">
        <f>'Deszk Összes'!B35+Szktt!B36+Datht!B36+Tmszszt!B36</f>
        <v>0</v>
      </c>
      <c r="C35" s="46">
        <f>'Deszk Összes'!C35+Szktt!C36+Datht!C36+Tmszszt!C36</f>
        <v>14328</v>
      </c>
      <c r="D35" s="46">
        <f>'Deszk Összes'!D35+Szktt!D36+Datht!D36+Tmszszt!D36</f>
        <v>14328</v>
      </c>
      <c r="E35" s="220">
        <f t="shared" si="0"/>
        <v>100</v>
      </c>
    </row>
    <row r="36" spans="1:5" ht="15.75">
      <c r="A36" s="34" t="s">
        <v>242</v>
      </c>
      <c r="B36" s="46">
        <f>'Deszk Összes'!B36+Szktt!B37+Datht!B37+Tmszszt!B37</f>
        <v>0</v>
      </c>
      <c r="C36" s="46">
        <f>'Deszk Összes'!C36+Szktt!C37+Datht!C37+Tmszszt!C37</f>
        <v>33966</v>
      </c>
      <c r="D36" s="46">
        <f>'Deszk Összes'!D36+Szktt!D37+Datht!D37+Tmszszt!D37</f>
        <v>33966</v>
      </c>
      <c r="E36" s="220">
        <f t="shared" si="0"/>
        <v>100</v>
      </c>
    </row>
    <row r="37" spans="1:5" ht="15.75">
      <c r="A37" s="34" t="s">
        <v>243</v>
      </c>
      <c r="B37" s="46">
        <f>'Deszk Összes'!B37+Szktt!B38+Datht!B38+Tmszszt!B38</f>
        <v>0</v>
      </c>
      <c r="C37" s="46">
        <f>'Deszk Összes'!C37+Szktt!C38+Datht!C38+Tmszszt!C38</f>
        <v>339226</v>
      </c>
      <c r="D37" s="46">
        <f>'Deszk Összes'!D37+Szktt!D38+Datht!D38+Tmszszt!D38</f>
        <v>339226</v>
      </c>
      <c r="E37" s="220">
        <f t="shared" si="0"/>
        <v>100</v>
      </c>
    </row>
    <row r="38" spans="1:5" ht="16.5" thickBot="1">
      <c r="A38" s="257" t="s">
        <v>244</v>
      </c>
      <c r="B38" s="46">
        <f>'Deszk Összes'!B38+Szktt!B39+Datht!B39+Tmszszt!B39</f>
        <v>0</v>
      </c>
      <c r="C38" s="46">
        <f>'Deszk Összes'!C38+Szktt!C39+Datht!C39+Tmszszt!C39</f>
        <v>211703</v>
      </c>
      <c r="D38" s="46">
        <f>'Deszk Összes'!D38+Szktt!D39+Datht!D39+Tmszszt!D39</f>
        <v>211703</v>
      </c>
      <c r="E38" s="220">
        <f t="shared" si="0"/>
        <v>100</v>
      </c>
    </row>
    <row r="39" spans="1:5" ht="16.5" thickBot="1">
      <c r="A39" s="51" t="s">
        <v>164</v>
      </c>
      <c r="B39" s="52">
        <f>SUM(B27:B38)</f>
        <v>58422</v>
      </c>
      <c r="C39" s="52">
        <f>SUM(C27:C38)</f>
        <v>875372</v>
      </c>
      <c r="D39" s="52">
        <f>SUM(D27:D38)</f>
        <v>875371</v>
      </c>
      <c r="E39" s="212">
        <f>D39/C39*100</f>
        <v>99.99988576285283</v>
      </c>
    </row>
    <row r="40" spans="1:5" ht="16.5" thickBot="1">
      <c r="A40" s="53" t="s">
        <v>165</v>
      </c>
      <c r="B40" s="54">
        <f>'Deszk Összes'!B40+Szktt!B41+Datht!B41+Tmszszt!B41</f>
        <v>1600</v>
      </c>
      <c r="C40" s="54">
        <f>'Deszk Összes'!C40+Szktt!C41+Datht!C41+Tmszszt!C41</f>
        <v>1600</v>
      </c>
      <c r="D40" s="54">
        <f>'Deszk Összes'!D40+Szktt!D41+Datht!D41+Tmszszt!D41</f>
        <v>1899</v>
      </c>
      <c r="E40" s="212">
        <f>D40/C40*100</f>
        <v>118.68749999999999</v>
      </c>
    </row>
    <row r="41" spans="1:5" ht="16.5" thickBot="1">
      <c r="A41" s="53" t="s">
        <v>166</v>
      </c>
      <c r="B41" s="54">
        <f>'Deszk Összes'!B41+Szktt!B42+Datht!B42+Tmszszt!B42</f>
        <v>127972</v>
      </c>
      <c r="C41" s="54">
        <f>'Deszk Összes'!C41+Szktt!C42+Datht!C42+Tmszszt!C42</f>
        <v>2427938</v>
      </c>
      <c r="D41" s="54">
        <f>'Deszk Összes'!D41+Szktt!D42+Datht!D42+Tmszszt!D42</f>
        <v>2530097</v>
      </c>
      <c r="E41" s="212">
        <f>D41/C41*100</f>
        <v>104.20764451151554</v>
      </c>
    </row>
    <row r="42" spans="1:5" ht="16.5" thickBot="1">
      <c r="A42" s="53" t="s">
        <v>209</v>
      </c>
      <c r="B42" s="54">
        <f>'Deszk Összes'!B42+Szktt!B43+Datht!B43+Tmszszt!B43</f>
        <v>0</v>
      </c>
      <c r="C42" s="54">
        <f>'Deszk Összes'!C42+Szktt!C43+Datht!C43+Tmszszt!C43</f>
        <v>14832</v>
      </c>
      <c r="D42" s="54">
        <f>'Deszk Összes'!D42+Szktt!D43+Datht!D43+Tmszszt!D43</f>
        <v>16476</v>
      </c>
      <c r="E42" s="212">
        <f>D42/C42*100</f>
        <v>111.08414239482201</v>
      </c>
    </row>
    <row r="43" spans="1:5" ht="16.5" thickBot="1">
      <c r="A43" s="55" t="s">
        <v>21</v>
      </c>
      <c r="B43" s="54">
        <f>'Deszk Összes'!B43+Szktt!B44+Datht!B44+Tmszszt!B44</f>
        <v>317747</v>
      </c>
      <c r="C43" s="54">
        <f>'Deszk Összes'!C43+Szktt!C44+Datht!C44+Tmszszt!C44</f>
        <v>4213153</v>
      </c>
      <c r="D43" s="54">
        <f>'Deszk Összes'!D43+Szktt!D44+Datht!D44+Tmszszt!D44</f>
        <v>4351045</v>
      </c>
      <c r="E43" s="212">
        <f>D43/C43*100</f>
        <v>103.27289324645936</v>
      </c>
    </row>
    <row r="44" spans="1:5" ht="15.75">
      <c r="A44" s="56" t="s">
        <v>22</v>
      </c>
      <c r="B44" s="57"/>
      <c r="C44" s="57"/>
      <c r="D44" s="57"/>
      <c r="E44" s="202"/>
    </row>
    <row r="45" spans="1:5" ht="15.75">
      <c r="A45" s="47" t="s">
        <v>167</v>
      </c>
      <c r="B45" s="48">
        <f>'Deszk Összes'!B45+Szktt!B46+Datht!B46+Tmszszt!B46</f>
        <v>0</v>
      </c>
      <c r="C45" s="48">
        <f>'Deszk Összes'!C45+Szktt!C46+Datht!C46+Tmszszt!C46</f>
        <v>0</v>
      </c>
      <c r="D45" s="48">
        <f>'Deszk Összes'!D45+Szktt!D46+Datht!D46+Tmszszt!D46</f>
        <v>0</v>
      </c>
      <c r="E45" s="220">
        <v>0</v>
      </c>
    </row>
    <row r="46" spans="1:5" ht="15.75">
      <c r="A46" s="45" t="s">
        <v>168</v>
      </c>
      <c r="B46" s="48">
        <f>'Deszk Összes'!B46+Szktt!B47+Datht!B47+Tmszszt!B47</f>
        <v>10000</v>
      </c>
      <c r="C46" s="48">
        <f>'Deszk Összes'!C46+Szktt!C47+Datht!C47+Tmszszt!C47</f>
        <v>10000</v>
      </c>
      <c r="D46" s="48">
        <f>'Deszk Összes'!D46+Szktt!D47+Datht!D47+Tmszszt!D47</f>
        <v>9626</v>
      </c>
      <c r="E46" s="220">
        <f>D46/C46*100</f>
        <v>96.26</v>
      </c>
    </row>
    <row r="47" spans="1:5" ht="16.5" thickBot="1">
      <c r="A47" s="58"/>
      <c r="B47" s="59"/>
      <c r="C47" s="59"/>
      <c r="D47" s="59"/>
      <c r="E47" s="203"/>
    </row>
    <row r="48" spans="1:5" ht="16.5" thickBot="1">
      <c r="A48" s="60" t="s">
        <v>22</v>
      </c>
      <c r="B48" s="61">
        <f>SUM(B45:B46)</f>
        <v>10000</v>
      </c>
      <c r="C48" s="61">
        <f>SUM(C45:C46)</f>
        <v>10000</v>
      </c>
      <c r="D48" s="61">
        <f>SUM(D45:D46)</f>
        <v>9626</v>
      </c>
      <c r="E48" s="212">
        <f>D48/C48*100</f>
        <v>96.26</v>
      </c>
    </row>
    <row r="49" spans="1:5" ht="15.75">
      <c r="A49" s="56" t="s">
        <v>23</v>
      </c>
      <c r="B49" s="57"/>
      <c r="C49" s="57"/>
      <c r="D49" s="57"/>
      <c r="E49" s="202"/>
    </row>
    <row r="50" spans="1:5" ht="15.75">
      <c r="A50" s="45" t="s">
        <v>77</v>
      </c>
      <c r="B50" s="46">
        <f>'Deszk Összes'!B50+Szktt!B51+Datht!B51+Tmszszt!B51</f>
        <v>0</v>
      </c>
      <c r="C50" s="46">
        <f>'Deszk Összes'!C50+Szktt!C51+Datht!C51+Tmszszt!C51</f>
        <v>157</v>
      </c>
      <c r="D50" s="46">
        <f>'Deszk Összes'!D50+Szktt!D51+Datht!D51+Tmszszt!D51</f>
        <v>214</v>
      </c>
      <c r="E50" s="220">
        <v>0</v>
      </c>
    </row>
    <row r="51" spans="1:5" ht="15.75">
      <c r="A51" s="47" t="s">
        <v>170</v>
      </c>
      <c r="B51" s="46">
        <f>'Deszk Összes'!B51+Szktt!B52+Datht!B52+Tmszszt!B52</f>
        <v>6393</v>
      </c>
      <c r="C51" s="46">
        <f>'Deszk Összes'!C51+Szktt!C52+Datht!C52+Tmszszt!C52</f>
        <v>1417879</v>
      </c>
      <c r="D51" s="46">
        <f>'Deszk Összes'!D51+Szktt!D52+Datht!D52+Tmszszt!D52</f>
        <v>1028263</v>
      </c>
      <c r="E51" s="220">
        <f>D51/C51*100</f>
        <v>72.52120949672009</v>
      </c>
    </row>
    <row r="52" spans="1:5" ht="16.5" thickBot="1">
      <c r="A52" s="62" t="s">
        <v>78</v>
      </c>
      <c r="B52" s="59">
        <f>'Deszk Összes'!B52+Szktt!B53+Datht!B53+Tmszszt!B53</f>
        <v>0</v>
      </c>
      <c r="C52" s="59">
        <f>'Deszk Összes'!C52+Szktt!C53+Datht!C53+Tmszszt!C53</f>
        <v>0</v>
      </c>
      <c r="D52" s="59">
        <f>'Deszk Összes'!D52+Szktt!D53+Datht!D53+Tmszszt!D53</f>
        <v>0</v>
      </c>
      <c r="E52" s="220">
        <v>0</v>
      </c>
    </row>
    <row r="53" spans="1:5" ht="16.5" thickBot="1">
      <c r="A53" s="64" t="s">
        <v>25</v>
      </c>
      <c r="B53" s="61">
        <f>SUM(B50:B52)</f>
        <v>6393</v>
      </c>
      <c r="C53" s="61">
        <f>SUM(C50:C52)</f>
        <v>1418036</v>
      </c>
      <c r="D53" s="61">
        <f>SUM(D50:D52)</f>
        <v>1028477</v>
      </c>
      <c r="E53" s="212">
        <f>D53/C53*100</f>
        <v>72.52827149663337</v>
      </c>
    </row>
    <row r="54" spans="1:5" ht="15.75">
      <c r="A54" s="56" t="s">
        <v>26</v>
      </c>
      <c r="B54" s="65"/>
      <c r="C54" s="65"/>
      <c r="D54" s="65"/>
      <c r="E54" s="204"/>
    </row>
    <row r="55" spans="1:5" ht="15.75">
      <c r="A55" s="47" t="s">
        <v>27</v>
      </c>
      <c r="B55" s="48">
        <f>'Deszk Összes'!B55+Szktt!B56+Datht!B56+Tmszszt!B56</f>
        <v>32934</v>
      </c>
      <c r="C55" s="48">
        <f>'Deszk Összes'!C55+Szktt!C56+Datht!C56+Tmszszt!C56</f>
        <v>47186</v>
      </c>
      <c r="D55" s="48">
        <f>'Deszk Összes'!D55+Szktt!D56+Datht!D56+Tmszszt!D56</f>
        <v>14410</v>
      </c>
      <c r="E55" s="220">
        <f>D55/C55*100</f>
        <v>30.538719111600898</v>
      </c>
    </row>
    <row r="56" spans="1:5" ht="15.75">
      <c r="A56" s="47" t="s">
        <v>171</v>
      </c>
      <c r="B56" s="48">
        <f>'Deszk Összes'!B56+Szktt!B57+Datht!B57+Tmszszt!B57</f>
        <v>6825</v>
      </c>
      <c r="C56" s="48">
        <f>'Deszk Összes'!C56+Szktt!C57+Datht!C57+Tmszszt!C57</f>
        <v>0</v>
      </c>
      <c r="D56" s="48">
        <f>'Deszk Összes'!D56+Szktt!D57+Datht!D57+Tmszszt!D57</f>
        <v>4</v>
      </c>
      <c r="E56" s="220">
        <v>0</v>
      </c>
    </row>
    <row r="57" spans="1:5" ht="15.75">
      <c r="A57" s="47" t="s">
        <v>172</v>
      </c>
      <c r="B57" s="48">
        <f>'Deszk Összes'!B57+Szktt!B58+Datht!B58+Tmszszt!B58</f>
        <v>5100</v>
      </c>
      <c r="C57" s="48">
        <f>'Deszk Összes'!C57+Szktt!C58+Datht!C58+Tmszszt!C58</f>
        <v>7000</v>
      </c>
      <c r="D57" s="48">
        <f>'Deszk Összes'!D57+Szktt!D58+Datht!D58+Tmszszt!D58</f>
        <v>10600</v>
      </c>
      <c r="E57" s="220">
        <f>D57/C57*100</f>
        <v>151.42857142857142</v>
      </c>
    </row>
    <row r="58" spans="1:5" ht="16.5" thickBot="1">
      <c r="A58" s="49" t="s">
        <v>219</v>
      </c>
      <c r="B58" s="48">
        <f>'Deszk Összes'!B58+Szktt!B59+Datht!B59+Tmszszt!B59</f>
        <v>0</v>
      </c>
      <c r="C58" s="48">
        <f>'Deszk Összes'!C58+Szktt!C59+Datht!C59+Tmszszt!C59</f>
        <v>57</v>
      </c>
      <c r="D58" s="48">
        <f>'Deszk Összes'!D58+Szktt!D59+Datht!D59+Tmszszt!D59</f>
        <v>0</v>
      </c>
      <c r="E58" s="220">
        <v>0</v>
      </c>
    </row>
    <row r="59" spans="1:5" ht="16.5" thickBot="1">
      <c r="A59" s="194" t="s">
        <v>26</v>
      </c>
      <c r="B59" s="52">
        <f>SUM(B55:B58)</f>
        <v>44859</v>
      </c>
      <c r="C59" s="52">
        <f>SUM(C55:C58)</f>
        <v>54243</v>
      </c>
      <c r="D59" s="52">
        <f>SUM(D55:D58)</f>
        <v>25014</v>
      </c>
      <c r="E59" s="212">
        <f>D59/C59*100</f>
        <v>46.11470604501963</v>
      </c>
    </row>
    <row r="60" spans="1:5" ht="16.5" thickBot="1">
      <c r="A60" s="66" t="s">
        <v>28</v>
      </c>
      <c r="B60" s="52">
        <f>B48+B53+B59</f>
        <v>61252</v>
      </c>
      <c r="C60" s="52">
        <f>C48+C53+C59</f>
        <v>1482279</v>
      </c>
      <c r="D60" s="52">
        <f>D48+D53+D59</f>
        <v>1063117</v>
      </c>
      <c r="E60" s="212">
        <f>D60/C60*100</f>
        <v>71.72178786854566</v>
      </c>
    </row>
    <row r="61" spans="1:5" ht="16.5" thickBot="1">
      <c r="A61" s="67" t="s">
        <v>29</v>
      </c>
      <c r="B61" s="52">
        <f>B43+B60</f>
        <v>378999</v>
      </c>
      <c r="C61" s="52">
        <f>C43+C60</f>
        <v>5695432</v>
      </c>
      <c r="D61" s="52">
        <f>D43+D60</f>
        <v>5414162</v>
      </c>
      <c r="E61" s="212">
        <f>D61/C61*100</f>
        <v>95.06148084991621</v>
      </c>
    </row>
    <row r="62" spans="1:5" ht="15.75">
      <c r="A62" s="56" t="s">
        <v>30</v>
      </c>
      <c r="B62" s="57"/>
      <c r="C62" s="57"/>
      <c r="D62" s="57"/>
      <c r="E62" s="202"/>
    </row>
    <row r="63" spans="1:5" ht="15.75">
      <c r="A63" s="45" t="s">
        <v>213</v>
      </c>
      <c r="B63" s="46">
        <f>'Deszk Összes'!B63+Szktt!B64+Datht!B64+Tmszszt!B64</f>
        <v>55495</v>
      </c>
      <c r="C63" s="46">
        <f>'Deszk Összes'!C63+Szktt!C64+Datht!C64+Tmszszt!C64</f>
        <v>364226</v>
      </c>
      <c r="D63" s="46">
        <f>'Deszk Összes'!D63+Szktt!D64+Datht!D64+Tmszszt!D64</f>
        <v>0</v>
      </c>
      <c r="E63" s="220">
        <f>D63/C63*100</f>
        <v>0</v>
      </c>
    </row>
    <row r="64" spans="1:5" ht="15.75">
      <c r="A64" s="47" t="s">
        <v>31</v>
      </c>
      <c r="B64" s="46">
        <f>'Deszk Összes'!B64+Szktt!B65+Datht!B65+Tmszszt!B65</f>
        <v>3650</v>
      </c>
      <c r="C64" s="46">
        <f>'Deszk Összes'!C64+Szktt!C65+Datht!C65+Tmszszt!C65</f>
        <v>3650</v>
      </c>
      <c r="D64" s="46">
        <f>'Deszk Összes'!D64+Szktt!D65+Datht!D65+Tmszszt!D65</f>
        <v>0</v>
      </c>
      <c r="E64" s="220">
        <f>D64/C64*100</f>
        <v>0</v>
      </c>
    </row>
    <row r="65" spans="1:5" ht="15.75">
      <c r="A65" s="47" t="s">
        <v>173</v>
      </c>
      <c r="B65" s="46">
        <f>'Deszk Összes'!B65+Szktt!B66+Datht!B66+Tmszszt!B66</f>
        <v>0</v>
      </c>
      <c r="C65" s="46">
        <f>'Deszk Összes'!C65+Szktt!C66+Datht!C66+Tmszszt!C66</f>
        <v>0</v>
      </c>
      <c r="D65" s="46">
        <f>'Deszk Összes'!D65+Szktt!D66+Datht!D66+Tmszszt!D66</f>
        <v>0</v>
      </c>
      <c r="E65" s="220">
        <v>0</v>
      </c>
    </row>
    <row r="66" spans="1:5" ht="15.75">
      <c r="A66" s="47" t="s">
        <v>32</v>
      </c>
      <c r="B66" s="46">
        <f>'Deszk Összes'!B66+Szktt!B67+Datht!B67+Tmszszt!B67</f>
        <v>0</v>
      </c>
      <c r="C66" s="46">
        <f>'Deszk Összes'!C66+Szktt!C67+Datht!C67+Tmszszt!C67</f>
        <v>0</v>
      </c>
      <c r="D66" s="46">
        <f>'Deszk Összes'!D66+Szktt!D67+Datht!D67+Tmszszt!D67</f>
        <v>0</v>
      </c>
      <c r="E66" s="220">
        <v>0</v>
      </c>
    </row>
    <row r="67" spans="1:5" ht="15.75">
      <c r="A67" s="47" t="s">
        <v>174</v>
      </c>
      <c r="B67" s="46">
        <f>'Deszk Összes'!B67+Szktt!B68+Datht!B68+Tmszszt!B68</f>
        <v>0</v>
      </c>
      <c r="C67" s="46">
        <f>'Deszk Összes'!C67+Szktt!C68+Datht!C68+Tmszszt!C68</f>
        <v>0</v>
      </c>
      <c r="D67" s="46">
        <f>'Deszk Összes'!D67+Szktt!D68+Datht!D68+Tmszszt!D68</f>
        <v>-3384</v>
      </c>
      <c r="E67" s="220">
        <v>0</v>
      </c>
    </row>
    <row r="68" spans="1:5" ht="16.5" thickBot="1">
      <c r="A68" s="68" t="s">
        <v>30</v>
      </c>
      <c r="B68" s="61">
        <f>SUM(B63:B67)</f>
        <v>59145</v>
      </c>
      <c r="C68" s="61">
        <f>SUM(C63:C67)</f>
        <v>367876</v>
      </c>
      <c r="D68" s="61">
        <f>SUM(D63:D67)</f>
        <v>-3384</v>
      </c>
      <c r="E68" s="264">
        <f>D68/C68*100</f>
        <v>-0.919875175330818</v>
      </c>
    </row>
    <row r="69" spans="1:5" ht="16.5" thickBot="1">
      <c r="A69" s="69" t="s">
        <v>33</v>
      </c>
      <c r="B69" s="70">
        <f>B61+B68</f>
        <v>438144</v>
      </c>
      <c r="C69" s="70">
        <f>C61+C68</f>
        <v>6063308</v>
      </c>
      <c r="D69" s="70">
        <f>D61+D68</f>
        <v>5410778</v>
      </c>
      <c r="E69" s="215">
        <f>D69/C69*100</f>
        <v>89.23805289126003</v>
      </c>
    </row>
    <row r="70" spans="1:5" ht="16.5" thickBot="1">
      <c r="A70" s="71"/>
      <c r="B70" s="72"/>
      <c r="C70" s="72"/>
      <c r="D70" s="72"/>
      <c r="E70" s="205"/>
    </row>
    <row r="71" spans="1:5" ht="15.75">
      <c r="A71" s="73" t="s">
        <v>34</v>
      </c>
      <c r="B71" s="25"/>
      <c r="C71" s="25"/>
      <c r="D71" s="25"/>
      <c r="E71" s="199"/>
    </row>
    <row r="72" spans="1:5" ht="15.75">
      <c r="A72" s="26" t="s">
        <v>35</v>
      </c>
      <c r="B72" s="27">
        <f>'Deszk Összes'!B72+Szktt!B73+Datht!B73+Tmszszt!B73</f>
        <v>78845</v>
      </c>
      <c r="C72" s="27">
        <f>'Deszk Összes'!C72+Szktt!C73+Datht!C73+Tmszszt!C73</f>
        <v>1241304</v>
      </c>
      <c r="D72" s="27">
        <f>'Deszk Összes'!D72+Szktt!D73+Datht!D73+Tmszszt!D73</f>
        <v>1225703</v>
      </c>
      <c r="E72" s="220">
        <f aca="true" t="shared" si="1" ref="E72:E80">D72/C72*100</f>
        <v>98.7431765304873</v>
      </c>
    </row>
    <row r="73" spans="1:5" ht="15.75">
      <c r="A73" s="26" t="s">
        <v>175</v>
      </c>
      <c r="B73" s="27">
        <f>'Deszk Összes'!B73+Szktt!B74+Datht!B74+Tmszszt!B74</f>
        <v>20277</v>
      </c>
      <c r="C73" s="27">
        <f>'Deszk Összes'!C73+Szktt!C74+Datht!C74+Tmszszt!C74</f>
        <v>310782</v>
      </c>
      <c r="D73" s="27">
        <f>'Deszk Összes'!D73+Szktt!D74+Datht!D74+Tmszszt!D74</f>
        <v>297675</v>
      </c>
      <c r="E73" s="220">
        <f t="shared" si="1"/>
        <v>95.78257428036373</v>
      </c>
    </row>
    <row r="74" spans="1:5" ht="15.75">
      <c r="A74" s="26" t="s">
        <v>176</v>
      </c>
      <c r="B74" s="27">
        <f>'Deszk Összes'!B74+Szktt!B75+Datht!B75+Tmszszt!B75</f>
        <v>104943</v>
      </c>
      <c r="C74" s="27">
        <f>'Deszk Összes'!C74+Szktt!C75+Datht!C75+Tmszszt!C75</f>
        <v>1719686</v>
      </c>
      <c r="D74" s="27">
        <f>'Deszk Összes'!D74+Szktt!D75+Datht!D75+Tmszszt!D75</f>
        <v>1537806</v>
      </c>
      <c r="E74" s="220">
        <f t="shared" si="1"/>
        <v>89.4236505966787</v>
      </c>
    </row>
    <row r="75" spans="1:5" ht="15.75">
      <c r="A75" s="26" t="s">
        <v>177</v>
      </c>
      <c r="B75" s="27">
        <f>'Deszk Összes'!B75+Szktt!B76+Datht!B76+Tmszszt!B76</f>
        <v>19732</v>
      </c>
      <c r="C75" s="27">
        <f>'Deszk Összes'!C75+Szktt!C76+Datht!C76+Tmszszt!C76</f>
        <v>17063</v>
      </c>
      <c r="D75" s="27">
        <f>'Deszk Összes'!D75+Szktt!D76+Datht!D76+Tmszszt!D76</f>
        <v>17353</v>
      </c>
      <c r="E75" s="220">
        <f t="shared" si="1"/>
        <v>101.69958389497744</v>
      </c>
    </row>
    <row r="76" spans="1:5" ht="15.75">
      <c r="A76" s="26" t="s">
        <v>178</v>
      </c>
      <c r="B76" s="27">
        <f>'Deszk Összes'!B76+Szktt!B77+Datht!B77+Tmszszt!B77</f>
        <v>119195</v>
      </c>
      <c r="C76" s="27">
        <f>'Deszk Összes'!C76+Szktt!C77+Datht!C77+Tmszszt!C77</f>
        <v>1005355</v>
      </c>
      <c r="D76" s="27">
        <f>'Deszk Összes'!D76+Szktt!D77+Datht!D77+Tmszszt!D77</f>
        <v>984132</v>
      </c>
      <c r="E76" s="220">
        <f t="shared" si="1"/>
        <v>97.88900438153686</v>
      </c>
    </row>
    <row r="77" spans="1:5" ht="16.5" thickBot="1">
      <c r="A77" s="3" t="s">
        <v>79</v>
      </c>
      <c r="B77" s="27">
        <f>'Deszk Összes'!B77+Szktt!B78+Datht!B78+Tmszszt!B78</f>
        <v>33900</v>
      </c>
      <c r="C77" s="27">
        <f>'Deszk Összes'!C77+Szktt!C78+Datht!C78+Tmszszt!C78</f>
        <v>167218</v>
      </c>
      <c r="D77" s="27">
        <f>'Deszk Összes'!D77+Szktt!D78+Datht!D78+Tmszszt!D78</f>
        <v>145835</v>
      </c>
      <c r="E77" s="220">
        <f t="shared" si="1"/>
        <v>87.21250104653805</v>
      </c>
    </row>
    <row r="78" spans="1:5" ht="16.5" thickBot="1">
      <c r="A78" s="66" t="s">
        <v>36</v>
      </c>
      <c r="B78" s="52">
        <f>SUM(B72:B77)</f>
        <v>376892</v>
      </c>
      <c r="C78" s="52">
        <f>SUM(C72:C77)</f>
        <v>4461408</v>
      </c>
      <c r="D78" s="52">
        <f>SUM(D72:D77)</f>
        <v>4208504</v>
      </c>
      <c r="E78" s="222">
        <f t="shared" si="1"/>
        <v>94.33129630825067</v>
      </c>
    </row>
    <row r="79" spans="1:5" ht="15.75">
      <c r="A79" s="74" t="s">
        <v>37</v>
      </c>
      <c r="B79" s="75">
        <f>'Deszk Összes'!B79+Szktt!B80+Datht!B80+Tmszszt!B80</f>
        <v>1000</v>
      </c>
      <c r="C79" s="75">
        <f>'Deszk Összes'!C79+Szktt!C80+Datht!C80+Tmszszt!C80</f>
        <v>171960</v>
      </c>
      <c r="D79" s="75">
        <f>'Deszk Összes'!D79+Szktt!D80+Datht!D80+Tmszszt!D80</f>
        <v>172281</v>
      </c>
      <c r="E79" s="237">
        <f t="shared" si="1"/>
        <v>100.18667131891137</v>
      </c>
    </row>
    <row r="80" spans="1:5" ht="15.75">
      <c r="A80" s="74" t="s">
        <v>38</v>
      </c>
      <c r="B80" s="75">
        <f>'Deszk Összes'!B80+Szktt!B81+Datht!B81+Tmszszt!B81</f>
        <v>18163</v>
      </c>
      <c r="C80" s="75">
        <f>'Deszk Összes'!C80+Szktt!C81+Datht!C81+Tmszszt!C81</f>
        <v>1254823</v>
      </c>
      <c r="D80" s="75">
        <f>'Deszk Összes'!D80+Szktt!D81+Datht!D81+Tmszszt!D81</f>
        <v>933656</v>
      </c>
      <c r="E80" s="237">
        <f t="shared" si="1"/>
        <v>74.40539422691486</v>
      </c>
    </row>
    <row r="81" spans="1:5" ht="15.75">
      <c r="A81" s="74" t="s">
        <v>39</v>
      </c>
      <c r="B81" s="75">
        <f>'Deszk Összes'!B81+Szktt!B82+Datht!B82+Tmszszt!B82</f>
        <v>0</v>
      </c>
      <c r="C81" s="75">
        <f>'Deszk Összes'!C81+Szktt!C82+Datht!C82+Tmszszt!C82</f>
        <v>0</v>
      </c>
      <c r="D81" s="75">
        <f>'Deszk Összes'!D81+Szktt!D82+Datht!D82+Tmszszt!D82</f>
        <v>0</v>
      </c>
      <c r="E81" s="237">
        <v>0</v>
      </c>
    </row>
    <row r="82" spans="1:5" ht="15.75">
      <c r="A82" s="26" t="s">
        <v>40</v>
      </c>
      <c r="B82" s="75">
        <f>'Deszk Összes'!B82+Szktt!B83+Datht!B83+Tmszszt!B83</f>
        <v>8298</v>
      </c>
      <c r="C82" s="75">
        <f>'Deszk Összes'!C82+Szktt!C83+Datht!C83+Tmszszt!C83</f>
        <v>39818</v>
      </c>
      <c r="D82" s="75">
        <f>'Deszk Összes'!D82+Szktt!D83+Datht!D83+Tmszszt!D83</f>
        <v>39925</v>
      </c>
      <c r="E82" s="237">
        <f>D82/C82*100</f>
        <v>100.26872268823146</v>
      </c>
    </row>
    <row r="83" spans="1:5" ht="15.75">
      <c r="A83" s="26" t="s">
        <v>41</v>
      </c>
      <c r="B83" s="75">
        <f>'Deszk Összes'!B83+Szktt!B84+Datht!B84+Tmszszt!B84</f>
        <v>2000</v>
      </c>
      <c r="C83" s="75">
        <f>'Deszk Összes'!C83+Szktt!C84+Datht!C84+Tmszszt!C84</f>
        <v>2000</v>
      </c>
      <c r="D83" s="75">
        <f>'Deszk Összes'!D83+Szktt!D84+Datht!D84+Tmszszt!D84</f>
        <v>0</v>
      </c>
      <c r="E83" s="237">
        <f>D83/C83*100</f>
        <v>0</v>
      </c>
    </row>
    <row r="84" spans="1:5" ht="15.75">
      <c r="A84" s="26" t="s">
        <v>42</v>
      </c>
      <c r="B84" s="75">
        <f>'Deszk Összes'!B84+Szktt!B85+Datht!B85+Tmszszt!B85</f>
        <v>31791</v>
      </c>
      <c r="C84" s="75">
        <f>'Deszk Összes'!C84+Szktt!C85+Datht!C85+Tmszszt!C85</f>
        <v>35334</v>
      </c>
      <c r="D84" s="75">
        <f>'Deszk Összes'!D84+Szktt!D85+Datht!D85+Tmszszt!D85</f>
        <v>0</v>
      </c>
      <c r="E84" s="237">
        <f>D84/C84*100</f>
        <v>0</v>
      </c>
    </row>
    <row r="85" spans="1:5" ht="16.5" thickBot="1">
      <c r="A85" s="3"/>
      <c r="B85" s="25"/>
      <c r="C85" s="25"/>
      <c r="D85" s="25"/>
      <c r="E85" s="217"/>
    </row>
    <row r="86" spans="1:5" ht="16.5" thickBot="1">
      <c r="A86" s="66" t="s">
        <v>43</v>
      </c>
      <c r="B86" s="52">
        <f>SUM(B79:B84)</f>
        <v>61252</v>
      </c>
      <c r="C86" s="52">
        <f>SUM(C79:C84)</f>
        <v>1503935</v>
      </c>
      <c r="D86" s="52">
        <f>SUM(D79:D84)</f>
        <v>1145862</v>
      </c>
      <c r="E86" s="222">
        <f>D86/C86*100</f>
        <v>76.19092580463916</v>
      </c>
    </row>
    <row r="87" spans="1:5" ht="16.5" thickBot="1">
      <c r="A87" s="28" t="s">
        <v>44</v>
      </c>
      <c r="B87" s="54">
        <f>B78+B86</f>
        <v>438144</v>
      </c>
      <c r="C87" s="54">
        <f>C78+C86</f>
        <v>5965343</v>
      </c>
      <c r="D87" s="54">
        <f>D78+D86</f>
        <v>5354366</v>
      </c>
      <c r="E87" s="222">
        <f>D87/C87*100</f>
        <v>89.75788986484096</v>
      </c>
    </row>
    <row r="88" spans="1:5" ht="15.75">
      <c r="A88" s="56" t="s">
        <v>45</v>
      </c>
      <c r="B88" s="57"/>
      <c r="C88" s="57"/>
      <c r="D88" s="57"/>
      <c r="E88" s="202"/>
    </row>
    <row r="89" spans="1:5" ht="15.75">
      <c r="A89" s="26" t="s">
        <v>46</v>
      </c>
      <c r="B89" s="27">
        <f>'Deszk Összes'!B89+Szktt!B90+Datht!B90+Tmszszt!B90</f>
        <v>0</v>
      </c>
      <c r="C89" s="27">
        <f>'Deszk Összes'!C89+Szktt!C90+Datht!C90+Tmszszt!C90</f>
        <v>0</v>
      </c>
      <c r="D89" s="27">
        <f>'Deszk Összes'!D89+Szktt!D90+Datht!D90+Tmszszt!D90</f>
        <v>0</v>
      </c>
      <c r="E89" s="220">
        <v>0</v>
      </c>
    </row>
    <row r="90" spans="1:5" ht="15.75">
      <c r="A90" s="26" t="s">
        <v>47</v>
      </c>
      <c r="B90" s="27">
        <f>'Deszk Összes'!B90+Szktt!B91+Datht!B91+Tmszszt!B91</f>
        <v>0</v>
      </c>
      <c r="C90" s="27">
        <f>'Deszk Összes'!C90+Szktt!C91+Datht!C91+Tmszszt!C91</f>
        <v>0</v>
      </c>
      <c r="D90" s="27">
        <f>'Deszk Összes'!D90+Szktt!D91+Datht!D91+Tmszszt!D91</f>
        <v>0</v>
      </c>
      <c r="E90" s="220">
        <v>0</v>
      </c>
    </row>
    <row r="91" spans="1:5" ht="15.75">
      <c r="A91" s="26" t="s">
        <v>48</v>
      </c>
      <c r="B91" s="27">
        <f>'Deszk Összes'!B91+Szktt!B92+Datht!B92+Tmszszt!B92</f>
        <v>0</v>
      </c>
      <c r="C91" s="27">
        <f>'Deszk Összes'!C91+Szktt!C92+Datht!C92+Tmszszt!C92</f>
        <v>0</v>
      </c>
      <c r="D91" s="27">
        <f>'Deszk Összes'!D91+Szktt!D92+Datht!D92+Tmszszt!D92</f>
        <v>-5360</v>
      </c>
      <c r="E91" s="220">
        <v>0</v>
      </c>
    </row>
    <row r="92" spans="1:5" ht="16.5" thickBot="1">
      <c r="A92" s="6" t="s">
        <v>272</v>
      </c>
      <c r="B92" s="76"/>
      <c r="C92" s="76">
        <f>'Deszk Összes'!C92</f>
        <v>97965</v>
      </c>
      <c r="D92" s="76">
        <f>'Deszk Összes'!D92</f>
        <v>96956</v>
      </c>
      <c r="E92" s="217"/>
    </row>
    <row r="93" spans="1:5" ht="16.5" thickBot="1">
      <c r="A93" s="68" t="s">
        <v>45</v>
      </c>
      <c r="B93" s="54">
        <f>SUM(B89:B91)</f>
        <v>0</v>
      </c>
      <c r="C93" s="54">
        <f>SUM(C89:C92)</f>
        <v>97965</v>
      </c>
      <c r="D93" s="54">
        <f>SUM(D89:D92)</f>
        <v>91596</v>
      </c>
      <c r="E93" s="219">
        <v>0</v>
      </c>
    </row>
    <row r="94" spans="1:5" ht="16.5" thickBot="1">
      <c r="A94" s="69" t="s">
        <v>50</v>
      </c>
      <c r="B94" s="77">
        <f>B87+B93</f>
        <v>438144</v>
      </c>
      <c r="C94" s="77">
        <f>C87+C93</f>
        <v>6063308</v>
      </c>
      <c r="D94" s="77">
        <f>D87+D93</f>
        <v>5445962</v>
      </c>
      <c r="E94" s="215">
        <f>D94/C94*100</f>
        <v>89.81833019203378</v>
      </c>
    </row>
    <row r="95" spans="1:5" ht="15.75">
      <c r="A95" s="82"/>
      <c r="B95" s="82"/>
      <c r="C95" s="82"/>
      <c r="D95" s="82"/>
      <c r="E95" s="82"/>
    </row>
    <row r="96" spans="1:5" ht="15.75">
      <c r="A96" s="83" t="s">
        <v>69</v>
      </c>
      <c r="B96" s="84">
        <f>B61-B87</f>
        <v>-59145</v>
      </c>
      <c r="C96" s="84">
        <f>C61-C87</f>
        <v>-269911</v>
      </c>
      <c r="D96" s="84">
        <f>D61-D87</f>
        <v>59796</v>
      </c>
      <c r="E96" s="84"/>
    </row>
    <row r="97" spans="1:5" ht="15.75">
      <c r="A97" s="85"/>
      <c r="B97" s="84"/>
      <c r="C97" s="84"/>
      <c r="D97" s="84"/>
      <c r="E97" s="84"/>
    </row>
    <row r="98" spans="1:5" ht="15.75">
      <c r="A98" s="86" t="s">
        <v>70</v>
      </c>
      <c r="B98" s="90">
        <f>B68-B93</f>
        <v>59145</v>
      </c>
      <c r="C98" s="90">
        <f>C68-C93</f>
        <v>269911</v>
      </c>
      <c r="D98" s="90">
        <f>D68-D93</f>
        <v>-94980</v>
      </c>
      <c r="E98" s="90"/>
    </row>
    <row r="99" spans="1:5" ht="15.75" thickBot="1">
      <c r="A99" s="87"/>
      <c r="B99" s="87"/>
      <c r="C99" s="87"/>
      <c r="D99" s="87"/>
      <c r="E99" s="87"/>
    </row>
    <row r="100" spans="1:5" ht="18" thickBot="1">
      <c r="A100" s="88" t="s">
        <v>71</v>
      </c>
      <c r="B100" s="91">
        <f>B96+B98</f>
        <v>0</v>
      </c>
      <c r="C100" s="91">
        <f>C96+C98</f>
        <v>0</v>
      </c>
      <c r="D100" s="91">
        <f>D96+D98</f>
        <v>-35184</v>
      </c>
      <c r="E100" s="218"/>
    </row>
  </sheetData>
  <sheetProtection/>
  <mergeCells count="5">
    <mergeCell ref="E3:E4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9.140625" style="0" customWidth="1"/>
    <col min="2" max="2" width="9.140625" style="0" hidden="1" customWidth="1"/>
    <col min="3" max="3" width="28.421875" style="0" bestFit="1" customWidth="1"/>
    <col min="4" max="4" width="13.421875" style="0" customWidth="1"/>
    <col min="5" max="5" width="12.421875" style="0" customWidth="1"/>
    <col min="6" max="6" width="12.7109375" style="0" customWidth="1"/>
  </cols>
  <sheetData>
    <row r="2" spans="1:5" ht="15.75">
      <c r="A2" s="85" t="s">
        <v>182</v>
      </c>
      <c r="B2" s="85"/>
      <c r="C2" s="85"/>
      <c r="D2" s="85"/>
      <c r="E2" t="s">
        <v>328</v>
      </c>
    </row>
    <row r="3" spans="1:5" ht="16.5" thickBot="1">
      <c r="A3" s="83"/>
      <c r="B3" s="83"/>
      <c r="C3" s="83"/>
      <c r="D3" s="83"/>
      <c r="E3" s="83"/>
    </row>
    <row r="4" spans="1:6" ht="12.75">
      <c r="A4" s="351" t="s">
        <v>89</v>
      </c>
      <c r="B4" s="352"/>
      <c r="C4" s="335" t="s">
        <v>183</v>
      </c>
      <c r="D4" s="335" t="s">
        <v>201</v>
      </c>
      <c r="E4" s="335" t="s">
        <v>273</v>
      </c>
      <c r="F4" s="335" t="s">
        <v>233</v>
      </c>
    </row>
    <row r="5" spans="1:6" ht="16.5" customHeight="1">
      <c r="A5" s="353"/>
      <c r="B5" s="354"/>
      <c r="C5" s="348"/>
      <c r="D5" s="348"/>
      <c r="E5" s="348"/>
      <c r="F5" s="348"/>
    </row>
    <row r="6" spans="1:6" ht="15" thickBot="1">
      <c r="A6" s="355"/>
      <c r="B6" s="356"/>
      <c r="C6" s="94" t="s">
        <v>90</v>
      </c>
      <c r="D6" s="94" t="s">
        <v>90</v>
      </c>
      <c r="E6" s="94" t="s">
        <v>90</v>
      </c>
      <c r="F6" s="94" t="s">
        <v>239</v>
      </c>
    </row>
    <row r="7" spans="1:6" ht="15.75">
      <c r="A7" s="95" t="s">
        <v>91</v>
      </c>
      <c r="B7" s="96"/>
      <c r="C7" s="97">
        <v>15000000</v>
      </c>
      <c r="D7" s="97">
        <v>15000000</v>
      </c>
      <c r="E7" s="97">
        <v>15694057</v>
      </c>
      <c r="F7" s="230">
        <f>E7/D7*100</f>
        <v>104.62704666666667</v>
      </c>
    </row>
    <row r="8" spans="1:6" ht="15.75">
      <c r="A8" s="357" t="s">
        <v>92</v>
      </c>
      <c r="B8" s="358"/>
      <c r="C8" s="97">
        <v>23000000</v>
      </c>
      <c r="D8" s="97">
        <v>23000000</v>
      </c>
      <c r="E8" s="97">
        <v>20624474</v>
      </c>
      <c r="F8" s="230">
        <f aca="true" t="shared" si="0" ref="F8:F14">E8/D8*100</f>
        <v>89.67162608695652</v>
      </c>
    </row>
    <row r="9" spans="1:6" ht="15.75">
      <c r="A9" s="98" t="s">
        <v>98</v>
      </c>
      <c r="B9" s="99"/>
      <c r="C9" s="100">
        <v>0</v>
      </c>
      <c r="D9" s="100">
        <v>0</v>
      </c>
      <c r="E9" s="100">
        <v>4281</v>
      </c>
      <c r="F9" s="230">
        <v>0</v>
      </c>
    </row>
    <row r="10" spans="1:6" ht="15.75">
      <c r="A10" s="98" t="s">
        <v>97</v>
      </c>
      <c r="B10" s="98"/>
      <c r="C10" s="100">
        <v>10000000</v>
      </c>
      <c r="D10" s="100">
        <v>10000000</v>
      </c>
      <c r="E10" s="100">
        <v>12438590</v>
      </c>
      <c r="F10" s="230">
        <f t="shared" si="0"/>
        <v>124.3859</v>
      </c>
    </row>
    <row r="11" spans="1:6" ht="15.75">
      <c r="A11" s="101" t="s">
        <v>93</v>
      </c>
      <c r="B11" s="102"/>
      <c r="C11" s="100">
        <v>64000000</v>
      </c>
      <c r="D11" s="100">
        <v>64000000</v>
      </c>
      <c r="E11" s="100">
        <v>85206041</v>
      </c>
      <c r="F11" s="230">
        <f t="shared" si="0"/>
        <v>133.1344390625</v>
      </c>
    </row>
    <row r="12" spans="1:6" ht="15.75">
      <c r="A12" s="101" t="s">
        <v>94</v>
      </c>
      <c r="B12" s="102"/>
      <c r="C12" s="100">
        <v>10000000</v>
      </c>
      <c r="D12" s="100">
        <v>10000000</v>
      </c>
      <c r="E12" s="100">
        <v>9614793</v>
      </c>
      <c r="F12" s="230">
        <f t="shared" si="0"/>
        <v>96.14793</v>
      </c>
    </row>
    <row r="13" spans="1:6" ht="15.75">
      <c r="A13" s="103" t="s">
        <v>95</v>
      </c>
      <c r="B13" s="104"/>
      <c r="C13" s="105">
        <v>14000</v>
      </c>
      <c r="D13" s="105">
        <v>14000</v>
      </c>
      <c r="E13" s="105">
        <v>32497</v>
      </c>
      <c r="F13" s="230">
        <f t="shared" si="0"/>
        <v>232.1214285714286</v>
      </c>
    </row>
    <row r="14" spans="1:6" ht="15.75">
      <c r="A14" s="103" t="s">
        <v>96</v>
      </c>
      <c r="B14" s="104"/>
      <c r="C14" s="105">
        <v>1000000</v>
      </c>
      <c r="D14" s="105">
        <v>1000000</v>
      </c>
      <c r="E14" s="105">
        <v>1258450</v>
      </c>
      <c r="F14" s="230">
        <f t="shared" si="0"/>
        <v>125.84500000000001</v>
      </c>
    </row>
    <row r="15" spans="1:6" ht="15.75">
      <c r="A15" s="106"/>
      <c r="B15" s="107"/>
      <c r="C15" s="108"/>
      <c r="D15" s="108"/>
      <c r="E15" s="108"/>
      <c r="F15" s="230"/>
    </row>
    <row r="16" spans="1:6" ht="16.5" thickBot="1">
      <c r="A16" s="349"/>
      <c r="B16" s="350"/>
      <c r="C16" s="109"/>
      <c r="D16" s="109"/>
      <c r="E16" s="109"/>
      <c r="F16" s="109"/>
    </row>
    <row r="17" spans="1:6" ht="16.5" thickBot="1">
      <c r="A17" s="110" t="s">
        <v>88</v>
      </c>
      <c r="B17" s="111"/>
      <c r="C17" s="112">
        <f>SUM(C7:C16)</f>
        <v>123014000</v>
      </c>
      <c r="D17" s="112">
        <f>SUM(D7:D16)</f>
        <v>123014000</v>
      </c>
      <c r="E17" s="112">
        <f>SUM(E7:E16)</f>
        <v>144873183</v>
      </c>
      <c r="F17" s="231">
        <f>E17/D17*100</f>
        <v>117.76967093176387</v>
      </c>
    </row>
  </sheetData>
  <sheetProtection/>
  <mergeCells count="7">
    <mergeCell ref="F4:F5"/>
    <mergeCell ref="A16:B16"/>
    <mergeCell ref="A4:B6"/>
    <mergeCell ref="C4:C5"/>
    <mergeCell ref="A8:B8"/>
    <mergeCell ref="D4:D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2.421875" style="0" bestFit="1" customWidth="1"/>
    <col min="2" max="2" width="17.7109375" style="0" customWidth="1"/>
    <col min="3" max="3" width="14.28125" style="0" customWidth="1"/>
    <col min="4" max="4" width="15.28125" style="0" bestFit="1" customWidth="1"/>
    <col min="5" max="5" width="13.140625" style="0" customWidth="1"/>
  </cols>
  <sheetData>
    <row r="2" ht="12.75">
      <c r="D2" s="315" t="s">
        <v>329</v>
      </c>
    </row>
    <row r="3" spans="1:2" ht="16.5" thickBot="1">
      <c r="A3" s="93"/>
      <c r="B3" s="113"/>
    </row>
    <row r="4" spans="1:5" ht="12.75">
      <c r="A4" s="361" t="s">
        <v>0</v>
      </c>
      <c r="B4" s="363" t="s">
        <v>99</v>
      </c>
      <c r="C4" s="363" t="s">
        <v>201</v>
      </c>
      <c r="D4" s="365" t="s">
        <v>269</v>
      </c>
      <c r="E4" s="359" t="s">
        <v>227</v>
      </c>
    </row>
    <row r="5" spans="1:5" ht="15.75" customHeight="1">
      <c r="A5" s="362"/>
      <c r="B5" s="364"/>
      <c r="C5" s="364"/>
      <c r="D5" s="366"/>
      <c r="E5" s="360"/>
    </row>
    <row r="6" spans="1:5" ht="15.75">
      <c r="A6" s="103" t="s">
        <v>100</v>
      </c>
      <c r="B6" s="114">
        <f>50556+8049</f>
        <v>58605</v>
      </c>
      <c r="C6" s="279">
        <f>80327+945284+3600</f>
        <v>1029211</v>
      </c>
      <c r="D6" s="232">
        <f>81653+927496+3600</f>
        <v>1012749</v>
      </c>
      <c r="E6" s="237">
        <f>D6/C6*100</f>
        <v>98.40052234187159</v>
      </c>
    </row>
    <row r="7" spans="1:5" ht="15.75">
      <c r="A7" s="103" t="s">
        <v>101</v>
      </c>
      <c r="B7" s="114">
        <v>7818</v>
      </c>
      <c r="C7" s="114">
        <f>12737+154522</f>
        <v>167259</v>
      </c>
      <c r="D7" s="232">
        <f>16329+155110</f>
        <v>171439</v>
      </c>
      <c r="E7" s="220">
        <f>D7/C7*100</f>
        <v>102.49911813415122</v>
      </c>
    </row>
    <row r="8" spans="1:5" ht="15.75">
      <c r="A8" s="103" t="s">
        <v>102</v>
      </c>
      <c r="B8" s="114">
        <v>12422</v>
      </c>
      <c r="C8" s="114">
        <f>15442+27977+1415</f>
        <v>44834</v>
      </c>
      <c r="D8" s="232">
        <f>12144+27956+1415</f>
        <v>41515</v>
      </c>
      <c r="E8" s="220">
        <f>D8/C8*100</f>
        <v>92.59713610206539</v>
      </c>
    </row>
    <row r="9" spans="1:5" ht="15.75">
      <c r="A9" s="115" t="s">
        <v>103</v>
      </c>
      <c r="B9" s="116">
        <f>SUM(B6:B8)</f>
        <v>78845</v>
      </c>
      <c r="C9" s="116">
        <f>SUM(C6:C8)</f>
        <v>1241304</v>
      </c>
      <c r="D9" s="233">
        <f>SUM(D6:D8)</f>
        <v>1225703</v>
      </c>
      <c r="E9" s="235">
        <f>D9/C9*100</f>
        <v>98.7431765304873</v>
      </c>
    </row>
    <row r="10" spans="1:5" ht="16.5" thickBot="1">
      <c r="A10" s="117" t="s">
        <v>104</v>
      </c>
      <c r="B10" s="118">
        <f>17303+2173+801</f>
        <v>20277</v>
      </c>
      <c r="C10" s="118">
        <v>310782</v>
      </c>
      <c r="D10" s="234">
        <f>24366+271853+1456</f>
        <v>297675</v>
      </c>
      <c r="E10" s="236">
        <f>D10/C10*100</f>
        <v>95.78257428036373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57421875" style="0" customWidth="1"/>
    <col min="2" max="2" width="50.421875" style="0" bestFit="1" customWidth="1"/>
    <col min="3" max="3" width="18.421875" style="0" customWidth="1"/>
    <col min="4" max="4" width="18.28125" style="0" customWidth="1"/>
    <col min="5" max="5" width="17.57421875" style="0" customWidth="1"/>
    <col min="6" max="6" width="13.28125" style="0" customWidth="1"/>
  </cols>
  <sheetData>
    <row r="1" ht="12.75">
      <c r="E1" s="315" t="s">
        <v>330</v>
      </c>
    </row>
    <row r="2" ht="13.5" thickBot="1"/>
    <row r="3" spans="1:6" ht="32.25" thickBot="1">
      <c r="A3" s="367" t="s">
        <v>0</v>
      </c>
      <c r="B3" s="368"/>
      <c r="C3" s="119" t="s">
        <v>99</v>
      </c>
      <c r="D3" s="119" t="s">
        <v>201</v>
      </c>
      <c r="E3" s="119" t="s">
        <v>264</v>
      </c>
      <c r="F3" s="119" t="s">
        <v>227</v>
      </c>
    </row>
    <row r="4" spans="1:6" ht="15.75">
      <c r="A4" s="168">
        <v>1</v>
      </c>
      <c r="B4" s="120" t="s">
        <v>105</v>
      </c>
      <c r="C4" s="206">
        <v>10218</v>
      </c>
      <c r="D4" s="206">
        <f>15165+145766+600</f>
        <v>161531</v>
      </c>
      <c r="E4" s="206">
        <f>13678+261726</f>
        <v>275404</v>
      </c>
      <c r="F4" s="238">
        <f>E4/D4*100</f>
        <v>170.49606577065703</v>
      </c>
    </row>
    <row r="5" spans="1:9" ht="15.75">
      <c r="A5" s="121">
        <v>2</v>
      </c>
      <c r="B5" s="164" t="s">
        <v>106</v>
      </c>
      <c r="C5" s="207">
        <v>3464</v>
      </c>
      <c r="D5" s="207">
        <f>3929+10699</f>
        <v>14628</v>
      </c>
      <c r="E5" s="207">
        <f>6203+22562+3</f>
        <v>28768</v>
      </c>
      <c r="F5" s="241">
        <f aca="true" t="shared" si="0" ref="F5:F11">E5/D5*100</f>
        <v>196.66393218485098</v>
      </c>
      <c r="I5" s="160"/>
    </row>
    <row r="6" spans="1:9" ht="15.75">
      <c r="A6" s="121">
        <v>3</v>
      </c>
      <c r="B6" s="164" t="s">
        <v>107</v>
      </c>
      <c r="C6" s="207">
        <f>36896+9902</f>
        <v>46798</v>
      </c>
      <c r="D6" s="207">
        <f>47477+405969+7110</f>
        <v>460556</v>
      </c>
      <c r="E6" s="207">
        <f>38892+739113+1422</f>
        <v>779427</v>
      </c>
      <c r="F6" s="240">
        <f t="shared" si="0"/>
        <v>169.2360972389894</v>
      </c>
      <c r="I6" s="160"/>
    </row>
    <row r="7" spans="1:6" ht="15.75">
      <c r="A7" s="121">
        <v>4</v>
      </c>
      <c r="B7" s="164" t="s">
        <v>108</v>
      </c>
      <c r="C7" s="207">
        <v>13628</v>
      </c>
      <c r="D7" s="207">
        <f>19994+1073</f>
        <v>21067</v>
      </c>
      <c r="E7" s="207">
        <f>2234+60642+880</f>
        <v>63756</v>
      </c>
      <c r="F7" s="241">
        <f t="shared" si="0"/>
        <v>302.6344519865192</v>
      </c>
    </row>
    <row r="8" spans="1:6" ht="15.75">
      <c r="A8" s="121">
        <v>5</v>
      </c>
      <c r="B8" s="164" t="s">
        <v>109</v>
      </c>
      <c r="C8" s="207">
        <f>10552+10000</f>
        <v>20552</v>
      </c>
      <c r="D8" s="207">
        <f>23724+141636+1378</f>
        <v>166738</v>
      </c>
      <c r="E8" s="207">
        <f>17180+267099+405</f>
        <v>284684</v>
      </c>
      <c r="F8" s="241">
        <f t="shared" si="0"/>
        <v>170.73732442514603</v>
      </c>
    </row>
    <row r="9" spans="1:6" ht="15.75">
      <c r="A9" s="121">
        <v>6</v>
      </c>
      <c r="B9" s="164" t="s">
        <v>110</v>
      </c>
      <c r="C9" s="207">
        <v>4079</v>
      </c>
      <c r="D9" s="207">
        <f>4329+3924+3528</f>
        <v>11781</v>
      </c>
      <c r="E9" s="207">
        <f>1970+4905+417</f>
        <v>7292</v>
      </c>
      <c r="F9" s="241">
        <f t="shared" si="0"/>
        <v>61.89627366097954</v>
      </c>
    </row>
    <row r="10" spans="1:6" ht="15.75">
      <c r="A10" s="122">
        <v>7</v>
      </c>
      <c r="B10" s="165" t="s">
        <v>111</v>
      </c>
      <c r="C10" s="207">
        <v>1554</v>
      </c>
      <c r="D10" s="207">
        <v>1254</v>
      </c>
      <c r="E10" s="207">
        <v>3909</v>
      </c>
      <c r="F10" s="239">
        <f t="shared" si="0"/>
        <v>311.7224880382775</v>
      </c>
    </row>
    <row r="11" spans="1:6" ht="15.75">
      <c r="A11" s="121">
        <v>8</v>
      </c>
      <c r="B11" s="164" t="s">
        <v>112</v>
      </c>
      <c r="C11" s="207">
        <v>3241</v>
      </c>
      <c r="D11" s="207">
        <f>7566+1447</f>
        <v>9013</v>
      </c>
      <c r="E11" s="207">
        <f>10478+4865</f>
        <v>15343</v>
      </c>
      <c r="F11" s="241">
        <f t="shared" si="0"/>
        <v>170.23188727393764</v>
      </c>
    </row>
    <row r="12" spans="1:6" ht="15.75">
      <c r="A12" s="123">
        <v>9</v>
      </c>
      <c r="B12" s="166" t="s">
        <v>113</v>
      </c>
      <c r="C12" s="208">
        <f>C4+C5+C6+C7+C8+C9+C10+C11</f>
        <v>103534</v>
      </c>
      <c r="D12" s="208">
        <f>D4+D5+D6+D7+D8+D9+D10+D11</f>
        <v>846568</v>
      </c>
      <c r="E12" s="208">
        <f>E4+E5+E6+E7+E8+E9+E10+E11</f>
        <v>1458583</v>
      </c>
      <c r="F12" s="242">
        <f>E12/D12*100</f>
        <v>172.2936609935646</v>
      </c>
    </row>
    <row r="13" spans="1:6" ht="15.75">
      <c r="A13" s="121">
        <v>10</v>
      </c>
      <c r="B13" s="164" t="s">
        <v>114</v>
      </c>
      <c r="C13" s="207">
        <v>0</v>
      </c>
      <c r="D13" s="207">
        <v>0</v>
      </c>
      <c r="E13" s="207">
        <f>671+37033</f>
        <v>37704</v>
      </c>
      <c r="F13" s="207">
        <v>0</v>
      </c>
    </row>
    <row r="14" spans="1:6" ht="15.75">
      <c r="A14" s="121">
        <v>11</v>
      </c>
      <c r="B14" s="164" t="s">
        <v>115</v>
      </c>
      <c r="C14" s="207">
        <v>1409</v>
      </c>
      <c r="D14" s="207">
        <f>1747+1911</f>
        <v>3658</v>
      </c>
      <c r="E14" s="207">
        <f>3049+37167+199</f>
        <v>40415</v>
      </c>
      <c r="F14" s="243">
        <f>E14/D14*100</f>
        <v>1104.8387096774195</v>
      </c>
    </row>
    <row r="15" spans="1:6" ht="15.75">
      <c r="A15" s="121">
        <v>12</v>
      </c>
      <c r="B15" s="164" t="s">
        <v>116</v>
      </c>
      <c r="C15" s="207">
        <v>0</v>
      </c>
      <c r="D15" s="207">
        <v>0</v>
      </c>
      <c r="E15" s="207">
        <f>5+1043</f>
        <v>1048</v>
      </c>
      <c r="F15" s="243">
        <v>0</v>
      </c>
    </row>
    <row r="16" spans="1:6" ht="15.75">
      <c r="A16" s="121">
        <v>13</v>
      </c>
      <c r="B16" s="164" t="s">
        <v>117</v>
      </c>
      <c r="C16" s="207">
        <v>0</v>
      </c>
      <c r="D16" s="207">
        <v>0</v>
      </c>
      <c r="E16" s="207">
        <v>56</v>
      </c>
      <c r="F16" s="243">
        <v>0</v>
      </c>
    </row>
    <row r="17" spans="1:6" ht="15.75">
      <c r="A17" s="121">
        <v>14</v>
      </c>
      <c r="B17" s="164" t="s">
        <v>118</v>
      </c>
      <c r="C17" s="207">
        <v>0</v>
      </c>
      <c r="D17" s="207">
        <v>0</v>
      </c>
      <c r="E17" s="207">
        <v>0</v>
      </c>
      <c r="F17" s="207">
        <v>0</v>
      </c>
    </row>
    <row r="18" spans="1:6" ht="16.5" thickBot="1">
      <c r="A18" s="124">
        <v>15</v>
      </c>
      <c r="B18" s="167" t="s">
        <v>119</v>
      </c>
      <c r="C18" s="209">
        <f>C13+C14+C15+C16+C17</f>
        <v>1409</v>
      </c>
      <c r="D18" s="209">
        <f>D13+D14+D15+D16+D17</f>
        <v>3658</v>
      </c>
      <c r="E18" s="209">
        <f>E13+E14+E15+E16+E17</f>
        <v>79223</v>
      </c>
      <c r="F18" s="244">
        <f>E18/D18*100</f>
        <v>2165.7463094587206</v>
      </c>
    </row>
    <row r="19" spans="1:6" ht="16.5" thickBot="1">
      <c r="A19" s="125">
        <v>16</v>
      </c>
      <c r="B19" s="126" t="s">
        <v>120</v>
      </c>
      <c r="C19" s="210">
        <f>C12+C18</f>
        <v>104943</v>
      </c>
      <c r="D19" s="210">
        <f>D12+D18</f>
        <v>850226</v>
      </c>
      <c r="E19" s="210">
        <f>E12+E18</f>
        <v>1537806</v>
      </c>
      <c r="F19" s="245">
        <f>E19/D19*100</f>
        <v>180.87026273014467</v>
      </c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6.421875" style="0" bestFit="1" customWidth="1"/>
    <col min="2" max="2" width="17.57421875" style="0" customWidth="1"/>
    <col min="3" max="3" width="18.28125" style="0" customWidth="1"/>
    <col min="4" max="4" width="17.00390625" style="211" bestFit="1" customWidth="1"/>
    <col min="5" max="5" width="11.8515625" style="0" customWidth="1"/>
  </cols>
  <sheetData>
    <row r="1" spans="3:4" ht="12.75">
      <c r="C1" s="258"/>
      <c r="D1" s="315" t="s">
        <v>331</v>
      </c>
    </row>
    <row r="2" spans="3:4" ht="13.5" thickBot="1">
      <c r="C2" s="258"/>
      <c r="D2" s="258"/>
    </row>
    <row r="3" spans="1:5" ht="12.75">
      <c r="A3" s="371" t="s">
        <v>121</v>
      </c>
      <c r="B3" s="369" t="s">
        <v>134</v>
      </c>
      <c r="C3" s="369" t="s">
        <v>201</v>
      </c>
      <c r="D3" s="369" t="s">
        <v>269</v>
      </c>
      <c r="E3" s="369" t="s">
        <v>227</v>
      </c>
    </row>
    <row r="4" spans="1:5" ht="21.75" customHeight="1" thickBot="1">
      <c r="A4" s="372"/>
      <c r="B4" s="370"/>
      <c r="C4" s="370"/>
      <c r="D4" s="370"/>
      <c r="E4" s="370"/>
    </row>
    <row r="5" spans="1:5" ht="15.75">
      <c r="A5" s="127" t="s">
        <v>127</v>
      </c>
      <c r="B5" s="128"/>
      <c r="C5" s="128"/>
      <c r="D5" s="128"/>
      <c r="E5" s="128"/>
    </row>
    <row r="6" spans="1:5" ht="15.75">
      <c r="A6" s="115" t="s">
        <v>122</v>
      </c>
      <c r="B6" s="129"/>
      <c r="C6" s="129"/>
      <c r="D6" s="129"/>
      <c r="E6" s="129"/>
    </row>
    <row r="7" spans="1:5" ht="15.75">
      <c r="A7" s="103" t="s">
        <v>128</v>
      </c>
      <c r="B7" s="130">
        <v>57580</v>
      </c>
      <c r="C7" s="130">
        <v>8027</v>
      </c>
      <c r="D7" s="130">
        <f>8027+5</f>
        <v>8032</v>
      </c>
      <c r="E7" s="246">
        <f>D7/C7*100</f>
        <v>100.06228977201943</v>
      </c>
    </row>
    <row r="8" spans="1:5" ht="15.75">
      <c r="A8" s="103" t="s">
        <v>218</v>
      </c>
      <c r="B8" s="130">
        <v>0</v>
      </c>
      <c r="C8" s="130">
        <v>61602</v>
      </c>
      <c r="D8" s="130">
        <f>60210+2645</f>
        <v>62855</v>
      </c>
      <c r="E8" s="246">
        <f aca="true" t="shared" si="0" ref="E8:E20">D8/C8*100</f>
        <v>102.03402486932242</v>
      </c>
    </row>
    <row r="9" spans="1:5" ht="15.75">
      <c r="A9" s="103" t="s">
        <v>129</v>
      </c>
      <c r="B9" s="130">
        <f>18336+10000</f>
        <v>28336</v>
      </c>
      <c r="C9" s="130">
        <v>28336</v>
      </c>
      <c r="D9" s="130">
        <v>28719</v>
      </c>
      <c r="E9" s="246">
        <f t="shared" si="0"/>
        <v>101.35163749294185</v>
      </c>
    </row>
    <row r="10" spans="1:5" ht="15.75">
      <c r="A10" s="103" t="s">
        <v>230</v>
      </c>
      <c r="B10" s="130">
        <v>27732</v>
      </c>
      <c r="C10" s="130">
        <v>22571</v>
      </c>
      <c r="D10" s="130">
        <v>18550</v>
      </c>
      <c r="E10" s="246">
        <f t="shared" si="0"/>
        <v>82.18510478047052</v>
      </c>
    </row>
    <row r="11" spans="1:5" ht="15.75">
      <c r="A11" s="131" t="s">
        <v>130</v>
      </c>
      <c r="B11" s="130">
        <v>5547</v>
      </c>
      <c r="C11" s="130">
        <v>2928</v>
      </c>
      <c r="D11" s="130">
        <v>2338</v>
      </c>
      <c r="E11" s="246">
        <f t="shared" si="0"/>
        <v>79.84972677595628</v>
      </c>
    </row>
    <row r="12" spans="1:5" ht="15.75">
      <c r="A12" s="131" t="s">
        <v>229</v>
      </c>
      <c r="B12" s="130">
        <v>0</v>
      </c>
      <c r="C12" s="130">
        <v>390</v>
      </c>
      <c r="D12" s="130">
        <v>163</v>
      </c>
      <c r="E12" s="246">
        <f t="shared" si="0"/>
        <v>41.794871794871796</v>
      </c>
    </row>
    <row r="13" spans="1:5" ht="15.75">
      <c r="A13" s="131" t="s">
        <v>131</v>
      </c>
      <c r="B13" s="130">
        <v>31000</v>
      </c>
      <c r="C13" s="130">
        <v>32500</v>
      </c>
      <c r="D13" s="130">
        <v>32278</v>
      </c>
      <c r="E13" s="246">
        <f t="shared" si="0"/>
        <v>99.31692307692308</v>
      </c>
    </row>
    <row r="14" spans="1:5" ht="15.75">
      <c r="A14" s="131" t="s">
        <v>285</v>
      </c>
      <c r="B14" s="130"/>
      <c r="C14" s="130">
        <v>2700</v>
      </c>
      <c r="D14" s="130">
        <v>2700</v>
      </c>
      <c r="E14" s="246">
        <f t="shared" si="0"/>
        <v>100</v>
      </c>
    </row>
    <row r="15" spans="1:5" ht="15.75">
      <c r="A15" s="131" t="s">
        <v>132</v>
      </c>
      <c r="B15" s="130">
        <v>1900</v>
      </c>
      <c r="C15" s="130">
        <v>1900</v>
      </c>
      <c r="D15" s="130">
        <v>1319</v>
      </c>
      <c r="E15" s="246">
        <f t="shared" si="0"/>
        <v>69.42105263157895</v>
      </c>
    </row>
    <row r="16" spans="1:5" ht="15.75">
      <c r="A16" s="169" t="s">
        <v>179</v>
      </c>
      <c r="B16" s="135">
        <v>1000</v>
      </c>
      <c r="C16" s="135">
        <v>1000</v>
      </c>
      <c r="D16" s="135">
        <v>0</v>
      </c>
      <c r="E16" s="246">
        <f t="shared" si="0"/>
        <v>0</v>
      </c>
    </row>
    <row r="17" spans="1:5" s="211" customFormat="1" ht="15.75">
      <c r="A17" s="169" t="s">
        <v>231</v>
      </c>
      <c r="B17" s="135">
        <v>0</v>
      </c>
      <c r="C17" s="135">
        <v>12500</v>
      </c>
      <c r="D17" s="135">
        <f>12500+220</f>
        <v>12720</v>
      </c>
      <c r="E17" s="246">
        <f t="shared" si="0"/>
        <v>101.76</v>
      </c>
    </row>
    <row r="18" spans="1:5" s="211" customFormat="1" ht="15.75">
      <c r="A18" s="169" t="s">
        <v>246</v>
      </c>
      <c r="B18" s="135">
        <v>0</v>
      </c>
      <c r="C18" s="135">
        <v>650</v>
      </c>
      <c r="D18" s="135">
        <v>850</v>
      </c>
      <c r="E18" s="246">
        <v>0</v>
      </c>
    </row>
    <row r="19" spans="1:5" s="211" customFormat="1" ht="15.75">
      <c r="A19" s="169" t="s">
        <v>254</v>
      </c>
      <c r="B19" s="135">
        <v>0</v>
      </c>
      <c r="C19" s="135">
        <v>776787</v>
      </c>
      <c r="D19" s="135">
        <v>786194</v>
      </c>
      <c r="E19" s="246">
        <f t="shared" si="0"/>
        <v>101.21101408751692</v>
      </c>
    </row>
    <row r="20" spans="1:5" s="211" customFormat="1" ht="15.75">
      <c r="A20" s="169" t="s">
        <v>284</v>
      </c>
      <c r="B20" s="135"/>
      <c r="C20" s="135">
        <v>318647</v>
      </c>
      <c r="D20" s="135">
        <v>272855</v>
      </c>
      <c r="E20" s="265">
        <f t="shared" si="0"/>
        <v>85.62923862455946</v>
      </c>
    </row>
    <row r="21" spans="1:5" s="211" customFormat="1" ht="15.75">
      <c r="A21" s="169"/>
      <c r="B21" s="135"/>
      <c r="C21" s="135"/>
      <c r="D21" s="135"/>
      <c r="E21" s="265"/>
    </row>
    <row r="22" spans="1:5" ht="15.75">
      <c r="A22" s="132" t="s">
        <v>123</v>
      </c>
      <c r="B22" s="133">
        <f>SUM(B7:B19)</f>
        <v>153095</v>
      </c>
      <c r="C22" s="133">
        <f>SUM(C7:C21)</f>
        <v>1270538</v>
      </c>
      <c r="D22" s="133">
        <f>SUM(D7:D20)</f>
        <v>1229573</v>
      </c>
      <c r="E22" s="247">
        <f>D22/C22*100</f>
        <v>96.77577530148646</v>
      </c>
    </row>
    <row r="23" spans="1:5" ht="15.75">
      <c r="A23" s="134"/>
      <c r="B23" s="135"/>
      <c r="C23" s="135"/>
      <c r="D23" s="135"/>
      <c r="E23" s="135"/>
    </row>
    <row r="24" spans="1:5" ht="15.75">
      <c r="A24" s="134" t="s">
        <v>124</v>
      </c>
      <c r="B24" s="135"/>
      <c r="C24" s="135"/>
      <c r="D24" s="135"/>
      <c r="E24" s="135"/>
    </row>
    <row r="25" spans="1:5" ht="15.75">
      <c r="A25" s="103" t="s">
        <v>133</v>
      </c>
      <c r="B25" s="163">
        <v>8298</v>
      </c>
      <c r="C25" s="163">
        <v>11798</v>
      </c>
      <c r="D25" s="163">
        <v>11371</v>
      </c>
      <c r="E25" s="163">
        <f>D25/C25*100</f>
        <v>96.3807424987286</v>
      </c>
    </row>
    <row r="26" spans="1:5" ht="15.75">
      <c r="A26" s="103" t="s">
        <v>232</v>
      </c>
      <c r="B26" s="163">
        <v>0</v>
      </c>
      <c r="C26" s="163">
        <v>0</v>
      </c>
      <c r="D26" s="163">
        <v>434</v>
      </c>
      <c r="E26" s="163">
        <v>0</v>
      </c>
    </row>
    <row r="27" spans="1:5" ht="15.75">
      <c r="A27" s="103" t="s">
        <v>247</v>
      </c>
      <c r="B27" s="163">
        <v>0</v>
      </c>
      <c r="C27" s="163">
        <v>0</v>
      </c>
      <c r="D27" s="163">
        <v>100</v>
      </c>
      <c r="E27" s="163">
        <v>0</v>
      </c>
    </row>
    <row r="28" spans="1:5" ht="16.5" thickBot="1">
      <c r="A28" s="136" t="s">
        <v>125</v>
      </c>
      <c r="B28" s="137">
        <f>SUM(B25+B26)</f>
        <v>8298</v>
      </c>
      <c r="C28" s="137">
        <f>SUM(C25+C26)</f>
        <v>11798</v>
      </c>
      <c r="D28" s="137">
        <f>SUM(D25+D26+D27)</f>
        <v>11905</v>
      </c>
      <c r="E28" s="248">
        <f>D28/C28*100</f>
        <v>100.90693337853874</v>
      </c>
    </row>
    <row r="29" spans="1:5" ht="16.5" thickBot="1">
      <c r="A29" s="138" t="s">
        <v>126</v>
      </c>
      <c r="B29" s="139">
        <f>SUM(B22+B28)</f>
        <v>161393</v>
      </c>
      <c r="C29" s="139">
        <f>SUM(C22+C28)</f>
        <v>1282336</v>
      </c>
      <c r="D29" s="139">
        <f>SUM(D22+D28)</f>
        <v>1241478</v>
      </c>
      <c r="E29" s="249">
        <f>D29/C29*100</f>
        <v>96.81378359493924</v>
      </c>
    </row>
    <row r="30" ht="12.75">
      <c r="C30" s="211"/>
    </row>
  </sheetData>
  <sheetProtection/>
  <mergeCells count="5">
    <mergeCell ref="E3:E4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47.57421875" style="0" bestFit="1" customWidth="1"/>
    <col min="3" max="3" width="16.8515625" style="0" bestFit="1" customWidth="1"/>
    <col min="4" max="4" width="19.8515625" style="0" bestFit="1" customWidth="1"/>
    <col min="5" max="5" width="14.28125" style="211" bestFit="1" customWidth="1"/>
    <col min="6" max="6" width="11.00390625" style="0" bestFit="1" customWidth="1"/>
  </cols>
  <sheetData>
    <row r="1" ht="12.75">
      <c r="E1" s="258"/>
    </row>
    <row r="2" ht="12.75">
      <c r="E2" s="315" t="s">
        <v>332</v>
      </c>
    </row>
    <row r="3" spans="4:5" ht="14.25" thickBot="1">
      <c r="D3" s="214" t="s">
        <v>234</v>
      </c>
      <c r="E3" s="258"/>
    </row>
    <row r="4" spans="1:6" ht="14.25" thickBot="1">
      <c r="A4" s="373" t="s">
        <v>135</v>
      </c>
      <c r="B4" s="374"/>
      <c r="C4" s="140" t="s">
        <v>99</v>
      </c>
      <c r="D4" s="213" t="s">
        <v>201</v>
      </c>
      <c r="E4" s="140" t="s">
        <v>264</v>
      </c>
      <c r="F4" s="140" t="s">
        <v>227</v>
      </c>
    </row>
    <row r="5" spans="1:6" ht="12.75">
      <c r="A5" s="375"/>
      <c r="B5" s="376"/>
      <c r="C5" s="141"/>
      <c r="D5" s="141"/>
      <c r="E5" s="141"/>
      <c r="F5" s="141"/>
    </row>
    <row r="6" spans="1:6" ht="13.5">
      <c r="A6" s="142" t="s">
        <v>81</v>
      </c>
      <c r="B6" s="143" t="s">
        <v>136</v>
      </c>
      <c r="C6" s="144">
        <f>C7+C8+C9+C10+C11+C12+C13+C14+C15+C16+C17+C18</f>
        <v>17302</v>
      </c>
      <c r="D6" s="144">
        <f>D7+D8+D9+D10+D11+D12+D13+D14+D15+D16+D17+D18</f>
        <v>15920</v>
      </c>
      <c r="E6" s="144">
        <f>E7+E8+E9+E10+E11+E12+E13+E14+E15+E16+E17+E18+E19</f>
        <v>16850</v>
      </c>
      <c r="F6" s="251">
        <f>E6/D6*100</f>
        <v>105.84170854271358</v>
      </c>
    </row>
    <row r="7" spans="1:6" ht="13.5">
      <c r="A7" s="142"/>
      <c r="B7" s="145" t="s">
        <v>137</v>
      </c>
      <c r="C7" s="146">
        <v>2900</v>
      </c>
      <c r="D7" s="146">
        <v>2300</v>
      </c>
      <c r="E7" s="146">
        <v>2136</v>
      </c>
      <c r="F7" s="250">
        <f>E7/D7*100</f>
        <v>92.8695652173913</v>
      </c>
    </row>
    <row r="8" spans="1:6" ht="13.5">
      <c r="A8" s="142"/>
      <c r="B8" s="145" t="s">
        <v>144</v>
      </c>
      <c r="C8" s="146">
        <v>5800</v>
      </c>
      <c r="D8" s="146">
        <v>6100</v>
      </c>
      <c r="E8" s="146">
        <v>6087</v>
      </c>
      <c r="F8" s="250">
        <f aca="true" t="shared" si="0" ref="F8:F18">E8/D8*100</f>
        <v>99.78688524590163</v>
      </c>
    </row>
    <row r="9" spans="1:6" ht="13.5">
      <c r="A9" s="142"/>
      <c r="B9" s="145" t="s">
        <v>145</v>
      </c>
      <c r="C9" s="146">
        <v>4400</v>
      </c>
      <c r="D9" s="146">
        <v>4400</v>
      </c>
      <c r="E9" s="146">
        <v>4360</v>
      </c>
      <c r="F9" s="250">
        <f t="shared" si="0"/>
        <v>99.0909090909091</v>
      </c>
    </row>
    <row r="10" spans="1:6" ht="12.75">
      <c r="A10" s="147"/>
      <c r="B10" s="145" t="s">
        <v>236</v>
      </c>
      <c r="C10" s="148">
        <v>0</v>
      </c>
      <c r="D10" s="148">
        <v>635</v>
      </c>
      <c r="E10" s="148">
        <v>1208</v>
      </c>
      <c r="F10" s="250">
        <v>0</v>
      </c>
    </row>
    <row r="11" spans="1:6" ht="12.75">
      <c r="A11" s="147"/>
      <c r="B11" s="145" t="s">
        <v>235</v>
      </c>
      <c r="C11" s="148">
        <v>0</v>
      </c>
      <c r="D11" s="148">
        <v>0</v>
      </c>
      <c r="E11" s="148">
        <v>0</v>
      </c>
      <c r="F11" s="250">
        <v>0</v>
      </c>
    </row>
    <row r="12" spans="1:6" ht="12.75">
      <c r="A12" s="149"/>
      <c r="B12" s="145" t="s">
        <v>146</v>
      </c>
      <c r="C12" s="146">
        <v>1050</v>
      </c>
      <c r="D12" s="146">
        <v>410</v>
      </c>
      <c r="E12" s="146">
        <v>322</v>
      </c>
      <c r="F12" s="250">
        <f t="shared" si="0"/>
        <v>78.53658536585367</v>
      </c>
    </row>
    <row r="13" spans="1:6" ht="12.75">
      <c r="A13" s="149"/>
      <c r="B13" s="145" t="s">
        <v>147</v>
      </c>
      <c r="C13" s="146">
        <v>100</v>
      </c>
      <c r="D13" s="146">
        <v>100</v>
      </c>
      <c r="E13" s="146">
        <v>130</v>
      </c>
      <c r="F13" s="250">
        <f t="shared" si="0"/>
        <v>130</v>
      </c>
    </row>
    <row r="14" spans="1:6" ht="12.75">
      <c r="A14" s="149"/>
      <c r="B14" s="145" t="s">
        <v>148</v>
      </c>
      <c r="C14" s="146">
        <v>1100</v>
      </c>
      <c r="D14" s="146">
        <v>1463</v>
      </c>
      <c r="E14" s="146">
        <v>1363</v>
      </c>
      <c r="F14" s="250">
        <f t="shared" si="0"/>
        <v>93.16473000683527</v>
      </c>
    </row>
    <row r="15" spans="1:6" ht="12.75">
      <c r="A15" s="149"/>
      <c r="B15" s="145" t="s">
        <v>149</v>
      </c>
      <c r="C15" s="146">
        <v>10</v>
      </c>
      <c r="D15" s="146">
        <v>10</v>
      </c>
      <c r="E15" s="146">
        <v>0</v>
      </c>
      <c r="F15" s="250">
        <f t="shared" si="0"/>
        <v>0</v>
      </c>
    </row>
    <row r="16" spans="1:6" ht="12.75">
      <c r="A16" s="149"/>
      <c r="B16" s="145" t="s">
        <v>150</v>
      </c>
      <c r="C16" s="146">
        <v>160</v>
      </c>
      <c r="D16" s="146">
        <v>160</v>
      </c>
      <c r="E16" s="146">
        <v>110</v>
      </c>
      <c r="F16" s="250">
        <f t="shared" si="0"/>
        <v>68.75</v>
      </c>
    </row>
    <row r="17" spans="1:6" ht="12.75">
      <c r="A17" s="149"/>
      <c r="B17" s="145" t="s">
        <v>154</v>
      </c>
      <c r="C17" s="146">
        <v>740</v>
      </c>
      <c r="D17" s="146">
        <v>0</v>
      </c>
      <c r="E17" s="146">
        <v>0</v>
      </c>
      <c r="F17" s="250">
        <v>0</v>
      </c>
    </row>
    <row r="18" spans="1:6" ht="12.75">
      <c r="A18" s="149"/>
      <c r="B18" s="150" t="s">
        <v>155</v>
      </c>
      <c r="C18" s="146">
        <v>1042</v>
      </c>
      <c r="D18" s="146">
        <v>342</v>
      </c>
      <c r="E18" s="146">
        <v>322</v>
      </c>
      <c r="F18" s="250">
        <f t="shared" si="0"/>
        <v>94.15204678362574</v>
      </c>
    </row>
    <row r="19" spans="1:6" ht="12.75">
      <c r="A19" s="149"/>
      <c r="B19" s="150" t="s">
        <v>274</v>
      </c>
      <c r="C19" s="146"/>
      <c r="D19" s="146"/>
      <c r="E19" s="146">
        <v>812</v>
      </c>
      <c r="F19" s="146"/>
    </row>
    <row r="20" spans="1:6" ht="12.75">
      <c r="A20" s="149"/>
      <c r="B20" s="150"/>
      <c r="C20" s="146"/>
      <c r="D20" s="146"/>
      <c r="E20" s="146"/>
      <c r="F20" s="146"/>
    </row>
    <row r="21" spans="1:6" ht="13.5">
      <c r="A21" s="151" t="s">
        <v>80</v>
      </c>
      <c r="B21" s="152" t="s">
        <v>138</v>
      </c>
      <c r="C21" s="153">
        <f>C22+C23+C24+C25</f>
        <v>1810</v>
      </c>
      <c r="D21" s="153">
        <f>D22+D23+D24+D25</f>
        <v>1110</v>
      </c>
      <c r="E21" s="153">
        <f>E22+E23+E24+E25</f>
        <v>470</v>
      </c>
      <c r="F21" s="251">
        <f>E21/D21*100</f>
        <v>42.34234234234234</v>
      </c>
    </row>
    <row r="22" spans="1:6" ht="12.75">
      <c r="A22" s="149"/>
      <c r="B22" s="154" t="s">
        <v>139</v>
      </c>
      <c r="C22" s="146">
        <v>400</v>
      </c>
      <c r="D22" s="146">
        <v>400</v>
      </c>
      <c r="E22" s="146">
        <v>0</v>
      </c>
      <c r="F22" s="250">
        <f>E22/D22*100</f>
        <v>0</v>
      </c>
    </row>
    <row r="23" spans="1:6" ht="12.75">
      <c r="A23" s="149"/>
      <c r="B23" s="154" t="s">
        <v>151</v>
      </c>
      <c r="C23" s="146">
        <v>1200</v>
      </c>
      <c r="D23" s="146">
        <v>500</v>
      </c>
      <c r="E23" s="146">
        <v>470</v>
      </c>
      <c r="F23" s="250">
        <f>E23/D23*100</f>
        <v>94</v>
      </c>
    </row>
    <row r="24" spans="1:6" ht="12.75">
      <c r="A24" s="155"/>
      <c r="B24" s="145" t="s">
        <v>152</v>
      </c>
      <c r="C24" s="146">
        <v>210</v>
      </c>
      <c r="D24" s="146">
        <v>210</v>
      </c>
      <c r="E24" s="146">
        <v>0</v>
      </c>
      <c r="F24" s="250">
        <f>E24/D24*100</f>
        <v>0</v>
      </c>
    </row>
    <row r="25" spans="1:6" ht="12.75">
      <c r="A25" s="155"/>
      <c r="B25" s="150" t="s">
        <v>153</v>
      </c>
      <c r="C25" s="146">
        <v>0</v>
      </c>
      <c r="D25" s="146">
        <v>0</v>
      </c>
      <c r="E25" s="146">
        <v>0</v>
      </c>
      <c r="F25" s="250">
        <v>0</v>
      </c>
    </row>
    <row r="26" spans="1:6" ht="12.75">
      <c r="A26" s="155"/>
      <c r="B26" s="150"/>
      <c r="C26" s="146"/>
      <c r="D26" s="146"/>
      <c r="E26" s="146"/>
      <c r="F26" s="146"/>
    </row>
    <row r="27" spans="1:6" ht="13.5">
      <c r="A27" s="156" t="s">
        <v>82</v>
      </c>
      <c r="B27" s="157" t="s">
        <v>140</v>
      </c>
      <c r="C27" s="153">
        <f>C28+C29</f>
        <v>620</v>
      </c>
      <c r="D27" s="153">
        <f>D28+D29</f>
        <v>0</v>
      </c>
      <c r="E27" s="153">
        <f>E28+E29</f>
        <v>0</v>
      </c>
      <c r="F27" s="251">
        <v>0</v>
      </c>
    </row>
    <row r="28" spans="1:6" ht="12.75">
      <c r="A28" s="155"/>
      <c r="B28" s="145" t="s">
        <v>141</v>
      </c>
      <c r="C28" s="146">
        <v>0</v>
      </c>
      <c r="D28" s="146">
        <v>0</v>
      </c>
      <c r="E28" s="146">
        <v>0</v>
      </c>
      <c r="F28" s="250">
        <v>0</v>
      </c>
    </row>
    <row r="29" spans="1:6" ht="12.75">
      <c r="A29" s="155"/>
      <c r="B29" s="145" t="s">
        <v>142</v>
      </c>
      <c r="C29" s="146">
        <v>620</v>
      </c>
      <c r="D29" s="146">
        <v>0</v>
      </c>
      <c r="E29" s="146">
        <v>0</v>
      </c>
      <c r="F29" s="250">
        <v>0</v>
      </c>
    </row>
    <row r="30" spans="1:6" ht="12.75">
      <c r="A30" s="155"/>
      <c r="B30" s="145"/>
      <c r="C30" s="146"/>
      <c r="D30" s="146"/>
      <c r="E30" s="146"/>
      <c r="F30" s="250"/>
    </row>
    <row r="31" spans="1:6" s="277" customFormat="1" ht="12.75">
      <c r="A31" s="156" t="s">
        <v>83</v>
      </c>
      <c r="B31" s="275" t="s">
        <v>275</v>
      </c>
      <c r="C31" s="153">
        <v>0</v>
      </c>
      <c r="D31" s="153">
        <v>0</v>
      </c>
      <c r="E31" s="153">
        <v>33</v>
      </c>
      <c r="F31" s="276">
        <v>0</v>
      </c>
    </row>
    <row r="32" spans="1:6" ht="13.5" thickBot="1">
      <c r="A32" s="158"/>
      <c r="B32" s="150"/>
      <c r="C32" s="148"/>
      <c r="D32" s="148"/>
      <c r="E32" s="148"/>
      <c r="F32" s="148"/>
    </row>
    <row r="33" spans="1:6" ht="13.5" thickBot="1">
      <c r="A33" s="373" t="s">
        <v>143</v>
      </c>
      <c r="B33" s="374"/>
      <c r="C33" s="159">
        <f>C27+C21+C6</f>
        <v>19732</v>
      </c>
      <c r="D33" s="159">
        <f>D27+D21+D6</f>
        <v>17030</v>
      </c>
      <c r="E33" s="159">
        <f>E31+E27+E21+E6</f>
        <v>17353</v>
      </c>
      <c r="F33" s="252">
        <f>E33/D33*100</f>
        <v>101.89665296535526</v>
      </c>
    </row>
  </sheetData>
  <sheetProtection/>
  <mergeCells count="3">
    <mergeCell ref="A4:B4"/>
    <mergeCell ref="A5:B5"/>
    <mergeCell ref="A33:B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A4">
      <selection activeCell="E2" sqref="E2"/>
    </sheetView>
  </sheetViews>
  <sheetFormatPr defaultColWidth="9.140625" defaultRowHeight="12.75"/>
  <cols>
    <col min="1" max="1" width="5.7109375" style="0" bestFit="1" customWidth="1"/>
    <col min="2" max="2" width="51.8515625" style="0" bestFit="1" customWidth="1"/>
    <col min="3" max="3" width="25.421875" style="0" customWidth="1"/>
    <col min="4" max="4" width="14.140625" style="0" customWidth="1"/>
    <col min="5" max="5" width="14.7109375" style="0" customWidth="1"/>
    <col min="6" max="6" width="16.00390625" style="0" bestFit="1" customWidth="1"/>
  </cols>
  <sheetData>
    <row r="2" ht="12.75">
      <c r="E2" t="s">
        <v>333</v>
      </c>
    </row>
    <row r="3" spans="1:5" ht="15.75">
      <c r="A3" s="379" t="s">
        <v>194</v>
      </c>
      <c r="B3" s="380"/>
      <c r="C3" s="380"/>
      <c r="D3" s="380"/>
      <c r="E3" s="380"/>
    </row>
    <row r="4" spans="1:5" ht="15.75">
      <c r="A4" s="173"/>
      <c r="B4" s="173"/>
      <c r="C4" s="173"/>
      <c r="D4" s="174"/>
      <c r="E4" s="174"/>
    </row>
    <row r="5" spans="1:4" ht="16.5" thickBot="1">
      <c r="A5" s="82"/>
      <c r="B5" s="175"/>
      <c r="C5" s="174"/>
      <c r="D5" s="176"/>
    </row>
    <row r="6" spans="1:6" ht="12.75" customHeight="1">
      <c r="A6" s="335" t="s">
        <v>87</v>
      </c>
      <c r="B6" s="381" t="s">
        <v>187</v>
      </c>
      <c r="C6" s="377" t="s">
        <v>183</v>
      </c>
      <c r="D6" s="377" t="s">
        <v>201</v>
      </c>
      <c r="E6" s="377" t="s">
        <v>264</v>
      </c>
      <c r="F6" s="377" t="s">
        <v>227</v>
      </c>
    </row>
    <row r="7" spans="1:6" ht="13.5" customHeight="1" thickBot="1">
      <c r="A7" s="336"/>
      <c r="B7" s="382"/>
      <c r="C7" s="378"/>
      <c r="D7" s="378"/>
      <c r="E7" s="378"/>
      <c r="F7" s="378"/>
    </row>
    <row r="8" spans="1:6" ht="15.75">
      <c r="A8" s="177" t="s">
        <v>188</v>
      </c>
      <c r="B8" s="178" t="s">
        <v>67</v>
      </c>
      <c r="C8" s="179"/>
      <c r="D8" s="179"/>
      <c r="E8" s="179"/>
      <c r="F8" s="179"/>
    </row>
    <row r="9" spans="1:6" ht="15.75">
      <c r="A9" s="180" t="s">
        <v>81</v>
      </c>
      <c r="B9" s="161" t="s">
        <v>193</v>
      </c>
      <c r="C9" s="163">
        <v>600</v>
      </c>
      <c r="D9" s="163">
        <v>0</v>
      </c>
      <c r="E9" s="163">
        <v>0</v>
      </c>
      <c r="F9" s="253">
        <v>0</v>
      </c>
    </row>
    <row r="10" spans="1:6" ht="15.75">
      <c r="A10" s="180" t="s">
        <v>80</v>
      </c>
      <c r="B10" s="161" t="s">
        <v>195</v>
      </c>
      <c r="C10" s="163">
        <v>400</v>
      </c>
      <c r="D10" s="163">
        <v>600</v>
      </c>
      <c r="E10" s="163">
        <v>803</v>
      </c>
      <c r="F10" s="253">
        <f>E10/D10*100</f>
        <v>133.83333333333334</v>
      </c>
    </row>
    <row r="11" spans="1:6" ht="15.75">
      <c r="A11" s="278" t="s">
        <v>82</v>
      </c>
      <c r="B11" s="161" t="s">
        <v>253</v>
      </c>
      <c r="C11" s="135">
        <v>0</v>
      </c>
      <c r="D11" s="135">
        <v>0</v>
      </c>
      <c r="E11" s="135">
        <v>170</v>
      </c>
      <c r="F11" s="253">
        <v>0</v>
      </c>
    </row>
    <row r="12" spans="1:6" ht="15.75">
      <c r="A12" s="278" t="s">
        <v>83</v>
      </c>
      <c r="B12" s="161" t="s">
        <v>276</v>
      </c>
      <c r="C12" s="135">
        <v>0</v>
      </c>
      <c r="D12" s="135">
        <v>2700</v>
      </c>
      <c r="E12" s="135">
        <v>2667</v>
      </c>
      <c r="F12" s="253">
        <v>0</v>
      </c>
    </row>
    <row r="13" spans="1:6" ht="15.75">
      <c r="A13" s="278" t="s">
        <v>84</v>
      </c>
      <c r="B13" s="161" t="s">
        <v>277</v>
      </c>
      <c r="C13" s="135">
        <v>0</v>
      </c>
      <c r="D13" s="135">
        <v>400</v>
      </c>
      <c r="E13" s="135">
        <v>384</v>
      </c>
      <c r="F13" s="253">
        <v>0</v>
      </c>
    </row>
    <row r="14" spans="1:6" ht="15.75">
      <c r="A14" s="278" t="s">
        <v>85</v>
      </c>
      <c r="B14" s="161" t="s">
        <v>278</v>
      </c>
      <c r="C14" s="135">
        <v>0</v>
      </c>
      <c r="D14" s="135">
        <v>63819</v>
      </c>
      <c r="E14" s="135"/>
      <c r="F14" s="253">
        <v>0</v>
      </c>
    </row>
    <row r="15" spans="1:6" ht="15.75">
      <c r="A15" s="278" t="s">
        <v>86</v>
      </c>
      <c r="B15" s="161" t="s">
        <v>281</v>
      </c>
      <c r="C15" s="135">
        <v>0</v>
      </c>
      <c r="D15" s="135">
        <v>49171</v>
      </c>
      <c r="E15" s="135"/>
      <c r="F15" s="253">
        <v>0</v>
      </c>
    </row>
    <row r="16" spans="1:6" ht="15.75">
      <c r="A16" s="278" t="s">
        <v>249</v>
      </c>
      <c r="B16" s="161" t="s">
        <v>279</v>
      </c>
      <c r="C16" s="135">
        <v>0</v>
      </c>
      <c r="D16" s="135">
        <v>54160</v>
      </c>
      <c r="E16" s="135"/>
      <c r="F16" s="253">
        <v>0</v>
      </c>
    </row>
    <row r="17" spans="1:6" ht="15.75">
      <c r="A17" s="278" t="s">
        <v>250</v>
      </c>
      <c r="B17" s="161" t="s">
        <v>280</v>
      </c>
      <c r="C17" s="135">
        <v>0</v>
      </c>
      <c r="D17" s="135">
        <v>1110</v>
      </c>
      <c r="E17" s="135"/>
      <c r="F17" s="253">
        <v>0</v>
      </c>
    </row>
    <row r="18" spans="1:6" ht="15.75">
      <c r="A18" s="132"/>
      <c r="B18" s="181" t="s">
        <v>189</v>
      </c>
      <c r="C18" s="133">
        <f>SUM(C9:C17)</f>
        <v>1000</v>
      </c>
      <c r="D18" s="133">
        <f>SUM(D9:D17)</f>
        <v>171960</v>
      </c>
      <c r="E18" s="133">
        <f>SUM(E9:E13)</f>
        <v>4024</v>
      </c>
      <c r="F18" s="133">
        <v>0</v>
      </c>
    </row>
    <row r="19" spans="1:6" ht="15.75">
      <c r="A19" s="177" t="s">
        <v>190</v>
      </c>
      <c r="B19" s="178" t="s">
        <v>68</v>
      </c>
      <c r="C19" s="182"/>
      <c r="D19" s="182"/>
      <c r="E19" s="182"/>
      <c r="F19" s="182"/>
    </row>
    <row r="20" spans="1:6" ht="15.75">
      <c r="A20" s="180" t="s">
        <v>81</v>
      </c>
      <c r="B20" s="183" t="s">
        <v>196</v>
      </c>
      <c r="C20" s="163">
        <v>1740</v>
      </c>
      <c r="D20" s="163">
        <v>1740</v>
      </c>
      <c r="E20" s="163">
        <v>1788</v>
      </c>
      <c r="F20" s="253">
        <f>E20/D20*100</f>
        <v>102.75862068965517</v>
      </c>
    </row>
    <row r="21" spans="1:6" ht="15.75">
      <c r="A21" s="180" t="s">
        <v>80</v>
      </c>
      <c r="B21" s="161" t="s">
        <v>197</v>
      </c>
      <c r="C21" s="163">
        <v>4653</v>
      </c>
      <c r="D21" s="163">
        <v>4653</v>
      </c>
      <c r="E21" s="163">
        <v>3562</v>
      </c>
      <c r="F21" s="253">
        <f>E21/D21*100</f>
        <v>76.55276165914464</v>
      </c>
    </row>
    <row r="22" spans="1:6" ht="15.75">
      <c r="A22" s="180" t="s">
        <v>82</v>
      </c>
      <c r="B22" s="161" t="s">
        <v>199</v>
      </c>
      <c r="C22" s="163">
        <v>7462</v>
      </c>
      <c r="D22" s="163">
        <v>0</v>
      </c>
      <c r="E22" s="163">
        <v>0</v>
      </c>
      <c r="F22" s="253">
        <v>0</v>
      </c>
    </row>
    <row r="23" spans="1:6" ht="15.75">
      <c r="A23" s="180" t="s">
        <v>83</v>
      </c>
      <c r="B23" s="161" t="s">
        <v>198</v>
      </c>
      <c r="C23" s="163">
        <v>1808</v>
      </c>
      <c r="D23" s="163">
        <v>0</v>
      </c>
      <c r="E23" s="163">
        <v>0</v>
      </c>
      <c r="F23" s="253">
        <v>0</v>
      </c>
    </row>
    <row r="24" spans="1:6" ht="15.75">
      <c r="A24" s="180" t="s">
        <v>84</v>
      </c>
      <c r="B24" s="161" t="s">
        <v>200</v>
      </c>
      <c r="C24" s="163">
        <v>2500</v>
      </c>
      <c r="D24" s="163">
        <v>2500</v>
      </c>
      <c r="E24" s="163">
        <v>2500</v>
      </c>
      <c r="F24" s="253">
        <f>E24/D24*100</f>
        <v>100</v>
      </c>
    </row>
    <row r="25" spans="1:6" ht="15.75">
      <c r="A25" s="180" t="s">
        <v>85</v>
      </c>
      <c r="B25" s="161" t="s">
        <v>291</v>
      </c>
      <c r="C25" s="135">
        <v>2000</v>
      </c>
      <c r="D25" s="135">
        <v>2000</v>
      </c>
      <c r="E25" s="135">
        <v>2000</v>
      </c>
      <c r="F25" s="253">
        <v>0</v>
      </c>
    </row>
    <row r="26" spans="1:6" ht="15.75">
      <c r="A26" s="180" t="s">
        <v>86</v>
      </c>
      <c r="B26" s="161" t="s">
        <v>292</v>
      </c>
      <c r="C26" s="135">
        <v>0</v>
      </c>
      <c r="D26" s="135">
        <v>4976</v>
      </c>
      <c r="E26" s="135">
        <v>4704</v>
      </c>
      <c r="F26" s="253">
        <v>0</v>
      </c>
    </row>
    <row r="27" spans="1:6" ht="15.75">
      <c r="A27" s="180" t="s">
        <v>249</v>
      </c>
      <c r="B27" s="161" t="s">
        <v>293</v>
      </c>
      <c r="C27" s="135">
        <v>0</v>
      </c>
      <c r="D27" s="135">
        <v>4000</v>
      </c>
      <c r="E27" s="135">
        <v>4000</v>
      </c>
      <c r="F27" s="253">
        <v>0</v>
      </c>
    </row>
    <row r="28" spans="1:6" ht="15.75">
      <c r="A28" s="180" t="s">
        <v>250</v>
      </c>
      <c r="B28" s="161" t="s">
        <v>294</v>
      </c>
      <c r="C28" s="135">
        <v>0</v>
      </c>
      <c r="D28" s="135">
        <v>1300</v>
      </c>
      <c r="E28" s="135">
        <v>1877</v>
      </c>
      <c r="F28" s="253">
        <v>0</v>
      </c>
    </row>
    <row r="29" spans="1:6" ht="15.75">
      <c r="A29" s="180" t="s">
        <v>251</v>
      </c>
      <c r="B29" s="161" t="s">
        <v>295</v>
      </c>
      <c r="C29" s="135">
        <v>0</v>
      </c>
      <c r="D29" s="135">
        <v>1194</v>
      </c>
      <c r="E29" s="135">
        <v>1541</v>
      </c>
      <c r="F29" s="253">
        <v>0</v>
      </c>
    </row>
    <row r="30" spans="1:6" ht="30">
      <c r="A30" s="269" t="s">
        <v>252</v>
      </c>
      <c r="B30" s="270" t="s">
        <v>255</v>
      </c>
      <c r="C30" s="271">
        <v>0</v>
      </c>
      <c r="D30" s="272">
        <v>226520</v>
      </c>
      <c r="E30" s="272">
        <v>226520</v>
      </c>
      <c r="F30" s="273">
        <f aca="true" t="shared" si="0" ref="F30:F37">E30/D30*100</f>
        <v>100</v>
      </c>
    </row>
    <row r="31" spans="1:6" ht="15.75">
      <c r="A31" s="269" t="s">
        <v>258</v>
      </c>
      <c r="B31" s="270" t="s">
        <v>286</v>
      </c>
      <c r="C31" s="271">
        <v>0</v>
      </c>
      <c r="D31" s="272">
        <v>54409</v>
      </c>
      <c r="E31" s="271">
        <v>336</v>
      </c>
      <c r="F31" s="273">
        <f t="shared" si="0"/>
        <v>0.6175448914701612</v>
      </c>
    </row>
    <row r="32" spans="1:6" ht="15.75">
      <c r="A32" s="269" t="s">
        <v>259</v>
      </c>
      <c r="B32" s="270" t="s">
        <v>287</v>
      </c>
      <c r="C32" s="271">
        <v>0</v>
      </c>
      <c r="D32" s="272">
        <v>22043</v>
      </c>
      <c r="E32" s="271">
        <v>22043</v>
      </c>
      <c r="F32" s="273">
        <f t="shared" si="0"/>
        <v>100</v>
      </c>
    </row>
    <row r="33" spans="1:6" ht="30">
      <c r="A33" s="269" t="s">
        <v>260</v>
      </c>
      <c r="B33" s="270" t="s">
        <v>256</v>
      </c>
      <c r="C33" s="271">
        <v>0</v>
      </c>
      <c r="D33" s="272">
        <v>196267</v>
      </c>
      <c r="E33" s="271">
        <v>32333</v>
      </c>
      <c r="F33" s="273">
        <f t="shared" si="0"/>
        <v>16.473986966734092</v>
      </c>
    </row>
    <row r="34" spans="1:6" ht="15.75">
      <c r="A34" s="269" t="s">
        <v>261</v>
      </c>
      <c r="B34" s="270" t="s">
        <v>257</v>
      </c>
      <c r="C34" s="271">
        <v>0</v>
      </c>
      <c r="D34" s="272">
        <v>99393</v>
      </c>
      <c r="E34" s="271">
        <v>1360</v>
      </c>
      <c r="F34" s="273">
        <f t="shared" si="0"/>
        <v>1.3683056150835573</v>
      </c>
    </row>
    <row r="35" spans="1:6" ht="15.75">
      <c r="A35" s="269" t="s">
        <v>262</v>
      </c>
      <c r="B35" s="270" t="s">
        <v>288</v>
      </c>
      <c r="C35" s="271">
        <v>0</v>
      </c>
      <c r="D35" s="271">
        <v>10497</v>
      </c>
      <c r="E35" s="271">
        <v>10497</v>
      </c>
      <c r="F35" s="273">
        <f t="shared" si="0"/>
        <v>100</v>
      </c>
    </row>
    <row r="36" spans="1:6" ht="15.75">
      <c r="A36" s="269" t="s">
        <v>263</v>
      </c>
      <c r="B36" s="270" t="s">
        <v>289</v>
      </c>
      <c r="C36" s="271">
        <v>0</v>
      </c>
      <c r="D36" s="271">
        <v>1054</v>
      </c>
      <c r="E36" s="271">
        <v>1054</v>
      </c>
      <c r="F36" s="273">
        <f t="shared" si="0"/>
        <v>100</v>
      </c>
    </row>
    <row r="37" spans="1:6" ht="15.75">
      <c r="A37" s="266" t="s">
        <v>296</v>
      </c>
      <c r="B37" s="267" t="s">
        <v>290</v>
      </c>
      <c r="C37" s="268"/>
      <c r="D37" s="268">
        <v>624277</v>
      </c>
      <c r="E37" s="268">
        <v>617541</v>
      </c>
      <c r="F37" s="274">
        <f t="shared" si="0"/>
        <v>98.92099180331809</v>
      </c>
    </row>
    <row r="38" spans="1:6" ht="15.75">
      <c r="A38" s="184"/>
      <c r="B38" s="181" t="s">
        <v>191</v>
      </c>
      <c r="C38" s="133">
        <f>SUM(C20:C37)</f>
        <v>20163</v>
      </c>
      <c r="D38" s="133">
        <f>SUM(D20:D37)</f>
        <v>1256823</v>
      </c>
      <c r="E38" s="133">
        <f>SUM(E20:E37)</f>
        <v>933656</v>
      </c>
      <c r="F38" s="247">
        <f>E38/D38*100</f>
        <v>74.28699188350308</v>
      </c>
    </row>
    <row r="39" spans="1:6" ht="16.5" thickBot="1">
      <c r="A39" s="185"/>
      <c r="B39" s="186"/>
      <c r="C39" s="187"/>
      <c r="D39" s="282"/>
      <c r="E39" s="187"/>
      <c r="F39" s="259"/>
    </row>
    <row r="40" spans="1:6" ht="16.5" thickBot="1">
      <c r="A40" s="188"/>
      <c r="B40" s="189" t="s">
        <v>192</v>
      </c>
      <c r="C40" s="190">
        <f>SUM(C18+C38+C39)</f>
        <v>21163</v>
      </c>
      <c r="D40" s="190">
        <f>SUM(D18+D38+D39)</f>
        <v>1428783</v>
      </c>
      <c r="E40" s="190">
        <f>SUM(E18+E38+E39)</f>
        <v>937680</v>
      </c>
      <c r="F40" s="254">
        <f>E40/D40*100</f>
        <v>65.62788051089635</v>
      </c>
    </row>
  </sheetData>
  <sheetProtection/>
  <mergeCells count="7">
    <mergeCell ref="F6:F7"/>
    <mergeCell ref="A3:E3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6.28125" style="0" customWidth="1"/>
    <col min="2" max="2" width="22.8515625" style="0" bestFit="1" customWidth="1"/>
    <col min="3" max="3" width="13.28125" style="0" customWidth="1"/>
    <col min="4" max="4" width="11.8515625" style="0" customWidth="1"/>
    <col min="5" max="5" width="14.28125" style="0" customWidth="1"/>
    <col min="6" max="6" width="13.28125" style="0" customWidth="1"/>
    <col min="7" max="7" width="13.140625" style="0" customWidth="1"/>
    <col min="8" max="8" width="12.8515625" style="0" customWidth="1"/>
    <col min="9" max="9" width="14.00390625" style="0" customWidth="1"/>
    <col min="10" max="10" width="13.140625" style="0" customWidth="1"/>
  </cols>
  <sheetData>
    <row r="1" spans="1:10" ht="15.75">
      <c r="A1" s="391"/>
      <c r="B1" s="391"/>
      <c r="C1" s="391"/>
      <c r="D1" s="391"/>
      <c r="E1" s="391"/>
      <c r="F1" s="391"/>
      <c r="G1" s="391"/>
      <c r="H1" s="1"/>
      <c r="I1" s="285" t="s">
        <v>334</v>
      </c>
      <c r="J1" s="285"/>
    </row>
    <row r="2" spans="1:10" ht="15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9" ht="15.75">
      <c r="A3" s="392" t="s">
        <v>313</v>
      </c>
      <c r="B3" s="392"/>
      <c r="C3" s="392"/>
      <c r="D3" s="392"/>
      <c r="E3" s="392"/>
      <c r="F3" s="392"/>
      <c r="G3" s="392"/>
      <c r="H3" s="392"/>
      <c r="I3" s="392"/>
    </row>
    <row r="4" spans="1:10" ht="15.75">
      <c r="A4" s="285"/>
      <c r="B4" s="285"/>
      <c r="C4" s="285"/>
      <c r="D4" s="285"/>
      <c r="E4" s="285" t="s">
        <v>314</v>
      </c>
      <c r="F4" s="285"/>
      <c r="G4" s="285"/>
      <c r="H4" s="285"/>
      <c r="I4" s="285"/>
      <c r="J4" s="285"/>
    </row>
    <row r="5" spans="1:10" ht="16.5" thickBo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6.5" customHeight="1" thickBot="1">
      <c r="A6" s="393" t="s">
        <v>87</v>
      </c>
      <c r="B6" s="335" t="s">
        <v>298</v>
      </c>
      <c r="C6" s="383" t="s">
        <v>299</v>
      </c>
      <c r="D6" s="387"/>
      <c r="E6" s="387" t="s">
        <v>300</v>
      </c>
      <c r="F6" s="387"/>
      <c r="G6" s="387" t="s">
        <v>301</v>
      </c>
      <c r="H6" s="387"/>
      <c r="I6" s="383" t="s">
        <v>320</v>
      </c>
      <c r="J6" s="384"/>
    </row>
    <row r="7" spans="1:10" ht="16.5" thickBot="1">
      <c r="A7" s="394"/>
      <c r="B7" s="336"/>
      <c r="C7" s="395" t="s">
        <v>315</v>
      </c>
      <c r="D7" s="395"/>
      <c r="E7" s="395"/>
      <c r="F7" s="395"/>
      <c r="G7" s="395"/>
      <c r="H7" s="286"/>
      <c r="I7" s="311"/>
      <c r="J7" s="310"/>
    </row>
    <row r="8" spans="1:10" ht="15.75">
      <c r="A8" s="287" t="s">
        <v>81</v>
      </c>
      <c r="B8" s="386" t="s">
        <v>316</v>
      </c>
      <c r="C8" s="386"/>
      <c r="D8" s="386"/>
      <c r="E8" s="386"/>
      <c r="F8" s="386"/>
      <c r="G8" s="386"/>
      <c r="H8" s="1"/>
      <c r="I8" s="3"/>
      <c r="J8" s="3"/>
    </row>
    <row r="9" spans="1:10" ht="15.75">
      <c r="A9" s="388"/>
      <c r="B9" s="93" t="s">
        <v>302</v>
      </c>
      <c r="C9" s="291">
        <v>13</v>
      </c>
      <c r="D9" s="291">
        <v>5</v>
      </c>
      <c r="E9" s="281">
        <v>0</v>
      </c>
      <c r="F9" s="281">
        <v>0</v>
      </c>
      <c r="G9" s="281">
        <v>0</v>
      </c>
      <c r="H9" s="281">
        <v>0</v>
      </c>
      <c r="I9" s="290">
        <f aca="true" t="shared" si="0" ref="I9:J11">C9+E9+G9</f>
        <v>13</v>
      </c>
      <c r="J9" s="290">
        <f t="shared" si="0"/>
        <v>5</v>
      </c>
    </row>
    <row r="10" spans="1:10" ht="15.75">
      <c r="A10" s="388"/>
      <c r="B10" s="93" t="s">
        <v>303</v>
      </c>
      <c r="C10" s="281">
        <v>0</v>
      </c>
      <c r="D10" s="281">
        <v>0</v>
      </c>
      <c r="E10" s="281">
        <v>0</v>
      </c>
      <c r="F10" s="281">
        <v>0</v>
      </c>
      <c r="G10" s="291">
        <v>0</v>
      </c>
      <c r="H10" s="291">
        <v>0</v>
      </c>
      <c r="I10" s="290">
        <f t="shared" si="0"/>
        <v>0</v>
      </c>
      <c r="J10" s="290">
        <f t="shared" si="0"/>
        <v>0</v>
      </c>
    </row>
    <row r="11" spans="1:10" ht="16.5" thickBot="1">
      <c r="A11" s="388"/>
      <c r="B11" s="93" t="s">
        <v>305</v>
      </c>
      <c r="C11" s="281">
        <v>0</v>
      </c>
      <c r="D11" s="281">
        <v>0</v>
      </c>
      <c r="E11" s="281">
        <v>0</v>
      </c>
      <c r="F11" s="281">
        <v>0</v>
      </c>
      <c r="G11" s="291">
        <v>4</v>
      </c>
      <c r="H11" s="291">
        <v>1</v>
      </c>
      <c r="I11" s="290">
        <f t="shared" si="0"/>
        <v>4</v>
      </c>
      <c r="J11" s="290">
        <f t="shared" si="0"/>
        <v>1</v>
      </c>
    </row>
    <row r="12" spans="1:10" ht="16.5" thickBot="1">
      <c r="A12" s="388"/>
      <c r="B12" s="293" t="s">
        <v>88</v>
      </c>
      <c r="C12" s="294">
        <f aca="true" t="shared" si="1" ref="C12:H12">SUM(C9:C11)</f>
        <v>13</v>
      </c>
      <c r="D12" s="294">
        <f t="shared" si="1"/>
        <v>5</v>
      </c>
      <c r="E12" s="294">
        <f t="shared" si="1"/>
        <v>0</v>
      </c>
      <c r="F12" s="294">
        <f t="shared" si="1"/>
        <v>0</v>
      </c>
      <c r="G12" s="294">
        <f t="shared" si="1"/>
        <v>4</v>
      </c>
      <c r="H12" s="294">
        <f t="shared" si="1"/>
        <v>1</v>
      </c>
      <c r="I12" s="295">
        <f>C12+E12+G12</f>
        <v>17</v>
      </c>
      <c r="J12" s="295">
        <f>SUM(J9:J11)</f>
        <v>6</v>
      </c>
    </row>
    <row r="13" spans="1:10" ht="15.75">
      <c r="A13" s="289" t="s">
        <v>80</v>
      </c>
      <c r="B13" s="391" t="s">
        <v>306</v>
      </c>
      <c r="C13" s="391"/>
      <c r="D13" s="391"/>
      <c r="E13" s="391"/>
      <c r="F13" s="391"/>
      <c r="G13" s="391"/>
      <c r="H13" s="1"/>
      <c r="I13" s="3"/>
      <c r="J13" s="3"/>
    </row>
    <row r="14" spans="1:10" ht="15.75">
      <c r="A14" s="388"/>
      <c r="B14" s="93" t="s">
        <v>307</v>
      </c>
      <c r="C14" s="281">
        <v>0</v>
      </c>
      <c r="D14" s="281">
        <v>0</v>
      </c>
      <c r="E14" s="281">
        <v>3</v>
      </c>
      <c r="F14" s="281">
        <v>3</v>
      </c>
      <c r="G14" s="281">
        <v>1</v>
      </c>
      <c r="H14" s="281">
        <v>1</v>
      </c>
      <c r="I14" s="290">
        <f aca="true" t="shared" si="2" ref="I14:J17">C14+E14+G14</f>
        <v>4</v>
      </c>
      <c r="J14" s="290">
        <f t="shared" si="2"/>
        <v>4</v>
      </c>
    </row>
    <row r="15" spans="1:10" ht="15.75">
      <c r="A15" s="388"/>
      <c r="B15" s="93" t="s">
        <v>308</v>
      </c>
      <c r="C15" s="281">
        <v>0</v>
      </c>
      <c r="D15" s="281">
        <v>0</v>
      </c>
      <c r="E15" s="281">
        <v>1</v>
      </c>
      <c r="F15" s="281">
        <v>1</v>
      </c>
      <c r="G15" s="281">
        <v>0</v>
      </c>
      <c r="H15" s="281">
        <v>0</v>
      </c>
      <c r="I15" s="290">
        <f t="shared" si="2"/>
        <v>1</v>
      </c>
      <c r="J15" s="290">
        <f t="shared" si="2"/>
        <v>1</v>
      </c>
    </row>
    <row r="16" spans="1:10" ht="15.75">
      <c r="A16" s="388"/>
      <c r="B16" s="93" t="s">
        <v>303</v>
      </c>
      <c r="C16" s="281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90">
        <f t="shared" si="2"/>
        <v>0</v>
      </c>
      <c r="J16" s="290">
        <f t="shared" si="2"/>
        <v>0</v>
      </c>
    </row>
    <row r="17" spans="1:10" ht="16.5" thickBot="1">
      <c r="A17" s="388"/>
      <c r="B17" s="93" t="s">
        <v>309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90">
        <f t="shared" si="2"/>
        <v>0</v>
      </c>
      <c r="J17" s="290">
        <f t="shared" si="2"/>
        <v>0</v>
      </c>
    </row>
    <row r="18" spans="1:12" ht="16.5" thickBot="1">
      <c r="A18" s="388"/>
      <c r="B18" s="293" t="s">
        <v>88</v>
      </c>
      <c r="C18" s="296">
        <f>SUM(C14:C17)</f>
        <v>0</v>
      </c>
      <c r="D18" s="297">
        <v>0</v>
      </c>
      <c r="E18" s="297">
        <f>SUM(E14:E17)</f>
        <v>4</v>
      </c>
      <c r="F18" s="297">
        <v>0</v>
      </c>
      <c r="G18" s="294">
        <f>SUM(G14:G17)</f>
        <v>1</v>
      </c>
      <c r="H18" s="294">
        <f>SUM(H14:H17)</f>
        <v>1</v>
      </c>
      <c r="I18" s="295">
        <f>SUM(I14:I17)</f>
        <v>5</v>
      </c>
      <c r="J18" s="295">
        <f>SUM(J14:J17)</f>
        <v>5</v>
      </c>
      <c r="L18" s="160"/>
    </row>
    <row r="19" spans="1:10" ht="15.75">
      <c r="A19" s="289" t="s">
        <v>82</v>
      </c>
      <c r="B19" s="386" t="s">
        <v>297</v>
      </c>
      <c r="C19" s="386"/>
      <c r="D19" s="386"/>
      <c r="E19" s="386"/>
      <c r="F19" s="386"/>
      <c r="G19" s="386"/>
      <c r="H19" s="288"/>
      <c r="I19" s="299"/>
      <c r="J19" s="299"/>
    </row>
    <row r="20" spans="1:10" ht="15.75">
      <c r="A20" s="388"/>
      <c r="B20" s="292" t="s">
        <v>304</v>
      </c>
      <c r="C20" s="281">
        <v>0</v>
      </c>
      <c r="D20" s="281">
        <v>0</v>
      </c>
      <c r="E20" s="281">
        <v>2</v>
      </c>
      <c r="F20" s="281">
        <v>2</v>
      </c>
      <c r="G20" s="291">
        <v>0</v>
      </c>
      <c r="H20" s="291">
        <v>0</v>
      </c>
      <c r="I20" s="290">
        <f>C20+E20+G20</f>
        <v>2</v>
      </c>
      <c r="J20" s="290">
        <f>D20+F20+H20</f>
        <v>2</v>
      </c>
    </row>
    <row r="21" spans="1:10" ht="16.5" thickBot="1">
      <c r="A21" s="389"/>
      <c r="B21" s="301" t="s">
        <v>309</v>
      </c>
      <c r="C21" s="304">
        <v>0</v>
      </c>
      <c r="D21" s="304">
        <v>0</v>
      </c>
      <c r="E21" s="305">
        <v>0</v>
      </c>
      <c r="F21" s="305">
        <v>0</v>
      </c>
      <c r="G21" s="305">
        <v>20</v>
      </c>
      <c r="H21" s="305">
        <v>20</v>
      </c>
      <c r="I21" s="290">
        <f>C21+E21+G21</f>
        <v>20</v>
      </c>
      <c r="J21" s="290">
        <f>D21+F21+H21</f>
        <v>20</v>
      </c>
    </row>
    <row r="22" spans="1:13" ht="16.5" thickBot="1">
      <c r="A22" s="300"/>
      <c r="B22" s="302" t="s">
        <v>88</v>
      </c>
      <c r="C22" s="306">
        <f aca="true" t="shared" si="3" ref="C22:J22">SUM(C20:C21)</f>
        <v>0</v>
      </c>
      <c r="D22" s="306">
        <f t="shared" si="3"/>
        <v>0</v>
      </c>
      <c r="E22" s="306">
        <f t="shared" si="3"/>
        <v>2</v>
      </c>
      <c r="F22" s="306">
        <f t="shared" si="3"/>
        <v>2</v>
      </c>
      <c r="G22" s="306">
        <f t="shared" si="3"/>
        <v>20</v>
      </c>
      <c r="H22" s="306">
        <f t="shared" si="3"/>
        <v>20</v>
      </c>
      <c r="I22" s="295">
        <f t="shared" si="3"/>
        <v>22</v>
      </c>
      <c r="J22" s="295">
        <f t="shared" si="3"/>
        <v>22</v>
      </c>
      <c r="M22" s="160"/>
    </row>
    <row r="23" spans="1:10" ht="15.75">
      <c r="A23" s="289" t="s">
        <v>83</v>
      </c>
      <c r="B23" s="385" t="s">
        <v>317</v>
      </c>
      <c r="C23" s="386"/>
      <c r="D23" s="386"/>
      <c r="E23" s="386"/>
      <c r="F23" s="386"/>
      <c r="G23" s="386"/>
      <c r="H23" s="309"/>
      <c r="I23" s="299"/>
      <c r="J23" s="299"/>
    </row>
    <row r="24" spans="1:10" ht="15.75">
      <c r="A24" s="388"/>
      <c r="B24" s="93" t="s">
        <v>302</v>
      </c>
      <c r="C24" s="291">
        <v>20</v>
      </c>
      <c r="D24" s="291">
        <v>19</v>
      </c>
      <c r="E24" s="281">
        <v>0</v>
      </c>
      <c r="F24" s="281">
        <v>0</v>
      </c>
      <c r="G24" s="281">
        <v>0</v>
      </c>
      <c r="H24" s="281">
        <v>0</v>
      </c>
      <c r="I24" s="290">
        <f aca="true" t="shared" si="4" ref="I24:J26">C24+E24+G24</f>
        <v>20</v>
      </c>
      <c r="J24" s="290">
        <f t="shared" si="4"/>
        <v>19</v>
      </c>
    </row>
    <row r="25" spans="1:10" ht="15.75">
      <c r="A25" s="388"/>
      <c r="B25" s="93" t="s">
        <v>303</v>
      </c>
      <c r="C25" s="281">
        <v>0</v>
      </c>
      <c r="D25" s="281">
        <v>0</v>
      </c>
      <c r="E25" s="281">
        <v>0</v>
      </c>
      <c r="F25" s="281">
        <v>0</v>
      </c>
      <c r="G25" s="291">
        <v>0</v>
      </c>
      <c r="H25" s="291">
        <v>0</v>
      </c>
      <c r="I25" s="290">
        <f t="shared" si="4"/>
        <v>0</v>
      </c>
      <c r="J25" s="290">
        <f t="shared" si="4"/>
        <v>0</v>
      </c>
    </row>
    <row r="26" spans="1:10" ht="16.5" thickBot="1">
      <c r="A26" s="388"/>
      <c r="B26" s="93" t="s">
        <v>305</v>
      </c>
      <c r="C26" s="281">
        <v>0</v>
      </c>
      <c r="D26" s="281">
        <v>0</v>
      </c>
      <c r="E26" s="281">
        <v>0</v>
      </c>
      <c r="F26" s="281">
        <v>0</v>
      </c>
      <c r="G26" s="291">
        <v>5</v>
      </c>
      <c r="H26" s="291">
        <v>4</v>
      </c>
      <c r="I26" s="290">
        <f t="shared" si="4"/>
        <v>5</v>
      </c>
      <c r="J26" s="290">
        <f t="shared" si="4"/>
        <v>4</v>
      </c>
    </row>
    <row r="27" spans="1:10" ht="16.5" thickBot="1">
      <c r="A27" s="390"/>
      <c r="B27" s="293" t="s">
        <v>88</v>
      </c>
      <c r="C27" s="294">
        <f aca="true" t="shared" si="5" ref="C27:J27">SUM(C24:C26)</f>
        <v>20</v>
      </c>
      <c r="D27" s="294">
        <f t="shared" si="5"/>
        <v>19</v>
      </c>
      <c r="E27" s="294">
        <f t="shared" si="5"/>
        <v>0</v>
      </c>
      <c r="F27" s="294">
        <f t="shared" si="5"/>
        <v>0</v>
      </c>
      <c r="G27" s="294">
        <f t="shared" si="5"/>
        <v>5</v>
      </c>
      <c r="H27" s="294">
        <f t="shared" si="5"/>
        <v>4</v>
      </c>
      <c r="I27" s="298">
        <f t="shared" si="5"/>
        <v>25</v>
      </c>
      <c r="J27" s="298">
        <f t="shared" si="5"/>
        <v>23</v>
      </c>
    </row>
    <row r="28" spans="1:10" ht="15.75">
      <c r="A28" s="289" t="s">
        <v>84</v>
      </c>
      <c r="B28" s="385" t="s">
        <v>318</v>
      </c>
      <c r="C28" s="386"/>
      <c r="D28" s="386"/>
      <c r="E28" s="386"/>
      <c r="F28" s="386"/>
      <c r="G28" s="386"/>
      <c r="H28" s="309"/>
      <c r="I28" s="299"/>
      <c r="J28" s="299"/>
    </row>
    <row r="29" spans="1:10" ht="15.75">
      <c r="A29" s="388"/>
      <c r="B29" s="93" t="s">
        <v>310</v>
      </c>
      <c r="C29" s="291">
        <v>0</v>
      </c>
      <c r="D29" s="291">
        <v>0</v>
      </c>
      <c r="E29" s="281">
        <v>541</v>
      </c>
      <c r="F29" s="281">
        <v>534</v>
      </c>
      <c r="G29" s="281">
        <v>0</v>
      </c>
      <c r="H29" s="281">
        <v>0</v>
      </c>
      <c r="I29" s="290">
        <f>C29+E29+G29</f>
        <v>541</v>
      </c>
      <c r="J29" s="290">
        <f>D29+F29+H29</f>
        <v>534</v>
      </c>
    </row>
    <row r="30" spans="1:10" ht="16.5" thickBot="1">
      <c r="A30" s="388"/>
      <c r="B30" s="93" t="s">
        <v>311</v>
      </c>
      <c r="C30" s="281">
        <v>0</v>
      </c>
      <c r="D30" s="281">
        <v>0</v>
      </c>
      <c r="E30" s="281">
        <v>7</v>
      </c>
      <c r="F30" s="281">
        <v>7</v>
      </c>
      <c r="G30" s="291">
        <v>0</v>
      </c>
      <c r="H30" s="291">
        <v>0</v>
      </c>
      <c r="I30" s="290">
        <f>SUM(C30:H30)</f>
        <v>14</v>
      </c>
      <c r="J30" s="290">
        <f>D30+F30+H30</f>
        <v>7</v>
      </c>
    </row>
    <row r="31" spans="1:10" ht="16.5" thickBot="1">
      <c r="A31" s="388"/>
      <c r="B31" s="293" t="s">
        <v>88</v>
      </c>
      <c r="C31" s="294">
        <f aca="true" t="shared" si="6" ref="C31:J31">SUM(C29:C30)</f>
        <v>0</v>
      </c>
      <c r="D31" s="294">
        <f t="shared" si="6"/>
        <v>0</v>
      </c>
      <c r="E31" s="294">
        <f t="shared" si="6"/>
        <v>548</v>
      </c>
      <c r="F31" s="294">
        <f t="shared" si="6"/>
        <v>541</v>
      </c>
      <c r="G31" s="294">
        <f t="shared" si="6"/>
        <v>0</v>
      </c>
      <c r="H31" s="294">
        <f t="shared" si="6"/>
        <v>0</v>
      </c>
      <c r="I31" s="298">
        <f t="shared" si="6"/>
        <v>555</v>
      </c>
      <c r="J31" s="298">
        <f t="shared" si="6"/>
        <v>541</v>
      </c>
    </row>
    <row r="32" spans="1:10" ht="15.75">
      <c r="A32" s="289" t="s">
        <v>85</v>
      </c>
      <c r="B32" s="385" t="s">
        <v>319</v>
      </c>
      <c r="C32" s="386"/>
      <c r="D32" s="386"/>
      <c r="E32" s="386"/>
      <c r="F32" s="386"/>
      <c r="G32" s="386"/>
      <c r="H32" s="309"/>
      <c r="I32" s="299"/>
      <c r="J32" s="299"/>
    </row>
    <row r="33" spans="1:10" ht="15.75">
      <c r="A33" s="388"/>
      <c r="B33" s="93" t="s">
        <v>310</v>
      </c>
      <c r="C33" s="291">
        <v>0</v>
      </c>
      <c r="D33" s="291">
        <v>0</v>
      </c>
      <c r="E33" s="281">
        <v>0</v>
      </c>
      <c r="F33" s="281">
        <v>0</v>
      </c>
      <c r="G33" s="281">
        <v>0</v>
      </c>
      <c r="H33" s="281">
        <v>0</v>
      </c>
      <c r="I33" s="290">
        <f>SUM(C33:H33)</f>
        <v>0</v>
      </c>
      <c r="J33" s="290">
        <f>D33+F33+H33</f>
        <v>0</v>
      </c>
    </row>
    <row r="34" spans="1:10" ht="16.5" thickBot="1">
      <c r="A34" s="388"/>
      <c r="B34" s="93" t="s">
        <v>311</v>
      </c>
      <c r="C34" s="281">
        <v>0</v>
      </c>
      <c r="D34" s="281">
        <v>0</v>
      </c>
      <c r="E34" s="281">
        <v>2</v>
      </c>
      <c r="F34" s="281">
        <v>2</v>
      </c>
      <c r="G34" s="291">
        <v>0</v>
      </c>
      <c r="H34" s="291">
        <v>0</v>
      </c>
      <c r="I34" s="290">
        <f>SUM(C34:H34)</f>
        <v>4</v>
      </c>
      <c r="J34" s="290">
        <f>D34+F34+H34</f>
        <v>2</v>
      </c>
    </row>
    <row r="35" spans="1:10" ht="16.5" thickBot="1">
      <c r="A35" s="388"/>
      <c r="B35" s="293"/>
      <c r="C35" s="294">
        <f aca="true" t="shared" si="7" ref="C35:J35">C33+C34</f>
        <v>0</v>
      </c>
      <c r="D35" s="294">
        <f t="shared" si="7"/>
        <v>0</v>
      </c>
      <c r="E35" s="294">
        <f t="shared" si="7"/>
        <v>2</v>
      </c>
      <c r="F35" s="294">
        <f t="shared" si="7"/>
        <v>2</v>
      </c>
      <c r="G35" s="294">
        <f t="shared" si="7"/>
        <v>0</v>
      </c>
      <c r="H35" s="294">
        <f t="shared" si="7"/>
        <v>0</v>
      </c>
      <c r="I35" s="298">
        <f t="shared" si="7"/>
        <v>4</v>
      </c>
      <c r="J35" s="298">
        <f t="shared" si="7"/>
        <v>2</v>
      </c>
    </row>
    <row r="36" spans="1:10" ht="24.75" customHeight="1" thickBot="1">
      <c r="A36" s="303"/>
      <c r="B36" s="51" t="s">
        <v>312</v>
      </c>
      <c r="C36" s="307">
        <f aca="true" t="shared" si="8" ref="C36:J36">C12+C18+C22+C27+C31+C35</f>
        <v>33</v>
      </c>
      <c r="D36" s="307">
        <f t="shared" si="8"/>
        <v>24</v>
      </c>
      <c r="E36" s="307">
        <f t="shared" si="8"/>
        <v>556</v>
      </c>
      <c r="F36" s="307">
        <f t="shared" si="8"/>
        <v>545</v>
      </c>
      <c r="G36" s="312">
        <f t="shared" si="8"/>
        <v>30</v>
      </c>
      <c r="H36" s="312">
        <f t="shared" si="8"/>
        <v>26</v>
      </c>
      <c r="I36" s="295">
        <f t="shared" si="8"/>
        <v>628</v>
      </c>
      <c r="J36" s="308">
        <f t="shared" si="8"/>
        <v>599</v>
      </c>
    </row>
  </sheetData>
  <sheetProtection/>
  <mergeCells count="21">
    <mergeCell ref="B13:G13"/>
    <mergeCell ref="A20:A21"/>
    <mergeCell ref="A24:A27"/>
    <mergeCell ref="A29:A31"/>
    <mergeCell ref="A33:A35"/>
    <mergeCell ref="A1:G1"/>
    <mergeCell ref="A3:I3"/>
    <mergeCell ref="A14:A18"/>
    <mergeCell ref="B19:G19"/>
    <mergeCell ref="A6:A7"/>
    <mergeCell ref="A9:A12"/>
    <mergeCell ref="I6:J6"/>
    <mergeCell ref="B23:G23"/>
    <mergeCell ref="B28:G28"/>
    <mergeCell ref="B32:G32"/>
    <mergeCell ref="C6:D6"/>
    <mergeCell ref="E6:F6"/>
    <mergeCell ref="G6:H6"/>
    <mergeCell ref="B6:B7"/>
    <mergeCell ref="C7:G7"/>
    <mergeCell ref="B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0.28125" style="0" bestFit="1" customWidth="1"/>
    <col min="2" max="2" width="13.8515625" style="0" bestFit="1" customWidth="1"/>
    <col min="3" max="3" width="17.57421875" style="0" customWidth="1"/>
    <col min="4" max="4" width="17.57421875" style="284" customWidth="1"/>
    <col min="5" max="5" width="17.57421875" style="0" customWidth="1"/>
  </cols>
  <sheetData>
    <row r="1" spans="1:4" ht="15.75">
      <c r="A1" s="318" t="s">
        <v>248</v>
      </c>
      <c r="B1" s="319"/>
      <c r="D1" s="258"/>
    </row>
    <row r="2" ht="13.5" thickBot="1">
      <c r="D2" s="315" t="s">
        <v>322</v>
      </c>
    </row>
    <row r="3" spans="1:5" ht="12.75">
      <c r="A3" s="316" t="s">
        <v>0</v>
      </c>
      <c r="B3" s="316" t="s">
        <v>183</v>
      </c>
      <c r="C3" s="316" t="s">
        <v>201</v>
      </c>
      <c r="D3" s="316" t="s">
        <v>269</v>
      </c>
      <c r="E3" s="316" t="s">
        <v>227</v>
      </c>
    </row>
    <row r="4" spans="1:5" ht="17.25" customHeight="1" thickBot="1">
      <c r="A4" s="317"/>
      <c r="B4" s="317"/>
      <c r="C4" s="317"/>
      <c r="D4" s="317"/>
      <c r="E4" s="317"/>
    </row>
    <row r="5" spans="1:5" ht="15.75">
      <c r="A5" s="22" t="s">
        <v>8</v>
      </c>
      <c r="B5" s="23"/>
      <c r="C5" s="23"/>
      <c r="D5" s="23"/>
      <c r="E5" s="198"/>
    </row>
    <row r="6" spans="1:5" ht="15.75">
      <c r="A6" s="24" t="s">
        <v>9</v>
      </c>
      <c r="B6" s="25"/>
      <c r="C6" s="25"/>
      <c r="D6" s="25"/>
      <c r="E6" s="199"/>
    </row>
    <row r="7" spans="1:5" ht="15.75">
      <c r="A7" s="26" t="s">
        <v>158</v>
      </c>
      <c r="B7" s="27">
        <f>Hivatal!D6</f>
        <v>70</v>
      </c>
      <c r="C7" s="27">
        <f>Hivatal!E6+'Közös Hivatal'!E6</f>
        <v>180</v>
      </c>
      <c r="D7" s="27">
        <f>Hivatal!F6+'Közös Hivatal'!F6</f>
        <v>100</v>
      </c>
      <c r="E7" s="220">
        <f>D7/C7*100</f>
        <v>55.55555555555556</v>
      </c>
    </row>
    <row r="8" spans="1:5" ht="15.75">
      <c r="A8" s="26" t="s">
        <v>159</v>
      </c>
      <c r="B8" s="27">
        <f>Önkor!B9+MűvHáz!D8</f>
        <v>3508</v>
      </c>
      <c r="C8" s="27">
        <f>Önkor!C9+MűvHáz!E8+Hivatal!E7</f>
        <v>3537</v>
      </c>
      <c r="D8" s="27">
        <f>Önkor!D9+MűvHáz!F8+Hivatal!F7+'Közös Hivatal'!F7</f>
        <v>10691</v>
      </c>
      <c r="E8" s="220">
        <f>D8/C8*100</f>
        <v>302.2618037885214</v>
      </c>
    </row>
    <row r="9" spans="1:5" ht="15.75">
      <c r="A9" s="26" t="s">
        <v>160</v>
      </c>
      <c r="B9" s="27">
        <f>Önkor!B10</f>
        <v>1500</v>
      </c>
      <c r="C9" s="27">
        <f>Önkor!C10</f>
        <v>1500</v>
      </c>
      <c r="D9" s="27">
        <f>Önkor!D10</f>
        <v>2255</v>
      </c>
      <c r="E9" s="220">
        <f>D9/C9*100</f>
        <v>150.33333333333334</v>
      </c>
    </row>
    <row r="10" spans="1:5" ht="16.5" thickBot="1">
      <c r="A10" s="26" t="s">
        <v>161</v>
      </c>
      <c r="B10" s="27">
        <f>Önkor!B11</f>
        <v>1661</v>
      </c>
      <c r="C10" s="27">
        <f>Önkor!C11</f>
        <v>1661</v>
      </c>
      <c r="D10" s="27">
        <f>Önkor!D11</f>
        <v>1900</v>
      </c>
      <c r="E10" s="220">
        <f>D10/C10*100</f>
        <v>114.3889223359422</v>
      </c>
    </row>
    <row r="11" spans="1:5" ht="16.5" thickBot="1">
      <c r="A11" s="28" t="s">
        <v>9</v>
      </c>
      <c r="B11" s="29">
        <f>SUM(B6:B10)</f>
        <v>6739</v>
      </c>
      <c r="C11" s="29">
        <f>SUM(C6:C10)</f>
        <v>6878</v>
      </c>
      <c r="D11" s="29">
        <f>SUM(D6:D10)</f>
        <v>14946</v>
      </c>
      <c r="E11" s="212">
        <f>D11/C11*100</f>
        <v>217.30154114568188</v>
      </c>
    </row>
    <row r="12" spans="1:5" ht="15.75">
      <c r="A12" s="30" t="s">
        <v>10</v>
      </c>
      <c r="B12" s="31"/>
      <c r="C12" s="31"/>
      <c r="D12" s="31"/>
      <c r="E12" s="200"/>
    </row>
    <row r="13" spans="1:5" ht="15.75">
      <c r="A13" s="32" t="s">
        <v>11</v>
      </c>
      <c r="B13" s="33">
        <f>Önkor!B14</f>
        <v>15000</v>
      </c>
      <c r="C13" s="33">
        <f>Önkor!C14</f>
        <v>15000</v>
      </c>
      <c r="D13" s="33">
        <f>Önkor!D14</f>
        <v>15694</v>
      </c>
      <c r="E13" s="220">
        <f aca="true" t="shared" si="0" ref="E13:E19">D13/C13*100</f>
        <v>104.62666666666667</v>
      </c>
    </row>
    <row r="14" spans="1:5" ht="15.75">
      <c r="A14" s="32" t="s">
        <v>12</v>
      </c>
      <c r="B14" s="33">
        <f>Önkor!B15</f>
        <v>23000</v>
      </c>
      <c r="C14" s="33">
        <f>Önkor!C15</f>
        <v>23000</v>
      </c>
      <c r="D14" s="33">
        <f>Önkor!D15</f>
        <v>20624</v>
      </c>
      <c r="E14" s="220">
        <f t="shared" si="0"/>
        <v>89.6695652173913</v>
      </c>
    </row>
    <row r="15" spans="1:5" ht="15.75">
      <c r="A15" s="32" t="s">
        <v>73</v>
      </c>
      <c r="B15" s="33">
        <f>Önkor!B16</f>
        <v>10000</v>
      </c>
      <c r="C15" s="33">
        <f>Önkor!C16</f>
        <v>10000</v>
      </c>
      <c r="D15" s="33">
        <f>Önkor!D16</f>
        <v>12439</v>
      </c>
      <c r="E15" s="220">
        <f t="shared" si="0"/>
        <v>124.39</v>
      </c>
    </row>
    <row r="16" spans="1:5" ht="15.75">
      <c r="A16" s="34" t="s">
        <v>13</v>
      </c>
      <c r="B16" s="27">
        <f>Önkor!B17</f>
        <v>64000</v>
      </c>
      <c r="C16" s="27">
        <f>Önkor!C17</f>
        <v>64000</v>
      </c>
      <c r="D16" s="27">
        <f>Önkor!D17</f>
        <v>85206</v>
      </c>
      <c r="E16" s="220">
        <f t="shared" si="0"/>
        <v>133.134375</v>
      </c>
    </row>
    <row r="17" spans="1:5" ht="15.75">
      <c r="A17" s="35" t="s">
        <v>14</v>
      </c>
      <c r="B17" s="25">
        <f>Önkor!B18</f>
        <v>1000</v>
      </c>
      <c r="C17" s="25">
        <f>Önkor!C18</f>
        <v>1000</v>
      </c>
      <c r="D17" s="25">
        <f>Önkor!D18</f>
        <v>1259</v>
      </c>
      <c r="E17" s="220">
        <f t="shared" si="0"/>
        <v>125.89999999999999</v>
      </c>
    </row>
    <row r="18" spans="1:5" ht="16.5" thickBot="1">
      <c r="A18" s="26" t="s">
        <v>221</v>
      </c>
      <c r="B18" s="27">
        <v>0</v>
      </c>
      <c r="C18" s="27">
        <v>0</v>
      </c>
      <c r="D18" s="27">
        <f>Önkor!D19</f>
        <v>4</v>
      </c>
      <c r="E18" s="220">
        <v>0</v>
      </c>
    </row>
    <row r="19" spans="1:5" ht="16.5" thickBot="1">
      <c r="A19" s="36" t="s">
        <v>10</v>
      </c>
      <c r="B19" s="37">
        <f>SUM(B13:B17)</f>
        <v>113000</v>
      </c>
      <c r="C19" s="37">
        <f>SUM(C13:C17)</f>
        <v>113000</v>
      </c>
      <c r="D19" s="37">
        <f>SUM(D13:D18)</f>
        <v>135226</v>
      </c>
      <c r="E19" s="212">
        <f t="shared" si="0"/>
        <v>119.66902654867258</v>
      </c>
    </row>
    <row r="20" spans="1:5" ht="15.75">
      <c r="A20" s="38" t="s">
        <v>15</v>
      </c>
      <c r="B20" s="39"/>
      <c r="C20" s="39"/>
      <c r="D20" s="39"/>
      <c r="E20" s="201"/>
    </row>
    <row r="21" spans="1:5" ht="15.75">
      <c r="A21" s="34" t="s">
        <v>163</v>
      </c>
      <c r="B21" s="27">
        <v>0</v>
      </c>
      <c r="C21" s="27">
        <v>0</v>
      </c>
      <c r="D21" s="27">
        <v>0</v>
      </c>
      <c r="E21" s="220">
        <v>0</v>
      </c>
    </row>
    <row r="22" spans="1:5" ht="15.75">
      <c r="A22" s="34" t="s">
        <v>16</v>
      </c>
      <c r="B22" s="27">
        <v>0</v>
      </c>
      <c r="C22" s="27">
        <v>0</v>
      </c>
      <c r="D22" s="27">
        <v>0</v>
      </c>
      <c r="E22" s="220">
        <v>0</v>
      </c>
    </row>
    <row r="23" spans="1:5" ht="15.75">
      <c r="A23" s="34" t="s">
        <v>17</v>
      </c>
      <c r="B23" s="27">
        <f>Önkor!B24</f>
        <v>10000</v>
      </c>
      <c r="C23" s="27">
        <f>Önkor!C24</f>
        <v>10000</v>
      </c>
      <c r="D23" s="27">
        <f>Önkor!D24</f>
        <v>9615</v>
      </c>
      <c r="E23" s="220">
        <f>D23/C23*100</f>
        <v>96.15</v>
      </c>
    </row>
    <row r="24" spans="1:5" ht="16.5" thickBot="1">
      <c r="A24" s="40" t="s">
        <v>18</v>
      </c>
      <c r="B24" s="41">
        <f>Önkor!B25</f>
        <v>14</v>
      </c>
      <c r="C24" s="41">
        <f>Önkor!C25</f>
        <v>14</v>
      </c>
      <c r="D24" s="41">
        <f>Önkor!D25</f>
        <v>32</v>
      </c>
      <c r="E24" s="220">
        <f>D24/C24*100</f>
        <v>228.57142857142856</v>
      </c>
    </row>
    <row r="25" spans="1:5" ht="16.5" thickBot="1">
      <c r="A25" s="42" t="s">
        <v>15</v>
      </c>
      <c r="B25" s="43">
        <f>SUM(B20:B24)</f>
        <v>10014</v>
      </c>
      <c r="C25" s="43">
        <f>SUM(C20:C24)</f>
        <v>10014</v>
      </c>
      <c r="D25" s="43">
        <f>SUM(D20:D24)</f>
        <v>9647</v>
      </c>
      <c r="E25" s="212">
        <f>D25/C25*100</f>
        <v>96.33513081685639</v>
      </c>
    </row>
    <row r="26" spans="1:5" ht="15.75">
      <c r="A26" s="44" t="s">
        <v>19</v>
      </c>
      <c r="B26" s="23"/>
      <c r="C26" s="23"/>
      <c r="D26" s="23"/>
      <c r="E26" s="198"/>
    </row>
    <row r="27" spans="1:5" ht="15.75">
      <c r="A27" s="45" t="s">
        <v>206</v>
      </c>
      <c r="B27" s="46">
        <f>Önkor!B28</f>
        <v>52692</v>
      </c>
      <c r="C27" s="46">
        <f>Önkor!C28</f>
        <v>50815</v>
      </c>
      <c r="D27" s="46">
        <f>Önkor!D28</f>
        <v>50815</v>
      </c>
      <c r="E27" s="220">
        <f aca="true" t="shared" si="1" ref="E27:E43">D27/C27*100</f>
        <v>100</v>
      </c>
    </row>
    <row r="28" spans="1:5" ht="15.75">
      <c r="A28" s="47" t="s">
        <v>207</v>
      </c>
      <c r="B28" s="48">
        <v>0</v>
      </c>
      <c r="C28" s="48">
        <f>Önkor!C29</f>
        <v>4196</v>
      </c>
      <c r="D28" s="48">
        <f>Önkor!D29</f>
        <v>4196</v>
      </c>
      <c r="E28" s="220">
        <f t="shared" si="1"/>
        <v>100</v>
      </c>
    </row>
    <row r="29" spans="1:5" ht="15.75">
      <c r="A29" s="47" t="s">
        <v>20</v>
      </c>
      <c r="B29" s="48">
        <f>Önkor!B30</f>
        <v>5730</v>
      </c>
      <c r="C29" s="48">
        <f>Önkor!C30</f>
        <v>5731</v>
      </c>
      <c r="D29" s="48">
        <f>Önkor!D30</f>
        <v>5731</v>
      </c>
      <c r="E29" s="220">
        <f t="shared" si="1"/>
        <v>100</v>
      </c>
    </row>
    <row r="30" spans="1:5" ht="15.75">
      <c r="A30" s="49" t="s">
        <v>184</v>
      </c>
      <c r="B30" s="46">
        <v>0</v>
      </c>
      <c r="C30" s="46">
        <f>Önkor!C31</f>
        <v>25073</v>
      </c>
      <c r="D30" s="46">
        <f>Önkor!D31</f>
        <v>12269</v>
      </c>
      <c r="E30" s="220">
        <f t="shared" si="1"/>
        <v>48.933115303314324</v>
      </c>
    </row>
    <row r="31" spans="1:5" ht="15.75">
      <c r="A31" s="47" t="s">
        <v>215</v>
      </c>
      <c r="B31" s="48">
        <v>0</v>
      </c>
      <c r="C31" s="48">
        <f>Önkor!C32</f>
        <v>11648</v>
      </c>
      <c r="D31" s="48">
        <f>Önkor!D32</f>
        <v>11648</v>
      </c>
      <c r="E31" s="220">
        <f t="shared" si="1"/>
        <v>100</v>
      </c>
    </row>
    <row r="32" spans="1:5" ht="15.75">
      <c r="A32" s="47" t="s">
        <v>216</v>
      </c>
      <c r="B32" s="48">
        <v>0</v>
      </c>
      <c r="C32" s="48">
        <f>Önkor!C33</f>
        <v>12269</v>
      </c>
      <c r="D32" s="48">
        <f>Önkor!D33</f>
        <v>25073</v>
      </c>
      <c r="E32" s="220">
        <f t="shared" si="1"/>
        <v>204.36058358464422</v>
      </c>
    </row>
    <row r="33" spans="1:5" ht="15.75">
      <c r="A33" s="49" t="s">
        <v>217</v>
      </c>
      <c r="B33" s="46">
        <v>0</v>
      </c>
      <c r="C33" s="46">
        <f>Önkor!C34</f>
        <v>69194</v>
      </c>
      <c r="D33" s="46">
        <f>Önkor!D34</f>
        <v>69193</v>
      </c>
      <c r="E33" s="220">
        <f t="shared" si="1"/>
        <v>99.99855478798739</v>
      </c>
    </row>
    <row r="34" spans="1:5" ht="15.75">
      <c r="A34" s="34" t="s">
        <v>240</v>
      </c>
      <c r="B34" s="27">
        <v>0</v>
      </c>
      <c r="C34" s="27">
        <f>Önkor!C35</f>
        <v>97223</v>
      </c>
      <c r="D34" s="27">
        <f>Önkor!D35</f>
        <v>97223</v>
      </c>
      <c r="E34" s="220">
        <f t="shared" si="1"/>
        <v>100</v>
      </c>
    </row>
    <row r="35" spans="1:5" ht="15.75">
      <c r="A35" s="34" t="s">
        <v>241</v>
      </c>
      <c r="B35" s="27">
        <v>0</v>
      </c>
      <c r="C35" s="27">
        <f>Önkor!C36</f>
        <v>14328</v>
      </c>
      <c r="D35" s="27">
        <f>Önkor!D36</f>
        <v>14328</v>
      </c>
      <c r="E35" s="220">
        <f t="shared" si="1"/>
        <v>100</v>
      </c>
    </row>
    <row r="36" spans="1:5" ht="15.75">
      <c r="A36" s="34" t="s">
        <v>242</v>
      </c>
      <c r="B36" s="27">
        <v>0</v>
      </c>
      <c r="C36" s="27">
        <f>Önkor!C37</f>
        <v>33966</v>
      </c>
      <c r="D36" s="27">
        <f>Önkor!D37</f>
        <v>33966</v>
      </c>
      <c r="E36" s="220">
        <f t="shared" si="1"/>
        <v>100</v>
      </c>
    </row>
    <row r="37" spans="1:5" ht="15.75">
      <c r="A37" s="34" t="s">
        <v>243</v>
      </c>
      <c r="B37" s="27">
        <v>0</v>
      </c>
      <c r="C37" s="27">
        <f>Önkor!C38</f>
        <v>339226</v>
      </c>
      <c r="D37" s="27">
        <f>Önkor!D38</f>
        <v>339226</v>
      </c>
      <c r="E37" s="220">
        <f t="shared" si="1"/>
        <v>100</v>
      </c>
    </row>
    <row r="38" spans="1:5" ht="16.5" thickBot="1">
      <c r="A38" s="257" t="s">
        <v>244</v>
      </c>
      <c r="B38" s="75">
        <v>0</v>
      </c>
      <c r="C38" s="27">
        <f>Önkor!C39</f>
        <v>211703</v>
      </c>
      <c r="D38" s="27">
        <f>Önkor!D39</f>
        <v>211703</v>
      </c>
      <c r="E38" s="220">
        <f t="shared" si="1"/>
        <v>100</v>
      </c>
    </row>
    <row r="39" spans="1:5" ht="16.5" thickBot="1">
      <c r="A39" s="51" t="s">
        <v>164</v>
      </c>
      <c r="B39" s="52">
        <f>SUM(B27:B30)</f>
        <v>58422</v>
      </c>
      <c r="C39" s="52">
        <f>SUM(C27:C38)</f>
        <v>875372</v>
      </c>
      <c r="D39" s="52">
        <f>SUM(D27:D38)</f>
        <v>875371</v>
      </c>
      <c r="E39" s="212">
        <f t="shared" si="1"/>
        <v>99.99988576285283</v>
      </c>
    </row>
    <row r="40" spans="1:5" ht="16.5" thickBot="1">
      <c r="A40" s="53" t="s">
        <v>165</v>
      </c>
      <c r="B40" s="54">
        <f>Önkor!B41</f>
        <v>1600</v>
      </c>
      <c r="C40" s="54">
        <f>Önkor!C41</f>
        <v>1600</v>
      </c>
      <c r="D40" s="54">
        <f>Önkor!D41</f>
        <v>1899</v>
      </c>
      <c r="E40" s="212">
        <f t="shared" si="1"/>
        <v>118.68749999999999</v>
      </c>
    </row>
    <row r="41" spans="1:5" ht="16.5" thickBot="1">
      <c r="A41" s="53" t="s">
        <v>166</v>
      </c>
      <c r="B41" s="54">
        <f>Önkor!B42+Hivatal!D10+Hivatal!D11+MűvHáz!D20+MűvHáz!D22</f>
        <v>127972</v>
      </c>
      <c r="C41" s="54">
        <f>Önkor!C42+Hivatal!E10+Hivatal!E11+'Közös Hivatal'!E10+'Közös Hivatal'!E11+MűvHáz!E20+MűvHáz!E22</f>
        <v>173920</v>
      </c>
      <c r="D41" s="54">
        <f>Önkor!D42+Hivatal!F10+Hivatal!F11+'Közös Hivatal'!F10+'Közös Hivatal'!F11+MűvHáz!F20+MűvHáz!F22+MűvHáz!F23</f>
        <v>181168</v>
      </c>
      <c r="E41" s="212">
        <f t="shared" si="1"/>
        <v>104.16743330266789</v>
      </c>
    </row>
    <row r="42" spans="1:5" ht="16.5" thickBot="1">
      <c r="A42" s="53" t="s">
        <v>209</v>
      </c>
      <c r="B42" s="54">
        <f>Önkor!B43</f>
        <v>0</v>
      </c>
      <c r="C42" s="54">
        <f>Önkor!C43</f>
        <v>12000</v>
      </c>
      <c r="D42" s="54">
        <f>Önkor!D43</f>
        <v>13644</v>
      </c>
      <c r="E42" s="212">
        <f t="shared" si="1"/>
        <v>113.7</v>
      </c>
    </row>
    <row r="43" spans="1:5" ht="16.5" thickBot="1">
      <c r="A43" s="55" t="s">
        <v>21</v>
      </c>
      <c r="B43" s="54">
        <f>SUM(B41+B40+B39+B25+B19+B11)</f>
        <v>317747</v>
      </c>
      <c r="C43" s="54">
        <f>SUM(C42+C41+C40+C39+C25+C19+C11)</f>
        <v>1192784</v>
      </c>
      <c r="D43" s="54">
        <f>SUM(D42+D41+D40+D39+D25+D19+D11)</f>
        <v>1231901</v>
      </c>
      <c r="E43" s="212">
        <f t="shared" si="1"/>
        <v>103.27947054957143</v>
      </c>
    </row>
    <row r="44" spans="1:5" ht="15.75">
      <c r="A44" s="56" t="s">
        <v>22</v>
      </c>
      <c r="B44" s="57"/>
      <c r="C44" s="57"/>
      <c r="D44" s="57"/>
      <c r="E44" s="202"/>
    </row>
    <row r="45" spans="1:5" ht="15.75">
      <c r="A45" s="47" t="s">
        <v>167</v>
      </c>
      <c r="B45" s="48">
        <f>'[1]Önkor'!B40</f>
        <v>0</v>
      </c>
      <c r="C45" s="48">
        <f>'[1]Önkor'!C40</f>
        <v>0</v>
      </c>
      <c r="D45" s="48">
        <v>0</v>
      </c>
      <c r="E45" s="220">
        <v>0</v>
      </c>
    </row>
    <row r="46" spans="1:5" ht="15.75">
      <c r="A46" s="45" t="s">
        <v>168</v>
      </c>
      <c r="B46" s="48">
        <f>Önkor!B47</f>
        <v>10000</v>
      </c>
      <c r="C46" s="48">
        <f>Önkor!C47</f>
        <v>10000</v>
      </c>
      <c r="D46" s="48">
        <f>Önkor!D47+MűvHáz!F17</f>
        <v>9626</v>
      </c>
      <c r="E46" s="220">
        <f>D46/C46*100</f>
        <v>96.26</v>
      </c>
    </row>
    <row r="47" spans="1:5" ht="16.5" thickBot="1">
      <c r="A47" s="58"/>
      <c r="B47" s="59"/>
      <c r="C47" s="59"/>
      <c r="D47" s="59"/>
      <c r="E47" s="203"/>
    </row>
    <row r="48" spans="1:5" ht="16.5" thickBot="1">
      <c r="A48" s="60" t="s">
        <v>22</v>
      </c>
      <c r="B48" s="61">
        <f>SUM(B45:B46)</f>
        <v>10000</v>
      </c>
      <c r="C48" s="61">
        <f>SUM(C45:C46)</f>
        <v>10000</v>
      </c>
      <c r="D48" s="61">
        <f>SUM(D45:D46)</f>
        <v>9626</v>
      </c>
      <c r="E48" s="212">
        <f>D48/C48*100</f>
        <v>96.26</v>
      </c>
    </row>
    <row r="49" spans="1:5" ht="15.75">
      <c r="A49" s="56" t="s">
        <v>23</v>
      </c>
      <c r="B49" s="57"/>
      <c r="C49" s="57"/>
      <c r="D49" s="57"/>
      <c r="E49" s="202"/>
    </row>
    <row r="50" spans="1:5" ht="15.75">
      <c r="A50" s="45" t="s">
        <v>77</v>
      </c>
      <c r="B50" s="46">
        <f>'[1]Önkor'!B45</f>
        <v>0</v>
      </c>
      <c r="C50" s="46">
        <f>'[1]Önkor'!C45</f>
        <v>0</v>
      </c>
      <c r="D50" s="46">
        <f>Önkor!D51</f>
        <v>57</v>
      </c>
      <c r="E50" s="220">
        <v>0</v>
      </c>
    </row>
    <row r="51" spans="1:5" ht="15.75">
      <c r="A51" s="47" t="s">
        <v>170</v>
      </c>
      <c r="B51" s="48">
        <f>Önkor!B51+MűvHáz!D21</f>
        <v>6393</v>
      </c>
      <c r="C51" s="48">
        <f>Önkor!C51+MűvHáz!E21</f>
        <v>1740</v>
      </c>
      <c r="D51" s="48">
        <f>Önkor!D52+MűvHáz!F21</f>
        <v>2585</v>
      </c>
      <c r="E51" s="220">
        <f>D51/C51*100</f>
        <v>148.5632183908046</v>
      </c>
    </row>
    <row r="52" spans="1:5" ht="16.5" thickBot="1">
      <c r="A52" s="62" t="s">
        <v>78</v>
      </c>
      <c r="B52" s="63">
        <f>'[1]Önkor'!B47</f>
        <v>0</v>
      </c>
      <c r="C52" s="63">
        <f>'[1]Önkor'!C47</f>
        <v>0</v>
      </c>
      <c r="D52" s="63">
        <v>0</v>
      </c>
      <c r="E52" s="220">
        <v>0</v>
      </c>
    </row>
    <row r="53" spans="1:5" ht="16.5" thickBot="1">
      <c r="A53" s="64" t="s">
        <v>25</v>
      </c>
      <c r="B53" s="61">
        <f>SUM(B50:B52)</f>
        <v>6393</v>
      </c>
      <c r="C53" s="61">
        <f>SUM(C50:C52)</f>
        <v>1740</v>
      </c>
      <c r="D53" s="61">
        <f>SUM(D50:D52)</f>
        <v>2642</v>
      </c>
      <c r="E53" s="212">
        <f>D53/C53*100</f>
        <v>151.83908045977012</v>
      </c>
    </row>
    <row r="54" spans="1:5" ht="15.75">
      <c r="A54" s="56" t="s">
        <v>26</v>
      </c>
      <c r="B54" s="65"/>
      <c r="C54" s="65"/>
      <c r="D54" s="65"/>
      <c r="E54" s="204"/>
    </row>
    <row r="55" spans="1:5" ht="15.75">
      <c r="A55" s="47" t="s">
        <v>27</v>
      </c>
      <c r="B55" s="48">
        <f>Önkor!B56</f>
        <v>32934</v>
      </c>
      <c r="C55" s="48">
        <f>Önkor!C56</f>
        <v>42928</v>
      </c>
      <c r="D55" s="48">
        <f>Önkor!D56</f>
        <v>10145</v>
      </c>
      <c r="E55" s="220">
        <f aca="true" t="shared" si="2" ref="E55:E61">D55/C55*100</f>
        <v>23.6325941110697</v>
      </c>
    </row>
    <row r="56" spans="1:5" ht="15.75">
      <c r="A56" s="47" t="s">
        <v>171</v>
      </c>
      <c r="B56" s="48">
        <f>Önkor!B57</f>
        <v>6825</v>
      </c>
      <c r="C56" s="48">
        <f>Önkor!C57</f>
        <v>0</v>
      </c>
      <c r="D56" s="48">
        <f>Önkor!D57</f>
        <v>4</v>
      </c>
      <c r="E56" s="220">
        <v>0</v>
      </c>
    </row>
    <row r="57" spans="1:5" ht="15.75">
      <c r="A57" s="47" t="s">
        <v>172</v>
      </c>
      <c r="B57" s="48">
        <f>Önkor!B58</f>
        <v>5100</v>
      </c>
      <c r="C57" s="48">
        <f>Önkor!C58</f>
        <v>7000</v>
      </c>
      <c r="D57" s="48">
        <f>Önkor!D58</f>
        <v>10600</v>
      </c>
      <c r="E57" s="220">
        <f t="shared" si="2"/>
        <v>151.42857142857142</v>
      </c>
    </row>
    <row r="58" spans="1:5" ht="16.5" thickBot="1">
      <c r="A58" s="49" t="s">
        <v>283</v>
      </c>
      <c r="B58" s="59">
        <v>0</v>
      </c>
      <c r="C58" s="59">
        <f>Önkor!C59</f>
        <v>57</v>
      </c>
      <c r="D58" s="59">
        <f>Önkor!D59</f>
        <v>0</v>
      </c>
      <c r="E58" s="220">
        <v>0</v>
      </c>
    </row>
    <row r="59" spans="1:5" ht="16.5" thickBot="1">
      <c r="A59" s="194" t="s">
        <v>26</v>
      </c>
      <c r="B59" s="52">
        <f>SUM(B55:B57)</f>
        <v>44859</v>
      </c>
      <c r="C59" s="52">
        <f>SUM(C55:C58)</f>
        <v>49985</v>
      </c>
      <c r="D59" s="52">
        <f>SUM(D55:D58)</f>
        <v>20749</v>
      </c>
      <c r="E59" s="212">
        <f t="shared" si="2"/>
        <v>41.510453135940786</v>
      </c>
    </row>
    <row r="60" spans="1:5" ht="16.5" thickBot="1">
      <c r="A60" s="66" t="s">
        <v>28</v>
      </c>
      <c r="B60" s="52">
        <f>SUM(B59+B53+B48)</f>
        <v>61252</v>
      </c>
      <c r="C60" s="52">
        <f>SUM(C59+C53+C48)</f>
        <v>61725</v>
      </c>
      <c r="D60" s="52">
        <f>SUM(D59+D53+D48)</f>
        <v>33017</v>
      </c>
      <c r="E60" s="212">
        <f t="shared" si="2"/>
        <v>53.49048197650871</v>
      </c>
    </row>
    <row r="61" spans="1:5" ht="16.5" thickBot="1">
      <c r="A61" s="67" t="s">
        <v>29</v>
      </c>
      <c r="B61" s="52">
        <f>SUM(B60+B43)</f>
        <v>378999</v>
      </c>
      <c r="C61" s="52">
        <f>SUM(C60+C43)</f>
        <v>1254509</v>
      </c>
      <c r="D61" s="52">
        <f>SUM(D60+D43)</f>
        <v>1264918</v>
      </c>
      <c r="E61" s="212">
        <f t="shared" si="2"/>
        <v>100.8297270087341</v>
      </c>
    </row>
    <row r="62" spans="1:5" ht="15.75">
      <c r="A62" s="56" t="s">
        <v>30</v>
      </c>
      <c r="B62" s="57"/>
      <c r="C62" s="57"/>
      <c r="D62" s="57"/>
      <c r="E62" s="202"/>
    </row>
    <row r="63" spans="1:5" ht="15.75">
      <c r="A63" s="45" t="s">
        <v>213</v>
      </c>
      <c r="B63" s="46">
        <f>Önkor!B64+Hivatal!D12+MűvHáz!D24</f>
        <v>55495</v>
      </c>
      <c r="C63" s="46">
        <f>Önkor!C64+Hivatal!E12+MűvHáz!E24</f>
        <v>54665</v>
      </c>
      <c r="D63" s="46">
        <v>0</v>
      </c>
      <c r="E63" s="220">
        <f aca="true" t="shared" si="3" ref="E63:E69">D63/C63*100</f>
        <v>0</v>
      </c>
    </row>
    <row r="64" spans="1:5" ht="15.75">
      <c r="A64" s="47" t="s">
        <v>31</v>
      </c>
      <c r="B64" s="48">
        <v>3650</v>
      </c>
      <c r="C64" s="48">
        <v>3650</v>
      </c>
      <c r="D64" s="48">
        <v>0</v>
      </c>
      <c r="E64" s="220">
        <f t="shared" si="3"/>
        <v>0</v>
      </c>
    </row>
    <row r="65" spans="1:5" ht="15.75">
      <c r="A65" s="47" t="s">
        <v>173</v>
      </c>
      <c r="B65" s="48">
        <v>0</v>
      </c>
      <c r="C65" s="48">
        <f>'[1]Önkor'!C59</f>
        <v>0</v>
      </c>
      <c r="D65" s="48">
        <v>0</v>
      </c>
      <c r="E65" s="220">
        <v>0</v>
      </c>
    </row>
    <row r="66" spans="1:5" ht="15.75">
      <c r="A66" s="47" t="s">
        <v>32</v>
      </c>
      <c r="B66" s="48">
        <f>'[1]Önkor'!B60</f>
        <v>0</v>
      </c>
      <c r="C66" s="48">
        <f>'[1]Önkor'!C60</f>
        <v>0</v>
      </c>
      <c r="D66" s="48">
        <v>0</v>
      </c>
      <c r="E66" s="220">
        <v>0</v>
      </c>
    </row>
    <row r="67" spans="1:5" ht="15.75">
      <c r="A67" s="47" t="s">
        <v>174</v>
      </c>
      <c r="B67" s="48">
        <f>'[1]Önkor'!B61</f>
        <v>0</v>
      </c>
      <c r="C67" s="48">
        <f>'[1]Önkor'!C61</f>
        <v>0</v>
      </c>
      <c r="D67" s="48">
        <f>MűvHáz!F25+Önkor!D68+'Közös Hivatal'!F12</f>
        <v>-2675</v>
      </c>
      <c r="E67" s="220">
        <v>0</v>
      </c>
    </row>
    <row r="68" spans="1:5" ht="16.5" thickBot="1">
      <c r="A68" s="68" t="s">
        <v>30</v>
      </c>
      <c r="B68" s="61">
        <f>SUM(B63:B67)</f>
        <v>59145</v>
      </c>
      <c r="C68" s="61">
        <f>SUM(C63:C67)</f>
        <v>58315</v>
      </c>
      <c r="D68" s="61">
        <f>SUM(D63:D67)</f>
        <v>-2675</v>
      </c>
      <c r="E68" s="221">
        <f t="shared" si="3"/>
        <v>-4.587155963302752</v>
      </c>
    </row>
    <row r="69" spans="1:5" ht="16.5" thickBot="1">
      <c r="A69" s="69" t="s">
        <v>33</v>
      </c>
      <c r="B69" s="70">
        <f>SUM(B68+B60+B43)</f>
        <v>438144</v>
      </c>
      <c r="C69" s="70">
        <f>SUM(C68+C60+C43)</f>
        <v>1312824</v>
      </c>
      <c r="D69" s="70">
        <f>SUM(D68+D60+D43)</f>
        <v>1262243</v>
      </c>
      <c r="E69" s="215">
        <f t="shared" si="3"/>
        <v>96.1471606247296</v>
      </c>
    </row>
    <row r="70" spans="1:5" ht="16.5" thickBot="1">
      <c r="A70" s="71"/>
      <c r="B70" s="72"/>
      <c r="C70" s="72"/>
      <c r="D70" s="72"/>
      <c r="E70" s="205"/>
    </row>
    <row r="71" spans="1:5" ht="15.75">
      <c r="A71" s="73" t="s">
        <v>34</v>
      </c>
      <c r="B71" s="25"/>
      <c r="C71" s="25"/>
      <c r="D71" s="25"/>
      <c r="E71" s="199"/>
    </row>
    <row r="72" spans="1:5" ht="15.75">
      <c r="A72" s="26" t="s">
        <v>35</v>
      </c>
      <c r="B72" s="27">
        <f>Önkor!B73+Hivatal!D15+MűvHáz!D28</f>
        <v>78845</v>
      </c>
      <c r="C72" s="27">
        <f>Önkor!C73+Hivatal!E15+'Közös Hivatal'!E15+MűvHáz!E28</f>
        <v>108506</v>
      </c>
      <c r="D72" s="27">
        <f>Önkor!D73+Hivatal!F15+'Közös Hivatal'!F15+MűvHáz!F28</f>
        <v>110126</v>
      </c>
      <c r="E72" s="220">
        <f aca="true" t="shared" si="4" ref="E72:E84">D72/C72*100</f>
        <v>101.49300499511548</v>
      </c>
    </row>
    <row r="73" spans="1:5" ht="15.75">
      <c r="A73" s="26" t="s">
        <v>175</v>
      </c>
      <c r="B73" s="27">
        <f>Önkor!B74+Hivatal!D16+MűvHáz!D29</f>
        <v>20277</v>
      </c>
      <c r="C73" s="27">
        <f>Önkor!C74+Hivatal!E16+'Közös Hivatal'!E16+MűvHáz!E29</f>
        <v>25757</v>
      </c>
      <c r="D73" s="27">
        <f>Önkor!D74+Hivatal!F16+'Közös Hivatal'!F16+MűvHáz!F29</f>
        <v>24366</v>
      </c>
      <c r="E73" s="220">
        <f t="shared" si="4"/>
        <v>94.59952634235353</v>
      </c>
    </row>
    <row r="74" spans="1:5" ht="15.75">
      <c r="A74" s="26" t="s">
        <v>176</v>
      </c>
      <c r="B74" s="27">
        <f>Önkor!B75+Hivatal!D17+MűvHáz!D30</f>
        <v>104943</v>
      </c>
      <c r="C74" s="27">
        <f>Önkor!C75+Hivatal!E17+'Közös Hivatal'!E17+MűvHáz!E30</f>
        <v>136445</v>
      </c>
      <c r="D74" s="27">
        <f>Önkor!D75+Hivatal!F17+'Közös Hivatal'!F17+MűvHáz!F30</f>
        <v>98325</v>
      </c>
      <c r="E74" s="220">
        <f t="shared" si="4"/>
        <v>72.06200300487376</v>
      </c>
    </row>
    <row r="75" spans="1:5" ht="15.75">
      <c r="A75" s="26" t="s">
        <v>177</v>
      </c>
      <c r="B75" s="27">
        <f>Önkor!B76</f>
        <v>19732</v>
      </c>
      <c r="C75" s="27">
        <f>Önkor!C76</f>
        <v>17030</v>
      </c>
      <c r="D75" s="27">
        <f>Önkor!D76</f>
        <v>17320</v>
      </c>
      <c r="E75" s="220">
        <f t="shared" si="4"/>
        <v>101.70287727539635</v>
      </c>
    </row>
    <row r="76" spans="1:5" ht="15.75">
      <c r="A76" s="26" t="s">
        <v>178</v>
      </c>
      <c r="B76" s="27">
        <v>119195</v>
      </c>
      <c r="C76" s="27">
        <f>Önkor!C77</f>
        <v>802676</v>
      </c>
      <c r="D76" s="27">
        <f>Önkor!D77+Hivatal!F18</f>
        <v>807245</v>
      </c>
      <c r="E76" s="255">
        <f t="shared" si="4"/>
        <v>100.56922095590251</v>
      </c>
    </row>
    <row r="77" spans="1:5" ht="16.5" thickBot="1">
      <c r="A77" s="3" t="s">
        <v>79</v>
      </c>
      <c r="B77" s="25">
        <f>Önkor!B78</f>
        <v>33900</v>
      </c>
      <c r="C77" s="25">
        <f>Önkor!C78</f>
        <v>51250</v>
      </c>
      <c r="D77" s="25">
        <f>Önkor!D78</f>
        <v>49867</v>
      </c>
      <c r="E77" s="256">
        <f t="shared" si="4"/>
        <v>97.30146341463414</v>
      </c>
    </row>
    <row r="78" spans="1:5" ht="16.5" thickBot="1">
      <c r="A78" s="66" t="s">
        <v>36</v>
      </c>
      <c r="B78" s="52">
        <f>SUM(B72:B77)</f>
        <v>376892</v>
      </c>
      <c r="C78" s="52">
        <f>SUM(C72:C77)</f>
        <v>1141664</v>
      </c>
      <c r="D78" s="52">
        <f>SUM(D72:D77)</f>
        <v>1107249</v>
      </c>
      <c r="E78" s="222">
        <f t="shared" si="4"/>
        <v>96.98554040418198</v>
      </c>
    </row>
    <row r="79" spans="1:5" ht="15.75">
      <c r="A79" s="74" t="s">
        <v>37</v>
      </c>
      <c r="B79" s="75">
        <f>Önkor!B80</f>
        <v>1000</v>
      </c>
      <c r="C79" s="75">
        <f>Önkor!C80</f>
        <v>3700</v>
      </c>
      <c r="D79" s="75">
        <f>Önkor!D80</f>
        <v>4024</v>
      </c>
      <c r="E79" s="237">
        <f t="shared" si="4"/>
        <v>108.75675675675676</v>
      </c>
    </row>
    <row r="80" spans="1:5" ht="15.75">
      <c r="A80" s="74" t="s">
        <v>38</v>
      </c>
      <c r="B80" s="75">
        <f>Önkor!B81+MűvHáz!D36</f>
        <v>18163</v>
      </c>
      <c r="C80" s="75">
        <f>Önkor!C81+MűvHáz!E33</f>
        <v>20363</v>
      </c>
      <c r="D80" s="75">
        <f>Önkor!D81+MűvHáz!F35</f>
        <v>21972</v>
      </c>
      <c r="E80" s="220">
        <f t="shared" si="4"/>
        <v>107.90158621028337</v>
      </c>
    </row>
    <row r="81" spans="1:5" ht="15.75">
      <c r="A81" s="74" t="s">
        <v>39</v>
      </c>
      <c r="B81" s="75">
        <f>'[1]Önkor'!B75</f>
        <v>0</v>
      </c>
      <c r="C81" s="75">
        <f>'[1]Önkor'!C75</f>
        <v>0</v>
      </c>
      <c r="D81" s="75">
        <v>0</v>
      </c>
      <c r="E81" s="220">
        <v>0</v>
      </c>
    </row>
    <row r="82" spans="1:5" ht="15.75">
      <c r="A82" s="26" t="s">
        <v>40</v>
      </c>
      <c r="B82" s="27">
        <f>Önkor!B83</f>
        <v>8298</v>
      </c>
      <c r="C82" s="27">
        <f>Önkor!C83</f>
        <v>11798</v>
      </c>
      <c r="D82" s="27">
        <f>Önkor!D83</f>
        <v>11905</v>
      </c>
      <c r="E82" s="220">
        <f t="shared" si="4"/>
        <v>100.90693337853874</v>
      </c>
    </row>
    <row r="83" spans="1:5" ht="15.75">
      <c r="A83" s="26" t="s">
        <v>41</v>
      </c>
      <c r="B83" s="27">
        <f>Önkor!B84</f>
        <v>2000</v>
      </c>
      <c r="C83" s="27">
        <f>Önkor!C84</f>
        <v>2000</v>
      </c>
      <c r="D83" s="27">
        <f>Önkor!D84</f>
        <v>0</v>
      </c>
      <c r="E83" s="220">
        <f t="shared" si="4"/>
        <v>0</v>
      </c>
    </row>
    <row r="84" spans="1:5" ht="15.75">
      <c r="A84" s="26" t="s">
        <v>42</v>
      </c>
      <c r="B84" s="27">
        <f>Önkor!B85</f>
        <v>31791</v>
      </c>
      <c r="C84" s="27">
        <f>Önkor!C85</f>
        <v>35334</v>
      </c>
      <c r="D84" s="27">
        <f>Önkor!D85</f>
        <v>0</v>
      </c>
      <c r="E84" s="220">
        <f t="shared" si="4"/>
        <v>0</v>
      </c>
    </row>
    <row r="85" spans="1:5" ht="16.5" thickBot="1">
      <c r="A85" s="3"/>
      <c r="B85" s="25"/>
      <c r="C85" s="25"/>
      <c r="D85" s="25"/>
      <c r="E85" s="217"/>
    </row>
    <row r="86" spans="1:5" ht="16.5" thickBot="1">
      <c r="A86" s="66" t="s">
        <v>43</v>
      </c>
      <c r="B86" s="52">
        <f>SUM(B79:B85)</f>
        <v>61252</v>
      </c>
      <c r="C86" s="52">
        <f>SUM(C79:C85)</f>
        <v>73195</v>
      </c>
      <c r="D86" s="52">
        <f>SUM(D79:D85)</f>
        <v>37901</v>
      </c>
      <c r="E86" s="222">
        <f>D86/C86*100</f>
        <v>51.78085934831614</v>
      </c>
    </row>
    <row r="87" spans="1:5" ht="16.5" thickBot="1">
      <c r="A87" s="28" t="s">
        <v>44</v>
      </c>
      <c r="B87" s="54">
        <f>B78+B86</f>
        <v>438144</v>
      </c>
      <c r="C87" s="54">
        <f>C78+C86</f>
        <v>1214859</v>
      </c>
      <c r="D87" s="54">
        <f>D78+D86</f>
        <v>1145150</v>
      </c>
      <c r="E87" s="230">
        <f>D87/C87*100</f>
        <v>94.26196784976693</v>
      </c>
    </row>
    <row r="88" spans="1:5" ht="15.75">
      <c r="A88" s="56" t="s">
        <v>45</v>
      </c>
      <c r="B88" s="57"/>
      <c r="C88" s="57"/>
      <c r="D88" s="57"/>
      <c r="E88" s="202"/>
    </row>
    <row r="89" spans="1:5" ht="15.75">
      <c r="A89" s="26" t="s">
        <v>46</v>
      </c>
      <c r="B89" s="27">
        <f>'[1]Önkor'!B83</f>
        <v>0</v>
      </c>
      <c r="C89" s="27">
        <f>'[1]Önkor'!C83</f>
        <v>0</v>
      </c>
      <c r="D89" s="27">
        <v>0</v>
      </c>
      <c r="E89" s="220">
        <v>0</v>
      </c>
    </row>
    <row r="90" spans="1:5" ht="15.75">
      <c r="A90" s="26" t="s">
        <v>47</v>
      </c>
      <c r="B90" s="27">
        <f>'[1]Önkor'!B84</f>
        <v>0</v>
      </c>
      <c r="C90" s="27">
        <f>'[1]Önkor'!C84</f>
        <v>0</v>
      </c>
      <c r="D90" s="27">
        <v>0</v>
      </c>
      <c r="E90" s="220">
        <v>0</v>
      </c>
    </row>
    <row r="91" spans="1:5" ht="15.75">
      <c r="A91" s="26" t="s">
        <v>48</v>
      </c>
      <c r="B91" s="76">
        <f>'[1]Önkor'!B85</f>
        <v>0</v>
      </c>
      <c r="C91" s="76">
        <f>'[1]Önkor'!C85</f>
        <v>0</v>
      </c>
      <c r="D91" s="76">
        <f>Önkor!D92+MűvHáz!F37+Hivatal!F19+'Közös Hivatal'!F18</f>
        <v>795</v>
      </c>
      <c r="E91" s="220">
        <v>0</v>
      </c>
    </row>
    <row r="92" spans="1:5" ht="16.5" thickBot="1">
      <c r="A92" s="6" t="s">
        <v>272</v>
      </c>
      <c r="B92" s="76"/>
      <c r="C92" s="76">
        <f>Önkor!C93</f>
        <v>97965</v>
      </c>
      <c r="D92" s="76">
        <f>Önkor!D93</f>
        <v>96956</v>
      </c>
      <c r="E92" s="217"/>
    </row>
    <row r="93" spans="1:5" ht="16.5" thickBot="1">
      <c r="A93" s="68" t="s">
        <v>45</v>
      </c>
      <c r="B93" s="54">
        <f>SUM(B88:B92)</f>
        <v>0</v>
      </c>
      <c r="C93" s="54">
        <f>SUM(C88:C92)</f>
        <v>97965</v>
      </c>
      <c r="D93" s="54">
        <f>SUM(D88:D92)</f>
        <v>97751</v>
      </c>
      <c r="E93" s="219">
        <v>0</v>
      </c>
    </row>
    <row r="94" spans="1:5" ht="16.5" thickBot="1">
      <c r="A94" s="69" t="s">
        <v>50</v>
      </c>
      <c r="B94" s="77">
        <f>SUM(B78+B86+B93)</f>
        <v>438144</v>
      </c>
      <c r="C94" s="77">
        <f>SUM(C78+C86+C93)</f>
        <v>1312824</v>
      </c>
      <c r="D94" s="77">
        <f>SUM(D78+D86+D93)</f>
        <v>1242901</v>
      </c>
      <c r="E94" s="215">
        <f>D94/C94*100</f>
        <v>94.6738481319659</v>
      </c>
    </row>
    <row r="95" spans="1:5" ht="15.75">
      <c r="A95" s="82"/>
      <c r="B95" s="82"/>
      <c r="C95" s="82"/>
      <c r="D95" s="82"/>
      <c r="E95" s="82"/>
    </row>
    <row r="96" spans="1:5" ht="15.75">
      <c r="A96" s="83" t="s">
        <v>69</v>
      </c>
      <c r="B96" s="84">
        <f>B61-B87</f>
        <v>-59145</v>
      </c>
      <c r="C96" s="84">
        <f>C61-C87</f>
        <v>39650</v>
      </c>
      <c r="D96" s="84">
        <f>D61-D87</f>
        <v>119768</v>
      </c>
      <c r="E96" s="84"/>
    </row>
    <row r="97" spans="1:5" ht="15.75">
      <c r="A97" s="85"/>
      <c r="B97" s="84"/>
      <c r="C97" s="84"/>
      <c r="D97" s="84"/>
      <c r="E97" s="84"/>
    </row>
    <row r="98" spans="1:5" ht="15.75">
      <c r="A98" s="86" t="s">
        <v>70</v>
      </c>
      <c r="B98" s="90">
        <f>B68-B93</f>
        <v>59145</v>
      </c>
      <c r="C98" s="90">
        <f>C68-C93</f>
        <v>-39650</v>
      </c>
      <c r="D98" s="90">
        <f>D68-D93</f>
        <v>-100426</v>
      </c>
      <c r="E98" s="90"/>
    </row>
    <row r="99" spans="1:5" ht="15.75" thickBot="1">
      <c r="A99" s="87"/>
      <c r="B99" s="87"/>
      <c r="C99" s="87"/>
      <c r="D99" s="87"/>
      <c r="E99" s="87"/>
    </row>
    <row r="100" spans="1:5" ht="18" thickBot="1">
      <c r="A100" s="88" t="s">
        <v>71</v>
      </c>
      <c r="B100" s="91">
        <f>B96+B98</f>
        <v>0</v>
      </c>
      <c r="C100" s="91">
        <f>C96+C98</f>
        <v>0</v>
      </c>
      <c r="D100" s="283">
        <f>D96+D98</f>
        <v>19342</v>
      </c>
      <c r="E100" s="218"/>
    </row>
  </sheetData>
  <sheetProtection/>
  <mergeCells count="6">
    <mergeCell ref="E3:E4"/>
    <mergeCell ref="D3:D4"/>
    <mergeCell ref="A1:B1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9.140625" style="0" bestFit="1" customWidth="1"/>
    <col min="2" max="3" width="17.8515625" style="0" customWidth="1"/>
    <col min="4" max="4" width="17.8515625" style="82" customWidth="1"/>
    <col min="5" max="5" width="14.8515625" style="92" customWidth="1"/>
  </cols>
  <sheetData>
    <row r="2" spans="1:4" ht="15.75">
      <c r="A2" s="162" t="s">
        <v>203</v>
      </c>
      <c r="D2" s="315" t="s">
        <v>156</v>
      </c>
    </row>
    <row r="3" ht="16.5" thickBot="1"/>
    <row r="4" spans="1:5" ht="12.75">
      <c r="A4" s="316" t="s">
        <v>0</v>
      </c>
      <c r="B4" s="316" t="s">
        <v>99</v>
      </c>
      <c r="C4" s="316" t="s">
        <v>201</v>
      </c>
      <c r="D4" s="316" t="s">
        <v>269</v>
      </c>
      <c r="E4" s="316" t="s">
        <v>227</v>
      </c>
    </row>
    <row r="5" spans="1:5" ht="18.75" customHeight="1" thickBot="1">
      <c r="A5" s="317"/>
      <c r="B5" s="317"/>
      <c r="C5" s="317"/>
      <c r="D5" s="317"/>
      <c r="E5" s="317"/>
    </row>
    <row r="6" spans="1:5" ht="15.75">
      <c r="A6" s="22" t="s">
        <v>8</v>
      </c>
      <c r="B6" s="23"/>
      <c r="C6" s="23"/>
      <c r="D6" s="23"/>
      <c r="E6" s="198"/>
    </row>
    <row r="7" spans="1:5" ht="15.75">
      <c r="A7" s="24" t="s">
        <v>9</v>
      </c>
      <c r="B7" s="25"/>
      <c r="C7" s="25"/>
      <c r="D7" s="25"/>
      <c r="E7" s="199"/>
    </row>
    <row r="8" spans="1:5" ht="15.75">
      <c r="A8" s="26" t="s">
        <v>158</v>
      </c>
      <c r="B8" s="27">
        <v>0</v>
      </c>
      <c r="C8" s="27">
        <v>0</v>
      </c>
      <c r="D8" s="27">
        <v>0</v>
      </c>
      <c r="E8" s="197">
        <v>0</v>
      </c>
    </row>
    <row r="9" spans="1:5" ht="15.75">
      <c r="A9" s="26" t="s">
        <v>159</v>
      </c>
      <c r="B9" s="27">
        <v>2320</v>
      </c>
      <c r="C9" s="27">
        <v>2320</v>
      </c>
      <c r="D9" s="27">
        <v>9065</v>
      </c>
      <c r="E9" s="220">
        <f>D9/C9*100</f>
        <v>390.73275862068965</v>
      </c>
    </row>
    <row r="10" spans="1:5" ht="15.75">
      <c r="A10" s="26" t="s">
        <v>160</v>
      </c>
      <c r="B10" s="27">
        <v>1500</v>
      </c>
      <c r="C10" s="27">
        <v>1500</v>
      </c>
      <c r="D10" s="27">
        <v>2255</v>
      </c>
      <c r="E10" s="220">
        <f>D10/C10*100</f>
        <v>150.33333333333334</v>
      </c>
    </row>
    <row r="11" spans="1:5" ht="16.5" thickBot="1">
      <c r="A11" s="26" t="s">
        <v>161</v>
      </c>
      <c r="B11" s="27">
        <v>1661</v>
      </c>
      <c r="C11" s="27">
        <v>1661</v>
      </c>
      <c r="D11" s="41">
        <v>1900</v>
      </c>
      <c r="E11" s="220">
        <f>D11/C11*100</f>
        <v>114.3889223359422</v>
      </c>
    </row>
    <row r="12" spans="1:5" ht="16.5" thickBot="1">
      <c r="A12" s="28" t="s">
        <v>9</v>
      </c>
      <c r="B12" s="29">
        <f>SUM(B8:B11)</f>
        <v>5481</v>
      </c>
      <c r="C12" s="29">
        <f>SUM(C8:C11)</f>
        <v>5481</v>
      </c>
      <c r="D12" s="29">
        <f>SUM(D8:D11)</f>
        <v>13220</v>
      </c>
      <c r="E12" s="212">
        <f>D12/C12*100</f>
        <v>241.19686188651707</v>
      </c>
    </row>
    <row r="13" spans="1:5" ht="15.75">
      <c r="A13" s="30" t="s">
        <v>10</v>
      </c>
      <c r="B13" s="31"/>
      <c r="C13" s="31"/>
      <c r="D13" s="31"/>
      <c r="E13" s="200"/>
    </row>
    <row r="14" spans="1:5" ht="15.75">
      <c r="A14" s="32" t="s">
        <v>11</v>
      </c>
      <c r="B14" s="33">
        <v>15000</v>
      </c>
      <c r="C14" s="33">
        <v>15000</v>
      </c>
      <c r="D14" s="27">
        <v>15694</v>
      </c>
      <c r="E14" s="220">
        <f>D14/C14*100</f>
        <v>104.62666666666667</v>
      </c>
    </row>
    <row r="15" spans="1:5" ht="15.75">
      <c r="A15" s="32" t="s">
        <v>12</v>
      </c>
      <c r="B15" s="33">
        <v>23000</v>
      </c>
      <c r="C15" s="33">
        <v>23000</v>
      </c>
      <c r="D15" s="27">
        <v>20624</v>
      </c>
      <c r="E15" s="220">
        <f>D15/C15*100</f>
        <v>89.6695652173913</v>
      </c>
    </row>
    <row r="16" spans="1:5" ht="15.75">
      <c r="A16" s="32" t="s">
        <v>72</v>
      </c>
      <c r="B16" s="33">
        <v>10000</v>
      </c>
      <c r="C16" s="33">
        <v>10000</v>
      </c>
      <c r="D16" s="27">
        <v>12439</v>
      </c>
      <c r="E16" s="220">
        <f>D16/C16*100</f>
        <v>124.39</v>
      </c>
    </row>
    <row r="17" spans="1:5" ht="15.75">
      <c r="A17" s="34" t="s">
        <v>162</v>
      </c>
      <c r="B17" s="27">
        <v>64000</v>
      </c>
      <c r="C17" s="27">
        <v>64000</v>
      </c>
      <c r="D17" s="27">
        <v>85206</v>
      </c>
      <c r="E17" s="220">
        <f>D17/C17*100</f>
        <v>133.134375</v>
      </c>
    </row>
    <row r="18" spans="1:5" ht="15.75">
      <c r="A18" s="35" t="s">
        <v>14</v>
      </c>
      <c r="B18" s="25">
        <v>1000</v>
      </c>
      <c r="C18" s="25">
        <v>1000</v>
      </c>
      <c r="D18" s="27">
        <v>1259</v>
      </c>
      <c r="E18" s="220">
        <f>D18/C18*100</f>
        <v>125.89999999999999</v>
      </c>
    </row>
    <row r="19" spans="1:5" ht="16.5" thickBot="1">
      <c r="A19" s="34" t="s">
        <v>220</v>
      </c>
      <c r="B19" s="27">
        <v>0</v>
      </c>
      <c r="C19" s="27">
        <v>0</v>
      </c>
      <c r="D19" s="75">
        <v>4</v>
      </c>
      <c r="E19" s="220">
        <v>0</v>
      </c>
    </row>
    <row r="20" spans="1:5" ht="16.5" thickBot="1">
      <c r="A20" s="36" t="s">
        <v>10</v>
      </c>
      <c r="B20" s="37">
        <f>SUM(B14:B19)</f>
        <v>113000</v>
      </c>
      <c r="C20" s="37">
        <f>SUM(C14:C19)</f>
        <v>113000</v>
      </c>
      <c r="D20" s="37">
        <f>SUM(D14:D19)</f>
        <v>135226</v>
      </c>
      <c r="E20" s="212">
        <f>D20/C20*100</f>
        <v>119.66902654867258</v>
      </c>
    </row>
    <row r="21" spans="1:5" ht="15.75">
      <c r="A21" s="38" t="s">
        <v>15</v>
      </c>
      <c r="B21" s="39"/>
      <c r="C21" s="39"/>
      <c r="D21" s="39"/>
      <c r="E21" s="201"/>
    </row>
    <row r="22" spans="1:5" ht="15.75">
      <c r="A22" s="34" t="s">
        <v>163</v>
      </c>
      <c r="B22" s="27">
        <v>0</v>
      </c>
      <c r="C22" s="27">
        <v>0</v>
      </c>
      <c r="D22" s="27">
        <v>0</v>
      </c>
      <c r="E22" s="197">
        <v>0</v>
      </c>
    </row>
    <row r="23" spans="1:5" ht="15.75">
      <c r="A23" s="34" t="s">
        <v>16</v>
      </c>
      <c r="B23" s="27">
        <v>0</v>
      </c>
      <c r="C23" s="27">
        <v>0</v>
      </c>
      <c r="D23" s="27">
        <v>0</v>
      </c>
      <c r="E23" s="197">
        <v>0</v>
      </c>
    </row>
    <row r="24" spans="1:5" ht="15.75">
      <c r="A24" s="34" t="s">
        <v>17</v>
      </c>
      <c r="B24" s="27">
        <v>10000</v>
      </c>
      <c r="C24" s="27">
        <v>10000</v>
      </c>
      <c r="D24" s="27">
        <v>9615</v>
      </c>
      <c r="E24" s="220">
        <f>D24/C24*100</f>
        <v>96.15</v>
      </c>
    </row>
    <row r="25" spans="1:5" ht="16.5" thickBot="1">
      <c r="A25" s="40" t="s">
        <v>18</v>
      </c>
      <c r="B25" s="41">
        <v>14</v>
      </c>
      <c r="C25" s="41">
        <v>14</v>
      </c>
      <c r="D25" s="41">
        <v>32</v>
      </c>
      <c r="E25" s="220">
        <f>D25/C25*100</f>
        <v>228.57142857142856</v>
      </c>
    </row>
    <row r="26" spans="1:5" ht="16.5" thickBot="1">
      <c r="A26" s="42" t="s">
        <v>15</v>
      </c>
      <c r="B26" s="43">
        <f>SUM(B21:B25)</f>
        <v>10014</v>
      </c>
      <c r="C26" s="43">
        <f>SUM(C21:C25)</f>
        <v>10014</v>
      </c>
      <c r="D26" s="43">
        <f>SUM(D21:D25)</f>
        <v>9647</v>
      </c>
      <c r="E26" s="212">
        <f>D26/C26*100</f>
        <v>96.33513081685639</v>
      </c>
    </row>
    <row r="27" spans="1:5" ht="15.75">
      <c r="A27" s="44" t="s">
        <v>19</v>
      </c>
      <c r="B27" s="23"/>
      <c r="C27" s="23"/>
      <c r="D27" s="23"/>
      <c r="E27" s="198"/>
    </row>
    <row r="28" spans="1:5" ht="15.75">
      <c r="A28" s="45" t="s">
        <v>245</v>
      </c>
      <c r="B28" s="46">
        <v>52692</v>
      </c>
      <c r="C28" s="46">
        <f>52692-1877</f>
        <v>50815</v>
      </c>
      <c r="D28" s="27">
        <v>50815</v>
      </c>
      <c r="E28" s="220">
        <f>D28/C28*100</f>
        <v>100</v>
      </c>
    </row>
    <row r="29" spans="1:5" ht="15.75">
      <c r="A29" s="47" t="s">
        <v>207</v>
      </c>
      <c r="B29" s="48">
        <v>0</v>
      </c>
      <c r="C29" s="48">
        <v>4196</v>
      </c>
      <c r="D29" s="27">
        <v>4196</v>
      </c>
      <c r="E29" s="220">
        <f aca="true" t="shared" si="0" ref="E29:E39">D29/C29*100</f>
        <v>100</v>
      </c>
    </row>
    <row r="30" spans="1:5" ht="15.75">
      <c r="A30" s="47" t="s">
        <v>20</v>
      </c>
      <c r="B30" s="48">
        <v>5730</v>
      </c>
      <c r="C30" s="48">
        <v>5731</v>
      </c>
      <c r="D30" s="27">
        <v>5731</v>
      </c>
      <c r="E30" s="220">
        <f t="shared" si="0"/>
        <v>100</v>
      </c>
    </row>
    <row r="31" spans="1:5" ht="15.75">
      <c r="A31" s="49" t="s">
        <v>282</v>
      </c>
      <c r="B31" s="50">
        <v>0</v>
      </c>
      <c r="C31" s="50">
        <v>25073</v>
      </c>
      <c r="D31" s="27">
        <v>12269</v>
      </c>
      <c r="E31" s="220">
        <f t="shared" si="0"/>
        <v>48.933115303314324</v>
      </c>
    </row>
    <row r="32" spans="1:5" ht="15.75">
      <c r="A32" s="47" t="s">
        <v>215</v>
      </c>
      <c r="B32" s="48">
        <v>0</v>
      </c>
      <c r="C32" s="48">
        <v>11648</v>
      </c>
      <c r="D32" s="27">
        <v>11648</v>
      </c>
      <c r="E32" s="220">
        <f t="shared" si="0"/>
        <v>100</v>
      </c>
    </row>
    <row r="33" spans="1:5" ht="15.75">
      <c r="A33" s="47" t="s">
        <v>216</v>
      </c>
      <c r="B33" s="48">
        <v>0</v>
      </c>
      <c r="C33" s="48">
        <v>12269</v>
      </c>
      <c r="D33" s="27">
        <v>25073</v>
      </c>
      <c r="E33" s="220">
        <f t="shared" si="0"/>
        <v>204.36058358464422</v>
      </c>
    </row>
    <row r="34" spans="1:5" ht="15.75">
      <c r="A34" s="47" t="s">
        <v>217</v>
      </c>
      <c r="B34" s="48">
        <v>0</v>
      </c>
      <c r="C34" s="48">
        <v>69194</v>
      </c>
      <c r="D34" s="27">
        <v>69193</v>
      </c>
      <c r="E34" s="220">
        <f t="shared" si="0"/>
        <v>99.99855478798739</v>
      </c>
    </row>
    <row r="35" spans="1:5" ht="15.75">
      <c r="A35" s="34" t="s">
        <v>240</v>
      </c>
      <c r="B35" s="27">
        <v>0</v>
      </c>
      <c r="C35" s="27">
        <v>97223</v>
      </c>
      <c r="D35" s="27">
        <v>97223</v>
      </c>
      <c r="E35" s="197">
        <f t="shared" si="0"/>
        <v>100</v>
      </c>
    </row>
    <row r="36" spans="1:5" ht="15.75">
      <c r="A36" s="34" t="s">
        <v>241</v>
      </c>
      <c r="B36" s="27">
        <v>0</v>
      </c>
      <c r="C36" s="27">
        <v>14328</v>
      </c>
      <c r="D36" s="27">
        <v>14328</v>
      </c>
      <c r="E36" s="197">
        <f t="shared" si="0"/>
        <v>100</v>
      </c>
    </row>
    <row r="37" spans="1:5" ht="15.75">
      <c r="A37" s="34" t="s">
        <v>242</v>
      </c>
      <c r="B37" s="27">
        <v>0</v>
      </c>
      <c r="C37" s="27">
        <v>33966</v>
      </c>
      <c r="D37" s="27">
        <v>33966</v>
      </c>
      <c r="E37" s="220">
        <f t="shared" si="0"/>
        <v>100</v>
      </c>
    </row>
    <row r="38" spans="1:5" ht="15.75">
      <c r="A38" s="34" t="s">
        <v>243</v>
      </c>
      <c r="B38" s="27">
        <v>0</v>
      </c>
      <c r="C38" s="27">
        <v>339226</v>
      </c>
      <c r="D38" s="27">
        <v>339226</v>
      </c>
      <c r="E38" s="220">
        <f t="shared" si="0"/>
        <v>100</v>
      </c>
    </row>
    <row r="39" spans="1:5" ht="16.5" thickBot="1">
      <c r="A39" s="257" t="s">
        <v>244</v>
      </c>
      <c r="B39" s="75">
        <v>0</v>
      </c>
      <c r="C39" s="75">
        <v>211703</v>
      </c>
      <c r="D39" s="75">
        <v>211703</v>
      </c>
      <c r="E39" s="197">
        <f t="shared" si="0"/>
        <v>100</v>
      </c>
    </row>
    <row r="40" spans="1:5" ht="16.5" thickBot="1">
      <c r="A40" s="51" t="s">
        <v>164</v>
      </c>
      <c r="B40" s="52">
        <f>SUM(B28:B39)</f>
        <v>58422</v>
      </c>
      <c r="C40" s="52">
        <f>SUM(C28:C39)</f>
        <v>875372</v>
      </c>
      <c r="D40" s="52">
        <f>SUM(D28:D39)</f>
        <v>875371</v>
      </c>
      <c r="E40" s="212">
        <f>D40/C40*100</f>
        <v>99.99988576285283</v>
      </c>
    </row>
    <row r="41" spans="1:5" ht="16.5" thickBot="1">
      <c r="A41" s="53" t="s">
        <v>165</v>
      </c>
      <c r="B41" s="54">
        <v>1600</v>
      </c>
      <c r="C41" s="54">
        <v>1600</v>
      </c>
      <c r="D41" s="37">
        <v>1899</v>
      </c>
      <c r="E41" s="212">
        <f>D41/C41*100</f>
        <v>118.68749999999999</v>
      </c>
    </row>
    <row r="42" spans="1:5" ht="16.5" thickBot="1">
      <c r="A42" s="53" t="s">
        <v>166</v>
      </c>
      <c r="B42" s="54">
        <f>5800+5348+1106+8690</f>
        <v>20944</v>
      </c>
      <c r="C42" s="54">
        <f>5800+5348+1106+8690</f>
        <v>20944</v>
      </c>
      <c r="D42" s="37">
        <v>26052</v>
      </c>
      <c r="E42" s="212">
        <f>D42/C42*100</f>
        <v>124.38884644766999</v>
      </c>
    </row>
    <row r="43" spans="1:5" ht="16.5" thickBot="1">
      <c r="A43" s="53" t="s">
        <v>209</v>
      </c>
      <c r="B43" s="54">
        <v>0</v>
      </c>
      <c r="C43" s="54">
        <v>12000</v>
      </c>
      <c r="D43" s="37">
        <v>13644</v>
      </c>
      <c r="E43" s="212">
        <f>D43/C43*100</f>
        <v>113.7</v>
      </c>
    </row>
    <row r="44" spans="1:5" ht="16.5" thickBot="1">
      <c r="A44" s="55" t="s">
        <v>21</v>
      </c>
      <c r="B44" s="54">
        <f>SUM(B42+B41+B40+B26+B20+B12)</f>
        <v>209461</v>
      </c>
      <c r="C44" s="54">
        <f>SUM(C43+C42+C41+C40+C26+C20+C12)</f>
        <v>1038411</v>
      </c>
      <c r="D44" s="54">
        <f>SUM(D43+D42+D41+D40+D26+D20+D12)</f>
        <v>1075059</v>
      </c>
      <c r="E44" s="212">
        <f>D44/C44*100</f>
        <v>103.52923842293657</v>
      </c>
    </row>
    <row r="45" spans="1:5" ht="15.75">
      <c r="A45" s="56" t="s">
        <v>22</v>
      </c>
      <c r="B45" s="57"/>
      <c r="C45" s="57"/>
      <c r="D45" s="57"/>
      <c r="E45" s="202"/>
    </row>
    <row r="46" spans="1:5" ht="15.75">
      <c r="A46" s="47" t="s">
        <v>167</v>
      </c>
      <c r="B46" s="48">
        <v>0</v>
      </c>
      <c r="C46" s="48">
        <v>0</v>
      </c>
      <c r="D46" s="48">
        <v>0</v>
      </c>
      <c r="E46" s="197">
        <v>0</v>
      </c>
    </row>
    <row r="47" spans="1:5" ht="15.75">
      <c r="A47" s="45" t="s">
        <v>168</v>
      </c>
      <c r="B47" s="48">
        <v>10000</v>
      </c>
      <c r="C47" s="48">
        <v>10000</v>
      </c>
      <c r="D47" s="48">
        <v>9393</v>
      </c>
      <c r="E47" s="220">
        <f>D47/C47*100</f>
        <v>93.93</v>
      </c>
    </row>
    <row r="48" spans="1:5" ht="16.5" thickBot="1">
      <c r="A48" s="62" t="s">
        <v>24</v>
      </c>
      <c r="B48" s="59"/>
      <c r="C48" s="59"/>
      <c r="D48" s="59"/>
      <c r="E48" s="203"/>
    </row>
    <row r="49" spans="1:5" ht="16.5" thickBot="1">
      <c r="A49" s="60" t="s">
        <v>22</v>
      </c>
      <c r="B49" s="61">
        <f>SUM(B46:B47)</f>
        <v>10000</v>
      </c>
      <c r="C49" s="61">
        <f>SUM(C46:C47)</f>
        <v>10000</v>
      </c>
      <c r="D49" s="61">
        <f>SUM(D46:D47)</f>
        <v>9393</v>
      </c>
      <c r="E49" s="212">
        <f>D49/C49*100</f>
        <v>93.93</v>
      </c>
    </row>
    <row r="50" spans="1:5" ht="15.75">
      <c r="A50" s="56" t="s">
        <v>23</v>
      </c>
      <c r="B50" s="57"/>
      <c r="C50" s="57"/>
      <c r="D50" s="57"/>
      <c r="E50" s="202"/>
    </row>
    <row r="51" spans="1:5" ht="15.75">
      <c r="A51" s="45" t="s">
        <v>270</v>
      </c>
      <c r="B51" s="46">
        <v>0</v>
      </c>
      <c r="C51" s="46">
        <v>0</v>
      </c>
      <c r="D51" s="46">
        <v>57</v>
      </c>
      <c r="E51" s="197">
        <v>0</v>
      </c>
    </row>
    <row r="52" spans="1:5" ht="15.75">
      <c r="A52" s="47" t="s">
        <v>271</v>
      </c>
      <c r="B52" s="48">
        <v>0</v>
      </c>
      <c r="C52" s="48">
        <v>0</v>
      </c>
      <c r="D52" s="48">
        <v>2585</v>
      </c>
      <c r="E52" s="197">
        <v>0</v>
      </c>
    </row>
    <row r="53" spans="1:5" ht="16.5" thickBot="1">
      <c r="A53" s="62" t="s">
        <v>24</v>
      </c>
      <c r="B53" s="63">
        <v>0</v>
      </c>
      <c r="C53" s="63">
        <v>0</v>
      </c>
      <c r="D53" s="63">
        <v>0</v>
      </c>
      <c r="E53" s="197">
        <v>0</v>
      </c>
    </row>
    <row r="54" spans="1:5" ht="16.5" thickBot="1">
      <c r="A54" s="64" t="s">
        <v>25</v>
      </c>
      <c r="B54" s="61">
        <f>SUM(B51:B53)</f>
        <v>0</v>
      </c>
      <c r="C54" s="61">
        <f>SUM(C51:C53)</f>
        <v>0</v>
      </c>
      <c r="D54" s="61">
        <f>SUM(D51:D53)</f>
        <v>2642</v>
      </c>
      <c r="E54" s="212">
        <v>0</v>
      </c>
    </row>
    <row r="55" spans="1:5" ht="15.75">
      <c r="A55" s="56" t="s">
        <v>26</v>
      </c>
      <c r="B55" s="65"/>
      <c r="C55" s="65"/>
      <c r="D55" s="65"/>
      <c r="E55" s="204"/>
    </row>
    <row r="56" spans="1:5" ht="15.75">
      <c r="A56" s="47" t="s">
        <v>27</v>
      </c>
      <c r="B56" s="48">
        <v>32934</v>
      </c>
      <c r="C56" s="48">
        <v>42928</v>
      </c>
      <c r="D56" s="48">
        <v>10145</v>
      </c>
      <c r="E56" s="197">
        <v>0</v>
      </c>
    </row>
    <row r="57" spans="1:8" ht="15.75">
      <c r="A57" s="47" t="s">
        <v>171</v>
      </c>
      <c r="B57" s="48">
        <v>6825</v>
      </c>
      <c r="C57" s="48">
        <v>0</v>
      </c>
      <c r="D57" s="48">
        <v>4</v>
      </c>
      <c r="E57" s="197">
        <v>0</v>
      </c>
      <c r="H57" s="160"/>
    </row>
    <row r="58" spans="1:8" ht="15.75">
      <c r="A58" s="47" t="s">
        <v>172</v>
      </c>
      <c r="B58" s="193">
        <v>5100</v>
      </c>
      <c r="C58" s="48">
        <v>7000</v>
      </c>
      <c r="D58" s="48">
        <v>10600</v>
      </c>
      <c r="E58" s="220">
        <f>D58/C58*100</f>
        <v>151.42857142857142</v>
      </c>
      <c r="H58" s="160"/>
    </row>
    <row r="59" spans="1:5" ht="16.5" thickBot="1">
      <c r="A59" s="49" t="s">
        <v>283</v>
      </c>
      <c r="B59" s="63">
        <v>0</v>
      </c>
      <c r="C59" s="63">
        <v>57</v>
      </c>
      <c r="D59" s="63">
        <v>0</v>
      </c>
      <c r="E59" s="197">
        <v>0</v>
      </c>
    </row>
    <row r="60" spans="1:5" ht="16.5" thickBot="1">
      <c r="A60" s="28" t="s">
        <v>26</v>
      </c>
      <c r="B60" s="61">
        <f>SUM(B56:B59)</f>
        <v>44859</v>
      </c>
      <c r="C60" s="61">
        <f>SUM(C56:C59)</f>
        <v>49985</v>
      </c>
      <c r="D60" s="61">
        <f>SUM(D56:D59)</f>
        <v>20749</v>
      </c>
      <c r="E60" s="212">
        <f>D60/C60*100</f>
        <v>41.510453135940786</v>
      </c>
    </row>
    <row r="61" spans="1:5" ht="16.5" thickBot="1">
      <c r="A61" s="66" t="s">
        <v>28</v>
      </c>
      <c r="B61" s="52">
        <f>SUM(B60+B54+B49)</f>
        <v>54859</v>
      </c>
      <c r="C61" s="52">
        <f>SUM(C60+C54+C49)</f>
        <v>59985</v>
      </c>
      <c r="D61" s="52">
        <f>SUM(D60+D54+D49)</f>
        <v>32784</v>
      </c>
      <c r="E61" s="212">
        <f>D61/C61*100</f>
        <v>54.653663415853956</v>
      </c>
    </row>
    <row r="62" spans="1:5" ht="16.5" thickBot="1">
      <c r="A62" s="67" t="s">
        <v>29</v>
      </c>
      <c r="B62" s="52">
        <f>SUM(B61+B44)</f>
        <v>264320</v>
      </c>
      <c r="C62" s="52">
        <f>SUM(C61+C44)</f>
        <v>1098396</v>
      </c>
      <c r="D62" s="52">
        <f>SUM(D61+D44)</f>
        <v>1107843</v>
      </c>
      <c r="E62" s="212">
        <f>D62/C62*100</f>
        <v>100.86007232364284</v>
      </c>
    </row>
    <row r="63" spans="1:5" ht="15.75">
      <c r="A63" s="56" t="s">
        <v>30</v>
      </c>
      <c r="B63" s="57"/>
      <c r="C63" s="57"/>
      <c r="D63" s="57"/>
      <c r="E63" s="202"/>
    </row>
    <row r="64" spans="1:5" ht="15.75">
      <c r="A64" s="45" t="s">
        <v>210</v>
      </c>
      <c r="B64" s="46">
        <v>45284</v>
      </c>
      <c r="C64" s="46">
        <f>45284-1798</f>
        <v>43486</v>
      </c>
      <c r="D64" s="27">
        <v>5652</v>
      </c>
      <c r="E64" s="220">
        <f>D64/C64*100</f>
        <v>12.997286483006024</v>
      </c>
    </row>
    <row r="65" spans="1:5" ht="15.75">
      <c r="A65" s="47" t="s">
        <v>31</v>
      </c>
      <c r="B65" s="48">
        <v>3650</v>
      </c>
      <c r="C65" s="48">
        <v>3650</v>
      </c>
      <c r="D65" s="27">
        <v>0</v>
      </c>
      <c r="E65" s="197">
        <v>0</v>
      </c>
    </row>
    <row r="66" spans="1:5" ht="15.75">
      <c r="A66" s="47" t="s">
        <v>173</v>
      </c>
      <c r="B66" s="80">
        <v>0</v>
      </c>
      <c r="C66" s="80">
        <v>0</v>
      </c>
      <c r="D66" s="27">
        <v>0</v>
      </c>
      <c r="E66" s="197">
        <v>0</v>
      </c>
    </row>
    <row r="67" spans="1:5" ht="15.75">
      <c r="A67" s="47" t="s">
        <v>32</v>
      </c>
      <c r="B67" s="48">
        <v>0</v>
      </c>
      <c r="C67" s="48">
        <v>0</v>
      </c>
      <c r="D67" s="27">
        <v>0</v>
      </c>
      <c r="E67" s="197">
        <v>0</v>
      </c>
    </row>
    <row r="68" spans="1:5" ht="15.75">
      <c r="A68" s="47" t="s">
        <v>174</v>
      </c>
      <c r="B68" s="48">
        <v>0</v>
      </c>
      <c r="C68" s="48">
        <v>0</v>
      </c>
      <c r="D68" s="27">
        <v>-2675</v>
      </c>
      <c r="E68" s="197">
        <v>0</v>
      </c>
    </row>
    <row r="69" spans="1:5" ht="16.5" thickBot="1">
      <c r="A69" s="68" t="s">
        <v>30</v>
      </c>
      <c r="B69" s="61">
        <f>SUM(B64:B68)</f>
        <v>48934</v>
      </c>
      <c r="C69" s="61">
        <f>SUM(C64:C68)</f>
        <v>47136</v>
      </c>
      <c r="D69" s="61">
        <f>SUM(D64:D68)</f>
        <v>2977</v>
      </c>
      <c r="E69" s="221">
        <f>D69/C69*100</f>
        <v>6.315767141887305</v>
      </c>
    </row>
    <row r="70" spans="1:5" ht="16.5" thickBot="1">
      <c r="A70" s="69" t="s">
        <v>33</v>
      </c>
      <c r="B70" s="70">
        <f>SUM(B69+B61+B44)</f>
        <v>313254</v>
      </c>
      <c r="C70" s="70">
        <f>SUM(C69+C61+C44)</f>
        <v>1145532</v>
      </c>
      <c r="D70" s="70">
        <f>SUM(D69+D61+D44)</f>
        <v>1110820</v>
      </c>
      <c r="E70" s="215">
        <f>D70/C70*100</f>
        <v>96.96979220135273</v>
      </c>
    </row>
    <row r="71" spans="1:5" ht="16.5" thickBot="1">
      <c r="A71" s="71"/>
      <c r="B71" s="72"/>
      <c r="C71" s="72"/>
      <c r="D71" s="72"/>
      <c r="E71" s="205"/>
    </row>
    <row r="72" spans="1:5" ht="15.75">
      <c r="A72" s="73" t="s">
        <v>34</v>
      </c>
      <c r="B72" s="25"/>
      <c r="C72" s="25"/>
      <c r="D72" s="25"/>
      <c r="E72" s="199"/>
    </row>
    <row r="73" spans="1:5" ht="15.75">
      <c r="A73" s="26" t="s">
        <v>35</v>
      </c>
      <c r="B73" s="27">
        <f>5122+8049</f>
        <v>13171</v>
      </c>
      <c r="C73" s="27">
        <v>17771</v>
      </c>
      <c r="D73" s="27">
        <v>18108</v>
      </c>
      <c r="E73" s="220">
        <f aca="true" t="shared" si="1" ref="E73:E79">D73/C73*100</f>
        <v>101.8963479826684</v>
      </c>
    </row>
    <row r="74" spans="1:5" ht="15.75">
      <c r="A74" s="26" t="s">
        <v>175</v>
      </c>
      <c r="B74" s="27">
        <f>1096+2173</f>
        <v>3269</v>
      </c>
      <c r="C74" s="27">
        <v>3269</v>
      </c>
      <c r="D74" s="27">
        <v>3015</v>
      </c>
      <c r="E74" s="220">
        <f t="shared" si="1"/>
        <v>92.230039767513</v>
      </c>
    </row>
    <row r="75" spans="1:8" ht="15.75">
      <c r="A75" s="26" t="s">
        <v>176</v>
      </c>
      <c r="B75" s="27">
        <f>37372+21854+9902</f>
        <v>69128</v>
      </c>
      <c r="C75" s="27">
        <v>88769</v>
      </c>
      <c r="D75" s="27">
        <v>65471</v>
      </c>
      <c r="E75" s="220">
        <f t="shared" si="1"/>
        <v>73.75435118115558</v>
      </c>
      <c r="H75" s="81"/>
    </row>
    <row r="76" spans="1:8" ht="15.75">
      <c r="A76" s="26" t="s">
        <v>177</v>
      </c>
      <c r="B76" s="27">
        <f>17100+2632</f>
        <v>19732</v>
      </c>
      <c r="C76" s="27">
        <v>17030</v>
      </c>
      <c r="D76" s="192">
        <v>17320</v>
      </c>
      <c r="E76" s="220">
        <f t="shared" si="1"/>
        <v>101.70287727539635</v>
      </c>
      <c r="H76" s="81"/>
    </row>
    <row r="77" spans="1:8" ht="15.75">
      <c r="A77" s="26" t="s">
        <v>178</v>
      </c>
      <c r="B77" s="27">
        <v>119195</v>
      </c>
      <c r="C77" s="27">
        <v>802676</v>
      </c>
      <c r="D77" s="192">
        <v>807240</v>
      </c>
      <c r="E77" s="220">
        <f t="shared" si="1"/>
        <v>100.56859803955768</v>
      </c>
      <c r="H77" s="81"/>
    </row>
    <row r="78" spans="1:5" ht="16.5" thickBot="1">
      <c r="A78" s="3" t="s">
        <v>79</v>
      </c>
      <c r="B78" s="25">
        <f>31000+2900</f>
        <v>33900</v>
      </c>
      <c r="C78" s="25">
        <v>51250</v>
      </c>
      <c r="D78" s="25">
        <v>49867</v>
      </c>
      <c r="E78" s="220">
        <f t="shared" si="1"/>
        <v>97.30146341463414</v>
      </c>
    </row>
    <row r="79" spans="1:5" ht="16.5" thickBot="1">
      <c r="A79" s="66" t="s">
        <v>36</v>
      </c>
      <c r="B79" s="52">
        <f>SUM(B73:B78)</f>
        <v>258395</v>
      </c>
      <c r="C79" s="52">
        <f>SUM(C73:C78)</f>
        <v>980765</v>
      </c>
      <c r="D79" s="52">
        <f>SUM(D73:D78)</f>
        <v>961021</v>
      </c>
      <c r="E79" s="222">
        <f t="shared" si="1"/>
        <v>97.98687759045235</v>
      </c>
    </row>
    <row r="80" spans="1:5" ht="15.75">
      <c r="A80" s="74" t="s">
        <v>37</v>
      </c>
      <c r="B80" s="75">
        <f>1000</f>
        <v>1000</v>
      </c>
      <c r="C80" s="75">
        <v>3700</v>
      </c>
      <c r="D80" s="23">
        <v>4024</v>
      </c>
      <c r="E80" s="216">
        <v>0</v>
      </c>
    </row>
    <row r="81" spans="1:5" ht="15.75">
      <c r="A81" s="74" t="s">
        <v>38</v>
      </c>
      <c r="B81" s="75">
        <f>2500+9270</f>
        <v>11770</v>
      </c>
      <c r="C81" s="75">
        <v>13970</v>
      </c>
      <c r="D81" s="27">
        <v>16622</v>
      </c>
      <c r="E81" s="220">
        <f>D81/C81*100</f>
        <v>118.98353614889048</v>
      </c>
    </row>
    <row r="82" spans="1:5" ht="15.75">
      <c r="A82" s="74" t="s">
        <v>39</v>
      </c>
      <c r="B82" s="75">
        <v>0</v>
      </c>
      <c r="C82" s="75">
        <v>0</v>
      </c>
      <c r="D82" s="27">
        <v>0</v>
      </c>
      <c r="E82" s="220">
        <v>0</v>
      </c>
    </row>
    <row r="83" spans="1:5" ht="15.75">
      <c r="A83" s="26" t="s">
        <v>40</v>
      </c>
      <c r="B83" s="27">
        <f>8298</f>
        <v>8298</v>
      </c>
      <c r="C83" s="27">
        <v>11798</v>
      </c>
      <c r="D83" s="27">
        <v>11905</v>
      </c>
      <c r="E83" s="220">
        <f>D83/C83*100</f>
        <v>100.90693337853874</v>
      </c>
    </row>
    <row r="84" spans="1:5" ht="15.75">
      <c r="A84" s="26" t="s">
        <v>41</v>
      </c>
      <c r="B84" s="27">
        <v>2000</v>
      </c>
      <c r="C84" s="27">
        <v>2000</v>
      </c>
      <c r="D84" s="27">
        <v>0</v>
      </c>
      <c r="E84" s="220">
        <f>D84/C84*100</f>
        <v>0</v>
      </c>
    </row>
    <row r="85" spans="1:5" ht="15.75">
      <c r="A85" s="26" t="s">
        <v>42</v>
      </c>
      <c r="B85" s="27">
        <v>31791</v>
      </c>
      <c r="C85" s="27">
        <f>31791+3543</f>
        <v>35334</v>
      </c>
      <c r="D85" s="27">
        <v>0</v>
      </c>
      <c r="E85" s="220">
        <f>D85/C85*100</f>
        <v>0</v>
      </c>
    </row>
    <row r="86" spans="1:5" ht="16.5" thickBot="1">
      <c r="A86" s="3"/>
      <c r="B86" s="25"/>
      <c r="C86" s="25"/>
      <c r="D86" s="25"/>
      <c r="E86" s="217"/>
    </row>
    <row r="87" spans="1:5" ht="16.5" thickBot="1">
      <c r="A87" s="66" t="s">
        <v>43</v>
      </c>
      <c r="B87" s="52">
        <f>SUM(B80:B86)</f>
        <v>54859</v>
      </c>
      <c r="C87" s="52">
        <f>SUM(C80:C86)</f>
        <v>66802</v>
      </c>
      <c r="D87" s="52">
        <f>SUM(D80:D86)</f>
        <v>32551</v>
      </c>
      <c r="E87" s="222">
        <f>D87/C87*100</f>
        <v>48.72758300649681</v>
      </c>
    </row>
    <row r="88" spans="1:5" ht="16.5" thickBot="1">
      <c r="A88" s="28" t="s">
        <v>44</v>
      </c>
      <c r="B88" s="54">
        <f>B79+B87</f>
        <v>313254</v>
      </c>
      <c r="C88" s="54">
        <f>C79+C87</f>
        <v>1047567</v>
      </c>
      <c r="D88" s="54">
        <f>D79+D87</f>
        <v>993572</v>
      </c>
      <c r="E88" s="222">
        <f>D88/C88*100</f>
        <v>94.84567574198118</v>
      </c>
    </row>
    <row r="89" spans="1:5" ht="15.75">
      <c r="A89" s="56" t="s">
        <v>45</v>
      </c>
      <c r="B89" s="57"/>
      <c r="C89" s="57"/>
      <c r="D89" s="57"/>
      <c r="E89" s="202"/>
    </row>
    <row r="90" spans="1:5" ht="15.75">
      <c r="A90" s="26" t="s">
        <v>46</v>
      </c>
      <c r="B90" s="27">
        <v>0</v>
      </c>
      <c r="C90" s="27">
        <v>0</v>
      </c>
      <c r="D90" s="27">
        <v>0</v>
      </c>
      <c r="E90" s="197">
        <v>0</v>
      </c>
    </row>
    <row r="91" spans="1:5" ht="15.75">
      <c r="A91" s="26" t="s">
        <v>47</v>
      </c>
      <c r="B91" s="27">
        <v>0</v>
      </c>
      <c r="C91" s="27">
        <v>0</v>
      </c>
      <c r="D91" s="27">
        <v>0</v>
      </c>
      <c r="E91" s="197">
        <v>0</v>
      </c>
    </row>
    <row r="92" spans="1:5" ht="15.75">
      <c r="A92" s="26" t="s">
        <v>48</v>
      </c>
      <c r="B92" s="76">
        <v>0</v>
      </c>
      <c r="C92" s="76">
        <v>0</v>
      </c>
      <c r="D92" s="76">
        <v>-877</v>
      </c>
      <c r="E92" s="220">
        <v>0</v>
      </c>
    </row>
    <row r="93" spans="1:5" ht="16.5" thickBot="1">
      <c r="A93" s="6" t="s">
        <v>272</v>
      </c>
      <c r="B93" s="76">
        <v>0</v>
      </c>
      <c r="C93" s="76">
        <v>97965</v>
      </c>
      <c r="D93" s="76">
        <v>96956</v>
      </c>
      <c r="E93" s="217">
        <v>0</v>
      </c>
    </row>
    <row r="94" spans="1:5" ht="16.5" thickBot="1">
      <c r="A94" s="68" t="s">
        <v>45</v>
      </c>
      <c r="B94" s="54">
        <f>SUM(B89:B93)</f>
        <v>0</v>
      </c>
      <c r="C94" s="54">
        <f>SUM(C89:C93)</f>
        <v>97965</v>
      </c>
      <c r="D94" s="54">
        <f>SUM(D89:D93)</f>
        <v>96079</v>
      </c>
      <c r="E94" s="222">
        <v>0</v>
      </c>
    </row>
    <row r="95" spans="1:5" ht="16.5" thickBot="1">
      <c r="A95" s="69" t="s">
        <v>50</v>
      </c>
      <c r="B95" s="77">
        <f>SUM(B79+B87+B94)</f>
        <v>313254</v>
      </c>
      <c r="C95" s="77">
        <f>SUM(C79+C87+C94)</f>
        <v>1145532</v>
      </c>
      <c r="D95" s="77">
        <f>SUM(D79+D87+D94)</f>
        <v>1089651</v>
      </c>
      <c r="E95" s="215">
        <f>D95/C95*100</f>
        <v>95.12182985721918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47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F2" sqref="F2"/>
    </sheetView>
  </sheetViews>
  <sheetFormatPr defaultColWidth="9.140625" defaultRowHeight="12.75"/>
  <cols>
    <col min="3" max="3" width="35.421875" style="0" bestFit="1" customWidth="1"/>
    <col min="4" max="4" width="13.8515625" style="0" customWidth="1"/>
    <col min="5" max="5" width="14.140625" style="0" customWidth="1"/>
    <col min="6" max="6" width="15.140625" style="211" customWidth="1"/>
    <col min="7" max="7" width="12.421875" style="0" customWidth="1"/>
  </cols>
  <sheetData>
    <row r="1" ht="12.75">
      <c r="F1" s="258"/>
    </row>
    <row r="2" spans="1:6" ht="15.75">
      <c r="A2" s="162" t="s">
        <v>204</v>
      </c>
      <c r="B2" s="82"/>
      <c r="C2" s="82"/>
      <c r="D2" s="82"/>
      <c r="F2" s="315" t="s">
        <v>323</v>
      </c>
    </row>
    <row r="3" ht="13.5" thickBot="1">
      <c r="F3" s="258"/>
    </row>
    <row r="4" spans="1:7" ht="12.75">
      <c r="A4" s="327" t="s">
        <v>0</v>
      </c>
      <c r="B4" s="328"/>
      <c r="C4" s="329"/>
      <c r="D4" s="320" t="s">
        <v>99</v>
      </c>
      <c r="E4" s="320" t="s">
        <v>201</v>
      </c>
      <c r="F4" s="320" t="s">
        <v>264</v>
      </c>
      <c r="G4" s="320" t="s">
        <v>227</v>
      </c>
    </row>
    <row r="5" spans="1:7" ht="13.5" thickBot="1">
      <c r="A5" s="330"/>
      <c r="B5" s="331"/>
      <c r="C5" s="332"/>
      <c r="D5" s="321"/>
      <c r="E5" s="321"/>
      <c r="F5" s="321"/>
      <c r="G5" s="321"/>
    </row>
    <row r="6" spans="1:7" ht="15.75">
      <c r="A6" s="89"/>
      <c r="B6" s="322" t="s">
        <v>237</v>
      </c>
      <c r="C6" s="323"/>
      <c r="D6" s="11">
        <v>70</v>
      </c>
      <c r="E6" s="11">
        <v>20</v>
      </c>
      <c r="F6" s="11">
        <v>20</v>
      </c>
      <c r="G6" s="223">
        <f>F6/E6*100</f>
        <v>100</v>
      </c>
    </row>
    <row r="7" spans="1:7" ht="15.75">
      <c r="A7" s="89"/>
      <c r="B7" s="333" t="s">
        <v>74</v>
      </c>
      <c r="C7" s="334"/>
      <c r="D7" s="11">
        <v>0</v>
      </c>
      <c r="E7" s="11">
        <v>29</v>
      </c>
      <c r="F7" s="11">
        <v>29</v>
      </c>
      <c r="G7" s="223">
        <f aca="true" t="shared" si="0" ref="G7:G12">F7/E7*100</f>
        <v>100</v>
      </c>
    </row>
    <row r="8" spans="1:7" ht="15.75">
      <c r="A8" s="14"/>
      <c r="B8" s="1" t="s">
        <v>1</v>
      </c>
      <c r="C8" s="1"/>
      <c r="D8" s="11">
        <f>D9+D10+D11</f>
        <v>57580</v>
      </c>
      <c r="E8" s="11">
        <f>E9+E10+E11</f>
        <v>8027</v>
      </c>
      <c r="F8" s="11">
        <f>F9+F10+F11</f>
        <v>8027</v>
      </c>
      <c r="G8" s="223">
        <f t="shared" si="0"/>
        <v>100</v>
      </c>
    </row>
    <row r="9" spans="1:7" ht="15.75">
      <c r="A9" s="14"/>
      <c r="B9" s="15"/>
      <c r="C9" s="2" t="s">
        <v>2</v>
      </c>
      <c r="D9" s="12">
        <v>0</v>
      </c>
      <c r="E9" s="12">
        <v>0</v>
      </c>
      <c r="F9" s="12">
        <v>0</v>
      </c>
      <c r="G9" s="223">
        <v>0</v>
      </c>
    </row>
    <row r="10" spans="1:7" ht="15.75">
      <c r="A10" s="14"/>
      <c r="B10" s="15"/>
      <c r="C10" s="2" t="s">
        <v>180</v>
      </c>
      <c r="D10" s="12">
        <f>41312+1650+48+445+1453</f>
        <v>44908</v>
      </c>
      <c r="E10" s="12">
        <v>0</v>
      </c>
      <c r="F10" s="12">
        <v>0</v>
      </c>
      <c r="G10" s="223">
        <v>0</v>
      </c>
    </row>
    <row r="11" spans="1:7" ht="15.75">
      <c r="A11" s="14"/>
      <c r="B11" s="171"/>
      <c r="C11" s="172" t="s">
        <v>181</v>
      </c>
      <c r="D11" s="12">
        <v>12672</v>
      </c>
      <c r="E11" s="12">
        <v>8027</v>
      </c>
      <c r="F11" s="12">
        <v>8027</v>
      </c>
      <c r="G11" s="223">
        <f t="shared" si="0"/>
        <v>100</v>
      </c>
    </row>
    <row r="12" spans="1:7" ht="16.5" thickBot="1">
      <c r="A12" s="16"/>
      <c r="B12" s="5" t="s">
        <v>211</v>
      </c>
      <c r="C12" s="5"/>
      <c r="D12" s="12">
        <v>4405</v>
      </c>
      <c r="E12" s="12">
        <v>4477</v>
      </c>
      <c r="F12" s="12">
        <v>4477</v>
      </c>
      <c r="G12" s="223">
        <f t="shared" si="0"/>
        <v>100</v>
      </c>
    </row>
    <row r="13" spans="1:7" ht="16.5" thickBot="1">
      <c r="A13" s="7" t="s">
        <v>3</v>
      </c>
      <c r="B13" s="8"/>
      <c r="C13" s="9"/>
      <c r="D13" s="170">
        <f>D8+D7+D6+D12</f>
        <v>62055</v>
      </c>
      <c r="E13" s="170">
        <f>E8+E7+E6+E12</f>
        <v>12553</v>
      </c>
      <c r="F13" s="170">
        <f>F8+F7+F6+F12</f>
        <v>12553</v>
      </c>
      <c r="G13" s="224">
        <f>F13/E13*100</f>
        <v>100</v>
      </c>
    </row>
    <row r="14" spans="1:7" ht="15.75">
      <c r="A14" s="17"/>
      <c r="B14" s="18" t="s">
        <v>4</v>
      </c>
      <c r="C14" s="19"/>
      <c r="D14" s="11">
        <f>D15+D16+D17</f>
        <v>62055</v>
      </c>
      <c r="E14" s="11">
        <f>E15+E16+E17</f>
        <v>12553</v>
      </c>
      <c r="F14" s="11">
        <f>F15+F16+F17+F18</f>
        <v>9913</v>
      </c>
      <c r="G14" s="223">
        <f>F14/E14*100</f>
        <v>78.96917071616346</v>
      </c>
    </row>
    <row r="15" spans="1:7" ht="15.75">
      <c r="A15" s="14"/>
      <c r="B15" s="20"/>
      <c r="C15" s="4" t="s">
        <v>5</v>
      </c>
      <c r="D15" s="12">
        <v>44750</v>
      </c>
      <c r="E15" s="12">
        <f>9735+624</f>
        <v>10359</v>
      </c>
      <c r="F15" s="12">
        <v>7715</v>
      </c>
      <c r="G15" s="223">
        <f>F15/E15*100</f>
        <v>74.47630080123564</v>
      </c>
    </row>
    <row r="16" spans="1:7" ht="15.75">
      <c r="A16" s="14"/>
      <c r="B16" s="21"/>
      <c r="C16" s="4" t="s">
        <v>6</v>
      </c>
      <c r="D16" s="12">
        <v>11496</v>
      </c>
      <c r="E16" s="12">
        <v>1951</v>
      </c>
      <c r="F16" s="12">
        <v>1951</v>
      </c>
      <c r="G16" s="223">
        <f>F16/E16*100</f>
        <v>100</v>
      </c>
    </row>
    <row r="17" spans="1:7" ht="15.75">
      <c r="A17" s="14"/>
      <c r="B17" s="21"/>
      <c r="C17" s="4" t="s">
        <v>75</v>
      </c>
      <c r="D17" s="12">
        <f>5809</f>
        <v>5809</v>
      </c>
      <c r="E17" s="12">
        <v>243</v>
      </c>
      <c r="F17" s="12">
        <v>242</v>
      </c>
      <c r="G17" s="223">
        <f>F17/E17*100</f>
        <v>99.58847736625515</v>
      </c>
    </row>
    <row r="18" spans="1:7" ht="15.75">
      <c r="A18" s="14"/>
      <c r="B18" s="2" t="s">
        <v>226</v>
      </c>
      <c r="C18" s="172"/>
      <c r="D18" s="12">
        <v>0</v>
      </c>
      <c r="E18" s="12">
        <v>0</v>
      </c>
      <c r="F18" s="12">
        <v>5</v>
      </c>
      <c r="G18" s="223">
        <v>0</v>
      </c>
    </row>
    <row r="19" spans="1:7" ht="16.5" thickBot="1">
      <c r="A19" s="16"/>
      <c r="B19" s="5" t="s">
        <v>225</v>
      </c>
      <c r="C19" s="5"/>
      <c r="D19" s="12">
        <v>0</v>
      </c>
      <c r="E19" s="12">
        <v>0</v>
      </c>
      <c r="F19" s="12">
        <v>2568</v>
      </c>
      <c r="G19" s="223">
        <v>0</v>
      </c>
    </row>
    <row r="20" spans="1:7" ht="16.5" thickBot="1">
      <c r="A20" s="324" t="s">
        <v>7</v>
      </c>
      <c r="B20" s="325"/>
      <c r="C20" s="326"/>
      <c r="D20" s="13">
        <f>D14</f>
        <v>62055</v>
      </c>
      <c r="E20" s="13">
        <f>E14</f>
        <v>12553</v>
      </c>
      <c r="F20" s="13">
        <f>F14+F19</f>
        <v>12481</v>
      </c>
      <c r="G20" s="225">
        <f>F20/E20*100</f>
        <v>99.42643192862263</v>
      </c>
    </row>
  </sheetData>
  <sheetProtection/>
  <mergeCells count="8">
    <mergeCell ref="G4:G5"/>
    <mergeCell ref="B6:C6"/>
    <mergeCell ref="F4:F5"/>
    <mergeCell ref="E4:E5"/>
    <mergeCell ref="A20:C20"/>
    <mergeCell ref="A4:C5"/>
    <mergeCell ref="D4:D5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F1" sqref="F1"/>
    </sheetView>
  </sheetViews>
  <sheetFormatPr defaultColWidth="9.140625" defaultRowHeight="12.75"/>
  <cols>
    <col min="3" max="3" width="40.00390625" style="0" bestFit="1" customWidth="1"/>
    <col min="4" max="4" width="11.140625" style="0" customWidth="1"/>
    <col min="5" max="5" width="11.7109375" style="0" customWidth="1"/>
    <col min="6" max="6" width="12.7109375" style="82" customWidth="1"/>
    <col min="7" max="7" width="13.8515625" style="0" customWidth="1"/>
  </cols>
  <sheetData>
    <row r="1" ht="12.75">
      <c r="F1" s="315" t="s">
        <v>157</v>
      </c>
    </row>
    <row r="2" ht="15.75">
      <c r="A2" s="162" t="s">
        <v>202</v>
      </c>
    </row>
    <row r="3" ht="16.5" thickBot="1"/>
    <row r="4" spans="1:7" ht="12.75">
      <c r="A4" s="327" t="s">
        <v>0</v>
      </c>
      <c r="B4" s="328"/>
      <c r="C4" s="329"/>
      <c r="D4" s="320" t="s">
        <v>99</v>
      </c>
      <c r="E4" s="320" t="s">
        <v>201</v>
      </c>
      <c r="F4" s="335" t="s">
        <v>265</v>
      </c>
      <c r="G4" s="335" t="s">
        <v>227</v>
      </c>
    </row>
    <row r="5" spans="1:7" ht="18.75" customHeight="1" thickBot="1">
      <c r="A5" s="330"/>
      <c r="B5" s="331"/>
      <c r="C5" s="332"/>
      <c r="D5" s="321"/>
      <c r="E5" s="321"/>
      <c r="F5" s="336"/>
      <c r="G5" s="336"/>
    </row>
    <row r="6" spans="1:7" ht="15.75">
      <c r="A6" s="89"/>
      <c r="B6" s="322" t="s">
        <v>238</v>
      </c>
      <c r="C6" s="323"/>
      <c r="D6" s="11">
        <v>0</v>
      </c>
      <c r="E6" s="11">
        <v>160</v>
      </c>
      <c r="F6" s="11">
        <v>80</v>
      </c>
      <c r="G6" s="223">
        <f>F6/E6*100</f>
        <v>50</v>
      </c>
    </row>
    <row r="7" spans="1:7" ht="15.75">
      <c r="A7" s="89"/>
      <c r="B7" s="333" t="s">
        <v>74</v>
      </c>
      <c r="C7" s="334"/>
      <c r="D7" s="11">
        <v>0</v>
      </c>
      <c r="E7" s="11">
        <v>0</v>
      </c>
      <c r="F7" s="11">
        <v>117</v>
      </c>
      <c r="G7" s="223">
        <v>0</v>
      </c>
    </row>
    <row r="8" spans="1:7" ht="15.75">
      <c r="A8" s="14"/>
      <c r="B8" s="1" t="s">
        <v>1</v>
      </c>
      <c r="C8" s="1"/>
      <c r="D8" s="11">
        <f>D9+D10+D11</f>
        <v>0</v>
      </c>
      <c r="E8" s="11">
        <f>E9+E10+E11</f>
        <v>90848</v>
      </c>
      <c r="F8" s="11">
        <f>F9+F10+F11</f>
        <v>95180</v>
      </c>
      <c r="G8" s="223">
        <f>F8/E8*100</f>
        <v>104.76840436773512</v>
      </c>
    </row>
    <row r="9" spans="1:7" ht="15.75">
      <c r="A9" s="14"/>
      <c r="B9" s="15"/>
      <c r="C9" s="2" t="s">
        <v>2</v>
      </c>
      <c r="D9" s="12">
        <v>0</v>
      </c>
      <c r="E9" s="12">
        <v>0</v>
      </c>
      <c r="F9" s="12">
        <v>0</v>
      </c>
      <c r="G9" s="223">
        <v>0</v>
      </c>
    </row>
    <row r="10" spans="1:7" ht="15.75">
      <c r="A10" s="14"/>
      <c r="B10" s="15"/>
      <c r="C10" s="2" t="s">
        <v>208</v>
      </c>
      <c r="D10" s="12">
        <v>0</v>
      </c>
      <c r="E10" s="12">
        <f>52238+9364</f>
        <v>61602</v>
      </c>
      <c r="F10" s="11">
        <f>60210+2645</f>
        <v>62855</v>
      </c>
      <c r="G10" s="223">
        <f>F10/E10*100</f>
        <v>102.03402486932242</v>
      </c>
    </row>
    <row r="11" spans="1:7" ht="15.75">
      <c r="A11" s="14"/>
      <c r="B11" s="171"/>
      <c r="C11" s="191" t="s">
        <v>214</v>
      </c>
      <c r="D11" s="12">
        <v>0</v>
      </c>
      <c r="E11" s="12">
        <v>29246</v>
      </c>
      <c r="F11" s="11">
        <v>32325</v>
      </c>
      <c r="G11" s="223">
        <f>F11/E11*100</f>
        <v>110.5279354441633</v>
      </c>
    </row>
    <row r="12" spans="1:7" ht="16.5" thickBot="1">
      <c r="A12" s="16"/>
      <c r="B12" s="5" t="s">
        <v>224</v>
      </c>
      <c r="C12" s="5"/>
      <c r="D12" s="12">
        <v>0</v>
      </c>
      <c r="E12" s="12">
        <v>0</v>
      </c>
      <c r="F12" s="11"/>
      <c r="G12" s="223">
        <v>0</v>
      </c>
    </row>
    <row r="13" spans="1:7" ht="16.5" thickBot="1">
      <c r="A13" s="7" t="s">
        <v>3</v>
      </c>
      <c r="B13" s="8"/>
      <c r="C13" s="9"/>
      <c r="D13" s="170">
        <f>D8+D7+D12</f>
        <v>0</v>
      </c>
      <c r="E13" s="170">
        <f>E8+E7+E6+E12</f>
        <v>91008</v>
      </c>
      <c r="F13" s="170">
        <f>F8+F7+F6+F12</f>
        <v>95377</v>
      </c>
      <c r="G13" s="224">
        <f>F13/E13*100</f>
        <v>104.80067686357243</v>
      </c>
    </row>
    <row r="14" spans="1:7" ht="15.75">
      <c r="A14" s="17"/>
      <c r="B14" s="18" t="s">
        <v>4</v>
      </c>
      <c r="C14" s="19"/>
      <c r="D14" s="11">
        <f>D15+D16+D17</f>
        <v>0</v>
      </c>
      <c r="E14" s="11">
        <f>E15+E16+E17</f>
        <v>91008</v>
      </c>
      <c r="F14" s="11">
        <f>F15+F16+F17</f>
        <v>92107</v>
      </c>
      <c r="G14" s="223">
        <f>F14/E14*100</f>
        <v>101.20758614627286</v>
      </c>
    </row>
    <row r="15" spans="1:7" ht="15.75">
      <c r="A15" s="14"/>
      <c r="B15" s="20"/>
      <c r="C15" s="4" t="s">
        <v>5</v>
      </c>
      <c r="D15" s="12">
        <v>0</v>
      </c>
      <c r="E15" s="12">
        <f>54667+3889</f>
        <v>58556</v>
      </c>
      <c r="F15" s="12">
        <v>64848</v>
      </c>
      <c r="G15" s="223">
        <f>F15/E15*100</f>
        <v>110.7452694856206</v>
      </c>
    </row>
    <row r="16" spans="1:7" ht="15.75">
      <c r="A16" s="14"/>
      <c r="B16" s="21"/>
      <c r="C16" s="4" t="s">
        <v>6</v>
      </c>
      <c r="D16" s="12">
        <v>0</v>
      </c>
      <c r="E16" s="12">
        <f>13975+1050</f>
        <v>15025</v>
      </c>
      <c r="F16" s="12">
        <v>14880</v>
      </c>
      <c r="G16" s="223">
        <f>F16/E16*100</f>
        <v>99.03494176372712</v>
      </c>
    </row>
    <row r="17" spans="1:7" ht="15.75">
      <c r="A17" s="14"/>
      <c r="B17" s="21"/>
      <c r="C17" s="4" t="s">
        <v>75</v>
      </c>
      <c r="D17" s="12">
        <v>0</v>
      </c>
      <c r="E17" s="12">
        <f>13002+4425</f>
        <v>17427</v>
      </c>
      <c r="F17" s="12">
        <v>12379</v>
      </c>
      <c r="G17" s="223">
        <f>F17/E17*100</f>
        <v>71.0334538360016</v>
      </c>
    </row>
    <row r="18" spans="1:7" ht="16.5" thickBot="1">
      <c r="A18" s="16"/>
      <c r="B18" s="5" t="s">
        <v>228</v>
      </c>
      <c r="C18" s="5"/>
      <c r="D18" s="12">
        <v>0</v>
      </c>
      <c r="E18" s="12">
        <v>0</v>
      </c>
      <c r="F18" s="12"/>
      <c r="G18" s="223">
        <v>0</v>
      </c>
    </row>
    <row r="19" spans="1:7" ht="16.5" thickBot="1">
      <c r="A19" s="324" t="s">
        <v>7</v>
      </c>
      <c r="B19" s="325"/>
      <c r="C19" s="326"/>
      <c r="D19" s="13">
        <f>D14</f>
        <v>0</v>
      </c>
      <c r="E19" s="13">
        <f>E14</f>
        <v>91008</v>
      </c>
      <c r="F19" s="13">
        <f>F14+F18</f>
        <v>92107</v>
      </c>
      <c r="G19" s="224">
        <f>F19/E19*100</f>
        <v>101.20758614627286</v>
      </c>
    </row>
  </sheetData>
  <sheetProtection/>
  <mergeCells count="8">
    <mergeCell ref="G4:G5"/>
    <mergeCell ref="F4:F5"/>
    <mergeCell ref="A19:C19"/>
    <mergeCell ref="E4:E5"/>
    <mergeCell ref="A4:C5"/>
    <mergeCell ref="D4:D5"/>
    <mergeCell ref="B7:C7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37.421875" style="0" bestFit="1" customWidth="1"/>
    <col min="4" max="4" width="18.00390625" style="0" customWidth="1"/>
    <col min="5" max="5" width="18.57421875" style="0" bestFit="1" customWidth="1"/>
    <col min="6" max="6" width="15.421875" style="211" bestFit="1" customWidth="1"/>
    <col min="7" max="7" width="11.28125" style="0" bestFit="1" customWidth="1"/>
  </cols>
  <sheetData>
    <row r="1" ht="12.75">
      <c r="F1" s="258"/>
    </row>
    <row r="2" spans="1:6" ht="15.75">
      <c r="A2" s="162" t="s">
        <v>205</v>
      </c>
      <c r="B2" s="82"/>
      <c r="C2" s="82"/>
      <c r="D2" s="82"/>
      <c r="E2" s="82"/>
      <c r="F2" s="82"/>
    </row>
    <row r="3" spans="1:6" ht="15.75">
      <c r="A3" s="82"/>
      <c r="B3" s="82"/>
      <c r="C3" s="82"/>
      <c r="D3" s="82"/>
      <c r="E3" s="82"/>
      <c r="F3" s="82" t="s">
        <v>324</v>
      </c>
    </row>
    <row r="4" ht="13.5" thickBot="1"/>
    <row r="5" spans="1:7" ht="12.75">
      <c r="A5" s="327" t="s">
        <v>0</v>
      </c>
      <c r="B5" s="328"/>
      <c r="C5" s="329"/>
      <c r="D5" s="320" t="s">
        <v>99</v>
      </c>
      <c r="E5" s="320" t="s">
        <v>201</v>
      </c>
      <c r="F5" s="320" t="s">
        <v>335</v>
      </c>
      <c r="G5" s="320" t="s">
        <v>227</v>
      </c>
    </row>
    <row r="6" spans="1:7" ht="13.5" thickBot="1">
      <c r="A6" s="330"/>
      <c r="B6" s="331"/>
      <c r="C6" s="332"/>
      <c r="D6" s="321"/>
      <c r="E6" s="321"/>
      <c r="F6" s="321"/>
      <c r="G6" s="321"/>
    </row>
    <row r="7" spans="1:7" ht="15.75">
      <c r="A7" s="345"/>
      <c r="B7" s="1" t="s">
        <v>51</v>
      </c>
      <c r="C7" s="1"/>
      <c r="D7" s="78">
        <f>D8+D17</f>
        <v>1188</v>
      </c>
      <c r="E7" s="78">
        <f>E8+E17</f>
        <v>1188</v>
      </c>
      <c r="F7" s="78">
        <f>F8+F17</f>
        <v>1713</v>
      </c>
      <c r="G7" s="228">
        <f>F7/E7*100</f>
        <v>144.19191919191917</v>
      </c>
    </row>
    <row r="8" spans="1:7" ht="15.75">
      <c r="A8" s="338"/>
      <c r="B8" s="2" t="s">
        <v>52</v>
      </c>
      <c r="C8" s="2"/>
      <c r="D8" s="11">
        <f>D9+D10+D11+D12+D13+D14</f>
        <v>1188</v>
      </c>
      <c r="E8" s="11">
        <f>E9+E10+E11+E12+E13+E14</f>
        <v>1188</v>
      </c>
      <c r="F8" s="11">
        <f>F9+F10+F11+F12+F13+F14+F15+F16</f>
        <v>1480</v>
      </c>
      <c r="G8" s="229">
        <f aca="true" t="shared" si="0" ref="G8:G24">F8/E8*100</f>
        <v>124.5791245791246</v>
      </c>
    </row>
    <row r="9" spans="1:7" ht="15.75">
      <c r="A9" s="338"/>
      <c r="B9" s="347"/>
      <c r="C9" s="2" t="s">
        <v>53</v>
      </c>
      <c r="D9" s="12">
        <v>80</v>
      </c>
      <c r="E9" s="12">
        <v>80</v>
      </c>
      <c r="F9" s="3">
        <v>48</v>
      </c>
      <c r="G9" s="229">
        <f t="shared" si="0"/>
        <v>60</v>
      </c>
    </row>
    <row r="10" spans="1:7" ht="15.75">
      <c r="A10" s="338"/>
      <c r="B10" s="347"/>
      <c r="C10" s="2" t="s">
        <v>54</v>
      </c>
      <c r="D10" s="12">
        <v>127</v>
      </c>
      <c r="E10" s="12">
        <v>127</v>
      </c>
      <c r="F10" s="3">
        <v>290</v>
      </c>
      <c r="G10" s="229">
        <f t="shared" si="0"/>
        <v>228.3464566929134</v>
      </c>
    </row>
    <row r="11" spans="1:7" ht="15.75">
      <c r="A11" s="338"/>
      <c r="B11" s="347"/>
      <c r="C11" s="2" t="s">
        <v>55</v>
      </c>
      <c r="D11" s="12">
        <v>103</v>
      </c>
      <c r="E11" s="12">
        <v>103</v>
      </c>
      <c r="F11" s="3">
        <v>170</v>
      </c>
      <c r="G11" s="229">
        <f t="shared" si="0"/>
        <v>165.04854368932038</v>
      </c>
    </row>
    <row r="12" spans="1:7" ht="15.75">
      <c r="A12" s="338"/>
      <c r="B12" s="347"/>
      <c r="C12" s="4" t="s">
        <v>56</v>
      </c>
      <c r="D12" s="12">
        <v>525</v>
      </c>
      <c r="E12" s="12">
        <v>525</v>
      </c>
      <c r="F12" s="3">
        <v>83</v>
      </c>
      <c r="G12" s="229">
        <f t="shared" si="0"/>
        <v>15.80952380952381</v>
      </c>
    </row>
    <row r="13" spans="1:7" ht="15.75">
      <c r="A13" s="338"/>
      <c r="B13" s="347"/>
      <c r="C13" s="79" t="s">
        <v>57</v>
      </c>
      <c r="D13" s="12">
        <v>13</v>
      </c>
      <c r="E13" s="12">
        <v>13</v>
      </c>
      <c r="F13" s="3">
        <v>16</v>
      </c>
      <c r="G13" s="229">
        <f t="shared" si="0"/>
        <v>123.07692307692308</v>
      </c>
    </row>
    <row r="14" spans="1:10" ht="15.75">
      <c r="A14" s="338"/>
      <c r="B14" s="347"/>
      <c r="C14" s="79" t="s">
        <v>58</v>
      </c>
      <c r="D14" s="12">
        <v>340</v>
      </c>
      <c r="E14" s="12">
        <v>340</v>
      </c>
      <c r="F14" s="3">
        <v>455</v>
      </c>
      <c r="G14" s="229">
        <f t="shared" si="0"/>
        <v>133.8235294117647</v>
      </c>
      <c r="J14" s="160"/>
    </row>
    <row r="15" spans="1:10" ht="15.75">
      <c r="A15" s="338"/>
      <c r="B15" s="347"/>
      <c r="C15" s="2" t="s">
        <v>266</v>
      </c>
      <c r="D15" s="12"/>
      <c r="E15" s="12">
        <v>0</v>
      </c>
      <c r="F15" s="3">
        <v>273</v>
      </c>
      <c r="G15" s="229">
        <v>0</v>
      </c>
      <c r="J15" s="160"/>
    </row>
    <row r="16" spans="1:10" ht="15.75">
      <c r="A16" s="338"/>
      <c r="B16" s="347"/>
      <c r="C16" s="2" t="s">
        <v>267</v>
      </c>
      <c r="D16" s="12"/>
      <c r="E16" s="12">
        <v>0</v>
      </c>
      <c r="F16" s="3">
        <v>145</v>
      </c>
      <c r="G16" s="229">
        <v>0</v>
      </c>
      <c r="J16" s="160"/>
    </row>
    <row r="17" spans="1:7" ht="15.75">
      <c r="A17" s="338"/>
      <c r="B17" s="2" t="s">
        <v>222</v>
      </c>
      <c r="C17" s="2"/>
      <c r="D17" s="12">
        <v>0</v>
      </c>
      <c r="E17" s="12">
        <v>0</v>
      </c>
      <c r="F17" s="12">
        <v>233</v>
      </c>
      <c r="G17" s="229">
        <v>0</v>
      </c>
    </row>
    <row r="18" spans="1:7" ht="15.75">
      <c r="A18" s="338"/>
      <c r="B18" s="1" t="s">
        <v>1</v>
      </c>
      <c r="C18" s="1"/>
      <c r="D18" s="12">
        <f>D19</f>
        <v>55841</v>
      </c>
      <c r="E18" s="12">
        <f>E19</f>
        <v>55841</v>
      </c>
      <c r="F18" s="12">
        <f>F19</f>
        <v>51909</v>
      </c>
      <c r="G18" s="229">
        <f t="shared" si="0"/>
        <v>92.9585788220125</v>
      </c>
    </row>
    <row r="19" spans="1:7" ht="15.75">
      <c r="A19" s="338"/>
      <c r="B19" s="2" t="s">
        <v>59</v>
      </c>
      <c r="C19" s="4"/>
      <c r="D19" s="12">
        <f>D20+D21+D22</f>
        <v>55841</v>
      </c>
      <c r="E19" s="12">
        <f>E20+E21+E22</f>
        <v>55841</v>
      </c>
      <c r="F19" s="12">
        <f>F20+F21+F22+F23</f>
        <v>51909</v>
      </c>
      <c r="G19" s="229">
        <f t="shared" si="0"/>
        <v>92.9585788220125</v>
      </c>
    </row>
    <row r="20" spans="1:7" ht="15.75">
      <c r="A20" s="338"/>
      <c r="B20" s="346"/>
      <c r="C20" s="2" t="s">
        <v>185</v>
      </c>
      <c r="D20" s="11">
        <v>21112</v>
      </c>
      <c r="E20" s="11">
        <v>25765</v>
      </c>
      <c r="F20" s="11">
        <v>21302</v>
      </c>
      <c r="G20" s="229">
        <f t="shared" si="0"/>
        <v>82.67805162041529</v>
      </c>
    </row>
    <row r="21" spans="1:7" ht="15.75">
      <c r="A21" s="338"/>
      <c r="B21" s="346"/>
      <c r="C21" s="2" t="s">
        <v>186</v>
      </c>
      <c r="D21" s="11">
        <v>6393</v>
      </c>
      <c r="E21" s="11">
        <v>1740</v>
      </c>
      <c r="F21" s="11">
        <v>0</v>
      </c>
      <c r="G21" s="229">
        <f t="shared" si="0"/>
        <v>0</v>
      </c>
    </row>
    <row r="22" spans="1:7" ht="15.75">
      <c r="A22" s="338"/>
      <c r="B22" s="346"/>
      <c r="C22" s="2" t="s">
        <v>60</v>
      </c>
      <c r="D22" s="12">
        <f>18336+10000</f>
        <v>28336</v>
      </c>
      <c r="E22" s="12">
        <f>18336+10000</f>
        <v>28336</v>
      </c>
      <c r="F22" s="12">
        <v>28719</v>
      </c>
      <c r="G22" s="229">
        <f t="shared" si="0"/>
        <v>101.35163749294185</v>
      </c>
    </row>
    <row r="23" spans="1:7" ht="15.75">
      <c r="A23" s="14"/>
      <c r="B23" s="171"/>
      <c r="C23" s="2" t="s">
        <v>268</v>
      </c>
      <c r="D23" s="12"/>
      <c r="E23" s="12"/>
      <c r="F23" s="12">
        <v>1888</v>
      </c>
      <c r="G23" s="229"/>
    </row>
    <row r="24" spans="1:10" ht="15.75">
      <c r="A24" s="14"/>
      <c r="B24" s="2" t="s">
        <v>212</v>
      </c>
      <c r="C24" s="172"/>
      <c r="D24" s="12">
        <v>5806</v>
      </c>
      <c r="E24" s="12">
        <f>5806+896</f>
        <v>6702</v>
      </c>
      <c r="F24" s="12">
        <v>6702</v>
      </c>
      <c r="G24" s="229">
        <f t="shared" si="0"/>
        <v>100</v>
      </c>
      <c r="J24" s="160"/>
    </row>
    <row r="25" spans="1:10" ht="16.5" thickBot="1">
      <c r="A25" s="16"/>
      <c r="B25" s="2" t="s">
        <v>224</v>
      </c>
      <c r="C25" s="5"/>
      <c r="D25" s="12"/>
      <c r="E25" s="12"/>
      <c r="F25" s="12">
        <v>0</v>
      </c>
      <c r="G25" s="226">
        <v>0</v>
      </c>
      <c r="J25" s="160"/>
    </row>
    <row r="26" spans="1:7" ht="16.5" thickBot="1">
      <c r="A26" s="7" t="s">
        <v>3</v>
      </c>
      <c r="B26" s="8"/>
      <c r="C26" s="9"/>
      <c r="D26" s="10">
        <f>D7+D18+D24</f>
        <v>62835</v>
      </c>
      <c r="E26" s="10">
        <f>E7+E18+E24</f>
        <v>63731</v>
      </c>
      <c r="F26" s="10">
        <f>F7+F18+F24+F25</f>
        <v>60324</v>
      </c>
      <c r="G26" s="227">
        <f>F26/E26*100</f>
        <v>94.6540929845758</v>
      </c>
    </row>
    <row r="27" spans="1:7" ht="15.75">
      <c r="A27" s="337"/>
      <c r="B27" s="339" t="s">
        <v>4</v>
      </c>
      <c r="C27" s="340"/>
      <c r="D27" s="11">
        <f>D28+D29+D30+D31</f>
        <v>56442</v>
      </c>
      <c r="E27" s="11">
        <f>E28+E29+E30+E31</f>
        <v>57338</v>
      </c>
      <c r="F27" s="11">
        <f>F28+F29+F30+F31</f>
        <v>44208</v>
      </c>
      <c r="G27" s="223">
        <f>F27/E27*100</f>
        <v>77.10070110572396</v>
      </c>
    </row>
    <row r="28" spans="1:7" ht="15.75">
      <c r="A28" s="338"/>
      <c r="B28" s="341"/>
      <c r="C28" s="195" t="s">
        <v>5</v>
      </c>
      <c r="D28" s="12">
        <v>20924</v>
      </c>
      <c r="E28" s="12">
        <f>20924+896</f>
        <v>21820</v>
      </c>
      <c r="F28" s="25">
        <v>19455</v>
      </c>
      <c r="G28" s="223">
        <f aca="true" t="shared" si="1" ref="G28:G36">F28/E28*100</f>
        <v>89.16131989000917</v>
      </c>
    </row>
    <row r="29" spans="1:7" ht="15.75">
      <c r="A29" s="338"/>
      <c r="B29" s="342"/>
      <c r="C29" s="195" t="s">
        <v>6</v>
      </c>
      <c r="D29" s="12">
        <v>5512</v>
      </c>
      <c r="E29" s="12">
        <v>5512</v>
      </c>
      <c r="F29" s="25">
        <v>4520</v>
      </c>
      <c r="G29" s="223">
        <f t="shared" si="1"/>
        <v>82.00290275761974</v>
      </c>
    </row>
    <row r="30" spans="1:7" ht="15.75">
      <c r="A30" s="338"/>
      <c r="B30" s="342"/>
      <c r="C30" s="195" t="s">
        <v>61</v>
      </c>
      <c r="D30" s="12">
        <f>21006+9000</f>
        <v>30006</v>
      </c>
      <c r="E30" s="12">
        <f>21006+9000</f>
        <v>30006</v>
      </c>
      <c r="F30" s="25">
        <v>20233</v>
      </c>
      <c r="G30" s="223">
        <f t="shared" si="1"/>
        <v>67.42984736386056</v>
      </c>
    </row>
    <row r="31" spans="1:7" ht="15.75">
      <c r="A31" s="338"/>
      <c r="B31" s="342"/>
      <c r="C31" s="195" t="s">
        <v>62</v>
      </c>
      <c r="D31" s="12">
        <v>0</v>
      </c>
      <c r="E31" s="12">
        <v>0</v>
      </c>
      <c r="F31" s="12">
        <v>0</v>
      </c>
      <c r="G31" s="223">
        <v>0</v>
      </c>
    </row>
    <row r="32" spans="1:7" ht="15.75">
      <c r="A32" s="338"/>
      <c r="B32" s="342"/>
      <c r="C32" s="196" t="s">
        <v>63</v>
      </c>
      <c r="D32" s="12">
        <f>D28+D30+D31</f>
        <v>50930</v>
      </c>
      <c r="E32" s="12">
        <f>E28+E30+E31+E29</f>
        <v>57338</v>
      </c>
      <c r="F32" s="12">
        <f>F28+F30+F31+F29</f>
        <v>44208</v>
      </c>
      <c r="G32" s="223">
        <f t="shared" si="1"/>
        <v>77.10070110572396</v>
      </c>
    </row>
    <row r="33" spans="1:7" ht="15.75">
      <c r="A33" s="338"/>
      <c r="B33" s="343" t="s">
        <v>64</v>
      </c>
      <c r="C33" s="344"/>
      <c r="D33" s="12">
        <f>D35+D34</f>
        <v>6393</v>
      </c>
      <c r="E33" s="12">
        <f>E35+E34</f>
        <v>6393</v>
      </c>
      <c r="F33" s="12">
        <f>F35+F34</f>
        <v>5350</v>
      </c>
      <c r="G33" s="223">
        <f t="shared" si="1"/>
        <v>83.68528077584858</v>
      </c>
    </row>
    <row r="34" spans="1:7" ht="15.75">
      <c r="A34" s="338"/>
      <c r="B34" s="341"/>
      <c r="C34" s="195" t="s">
        <v>65</v>
      </c>
      <c r="D34" s="12">
        <v>0</v>
      </c>
      <c r="E34" s="12">
        <v>0</v>
      </c>
      <c r="F34" s="12">
        <v>0</v>
      </c>
      <c r="G34" s="223">
        <v>0</v>
      </c>
    </row>
    <row r="35" spans="1:7" ht="15.75">
      <c r="A35" s="338"/>
      <c r="B35" s="342"/>
      <c r="C35" s="195" t="s">
        <v>66</v>
      </c>
      <c r="D35" s="12">
        <v>6393</v>
      </c>
      <c r="E35" s="12">
        <v>6393</v>
      </c>
      <c r="F35" s="12">
        <v>5350</v>
      </c>
      <c r="G35" s="223">
        <f t="shared" si="1"/>
        <v>83.68528077584858</v>
      </c>
    </row>
    <row r="36" spans="1:7" ht="15.75">
      <c r="A36" s="338"/>
      <c r="B36" s="342"/>
      <c r="C36" s="196" t="s">
        <v>63</v>
      </c>
      <c r="D36" s="12">
        <f>D34+D35</f>
        <v>6393</v>
      </c>
      <c r="E36" s="12">
        <f>E34+E35</f>
        <v>6393</v>
      </c>
      <c r="F36" s="12">
        <f>F34+F35</f>
        <v>5350</v>
      </c>
      <c r="G36" s="223">
        <f t="shared" si="1"/>
        <v>83.68528077584858</v>
      </c>
    </row>
    <row r="37" spans="1:10" ht="16.5" thickBot="1">
      <c r="A37" s="16"/>
      <c r="B37" s="2" t="s">
        <v>223</v>
      </c>
      <c r="C37" s="5"/>
      <c r="D37" s="12"/>
      <c r="E37" s="12"/>
      <c r="F37" s="12">
        <v>-896</v>
      </c>
      <c r="G37" s="223">
        <v>0</v>
      </c>
      <c r="H37" s="92"/>
      <c r="J37" s="160"/>
    </row>
    <row r="38" spans="1:7" ht="16.5" thickBot="1">
      <c r="A38" s="324" t="s">
        <v>7</v>
      </c>
      <c r="B38" s="325"/>
      <c r="C38" s="326"/>
      <c r="D38" s="13">
        <f>D27+D33</f>
        <v>62835</v>
      </c>
      <c r="E38" s="13">
        <f>E27+E33</f>
        <v>63731</v>
      </c>
      <c r="F38" s="13">
        <f>F27+F33+F37</f>
        <v>48662</v>
      </c>
      <c r="G38" s="225">
        <f>F38/E38*100</f>
        <v>76.3553058950903</v>
      </c>
    </row>
  </sheetData>
  <sheetProtection/>
  <mergeCells count="14">
    <mergeCell ref="G5:G6"/>
    <mergeCell ref="A7:A22"/>
    <mergeCell ref="B20:B22"/>
    <mergeCell ref="F5:F6"/>
    <mergeCell ref="E5:E6"/>
    <mergeCell ref="A5:C6"/>
    <mergeCell ref="D5:D6"/>
    <mergeCell ref="B9:B16"/>
    <mergeCell ref="A38:C38"/>
    <mergeCell ref="A27:A36"/>
    <mergeCell ref="B27:C27"/>
    <mergeCell ref="B28:B32"/>
    <mergeCell ref="B33:C33"/>
    <mergeCell ref="B34:B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67.7109375" style="0" bestFit="1" customWidth="1"/>
    <col min="2" max="2" width="13.57421875" style="0" customWidth="1"/>
    <col min="3" max="3" width="15.140625" style="0" customWidth="1"/>
    <col min="4" max="4" width="15.421875" style="0" customWidth="1"/>
    <col min="5" max="5" width="14.28125" style="0" customWidth="1"/>
  </cols>
  <sheetData>
    <row r="2" ht="12.75">
      <c r="D2" s="315" t="s">
        <v>325</v>
      </c>
    </row>
    <row r="3" ht="13.5" thickBot="1"/>
    <row r="4" spans="1:5" ht="12.75" customHeight="1">
      <c r="A4" s="316" t="s">
        <v>0</v>
      </c>
      <c r="B4" s="316" t="s">
        <v>99</v>
      </c>
      <c r="C4" s="316" t="s">
        <v>201</v>
      </c>
      <c r="D4" s="316" t="s">
        <v>269</v>
      </c>
      <c r="E4" s="316" t="s">
        <v>227</v>
      </c>
    </row>
    <row r="5" spans="1:5" ht="17.25" customHeight="1" thickBot="1">
      <c r="A5" s="317"/>
      <c r="B5" s="317"/>
      <c r="C5" s="317"/>
      <c r="D5" s="317"/>
      <c r="E5" s="317"/>
    </row>
    <row r="6" spans="1:5" ht="15.75">
      <c r="A6" s="22" t="s">
        <v>8</v>
      </c>
      <c r="B6" s="23"/>
      <c r="C6" s="23"/>
      <c r="D6" s="23"/>
      <c r="E6" s="198"/>
    </row>
    <row r="7" spans="1:5" ht="15.75">
      <c r="A7" s="24" t="s">
        <v>9</v>
      </c>
      <c r="B7" s="25"/>
      <c r="C7" s="25"/>
      <c r="D7" s="25"/>
      <c r="E7" s="199"/>
    </row>
    <row r="8" spans="1:5" ht="15.75">
      <c r="A8" s="26" t="s">
        <v>158</v>
      </c>
      <c r="B8" s="27"/>
      <c r="C8" s="27">
        <v>0</v>
      </c>
      <c r="D8" s="27">
        <v>0</v>
      </c>
      <c r="E8" s="197"/>
    </row>
    <row r="9" spans="1:5" ht="15.75">
      <c r="A9" s="26" t="s">
        <v>159</v>
      </c>
      <c r="B9" s="27"/>
      <c r="C9" s="27">
        <v>652422</v>
      </c>
      <c r="D9" s="27">
        <v>659979</v>
      </c>
      <c r="E9" s="220">
        <f>D9/C9*100</f>
        <v>101.15829938291473</v>
      </c>
    </row>
    <row r="10" spans="1:5" ht="15.75">
      <c r="A10" s="26" t="s">
        <v>160</v>
      </c>
      <c r="B10" s="27"/>
      <c r="C10" s="27">
        <v>106332</v>
      </c>
      <c r="D10" s="27">
        <v>102415</v>
      </c>
      <c r="E10" s="220">
        <f>D10/C10*100</f>
        <v>96.31625474927586</v>
      </c>
    </row>
    <row r="11" spans="1:5" ht="16.5" thickBot="1">
      <c r="A11" s="26" t="s">
        <v>161</v>
      </c>
      <c r="B11" s="27"/>
      <c r="C11" s="27">
        <v>4759</v>
      </c>
      <c r="D11" s="27">
        <v>4683</v>
      </c>
      <c r="E11" s="220">
        <f>D11/C11*100</f>
        <v>98.40302584576591</v>
      </c>
    </row>
    <row r="12" spans="1:5" ht="16.5" thickBot="1">
      <c r="A12" s="28" t="s">
        <v>9</v>
      </c>
      <c r="B12" s="29">
        <v>0</v>
      </c>
      <c r="C12" s="29">
        <f>SUM(C8:C11)</f>
        <v>763513</v>
      </c>
      <c r="D12" s="29">
        <f>SUM(D8:D11)</f>
        <v>767077</v>
      </c>
      <c r="E12" s="220">
        <f>D12/C12*100</f>
        <v>100.46678969447802</v>
      </c>
    </row>
    <row r="13" spans="1:5" ht="15.75">
      <c r="A13" s="30" t="s">
        <v>10</v>
      </c>
      <c r="B13" s="31"/>
      <c r="C13" s="31"/>
      <c r="D13" s="31"/>
      <c r="E13" s="200"/>
    </row>
    <row r="14" spans="1:5" ht="15.75">
      <c r="A14" s="32" t="s">
        <v>11</v>
      </c>
      <c r="B14" s="33"/>
      <c r="C14" s="33"/>
      <c r="D14" s="27"/>
      <c r="E14" s="220"/>
    </row>
    <row r="15" spans="1:5" ht="15.75">
      <c r="A15" s="32" t="s">
        <v>12</v>
      </c>
      <c r="B15" s="33"/>
      <c r="C15" s="33"/>
      <c r="D15" s="27"/>
      <c r="E15" s="220"/>
    </row>
    <row r="16" spans="1:5" ht="15.75">
      <c r="A16" s="32" t="s">
        <v>72</v>
      </c>
      <c r="B16" s="33"/>
      <c r="C16" s="33"/>
      <c r="D16" s="27"/>
      <c r="E16" s="220"/>
    </row>
    <row r="17" spans="1:5" ht="15.75">
      <c r="A17" s="34" t="s">
        <v>162</v>
      </c>
      <c r="B17" s="27"/>
      <c r="C17" s="27"/>
      <c r="D17" s="27"/>
      <c r="E17" s="220"/>
    </row>
    <row r="18" spans="1:5" ht="15.75">
      <c r="A18" s="35" t="s">
        <v>14</v>
      </c>
      <c r="B18" s="25"/>
      <c r="C18" s="25"/>
      <c r="D18" s="27"/>
      <c r="E18" s="220"/>
    </row>
    <row r="19" spans="1:5" ht="16.5" thickBot="1">
      <c r="A19" s="34" t="s">
        <v>220</v>
      </c>
      <c r="B19" s="27"/>
      <c r="C19" s="27"/>
      <c r="D19" s="75"/>
      <c r="E19" s="220"/>
    </row>
    <row r="20" spans="1:5" ht="16.5" thickBot="1">
      <c r="A20" s="36" t="s">
        <v>10</v>
      </c>
      <c r="B20" s="37">
        <v>0</v>
      </c>
      <c r="C20" s="37">
        <f>SUM(C14:C19)</f>
        <v>0</v>
      </c>
      <c r="D20" s="37">
        <f>SUM(D14:D19)</f>
        <v>0</v>
      </c>
      <c r="E20" s="212"/>
    </row>
    <row r="21" spans="1:5" ht="15.75">
      <c r="A21" s="38" t="s">
        <v>15</v>
      </c>
      <c r="B21" s="39"/>
      <c r="C21" s="39"/>
      <c r="D21" s="39"/>
      <c r="E21" s="201"/>
    </row>
    <row r="22" spans="1:5" ht="15.75">
      <c r="A22" s="34" t="s">
        <v>163</v>
      </c>
      <c r="B22" s="27"/>
      <c r="C22" s="27"/>
      <c r="D22" s="27"/>
      <c r="E22" s="197"/>
    </row>
    <row r="23" spans="1:5" ht="15.75">
      <c r="A23" s="34" t="s">
        <v>16</v>
      </c>
      <c r="B23" s="27"/>
      <c r="C23" s="27"/>
      <c r="D23" s="27"/>
      <c r="E23" s="197"/>
    </row>
    <row r="24" spans="1:5" ht="15.75">
      <c r="A24" s="34" t="s">
        <v>17</v>
      </c>
      <c r="B24" s="27"/>
      <c r="C24" s="27"/>
      <c r="D24" s="27"/>
      <c r="E24" s="220"/>
    </row>
    <row r="25" spans="1:5" ht="16.5" thickBot="1">
      <c r="A25" s="40" t="s">
        <v>18</v>
      </c>
      <c r="B25" s="41"/>
      <c r="C25" s="41"/>
      <c r="D25" s="41"/>
      <c r="E25" s="220"/>
    </row>
    <row r="26" spans="1:5" ht="16.5" thickBot="1">
      <c r="A26" s="42" t="s">
        <v>15</v>
      </c>
      <c r="B26" s="43">
        <v>0</v>
      </c>
      <c r="C26" s="43">
        <f>SUM(C22:C25)</f>
        <v>0</v>
      </c>
      <c r="D26" s="43">
        <f>SUM(D22:D25)</f>
        <v>0</v>
      </c>
      <c r="E26" s="212"/>
    </row>
    <row r="27" spans="1:5" ht="15.75">
      <c r="A27" s="44" t="s">
        <v>19</v>
      </c>
      <c r="B27" s="23"/>
      <c r="C27" s="23"/>
      <c r="D27" s="23"/>
      <c r="E27" s="198"/>
    </row>
    <row r="28" spans="1:5" ht="15.75">
      <c r="A28" s="45" t="s">
        <v>245</v>
      </c>
      <c r="B28" s="46"/>
      <c r="C28" s="46"/>
      <c r="D28" s="27"/>
      <c r="E28" s="220"/>
    </row>
    <row r="29" spans="1:5" ht="15.75">
      <c r="A29" s="47" t="s">
        <v>207</v>
      </c>
      <c r="B29" s="48"/>
      <c r="C29" s="48"/>
      <c r="D29" s="27"/>
      <c r="E29" s="220"/>
    </row>
    <row r="30" spans="1:5" ht="15.75">
      <c r="A30" s="47" t="s">
        <v>20</v>
      </c>
      <c r="B30" s="48"/>
      <c r="C30" s="48"/>
      <c r="D30" s="27"/>
      <c r="E30" s="220"/>
    </row>
    <row r="31" spans="1:5" ht="15.75">
      <c r="A31" s="49" t="s">
        <v>184</v>
      </c>
      <c r="B31" s="50"/>
      <c r="C31" s="50"/>
      <c r="D31" s="27"/>
      <c r="E31" s="220"/>
    </row>
    <row r="32" spans="1:5" ht="15.75">
      <c r="A32" s="47" t="s">
        <v>215</v>
      </c>
      <c r="B32" s="48"/>
      <c r="C32" s="48"/>
      <c r="D32" s="27"/>
      <c r="E32" s="220"/>
    </row>
    <row r="33" spans="1:5" ht="15.75">
      <c r="A33" s="47" t="s">
        <v>216</v>
      </c>
      <c r="B33" s="48"/>
      <c r="C33" s="48"/>
      <c r="D33" s="27"/>
      <c r="E33" s="220"/>
    </row>
    <row r="34" spans="1:5" ht="15.75">
      <c r="A34" s="47" t="s">
        <v>217</v>
      </c>
      <c r="B34" s="48"/>
      <c r="C34" s="48"/>
      <c r="D34" s="27"/>
      <c r="E34" s="220"/>
    </row>
    <row r="35" spans="1:5" ht="15.75">
      <c r="A35" s="34" t="s">
        <v>240</v>
      </c>
      <c r="B35" s="27"/>
      <c r="C35" s="27"/>
      <c r="D35" s="27"/>
      <c r="E35" s="197"/>
    </row>
    <row r="36" spans="1:5" ht="15.75">
      <c r="A36" s="34" t="s">
        <v>241</v>
      </c>
      <c r="B36" s="27"/>
      <c r="C36" s="27"/>
      <c r="D36" s="27"/>
      <c r="E36" s="197"/>
    </row>
    <row r="37" spans="1:5" ht="15.75">
      <c r="A37" s="34" t="s">
        <v>242</v>
      </c>
      <c r="B37" s="27"/>
      <c r="C37" s="27"/>
      <c r="D37" s="27"/>
      <c r="E37" s="220"/>
    </row>
    <row r="38" spans="1:5" ht="15.75">
      <c r="A38" s="34" t="s">
        <v>243</v>
      </c>
      <c r="B38" s="27"/>
      <c r="C38" s="27"/>
      <c r="D38" s="27"/>
      <c r="E38" s="220"/>
    </row>
    <row r="39" spans="1:5" ht="16.5" thickBot="1">
      <c r="A39" s="257" t="s">
        <v>244</v>
      </c>
      <c r="B39" s="75"/>
      <c r="C39" s="75"/>
      <c r="D39" s="75"/>
      <c r="E39" s="197"/>
    </row>
    <row r="40" spans="1:5" ht="16.5" thickBot="1">
      <c r="A40" s="51" t="s">
        <v>164</v>
      </c>
      <c r="B40" s="52">
        <v>0</v>
      </c>
      <c r="C40" s="52">
        <f>SUM(C28:C39)</f>
        <v>0</v>
      </c>
      <c r="D40" s="52">
        <f>SUM(D28:D39)</f>
        <v>0</v>
      </c>
      <c r="E40" s="212"/>
    </row>
    <row r="41" spans="1:5" ht="16.5" thickBot="1">
      <c r="A41" s="53" t="s">
        <v>165</v>
      </c>
      <c r="B41" s="54">
        <v>0</v>
      </c>
      <c r="C41" s="54">
        <v>0</v>
      </c>
      <c r="D41" s="37">
        <v>0</v>
      </c>
      <c r="E41" s="212"/>
    </row>
    <row r="42" spans="1:5" ht="16.5" thickBot="1">
      <c r="A42" s="53" t="s">
        <v>166</v>
      </c>
      <c r="B42" s="54">
        <v>0</v>
      </c>
      <c r="C42" s="54">
        <v>2231003</v>
      </c>
      <c r="D42" s="54">
        <v>2325914</v>
      </c>
      <c r="E42" s="220">
        <f>D42/C42*100</f>
        <v>104.25418522521038</v>
      </c>
    </row>
    <row r="43" spans="1:5" ht="16.5" thickBot="1">
      <c r="A43" s="53" t="s">
        <v>209</v>
      </c>
      <c r="B43" s="54">
        <v>0</v>
      </c>
      <c r="C43" s="54">
        <v>2832</v>
      </c>
      <c r="D43" s="37">
        <v>2832</v>
      </c>
      <c r="E43" s="220">
        <f>D43/C43*100</f>
        <v>100</v>
      </c>
    </row>
    <row r="44" spans="1:5" ht="16.5" thickBot="1">
      <c r="A44" s="55" t="s">
        <v>21</v>
      </c>
      <c r="B44" s="54">
        <v>0</v>
      </c>
      <c r="C44" s="54">
        <f>C43+C42+C41+C40+C26+C20+C12</f>
        <v>2997348</v>
      </c>
      <c r="D44" s="54">
        <f>D43+D42+D41+D40+D26+D20+D12</f>
        <v>3095823</v>
      </c>
      <c r="E44" s="220">
        <f>D44/C44*100</f>
        <v>103.2854042973989</v>
      </c>
    </row>
    <row r="45" spans="1:5" ht="15.75">
      <c r="A45" s="56" t="s">
        <v>22</v>
      </c>
      <c r="B45" s="57"/>
      <c r="C45" s="57"/>
      <c r="D45" s="57"/>
      <c r="E45" s="202"/>
    </row>
    <row r="46" spans="1:5" ht="15.75">
      <c r="A46" s="47" t="s">
        <v>167</v>
      </c>
      <c r="B46" s="48"/>
      <c r="C46" s="48"/>
      <c r="D46" s="48"/>
      <c r="E46" s="197"/>
    </row>
    <row r="47" spans="1:5" ht="15.75">
      <c r="A47" s="45" t="s">
        <v>168</v>
      </c>
      <c r="B47" s="48"/>
      <c r="C47" s="48"/>
      <c r="D47" s="48"/>
      <c r="E47" s="220"/>
    </row>
    <row r="48" spans="1:5" ht="16.5" thickBot="1">
      <c r="A48" s="62" t="s">
        <v>24</v>
      </c>
      <c r="B48" s="59"/>
      <c r="C48" s="59"/>
      <c r="D48" s="59"/>
      <c r="E48" s="203"/>
    </row>
    <row r="49" spans="1:5" ht="16.5" thickBot="1">
      <c r="A49" s="60" t="s">
        <v>22</v>
      </c>
      <c r="B49" s="61">
        <v>0</v>
      </c>
      <c r="C49" s="61">
        <f>SUM(C46:C48)</f>
        <v>0</v>
      </c>
      <c r="D49" s="61">
        <f>SUM(D46:D48)</f>
        <v>0</v>
      </c>
      <c r="E49" s="212"/>
    </row>
    <row r="50" spans="1:5" ht="15.75">
      <c r="A50" s="56" t="s">
        <v>23</v>
      </c>
      <c r="B50" s="57"/>
      <c r="C50" s="57"/>
      <c r="D50" s="57"/>
      <c r="E50" s="202"/>
    </row>
    <row r="51" spans="1:5" ht="15.75">
      <c r="A51" s="45" t="s">
        <v>76</v>
      </c>
      <c r="B51" s="46"/>
      <c r="C51" s="46">
        <v>157</v>
      </c>
      <c r="D51" s="46">
        <v>157</v>
      </c>
      <c r="E51" s="220">
        <f aca="true" t="shared" si="0" ref="E51:E56">D51/C51*100</f>
        <v>100</v>
      </c>
    </row>
    <row r="52" spans="1:5" ht="15.75">
      <c r="A52" s="47" t="s">
        <v>169</v>
      </c>
      <c r="B52" s="48"/>
      <c r="C52" s="48">
        <v>791862</v>
      </c>
      <c r="D52" s="48">
        <v>406321</v>
      </c>
      <c r="E52" s="220">
        <f t="shared" si="0"/>
        <v>51.312097309884805</v>
      </c>
    </row>
    <row r="53" spans="1:5" ht="16.5" thickBot="1">
      <c r="A53" s="62" t="s">
        <v>24</v>
      </c>
      <c r="B53" s="63"/>
      <c r="C53" s="63">
        <v>0</v>
      </c>
      <c r="D53" s="63">
        <v>0</v>
      </c>
      <c r="E53" s="220">
        <v>0</v>
      </c>
    </row>
    <row r="54" spans="1:5" ht="16.5" thickBot="1">
      <c r="A54" s="64" t="s">
        <v>25</v>
      </c>
      <c r="B54" s="61">
        <v>0</v>
      </c>
      <c r="C54" s="61">
        <f>SUM(C51:C53)</f>
        <v>792019</v>
      </c>
      <c r="D54" s="61">
        <f>SUM(D51:D53)</f>
        <v>406478</v>
      </c>
      <c r="E54" s="221">
        <f t="shared" si="0"/>
        <v>51.32174859441503</v>
      </c>
    </row>
    <row r="55" spans="1:5" ht="15.75">
      <c r="A55" s="56" t="s">
        <v>26</v>
      </c>
      <c r="B55" s="65"/>
      <c r="C55" s="65"/>
      <c r="D55" s="65"/>
      <c r="E55" s="204"/>
    </row>
    <row r="56" spans="1:5" ht="15.75">
      <c r="A56" s="47" t="s">
        <v>27</v>
      </c>
      <c r="B56" s="48"/>
      <c r="C56" s="48">
        <v>4258</v>
      </c>
      <c r="D56" s="48">
        <v>4265</v>
      </c>
      <c r="E56" s="220">
        <f t="shared" si="0"/>
        <v>100.16439643024894</v>
      </c>
    </row>
    <row r="57" spans="1:5" ht="15.75">
      <c r="A57" s="47" t="s">
        <v>171</v>
      </c>
      <c r="B57" s="48"/>
      <c r="C57" s="48"/>
      <c r="D57" s="48"/>
      <c r="E57" s="197"/>
    </row>
    <row r="58" spans="1:5" ht="15.75">
      <c r="A58" s="47" t="s">
        <v>172</v>
      </c>
      <c r="B58" s="193"/>
      <c r="C58" s="48"/>
      <c r="D58" s="48"/>
      <c r="E58" s="220"/>
    </row>
    <row r="59" spans="1:5" ht="16.5" thickBot="1">
      <c r="A59" s="49" t="s">
        <v>219</v>
      </c>
      <c r="B59" s="63"/>
      <c r="C59" s="63"/>
      <c r="D59" s="63"/>
      <c r="E59" s="197"/>
    </row>
    <row r="60" spans="1:5" ht="16.5" thickBot="1">
      <c r="A60" s="28" t="s">
        <v>26</v>
      </c>
      <c r="B60" s="61">
        <v>0</v>
      </c>
      <c r="C60" s="61">
        <f>SUM(C56:C59)</f>
        <v>4258</v>
      </c>
      <c r="D60" s="61">
        <f>SUM(D56:D59)</f>
        <v>4265</v>
      </c>
      <c r="E60" s="264">
        <f>D60/C60*100</f>
        <v>100.16439643024894</v>
      </c>
    </row>
    <row r="61" spans="1:5" ht="16.5" thickBot="1">
      <c r="A61" s="66" t="s">
        <v>28</v>
      </c>
      <c r="B61" s="52">
        <v>0</v>
      </c>
      <c r="C61" s="52">
        <f>C49+C54+C60</f>
        <v>796277</v>
      </c>
      <c r="D61" s="52">
        <f>D49+D54+D60</f>
        <v>410743</v>
      </c>
      <c r="E61" s="280">
        <f>D61/C61*100</f>
        <v>51.582929056094805</v>
      </c>
    </row>
    <row r="62" spans="1:5" ht="16.5" thickBot="1">
      <c r="A62" s="67" t="s">
        <v>29</v>
      </c>
      <c r="B62" s="52">
        <v>0</v>
      </c>
      <c r="C62" s="52">
        <f>C44+C61</f>
        <v>3793625</v>
      </c>
      <c r="D62" s="52">
        <f>D44+D61</f>
        <v>3506566</v>
      </c>
      <c r="E62" s="280">
        <f>D62/C62*100</f>
        <v>92.43312135490461</v>
      </c>
    </row>
    <row r="63" spans="1:5" ht="15.75">
      <c r="A63" s="56" t="s">
        <v>30</v>
      </c>
      <c r="B63" s="57"/>
      <c r="C63" s="57"/>
      <c r="D63" s="57"/>
      <c r="E63" s="202"/>
    </row>
    <row r="64" spans="1:5" ht="15.75">
      <c r="A64" s="45" t="s">
        <v>210</v>
      </c>
      <c r="B64" s="46"/>
      <c r="C64" s="46">
        <v>309561</v>
      </c>
      <c r="D64" s="27">
        <v>0</v>
      </c>
      <c r="E64" s="220">
        <f>D64/C64*100</f>
        <v>0</v>
      </c>
    </row>
    <row r="65" spans="1:5" ht="15.75">
      <c r="A65" s="47" t="s">
        <v>31</v>
      </c>
      <c r="B65" s="48"/>
      <c r="C65" s="48"/>
      <c r="D65" s="27"/>
      <c r="E65" s="197"/>
    </row>
    <row r="66" spans="1:5" ht="15.75">
      <c r="A66" s="47" t="s">
        <v>173</v>
      </c>
      <c r="B66" s="80"/>
      <c r="C66" s="80"/>
      <c r="D66" s="27"/>
      <c r="E66" s="197"/>
    </row>
    <row r="67" spans="1:5" ht="15.75">
      <c r="A67" s="47" t="s">
        <v>32</v>
      </c>
      <c r="B67" s="48"/>
      <c r="C67" s="48"/>
      <c r="D67" s="27"/>
      <c r="E67" s="197"/>
    </row>
    <row r="68" spans="1:5" ht="15.75">
      <c r="A68" s="47" t="s">
        <v>174</v>
      </c>
      <c r="B68" s="48"/>
      <c r="C68" s="48"/>
      <c r="D68" s="27">
        <v>-409</v>
      </c>
      <c r="E68" s="197"/>
    </row>
    <row r="69" spans="1:5" ht="16.5" thickBot="1">
      <c r="A69" s="68" t="s">
        <v>30</v>
      </c>
      <c r="B69" s="61">
        <v>0</v>
      </c>
      <c r="C69" s="61">
        <f>SUM(C64:C68)</f>
        <v>309561</v>
      </c>
      <c r="D69" s="61">
        <f>SUM(D64:D68)</f>
        <v>-409</v>
      </c>
      <c r="E69" s="220">
        <f>D69/C69*100</f>
        <v>-0.13212258650152958</v>
      </c>
    </row>
    <row r="70" spans="1:5" ht="16.5" thickBot="1">
      <c r="A70" s="69" t="s">
        <v>33</v>
      </c>
      <c r="B70" s="70">
        <v>0</v>
      </c>
      <c r="C70" s="70">
        <f>C62+C69</f>
        <v>4103186</v>
      </c>
      <c r="D70" s="70">
        <f>D62+D69</f>
        <v>3506157</v>
      </c>
      <c r="E70" s="215">
        <f>D70/C70*100</f>
        <v>85.44962378015522</v>
      </c>
    </row>
    <row r="71" spans="1:5" ht="16.5" thickBot="1">
      <c r="A71" s="71"/>
      <c r="B71" s="72"/>
      <c r="C71" s="72"/>
      <c r="D71" s="72"/>
      <c r="E71" s="205"/>
    </row>
    <row r="72" spans="1:5" ht="15.75">
      <c r="A72" s="73" t="s">
        <v>34</v>
      </c>
      <c r="B72" s="25"/>
      <c r="C72" s="25"/>
      <c r="D72" s="25"/>
      <c r="E72" s="199"/>
    </row>
    <row r="73" spans="1:5" ht="15.75">
      <c r="A73" s="26" t="s">
        <v>35</v>
      </c>
      <c r="B73" s="27"/>
      <c r="C73" s="27">
        <v>1127783</v>
      </c>
      <c r="D73" s="27">
        <v>1110562</v>
      </c>
      <c r="E73" s="220">
        <f aca="true" t="shared" si="1" ref="E73:E83">D73/C73*100</f>
        <v>98.4730218490614</v>
      </c>
    </row>
    <row r="74" spans="1:5" ht="15.75">
      <c r="A74" s="26" t="s">
        <v>175</v>
      </c>
      <c r="B74" s="27"/>
      <c r="C74" s="27">
        <v>283569</v>
      </c>
      <c r="D74" s="27">
        <v>271853</v>
      </c>
      <c r="E74" s="220">
        <f t="shared" si="1"/>
        <v>95.86837771406607</v>
      </c>
    </row>
    <row r="75" spans="1:5" ht="15.75">
      <c r="A75" s="26" t="s">
        <v>176</v>
      </c>
      <c r="B75" s="27"/>
      <c r="C75" s="27">
        <v>1566691</v>
      </c>
      <c r="D75" s="27">
        <v>1436155</v>
      </c>
      <c r="E75" s="220">
        <f t="shared" si="1"/>
        <v>91.66804430484378</v>
      </c>
    </row>
    <row r="76" spans="1:5" ht="15.75">
      <c r="A76" s="26" t="s">
        <v>177</v>
      </c>
      <c r="B76" s="27"/>
      <c r="C76" s="27">
        <v>33</v>
      </c>
      <c r="D76" s="27">
        <v>33</v>
      </c>
      <c r="E76" s="220">
        <f t="shared" si="1"/>
        <v>100</v>
      </c>
    </row>
    <row r="77" spans="1:5" ht="15.75">
      <c r="A77" s="26" t="s">
        <v>178</v>
      </c>
      <c r="B77" s="27"/>
      <c r="C77" s="27">
        <v>202679</v>
      </c>
      <c r="D77" s="27">
        <v>176887</v>
      </c>
      <c r="E77" s="220">
        <f t="shared" si="1"/>
        <v>87.27445862669542</v>
      </c>
    </row>
    <row r="78" spans="1:5" ht="16.5" thickBot="1">
      <c r="A78" s="3" t="s">
        <v>79</v>
      </c>
      <c r="B78" s="25"/>
      <c r="C78" s="25">
        <v>115968</v>
      </c>
      <c r="D78" s="25">
        <v>95968</v>
      </c>
      <c r="E78" s="220">
        <f t="shared" si="1"/>
        <v>82.75386313465783</v>
      </c>
    </row>
    <row r="79" spans="1:5" ht="16.5" thickBot="1">
      <c r="A79" s="66" t="s">
        <v>36</v>
      </c>
      <c r="B79" s="52">
        <v>0</v>
      </c>
      <c r="C79" s="52">
        <f>SUM(C73:C78)</f>
        <v>3296723</v>
      </c>
      <c r="D79" s="52">
        <f>SUM(D73:D78)</f>
        <v>3091458</v>
      </c>
      <c r="E79" s="280">
        <f t="shared" si="1"/>
        <v>93.77366554605892</v>
      </c>
    </row>
    <row r="80" spans="1:5" ht="15.75">
      <c r="A80" s="74" t="s">
        <v>37</v>
      </c>
      <c r="B80" s="75"/>
      <c r="C80" s="75">
        <v>168260</v>
      </c>
      <c r="D80" s="75">
        <v>168257</v>
      </c>
      <c r="E80" s="220">
        <f t="shared" si="1"/>
        <v>99.99821704504933</v>
      </c>
    </row>
    <row r="81" spans="1:5" ht="15.75">
      <c r="A81" s="74" t="s">
        <v>38</v>
      </c>
      <c r="B81" s="75"/>
      <c r="C81" s="75">
        <v>610183</v>
      </c>
      <c r="D81" s="75">
        <v>294143</v>
      </c>
      <c r="E81" s="220">
        <f t="shared" si="1"/>
        <v>48.2057022237591</v>
      </c>
    </row>
    <row r="82" spans="1:5" ht="15.75">
      <c r="A82" s="74" t="s">
        <v>39</v>
      </c>
      <c r="B82" s="75"/>
      <c r="C82" s="75">
        <v>0</v>
      </c>
      <c r="D82" s="75">
        <v>0</v>
      </c>
      <c r="E82" s="220">
        <v>0</v>
      </c>
    </row>
    <row r="83" spans="1:5" ht="15.75">
      <c r="A83" s="26" t="s">
        <v>40</v>
      </c>
      <c r="B83" s="27"/>
      <c r="C83" s="27">
        <v>28020</v>
      </c>
      <c r="D83" s="27">
        <v>28020</v>
      </c>
      <c r="E83" s="220">
        <f t="shared" si="1"/>
        <v>100</v>
      </c>
    </row>
    <row r="84" spans="1:5" ht="15.75">
      <c r="A84" s="26" t="s">
        <v>41</v>
      </c>
      <c r="B84" s="27"/>
      <c r="C84" s="27"/>
      <c r="D84" s="27"/>
      <c r="E84" s="220"/>
    </row>
    <row r="85" spans="1:5" ht="15.75">
      <c r="A85" s="26" t="s">
        <v>42</v>
      </c>
      <c r="B85" s="27"/>
      <c r="C85" s="27"/>
      <c r="D85" s="27"/>
      <c r="E85" s="220"/>
    </row>
    <row r="86" spans="1:5" ht="16.5" thickBot="1">
      <c r="A86" s="3"/>
      <c r="B86" s="25"/>
      <c r="C86" s="25"/>
      <c r="D86" s="25"/>
      <c r="E86" s="217"/>
    </row>
    <row r="87" spans="1:5" ht="16.5" thickBot="1">
      <c r="A87" s="66" t="s">
        <v>43</v>
      </c>
      <c r="B87" s="52">
        <v>0</v>
      </c>
      <c r="C87" s="52">
        <f>SUM(C80:C86)</f>
        <v>806463</v>
      </c>
      <c r="D87" s="52">
        <f>SUM(D80:D86)</f>
        <v>490420</v>
      </c>
      <c r="E87" s="220">
        <f>D87/C87*100</f>
        <v>60.8112213455546</v>
      </c>
    </row>
    <row r="88" spans="1:5" ht="16.5" thickBot="1">
      <c r="A88" s="28" t="s">
        <v>44</v>
      </c>
      <c r="B88" s="54">
        <v>0</v>
      </c>
      <c r="C88" s="54">
        <f>C79+C87</f>
        <v>4103186</v>
      </c>
      <c r="D88" s="54">
        <f>D79+D87</f>
        <v>3581878</v>
      </c>
      <c r="E88" s="220">
        <f>D88/C88*100</f>
        <v>87.29504341260669</v>
      </c>
    </row>
    <row r="89" spans="1:5" ht="15.75">
      <c r="A89" s="56" t="s">
        <v>45</v>
      </c>
      <c r="B89" s="57"/>
      <c r="C89" s="57"/>
      <c r="D89" s="57"/>
      <c r="E89" s="202"/>
    </row>
    <row r="90" spans="1:5" ht="15.75">
      <c r="A90" s="26" t="s">
        <v>46</v>
      </c>
      <c r="B90" s="27"/>
      <c r="C90" s="27"/>
      <c r="D90" s="27"/>
      <c r="E90" s="197"/>
    </row>
    <row r="91" spans="1:5" ht="15.75">
      <c r="A91" s="26" t="s">
        <v>47</v>
      </c>
      <c r="B91" s="27"/>
      <c r="C91" s="27"/>
      <c r="D91" s="27"/>
      <c r="E91" s="197"/>
    </row>
    <row r="92" spans="1:5" ht="15.75">
      <c r="A92" s="26" t="s">
        <v>48</v>
      </c>
      <c r="B92" s="76"/>
      <c r="C92" s="76"/>
      <c r="D92" s="76">
        <v>-6155</v>
      </c>
      <c r="E92" s="220"/>
    </row>
    <row r="93" spans="1:5" ht="16.5" thickBot="1">
      <c r="A93" s="6" t="s">
        <v>49</v>
      </c>
      <c r="B93" s="76"/>
      <c r="C93" s="76"/>
      <c r="D93" s="76"/>
      <c r="E93" s="217"/>
    </row>
    <row r="94" spans="1:5" ht="16.5" thickBot="1">
      <c r="A94" s="68" t="s">
        <v>45</v>
      </c>
      <c r="B94" s="54">
        <v>0</v>
      </c>
      <c r="C94" s="54">
        <f>SUM(C90:C93)</f>
        <v>0</v>
      </c>
      <c r="D94" s="54">
        <f>SUM(D90:D93)</f>
        <v>-6155</v>
      </c>
      <c r="E94" s="222"/>
    </row>
    <row r="95" spans="1:5" ht="16.5" thickBot="1">
      <c r="A95" s="69" t="s">
        <v>50</v>
      </c>
      <c r="B95" s="77">
        <v>0</v>
      </c>
      <c r="C95" s="77">
        <f>C88+C94</f>
        <v>4103186</v>
      </c>
      <c r="D95" s="77">
        <f>D88+D94</f>
        <v>3575723</v>
      </c>
      <c r="E95" s="215">
        <f>D95/C95*100</f>
        <v>87.14503802654815</v>
      </c>
    </row>
    <row r="98" spans="4:8" ht="12.75">
      <c r="D98" s="263"/>
      <c r="E98" s="92"/>
      <c r="F98" s="92"/>
      <c r="G98" s="92"/>
      <c r="H98" s="92"/>
    </row>
  </sheetData>
  <sheetProtection/>
  <mergeCells count="5">
    <mergeCell ref="E4:E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7.7109375" style="0" bestFit="1" customWidth="1"/>
    <col min="2" max="2" width="13.57421875" style="0" customWidth="1"/>
    <col min="3" max="3" width="12.7109375" style="0" customWidth="1"/>
    <col min="4" max="4" width="13.28125" style="0" customWidth="1"/>
    <col min="5" max="5" width="13.7109375" style="0" customWidth="1"/>
  </cols>
  <sheetData>
    <row r="2" ht="12.75">
      <c r="D2" s="315" t="s">
        <v>326</v>
      </c>
    </row>
    <row r="3" ht="13.5" thickBot="1"/>
    <row r="4" spans="1:5" ht="12.75" customHeight="1">
      <c r="A4" s="316" t="s">
        <v>0</v>
      </c>
      <c r="B4" s="316" t="s">
        <v>99</v>
      </c>
      <c r="C4" s="316" t="s">
        <v>201</v>
      </c>
      <c r="D4" s="316" t="s">
        <v>269</v>
      </c>
      <c r="E4" s="316" t="s">
        <v>227</v>
      </c>
    </row>
    <row r="5" spans="1:5" ht="20.25" customHeight="1" thickBot="1">
      <c r="A5" s="317"/>
      <c r="B5" s="317"/>
      <c r="C5" s="317"/>
      <c r="D5" s="317"/>
      <c r="E5" s="317"/>
    </row>
    <row r="6" spans="1:5" ht="15.75">
      <c r="A6" s="22" t="s">
        <v>8</v>
      </c>
      <c r="B6" s="23"/>
      <c r="C6" s="23"/>
      <c r="D6" s="23"/>
      <c r="E6" s="198"/>
    </row>
    <row r="7" spans="1:5" ht="15.75">
      <c r="A7" s="24" t="s">
        <v>9</v>
      </c>
      <c r="B7" s="25"/>
      <c r="C7" s="25"/>
      <c r="D7" s="25"/>
      <c r="E7" s="199"/>
    </row>
    <row r="8" spans="1:5" ht="15.75">
      <c r="A8" s="26" t="s">
        <v>158</v>
      </c>
      <c r="B8" s="27"/>
      <c r="C8" s="27">
        <v>0</v>
      </c>
      <c r="D8" s="27">
        <v>0</v>
      </c>
      <c r="E8" s="197">
        <v>0</v>
      </c>
    </row>
    <row r="9" spans="1:5" ht="15.75">
      <c r="A9" s="26" t="s">
        <v>159</v>
      </c>
      <c r="B9" s="27"/>
      <c r="C9" s="27"/>
      <c r="D9" s="27">
        <v>300</v>
      </c>
      <c r="E9" s="220"/>
    </row>
    <row r="10" spans="1:5" ht="15.75">
      <c r="A10" s="26" t="s">
        <v>160</v>
      </c>
      <c r="B10" s="27"/>
      <c r="C10" s="27"/>
      <c r="D10" s="27"/>
      <c r="E10" s="220"/>
    </row>
    <row r="11" spans="1:5" ht="16.5" thickBot="1">
      <c r="A11" s="26" t="s">
        <v>161</v>
      </c>
      <c r="B11" s="27"/>
      <c r="C11" s="27">
        <v>6</v>
      </c>
      <c r="D11" s="27">
        <v>6</v>
      </c>
      <c r="E11" s="220"/>
    </row>
    <row r="12" spans="1:5" ht="16.5" thickBot="1">
      <c r="A12" s="28" t="s">
        <v>9</v>
      </c>
      <c r="B12" s="29"/>
      <c r="C12" s="29">
        <f>SUM(C8:C11)</f>
        <v>6</v>
      </c>
      <c r="D12" s="29">
        <f>SUM(D8:D11)</f>
        <v>306</v>
      </c>
      <c r="E12" s="212">
        <f>D12/C12*100</f>
        <v>5100</v>
      </c>
    </row>
    <row r="13" spans="1:5" ht="15.75">
      <c r="A13" s="30" t="s">
        <v>10</v>
      </c>
      <c r="B13" s="31"/>
      <c r="C13" s="31"/>
      <c r="D13" s="31"/>
      <c r="E13" s="200"/>
    </row>
    <row r="14" spans="1:5" ht="15.75">
      <c r="A14" s="32" t="s">
        <v>11</v>
      </c>
      <c r="B14" s="33"/>
      <c r="C14" s="33"/>
      <c r="D14" s="33"/>
      <c r="E14" s="220"/>
    </row>
    <row r="15" spans="1:5" ht="15.75">
      <c r="A15" s="32" t="s">
        <v>12</v>
      </c>
      <c r="B15" s="33"/>
      <c r="C15" s="33"/>
      <c r="D15" s="33"/>
      <c r="E15" s="220"/>
    </row>
    <row r="16" spans="1:5" ht="15.75">
      <c r="A16" s="32" t="s">
        <v>72</v>
      </c>
      <c r="B16" s="33"/>
      <c r="C16" s="33"/>
      <c r="D16" s="33"/>
      <c r="E16" s="220"/>
    </row>
    <row r="17" spans="1:5" ht="15.75">
      <c r="A17" s="34" t="s">
        <v>162</v>
      </c>
      <c r="B17" s="27"/>
      <c r="C17" s="27"/>
      <c r="D17" s="27"/>
      <c r="E17" s="220"/>
    </row>
    <row r="18" spans="1:5" ht="15.75">
      <c r="A18" s="35" t="s">
        <v>14</v>
      </c>
      <c r="B18" s="25"/>
      <c r="C18" s="25"/>
      <c r="D18" s="25"/>
      <c r="E18" s="220"/>
    </row>
    <row r="19" spans="1:5" ht="16.5" thickBot="1">
      <c r="A19" s="34" t="s">
        <v>220</v>
      </c>
      <c r="B19" s="27"/>
      <c r="C19" s="27"/>
      <c r="D19" s="27"/>
      <c r="E19" s="220"/>
    </row>
    <row r="20" spans="1:5" ht="16.5" thickBot="1">
      <c r="A20" s="36" t="s">
        <v>10</v>
      </c>
      <c r="B20" s="37"/>
      <c r="C20" s="37">
        <f>SUM(C15:C19)</f>
        <v>0</v>
      </c>
      <c r="D20" s="37">
        <f>SUM(D15:D19)</f>
        <v>0</v>
      </c>
      <c r="E20" s="212"/>
    </row>
    <row r="21" spans="1:5" ht="15.75">
      <c r="A21" s="38" t="s">
        <v>15</v>
      </c>
      <c r="B21" s="39"/>
      <c r="C21" s="27"/>
      <c r="D21" s="27"/>
      <c r="E21" s="201"/>
    </row>
    <row r="22" spans="1:5" ht="15.75">
      <c r="A22" s="34" t="s">
        <v>163</v>
      </c>
      <c r="B22" s="27"/>
      <c r="C22" s="27"/>
      <c r="D22" s="27"/>
      <c r="E22" s="197"/>
    </row>
    <row r="23" spans="1:5" ht="15.75">
      <c r="A23" s="34" t="s">
        <v>16</v>
      </c>
      <c r="B23" s="27"/>
      <c r="C23" s="27"/>
      <c r="D23" s="27"/>
      <c r="E23" s="197"/>
    </row>
    <row r="24" spans="1:5" ht="15.75">
      <c r="A24" s="34" t="s">
        <v>17</v>
      </c>
      <c r="B24" s="27"/>
      <c r="C24" s="25"/>
      <c r="D24" s="25"/>
      <c r="E24" s="220"/>
    </row>
    <row r="25" spans="1:5" ht="16.5" thickBot="1">
      <c r="A25" s="40" t="s">
        <v>18</v>
      </c>
      <c r="B25" s="41"/>
      <c r="C25" s="41"/>
      <c r="D25" s="41"/>
      <c r="E25" s="220"/>
    </row>
    <row r="26" spans="1:5" ht="16.5" thickBot="1">
      <c r="A26" s="42" t="s">
        <v>15</v>
      </c>
      <c r="B26" s="262"/>
      <c r="C26" s="262">
        <f>SUM(C22:C25)</f>
        <v>0</v>
      </c>
      <c r="D26" s="262">
        <f>SUM(D22:D25)</f>
        <v>0</v>
      </c>
      <c r="E26" s="212"/>
    </row>
    <row r="27" spans="1:5" ht="15.75">
      <c r="A27" s="44" t="s">
        <v>19</v>
      </c>
      <c r="B27" s="75"/>
      <c r="C27" s="46"/>
      <c r="D27" s="46"/>
      <c r="E27" s="198"/>
    </row>
    <row r="28" spans="1:5" ht="15.75">
      <c r="A28" s="45" t="s">
        <v>245</v>
      </c>
      <c r="B28" s="46"/>
      <c r="C28" s="48"/>
      <c r="D28" s="48"/>
      <c r="E28" s="220"/>
    </row>
    <row r="29" spans="1:5" ht="15.75">
      <c r="A29" s="47" t="s">
        <v>207</v>
      </c>
      <c r="B29" s="48"/>
      <c r="C29" s="48"/>
      <c r="D29" s="48"/>
      <c r="E29" s="220"/>
    </row>
    <row r="30" spans="1:5" ht="15.75">
      <c r="A30" s="47" t="s">
        <v>20</v>
      </c>
      <c r="B30" s="48"/>
      <c r="C30" s="50"/>
      <c r="D30" s="50"/>
      <c r="E30" s="220"/>
    </row>
    <row r="31" spans="1:5" ht="15.75">
      <c r="A31" s="49" t="s">
        <v>184</v>
      </c>
      <c r="B31" s="50"/>
      <c r="C31" s="48"/>
      <c r="D31" s="48"/>
      <c r="E31" s="220"/>
    </row>
    <row r="32" spans="1:5" ht="15.75">
      <c r="A32" s="47" t="s">
        <v>215</v>
      </c>
      <c r="B32" s="48"/>
      <c r="C32" s="48"/>
      <c r="D32" s="48"/>
      <c r="E32" s="220"/>
    </row>
    <row r="33" spans="1:5" ht="15.75">
      <c r="A33" s="47" t="s">
        <v>216</v>
      </c>
      <c r="B33" s="48"/>
      <c r="C33" s="50"/>
      <c r="D33" s="50"/>
      <c r="E33" s="220"/>
    </row>
    <row r="34" spans="1:5" ht="15.75">
      <c r="A34" s="47" t="s">
        <v>217</v>
      </c>
      <c r="B34" s="48"/>
      <c r="C34" s="48"/>
      <c r="D34" s="27"/>
      <c r="E34" s="220"/>
    </row>
    <row r="35" spans="1:5" ht="15.75">
      <c r="A35" s="34" t="s">
        <v>240</v>
      </c>
      <c r="B35" s="27"/>
      <c r="C35" s="27"/>
      <c r="D35" s="27"/>
      <c r="E35" s="197"/>
    </row>
    <row r="36" spans="1:5" ht="15.75">
      <c r="A36" s="34" t="s">
        <v>241</v>
      </c>
      <c r="B36" s="27"/>
      <c r="C36" s="27"/>
      <c r="D36" s="27"/>
      <c r="E36" s="197"/>
    </row>
    <row r="37" spans="1:5" ht="15.75">
      <c r="A37" s="34" t="s">
        <v>242</v>
      </c>
      <c r="B37" s="27"/>
      <c r="C37" s="27"/>
      <c r="D37" s="27"/>
      <c r="E37" s="220"/>
    </row>
    <row r="38" spans="1:5" ht="15.75">
      <c r="A38" s="34" t="s">
        <v>243</v>
      </c>
      <c r="B38" s="27"/>
      <c r="C38" s="27"/>
      <c r="D38" s="27"/>
      <c r="E38" s="220"/>
    </row>
    <row r="39" spans="1:5" ht="16.5" thickBot="1">
      <c r="A39" s="257" t="s">
        <v>244</v>
      </c>
      <c r="B39" s="75"/>
      <c r="C39" s="75"/>
      <c r="D39" s="75"/>
      <c r="E39" s="197"/>
    </row>
    <row r="40" spans="1:5" ht="16.5" thickBot="1">
      <c r="A40" s="51" t="s">
        <v>164</v>
      </c>
      <c r="B40" s="52"/>
      <c r="C40" s="52">
        <f>SUM(C28:C39)</f>
        <v>0</v>
      </c>
      <c r="D40" s="52">
        <f>SUM(D28:D39)</f>
        <v>0</v>
      </c>
      <c r="E40" s="212"/>
    </row>
    <row r="41" spans="1:5" ht="16.5" thickBot="1">
      <c r="A41" s="53" t="s">
        <v>165</v>
      </c>
      <c r="B41" s="54"/>
      <c r="C41" s="54"/>
      <c r="D41" s="54"/>
      <c r="E41" s="212"/>
    </row>
    <row r="42" spans="1:5" ht="16.5" thickBot="1">
      <c r="A42" s="53" t="s">
        <v>166</v>
      </c>
      <c r="B42" s="54"/>
      <c r="C42" s="54">
        <v>23015</v>
      </c>
      <c r="D42" s="54">
        <v>23015</v>
      </c>
      <c r="E42" s="313">
        <f>D42/C42*100</f>
        <v>100</v>
      </c>
    </row>
    <row r="43" spans="1:5" ht="16.5" thickBot="1">
      <c r="A43" s="53" t="s">
        <v>209</v>
      </c>
      <c r="B43" s="54"/>
      <c r="C43" s="54"/>
      <c r="D43" s="54"/>
      <c r="E43" s="212"/>
    </row>
    <row r="44" spans="1:5" ht="16.5" thickBot="1">
      <c r="A44" s="55" t="s">
        <v>21</v>
      </c>
      <c r="B44" s="54"/>
      <c r="C44" s="54">
        <f>SUM(C43+C42+C41+C40+C31+C25+C18+C12)</f>
        <v>23021</v>
      </c>
      <c r="D44" s="54">
        <f>SUM(D43+D42+D41+D40+D31+D25+D18+D12)</f>
        <v>23321</v>
      </c>
      <c r="E44" s="313">
        <f>D44/C44*100</f>
        <v>101.30315798618652</v>
      </c>
    </row>
    <row r="45" spans="1:5" ht="15.75">
      <c r="A45" s="56" t="s">
        <v>22</v>
      </c>
      <c r="B45" s="57"/>
      <c r="C45" s="57"/>
      <c r="D45" s="57"/>
      <c r="E45" s="202"/>
    </row>
    <row r="46" spans="1:5" ht="15.75">
      <c r="A46" s="47" t="s">
        <v>167</v>
      </c>
      <c r="B46" s="48"/>
      <c r="C46" s="48">
        <v>0</v>
      </c>
      <c r="D46" s="48">
        <v>0</v>
      </c>
      <c r="E46" s="197"/>
    </row>
    <row r="47" spans="1:5" ht="15.75">
      <c r="A47" s="45" t="s">
        <v>168</v>
      </c>
      <c r="B47" s="48"/>
      <c r="C47" s="48"/>
      <c r="D47" s="48"/>
      <c r="E47" s="220"/>
    </row>
    <row r="48" spans="1:5" ht="16.5" thickBot="1">
      <c r="A48" s="62" t="s">
        <v>24</v>
      </c>
      <c r="B48" s="59"/>
      <c r="C48" s="59"/>
      <c r="D48" s="59"/>
      <c r="E48" s="203"/>
    </row>
    <row r="49" spans="1:5" ht="16.5" thickBot="1">
      <c r="A49" s="60" t="s">
        <v>22</v>
      </c>
      <c r="B49" s="61"/>
      <c r="C49" s="61">
        <f>SUM(C46:C47)</f>
        <v>0</v>
      </c>
      <c r="D49" s="61">
        <f>SUM(D46:D47)</f>
        <v>0</v>
      </c>
      <c r="E49" s="212"/>
    </row>
    <row r="50" spans="1:5" ht="15.75">
      <c r="A50" s="56" t="s">
        <v>23</v>
      </c>
      <c r="B50" s="57"/>
      <c r="C50" s="57"/>
      <c r="D50" s="57"/>
      <c r="E50" s="202"/>
    </row>
    <row r="51" spans="1:5" ht="15.75">
      <c r="A51" s="45" t="s">
        <v>76</v>
      </c>
      <c r="B51" s="46"/>
      <c r="C51" s="46">
        <v>0</v>
      </c>
      <c r="D51" s="46">
        <v>0</v>
      </c>
      <c r="E51" s="197"/>
    </row>
    <row r="52" spans="1:5" ht="15.75">
      <c r="A52" s="47" t="s">
        <v>169</v>
      </c>
      <c r="B52" s="48"/>
      <c r="C52" s="48">
        <v>624277</v>
      </c>
      <c r="D52" s="48">
        <v>619357</v>
      </c>
      <c r="E52" s="197">
        <f>D52/C52*100</f>
        <v>99.2118883123998</v>
      </c>
    </row>
    <row r="53" spans="1:5" ht="16.5" thickBot="1">
      <c r="A53" s="62" t="s">
        <v>24</v>
      </c>
      <c r="B53" s="63"/>
      <c r="C53" s="63">
        <v>0</v>
      </c>
      <c r="D53" s="63">
        <v>0</v>
      </c>
      <c r="E53" s="197"/>
    </row>
    <row r="54" spans="1:5" ht="16.5" thickBot="1">
      <c r="A54" s="64" t="s">
        <v>25</v>
      </c>
      <c r="B54" s="61"/>
      <c r="C54" s="61">
        <f>SUM(C51:C53)</f>
        <v>624277</v>
      </c>
      <c r="D54" s="61">
        <f>SUM(D51:D53)</f>
        <v>619357</v>
      </c>
      <c r="E54" s="197">
        <f>D54/C54*100</f>
        <v>99.2118883123998</v>
      </c>
    </row>
    <row r="55" spans="1:5" ht="15.75">
      <c r="A55" s="56" t="s">
        <v>26</v>
      </c>
      <c r="B55" s="65"/>
      <c r="C55" s="65"/>
      <c r="D55" s="65"/>
      <c r="E55" s="204"/>
    </row>
    <row r="56" spans="1:5" ht="15.75">
      <c r="A56" s="47" t="s">
        <v>27</v>
      </c>
      <c r="B56" s="48"/>
      <c r="C56" s="48"/>
      <c r="D56" s="48"/>
      <c r="E56" s="197"/>
    </row>
    <row r="57" spans="1:5" ht="15.75">
      <c r="A57" s="47" t="s">
        <v>171</v>
      </c>
      <c r="B57" s="48"/>
      <c r="C57" s="48"/>
      <c r="D57" s="48"/>
      <c r="E57" s="197"/>
    </row>
    <row r="58" spans="1:5" ht="15.75">
      <c r="A58" s="47" t="s">
        <v>172</v>
      </c>
      <c r="B58" s="193"/>
      <c r="C58" s="48"/>
      <c r="D58" s="48"/>
      <c r="E58" s="220"/>
    </row>
    <row r="59" spans="1:5" ht="16.5" thickBot="1">
      <c r="A59" s="49" t="s">
        <v>219</v>
      </c>
      <c r="B59" s="63"/>
      <c r="C59" s="61">
        <f>SUM(C56:C58)</f>
        <v>0</v>
      </c>
      <c r="D59" s="61">
        <f>SUM(D56:D58)</f>
        <v>0</v>
      </c>
      <c r="E59" s="197"/>
    </row>
    <row r="60" spans="1:5" ht="16.5" thickBot="1">
      <c r="A60" s="28" t="s">
        <v>26</v>
      </c>
      <c r="B60" s="61"/>
      <c r="C60" s="52">
        <f>SUM(C56:C59)</f>
        <v>0</v>
      </c>
      <c r="D60" s="52">
        <f>SUM(D56:D59)</f>
        <v>0</v>
      </c>
      <c r="E60" s="212"/>
    </row>
    <row r="61" spans="1:5" ht="16.5" thickBot="1">
      <c r="A61" s="66" t="s">
        <v>28</v>
      </c>
      <c r="B61" s="52"/>
      <c r="C61" s="52">
        <f>SUM(C60+C54+C49)</f>
        <v>624277</v>
      </c>
      <c r="D61" s="52">
        <f>SUM(D60+D54+D49)</f>
        <v>619357</v>
      </c>
      <c r="E61" s="280">
        <f>D61/C61*100</f>
        <v>99.2118883123998</v>
      </c>
    </row>
    <row r="62" spans="1:5" ht="16.5" thickBot="1">
      <c r="A62" s="67" t="s">
        <v>29</v>
      </c>
      <c r="B62" s="52"/>
      <c r="C62" s="52">
        <f>C44+C61</f>
        <v>647298</v>
      </c>
      <c r="D62" s="52">
        <f>D44+D61</f>
        <v>642678</v>
      </c>
      <c r="E62" s="280">
        <f>D62/C62*100</f>
        <v>99.28626382284513</v>
      </c>
    </row>
    <row r="63" spans="1:5" ht="15.75">
      <c r="A63" s="56" t="s">
        <v>30</v>
      </c>
      <c r="B63" s="57"/>
      <c r="D63" s="46"/>
      <c r="E63" s="202"/>
    </row>
    <row r="64" spans="1:5" ht="15.75">
      <c r="A64" s="45" t="s">
        <v>210</v>
      </c>
      <c r="B64" s="46"/>
      <c r="C64" s="48"/>
      <c r="D64" s="48"/>
      <c r="E64" s="220"/>
    </row>
    <row r="65" spans="1:5" ht="15.75">
      <c r="A65" s="47" t="s">
        <v>31</v>
      </c>
      <c r="B65" s="48"/>
      <c r="C65" s="80"/>
      <c r="D65" s="80"/>
      <c r="E65" s="197"/>
    </row>
    <row r="66" spans="1:5" ht="15.75">
      <c r="A66" s="47" t="s">
        <v>173</v>
      </c>
      <c r="B66" s="80"/>
      <c r="C66" s="48"/>
      <c r="D66" s="48"/>
      <c r="E66" s="197"/>
    </row>
    <row r="67" spans="1:5" ht="15.75">
      <c r="A67" s="47" t="s">
        <v>32</v>
      </c>
      <c r="B67" s="48"/>
      <c r="C67" s="48"/>
      <c r="D67" s="48"/>
      <c r="E67" s="197"/>
    </row>
    <row r="68" spans="1:5" ht="15.75">
      <c r="A68" s="47" t="s">
        <v>174</v>
      </c>
      <c r="B68" s="48"/>
      <c r="C68" s="48"/>
      <c r="D68" s="48">
        <v>-300</v>
      </c>
      <c r="E68" s="197"/>
    </row>
    <row r="69" spans="1:5" ht="16.5" thickBot="1">
      <c r="A69" s="68" t="s">
        <v>30</v>
      </c>
      <c r="B69" s="61"/>
      <c r="C69" s="61">
        <f>SUM(C63:C68)</f>
        <v>0</v>
      </c>
      <c r="D69" s="61">
        <f>SUM(D63:D68)</f>
        <v>-300</v>
      </c>
      <c r="E69" s="221"/>
    </row>
    <row r="70" spans="1:5" ht="16.5" thickBot="1">
      <c r="A70" s="69" t="s">
        <v>33</v>
      </c>
      <c r="B70" s="70">
        <v>0</v>
      </c>
      <c r="C70" s="70">
        <f>C69+C62</f>
        <v>647298</v>
      </c>
      <c r="D70" s="70">
        <f>D69+D62</f>
        <v>642378</v>
      </c>
      <c r="E70" s="215">
        <f>D70/C70*100</f>
        <v>99.23991731783505</v>
      </c>
    </row>
    <row r="71" spans="1:5" ht="16.5" thickBot="1">
      <c r="A71" s="71"/>
      <c r="B71" s="72"/>
      <c r="C71" s="72"/>
      <c r="D71" s="72"/>
      <c r="E71" s="205"/>
    </row>
    <row r="72" spans="1:5" ht="15.75">
      <c r="A72" s="73" t="s">
        <v>34</v>
      </c>
      <c r="B72" s="25"/>
      <c r="C72" s="25"/>
      <c r="D72" s="25"/>
      <c r="E72" s="199"/>
    </row>
    <row r="73" spans="1:5" ht="15.75">
      <c r="A73" s="26" t="s">
        <v>35</v>
      </c>
      <c r="B73" s="27"/>
      <c r="C73" s="27">
        <v>5015</v>
      </c>
      <c r="D73" s="27">
        <v>5015</v>
      </c>
      <c r="E73" s="197">
        <f>D73/C73*100</f>
        <v>100</v>
      </c>
    </row>
    <row r="74" spans="1:5" ht="15.75">
      <c r="A74" s="26" t="s">
        <v>175</v>
      </c>
      <c r="B74" s="27"/>
      <c r="C74" s="27">
        <v>1456</v>
      </c>
      <c r="D74" s="27">
        <v>1456</v>
      </c>
      <c r="E74" s="197">
        <f>D74/C74*100</f>
        <v>100</v>
      </c>
    </row>
    <row r="75" spans="1:5" ht="15.75">
      <c r="A75" s="26" t="s">
        <v>176</v>
      </c>
      <c r="B75" s="27"/>
      <c r="C75" s="27">
        <v>16550</v>
      </c>
      <c r="D75" s="27">
        <v>3326</v>
      </c>
      <c r="E75" s="197">
        <f>D75/C75*100</f>
        <v>20.09667673716012</v>
      </c>
    </row>
    <row r="76" spans="1:5" ht="15.75">
      <c r="A76" s="26" t="s">
        <v>177</v>
      </c>
      <c r="B76" s="27"/>
      <c r="C76" s="27"/>
      <c r="D76" s="27"/>
      <c r="E76" s="220"/>
    </row>
    <row r="77" spans="1:5" ht="15.75">
      <c r="A77" s="26" t="s">
        <v>178</v>
      </c>
      <c r="B77" s="27"/>
      <c r="C77" s="27"/>
      <c r="D77" s="27"/>
      <c r="E77" s="220"/>
    </row>
    <row r="78" spans="1:5" ht="16.5" thickBot="1">
      <c r="A78" s="3" t="s">
        <v>79</v>
      </c>
      <c r="B78" s="25"/>
      <c r="C78" s="25"/>
      <c r="D78" s="25"/>
      <c r="E78" s="220"/>
    </row>
    <row r="79" spans="1:5" ht="16.5" thickBot="1">
      <c r="A79" s="66" t="s">
        <v>36</v>
      </c>
      <c r="B79" s="52"/>
      <c r="C79" s="52">
        <f>SUM(C73:C78)</f>
        <v>23021</v>
      </c>
      <c r="D79" s="52">
        <f>SUM(D73:D78)</f>
        <v>9797</v>
      </c>
      <c r="E79" s="280">
        <f>D79/C79*100</f>
        <v>42.556795968897966</v>
      </c>
    </row>
    <row r="80" spans="1:5" ht="15.75">
      <c r="A80" s="74" t="s">
        <v>37</v>
      </c>
      <c r="B80" s="75"/>
      <c r="C80" s="75">
        <v>0</v>
      </c>
      <c r="D80" s="75"/>
      <c r="E80" s="216"/>
    </row>
    <row r="81" spans="1:5" ht="15.75">
      <c r="A81" s="74" t="s">
        <v>38</v>
      </c>
      <c r="B81" s="75"/>
      <c r="C81" s="75">
        <v>624277</v>
      </c>
      <c r="D81" s="75">
        <v>617541</v>
      </c>
      <c r="E81" s="197">
        <f>D81/C81*100</f>
        <v>98.92099180331809</v>
      </c>
    </row>
    <row r="82" spans="1:5" ht="15.75">
      <c r="A82" s="74" t="s">
        <v>39</v>
      </c>
      <c r="B82" s="75"/>
      <c r="C82" s="75">
        <v>0</v>
      </c>
      <c r="D82" s="75">
        <v>0</v>
      </c>
      <c r="E82" s="220"/>
    </row>
    <row r="83" spans="1:5" ht="15.75">
      <c r="A83" s="26" t="s">
        <v>40</v>
      </c>
      <c r="B83" s="27"/>
      <c r="C83" s="27"/>
      <c r="D83" s="27"/>
      <c r="E83" s="220"/>
    </row>
    <row r="84" spans="1:5" ht="15.75">
      <c r="A84" s="26" t="s">
        <v>41</v>
      </c>
      <c r="B84" s="27"/>
      <c r="C84" s="27"/>
      <c r="D84" s="27"/>
      <c r="E84" s="220"/>
    </row>
    <row r="85" spans="1:5" ht="15.75">
      <c r="A85" s="26" t="s">
        <v>42</v>
      </c>
      <c r="B85" s="27"/>
      <c r="C85" s="27"/>
      <c r="D85" s="27"/>
      <c r="E85" s="220"/>
    </row>
    <row r="86" spans="1:5" ht="16.5" thickBot="1">
      <c r="A86" s="3"/>
      <c r="B86" s="25"/>
      <c r="C86" s="25"/>
      <c r="D86" s="25"/>
      <c r="E86" s="217"/>
    </row>
    <row r="87" spans="1:5" ht="16.5" thickBot="1">
      <c r="A87" s="66" t="s">
        <v>43</v>
      </c>
      <c r="B87" s="52"/>
      <c r="C87" s="52">
        <f>SUM(C80:C86)</f>
        <v>624277</v>
      </c>
      <c r="D87" s="52">
        <f>SUM(D80:D86)</f>
        <v>617541</v>
      </c>
      <c r="E87" s="280">
        <f>D87/C87*100</f>
        <v>98.92099180331809</v>
      </c>
    </row>
    <row r="88" spans="1:5" ht="16.5" thickBot="1">
      <c r="A88" s="28" t="s">
        <v>44</v>
      </c>
      <c r="B88" s="54"/>
      <c r="C88" s="54">
        <f>C79+C87</f>
        <v>647298</v>
      </c>
      <c r="D88" s="54">
        <f>D79+D87</f>
        <v>627338</v>
      </c>
      <c r="E88" s="313">
        <f>D88/C88*100</f>
        <v>96.91641253333087</v>
      </c>
    </row>
    <row r="89" spans="1:5" ht="15.75">
      <c r="A89" s="56" t="s">
        <v>45</v>
      </c>
      <c r="B89" s="57"/>
      <c r="C89" s="57"/>
      <c r="D89" s="57"/>
      <c r="E89" s="202"/>
    </row>
    <row r="90" spans="1:5" ht="15.75">
      <c r="A90" s="26" t="s">
        <v>46</v>
      </c>
      <c r="B90" s="27"/>
      <c r="C90" s="27">
        <v>0</v>
      </c>
      <c r="D90" s="27">
        <v>0</v>
      </c>
      <c r="E90" s="197"/>
    </row>
    <row r="91" spans="1:5" ht="15.75">
      <c r="A91" s="26" t="s">
        <v>47</v>
      </c>
      <c r="B91" s="27"/>
      <c r="C91" s="27">
        <v>0</v>
      </c>
      <c r="D91" s="27">
        <v>0</v>
      </c>
      <c r="E91" s="197"/>
    </row>
    <row r="92" spans="1:5" ht="15.75">
      <c r="A92" s="26" t="s">
        <v>48</v>
      </c>
      <c r="B92" s="76"/>
      <c r="C92" s="76">
        <v>0</v>
      </c>
      <c r="D92" s="76">
        <v>0</v>
      </c>
      <c r="E92" s="220"/>
    </row>
    <row r="93" spans="1:5" ht="16.5" thickBot="1">
      <c r="A93" s="6" t="s">
        <v>49</v>
      </c>
      <c r="B93" s="76"/>
      <c r="C93" s="76">
        <v>0</v>
      </c>
      <c r="D93" s="76">
        <v>0</v>
      </c>
      <c r="E93" s="217"/>
    </row>
    <row r="94" spans="1:5" ht="16.5" thickBot="1">
      <c r="A94" s="68" t="s">
        <v>45</v>
      </c>
      <c r="B94" s="54"/>
      <c r="C94" s="54">
        <f>SUM(C89:C93)</f>
        <v>0</v>
      </c>
      <c r="D94" s="54">
        <f>SUM(D89:D93)</f>
        <v>0</v>
      </c>
      <c r="E94" s="222"/>
    </row>
    <row r="95" spans="1:5" ht="16.5" thickBot="1">
      <c r="A95" s="69" t="s">
        <v>50</v>
      </c>
      <c r="B95" s="77">
        <v>0</v>
      </c>
      <c r="C95" s="77">
        <f>SUM(C79+C87+C94)</f>
        <v>647298</v>
      </c>
      <c r="D95" s="77">
        <f>SUM(D79+D87+D94)</f>
        <v>627338</v>
      </c>
      <c r="E95" s="314">
        <f>D95/C95*100</f>
        <v>96.91641253333087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7.7109375" style="0" bestFit="1" customWidth="1"/>
    <col min="2" max="2" width="13.7109375" style="0" customWidth="1"/>
    <col min="3" max="3" width="12.00390625" style="0" customWidth="1"/>
    <col min="4" max="4" width="13.421875" style="0" customWidth="1"/>
    <col min="5" max="5" width="12.421875" style="0" customWidth="1"/>
  </cols>
  <sheetData>
    <row r="2" ht="12.75">
      <c r="D2" s="315" t="s">
        <v>327</v>
      </c>
    </row>
    <row r="3" ht="13.5" thickBot="1"/>
    <row r="4" spans="1:5" ht="12.75" customHeight="1">
      <c r="A4" s="316" t="s">
        <v>0</v>
      </c>
      <c r="B4" s="316" t="s">
        <v>99</v>
      </c>
      <c r="C4" s="316" t="s">
        <v>201</v>
      </c>
      <c r="D4" s="316" t="s">
        <v>269</v>
      </c>
      <c r="E4" s="316" t="s">
        <v>227</v>
      </c>
    </row>
    <row r="5" spans="1:5" ht="20.25" customHeight="1" thickBot="1">
      <c r="A5" s="317"/>
      <c r="B5" s="317"/>
      <c r="C5" s="317"/>
      <c r="D5" s="317"/>
      <c r="E5" s="317"/>
    </row>
    <row r="6" spans="1:5" ht="15.75">
      <c r="A6" s="22" t="s">
        <v>8</v>
      </c>
      <c r="B6" s="23"/>
      <c r="C6" s="23"/>
      <c r="D6" s="23"/>
      <c r="E6" s="198"/>
    </row>
    <row r="7" spans="1:5" ht="15.75">
      <c r="A7" s="24" t="s">
        <v>9</v>
      </c>
      <c r="B7" s="25"/>
      <c r="C7" s="25"/>
      <c r="D7" s="25"/>
      <c r="E7" s="199"/>
    </row>
    <row r="8" spans="1:5" ht="15.75">
      <c r="A8" s="26" t="s">
        <v>158</v>
      </c>
      <c r="B8" s="27"/>
      <c r="C8" s="27"/>
      <c r="D8" s="27"/>
      <c r="E8" s="197"/>
    </row>
    <row r="9" spans="1:5" ht="15.75">
      <c r="A9" s="26" t="s">
        <v>159</v>
      </c>
      <c r="B9" s="27"/>
      <c r="C9" s="27"/>
      <c r="D9" s="27"/>
      <c r="E9" s="220"/>
    </row>
    <row r="10" spans="1:5" ht="15.75">
      <c r="A10" s="26" t="s">
        <v>160</v>
      </c>
      <c r="B10" s="27"/>
      <c r="C10" s="27"/>
      <c r="D10" s="27"/>
      <c r="E10" s="220"/>
    </row>
    <row r="11" spans="1:5" ht="16.5" thickBot="1">
      <c r="A11" s="26" t="s">
        <v>161</v>
      </c>
      <c r="B11" s="27"/>
      <c r="C11" s="27"/>
      <c r="D11" s="41"/>
      <c r="E11" s="220"/>
    </row>
    <row r="12" spans="1:6" ht="16.5" thickBot="1">
      <c r="A12" s="28" t="s">
        <v>9</v>
      </c>
      <c r="B12" s="29">
        <v>0</v>
      </c>
      <c r="C12" s="29">
        <v>0</v>
      </c>
      <c r="D12" s="29">
        <v>0</v>
      </c>
      <c r="E12" s="212">
        <v>0</v>
      </c>
      <c r="F12" s="260"/>
    </row>
    <row r="13" spans="1:6" ht="15.75">
      <c r="A13" s="30" t="s">
        <v>10</v>
      </c>
      <c r="B13" s="31"/>
      <c r="C13" s="31"/>
      <c r="D13" s="31"/>
      <c r="E13" s="200"/>
      <c r="F13" s="261"/>
    </row>
    <row r="14" spans="1:5" ht="15.75">
      <c r="A14" s="32" t="s">
        <v>11</v>
      </c>
      <c r="B14" s="33"/>
      <c r="C14" s="33"/>
      <c r="D14" s="27"/>
      <c r="E14" s="220"/>
    </row>
    <row r="15" spans="1:5" ht="15.75">
      <c r="A15" s="32" t="s">
        <v>12</v>
      </c>
      <c r="B15" s="33"/>
      <c r="C15" s="33"/>
      <c r="D15" s="27"/>
      <c r="E15" s="220"/>
    </row>
    <row r="16" spans="1:5" ht="15.75">
      <c r="A16" s="32" t="s">
        <v>72</v>
      </c>
      <c r="B16" s="33"/>
      <c r="C16" s="33"/>
      <c r="D16" s="27"/>
      <c r="E16" s="220"/>
    </row>
    <row r="17" spans="1:5" ht="15.75">
      <c r="A17" s="34" t="s">
        <v>162</v>
      </c>
      <c r="B17" s="27"/>
      <c r="C17" s="27"/>
      <c r="D17" s="27"/>
      <c r="E17" s="220"/>
    </row>
    <row r="18" spans="1:5" ht="15.75">
      <c r="A18" s="35" t="s">
        <v>14</v>
      </c>
      <c r="B18" s="25"/>
      <c r="C18" s="25"/>
      <c r="D18" s="27"/>
      <c r="E18" s="220"/>
    </row>
    <row r="19" spans="1:5" ht="16.5" thickBot="1">
      <c r="A19" s="34" t="s">
        <v>220</v>
      </c>
      <c r="B19" s="27"/>
      <c r="C19" s="27"/>
      <c r="D19" s="75"/>
      <c r="E19" s="220"/>
    </row>
    <row r="20" spans="1:5" ht="16.5" thickBot="1">
      <c r="A20" s="36" t="s">
        <v>10</v>
      </c>
      <c r="B20" s="37">
        <v>0</v>
      </c>
      <c r="C20" s="37">
        <v>0</v>
      </c>
      <c r="D20" s="37">
        <v>0</v>
      </c>
      <c r="E20" s="212">
        <v>0</v>
      </c>
    </row>
    <row r="21" spans="1:5" ht="15.75">
      <c r="A21" s="38" t="s">
        <v>15</v>
      </c>
      <c r="B21" s="39"/>
      <c r="C21" s="39"/>
      <c r="D21" s="39"/>
      <c r="E21" s="201"/>
    </row>
    <row r="22" spans="1:5" ht="15.75">
      <c r="A22" s="34" t="s">
        <v>163</v>
      </c>
      <c r="B22" s="27"/>
      <c r="C22" s="27"/>
      <c r="D22" s="27"/>
      <c r="E22" s="197"/>
    </row>
    <row r="23" spans="1:5" ht="15.75">
      <c r="A23" s="34" t="s">
        <v>16</v>
      </c>
      <c r="B23" s="27"/>
      <c r="C23" s="27"/>
      <c r="D23" s="27"/>
      <c r="E23" s="197"/>
    </row>
    <row r="24" spans="1:5" ht="15.75">
      <c r="A24" s="34" t="s">
        <v>17</v>
      </c>
      <c r="B24" s="27"/>
      <c r="C24" s="27"/>
      <c r="D24" s="27"/>
      <c r="E24" s="220"/>
    </row>
    <row r="25" spans="1:5" ht="16.5" thickBot="1">
      <c r="A25" s="40" t="s">
        <v>18</v>
      </c>
      <c r="B25" s="41"/>
      <c r="C25" s="41"/>
      <c r="D25" s="41"/>
      <c r="E25" s="220"/>
    </row>
    <row r="26" spans="1:5" ht="16.5" thickBot="1">
      <c r="A26" s="42" t="s">
        <v>15</v>
      </c>
      <c r="B26" s="43">
        <v>0</v>
      </c>
      <c r="C26" s="43">
        <v>0</v>
      </c>
      <c r="D26" s="43">
        <v>0</v>
      </c>
      <c r="E26" s="212">
        <v>0</v>
      </c>
    </row>
    <row r="27" spans="1:5" ht="15.75">
      <c r="A27" s="44" t="s">
        <v>19</v>
      </c>
      <c r="B27" s="23"/>
      <c r="C27" s="23"/>
      <c r="D27" s="23"/>
      <c r="E27" s="198"/>
    </row>
    <row r="28" spans="1:5" ht="15.75">
      <c r="A28" s="45" t="s">
        <v>245</v>
      </c>
      <c r="B28" s="46"/>
      <c r="C28" s="46"/>
      <c r="D28" s="27"/>
      <c r="E28" s="220"/>
    </row>
    <row r="29" spans="1:5" ht="15.75">
      <c r="A29" s="47" t="s">
        <v>207</v>
      </c>
      <c r="B29" s="48"/>
      <c r="C29" s="48"/>
      <c r="D29" s="27"/>
      <c r="E29" s="220"/>
    </row>
    <row r="30" spans="1:5" ht="15.75">
      <c r="A30" s="47" t="s">
        <v>20</v>
      </c>
      <c r="B30" s="48"/>
      <c r="C30" s="48"/>
      <c r="D30" s="27"/>
      <c r="E30" s="220"/>
    </row>
    <row r="31" spans="1:5" ht="15.75">
      <c r="A31" s="49" t="s">
        <v>184</v>
      </c>
      <c r="B31" s="50"/>
      <c r="C31" s="50"/>
      <c r="D31" s="27"/>
      <c r="E31" s="220"/>
    </row>
    <row r="32" spans="1:5" ht="15.75">
      <c r="A32" s="47" t="s">
        <v>215</v>
      </c>
      <c r="B32" s="48"/>
      <c r="C32" s="48"/>
      <c r="D32" s="27"/>
      <c r="E32" s="220"/>
    </row>
    <row r="33" spans="1:5" ht="15.75">
      <c r="A33" s="47" t="s">
        <v>216</v>
      </c>
      <c r="B33" s="48"/>
      <c r="C33" s="48"/>
      <c r="D33" s="27"/>
      <c r="E33" s="220"/>
    </row>
    <row r="34" spans="1:5" ht="15.75">
      <c r="A34" s="47" t="s">
        <v>217</v>
      </c>
      <c r="B34" s="48"/>
      <c r="C34" s="48"/>
      <c r="D34" s="27"/>
      <c r="E34" s="220"/>
    </row>
    <row r="35" spans="1:5" ht="15.75">
      <c r="A35" s="34" t="s">
        <v>240</v>
      </c>
      <c r="B35" s="27"/>
      <c r="C35" s="27"/>
      <c r="D35" s="27"/>
      <c r="E35" s="197"/>
    </row>
    <row r="36" spans="1:5" ht="15.75">
      <c r="A36" s="34" t="s">
        <v>241</v>
      </c>
      <c r="B36" s="27"/>
      <c r="C36" s="27"/>
      <c r="D36" s="27"/>
      <c r="E36" s="197"/>
    </row>
    <row r="37" spans="1:5" ht="15.75">
      <c r="A37" s="34" t="s">
        <v>242</v>
      </c>
      <c r="B37" s="27"/>
      <c r="C37" s="27"/>
      <c r="D37" s="27"/>
      <c r="E37" s="220"/>
    </row>
    <row r="38" spans="1:5" ht="15.75">
      <c r="A38" s="34" t="s">
        <v>243</v>
      </c>
      <c r="B38" s="27"/>
      <c r="C38" s="27"/>
      <c r="D38" s="27"/>
      <c r="E38" s="220"/>
    </row>
    <row r="39" spans="1:5" ht="16.5" thickBot="1">
      <c r="A39" s="257" t="s">
        <v>244</v>
      </c>
      <c r="B39" s="75"/>
      <c r="C39" s="75"/>
      <c r="D39" s="75"/>
      <c r="E39" s="197"/>
    </row>
    <row r="40" spans="1:5" ht="16.5" thickBot="1">
      <c r="A40" s="51" t="s">
        <v>164</v>
      </c>
      <c r="B40" s="52">
        <v>0</v>
      </c>
      <c r="C40" s="52">
        <v>0</v>
      </c>
      <c r="D40" s="52">
        <v>0</v>
      </c>
      <c r="E40" s="212">
        <v>0</v>
      </c>
    </row>
    <row r="41" spans="1:5" ht="16.5" thickBot="1">
      <c r="A41" s="53" t="s">
        <v>165</v>
      </c>
      <c r="B41" s="54">
        <v>0</v>
      </c>
      <c r="C41" s="54">
        <v>0</v>
      </c>
      <c r="D41" s="37">
        <v>0</v>
      </c>
      <c r="E41" s="212">
        <v>0</v>
      </c>
    </row>
    <row r="42" spans="1:5" ht="16.5" thickBot="1">
      <c r="A42" s="53" t="s">
        <v>166</v>
      </c>
      <c r="B42" s="54">
        <v>0</v>
      </c>
      <c r="C42" s="54">
        <v>0</v>
      </c>
      <c r="D42" s="37">
        <v>0</v>
      </c>
      <c r="E42" s="212">
        <v>0</v>
      </c>
    </row>
    <row r="43" spans="1:5" ht="16.5" thickBot="1">
      <c r="A43" s="53" t="s">
        <v>209</v>
      </c>
      <c r="B43" s="54">
        <v>0</v>
      </c>
      <c r="C43" s="54">
        <v>0</v>
      </c>
      <c r="D43" s="37">
        <v>0</v>
      </c>
      <c r="E43" s="212">
        <v>0</v>
      </c>
    </row>
    <row r="44" spans="1:5" ht="16.5" thickBot="1">
      <c r="A44" s="55" t="s">
        <v>21</v>
      </c>
      <c r="B44" s="54">
        <v>0</v>
      </c>
      <c r="C44" s="54">
        <v>0</v>
      </c>
      <c r="D44" s="54">
        <v>0</v>
      </c>
      <c r="E44" s="212">
        <v>0</v>
      </c>
    </row>
    <row r="45" spans="1:5" ht="15.75">
      <c r="A45" s="56" t="s">
        <v>22</v>
      </c>
      <c r="B45" s="57"/>
      <c r="C45" s="57"/>
      <c r="D45" s="57"/>
      <c r="E45" s="202"/>
    </row>
    <row r="46" spans="1:5" ht="15.75">
      <c r="A46" s="47" t="s">
        <v>167</v>
      </c>
      <c r="B46" s="48"/>
      <c r="C46" s="48"/>
      <c r="D46" s="48"/>
      <c r="E46" s="197"/>
    </row>
    <row r="47" spans="1:5" ht="15.75">
      <c r="A47" s="45" t="s">
        <v>168</v>
      </c>
      <c r="B47" s="48"/>
      <c r="C47" s="48"/>
      <c r="D47" s="48"/>
      <c r="E47" s="220"/>
    </row>
    <row r="48" spans="1:5" ht="16.5" thickBot="1">
      <c r="A48" s="62" t="s">
        <v>24</v>
      </c>
      <c r="B48" s="59"/>
      <c r="C48" s="59"/>
      <c r="D48" s="59"/>
      <c r="E48" s="203"/>
    </row>
    <row r="49" spans="1:5" ht="16.5" thickBot="1">
      <c r="A49" s="60" t="s">
        <v>22</v>
      </c>
      <c r="B49" s="61">
        <v>0</v>
      </c>
      <c r="C49" s="61">
        <v>0</v>
      </c>
      <c r="D49" s="61">
        <v>0</v>
      </c>
      <c r="E49" s="212">
        <v>0</v>
      </c>
    </row>
    <row r="50" spans="1:5" ht="15.75">
      <c r="A50" s="56" t="s">
        <v>23</v>
      </c>
      <c r="B50" s="57"/>
      <c r="C50" s="57"/>
      <c r="D50" s="57"/>
      <c r="E50" s="202"/>
    </row>
    <row r="51" spans="1:5" ht="15.75">
      <c r="A51" s="45" t="s">
        <v>76</v>
      </c>
      <c r="B51" s="46"/>
      <c r="C51" s="46"/>
      <c r="D51" s="46"/>
      <c r="E51" s="197"/>
    </row>
    <row r="52" spans="1:5" ht="15.75">
      <c r="A52" s="47" t="s">
        <v>169</v>
      </c>
      <c r="B52" s="48"/>
      <c r="C52" s="48"/>
      <c r="D52" s="48"/>
      <c r="E52" s="197"/>
    </row>
    <row r="53" spans="1:5" ht="16.5" thickBot="1">
      <c r="A53" s="62" t="s">
        <v>24</v>
      </c>
      <c r="B53" s="63"/>
      <c r="C53" s="63"/>
      <c r="D53" s="63"/>
      <c r="E53" s="197"/>
    </row>
    <row r="54" spans="1:5" ht="16.5" thickBot="1">
      <c r="A54" s="64" t="s">
        <v>25</v>
      </c>
      <c r="B54" s="61">
        <v>0</v>
      </c>
      <c r="C54" s="61">
        <v>0</v>
      </c>
      <c r="D54" s="61">
        <v>0</v>
      </c>
      <c r="E54" s="212">
        <v>0</v>
      </c>
    </row>
    <row r="55" spans="1:5" ht="15.75">
      <c r="A55" s="56" t="s">
        <v>26</v>
      </c>
      <c r="B55" s="65"/>
      <c r="C55" s="65"/>
      <c r="D55" s="65"/>
      <c r="E55" s="204"/>
    </row>
    <row r="56" spans="1:5" ht="15.75">
      <c r="A56" s="47" t="s">
        <v>27</v>
      </c>
      <c r="B56" s="48"/>
      <c r="C56" s="48"/>
      <c r="D56" s="48"/>
      <c r="E56" s="197"/>
    </row>
    <row r="57" spans="1:5" ht="15.75">
      <c r="A57" s="47" t="s">
        <v>171</v>
      </c>
      <c r="B57" s="48"/>
      <c r="C57" s="48"/>
      <c r="D57" s="48"/>
      <c r="E57" s="197"/>
    </row>
    <row r="58" spans="1:5" ht="15.75">
      <c r="A58" s="47" t="s">
        <v>172</v>
      </c>
      <c r="B58" s="193"/>
      <c r="C58" s="48"/>
      <c r="D58" s="48"/>
      <c r="E58" s="220"/>
    </row>
    <row r="59" spans="1:5" ht="16.5" thickBot="1">
      <c r="A59" s="49" t="s">
        <v>219</v>
      </c>
      <c r="B59" s="63"/>
      <c r="C59" s="63"/>
      <c r="D59" s="63"/>
      <c r="E59" s="197"/>
    </row>
    <row r="60" spans="1:5" ht="16.5" thickBot="1">
      <c r="A60" s="28" t="s">
        <v>26</v>
      </c>
      <c r="B60" s="61">
        <v>0</v>
      </c>
      <c r="C60" s="61">
        <v>0</v>
      </c>
      <c r="D60" s="61">
        <v>0</v>
      </c>
      <c r="E60" s="212">
        <v>0</v>
      </c>
    </row>
    <row r="61" spans="1:5" ht="16.5" thickBot="1">
      <c r="A61" s="66" t="s">
        <v>28</v>
      </c>
      <c r="B61" s="52">
        <v>0</v>
      </c>
      <c r="C61" s="52">
        <v>0</v>
      </c>
      <c r="D61" s="52">
        <v>0</v>
      </c>
      <c r="E61" s="212">
        <v>0</v>
      </c>
    </row>
    <row r="62" spans="1:5" ht="16.5" thickBot="1">
      <c r="A62" s="67" t="s">
        <v>29</v>
      </c>
      <c r="B62" s="52">
        <v>0</v>
      </c>
      <c r="C62" s="52">
        <v>0</v>
      </c>
      <c r="D62" s="52">
        <v>0</v>
      </c>
      <c r="E62" s="212">
        <v>0</v>
      </c>
    </row>
    <row r="63" spans="1:5" ht="15.75">
      <c r="A63" s="56" t="s">
        <v>30</v>
      </c>
      <c r="B63" s="57"/>
      <c r="C63" s="57"/>
      <c r="D63" s="57"/>
      <c r="E63" s="202"/>
    </row>
    <row r="64" spans="1:5" ht="15.75">
      <c r="A64" s="45" t="s">
        <v>210</v>
      </c>
      <c r="B64" s="46"/>
      <c r="C64" s="46"/>
      <c r="D64" s="27"/>
      <c r="E64" s="220"/>
    </row>
    <row r="65" spans="1:5" ht="15.75">
      <c r="A65" s="47" t="s">
        <v>31</v>
      </c>
      <c r="B65" s="48"/>
      <c r="C65" s="48"/>
      <c r="D65" s="27"/>
      <c r="E65" s="197"/>
    </row>
    <row r="66" spans="1:5" ht="15.75">
      <c r="A66" s="47" t="s">
        <v>173</v>
      </c>
      <c r="B66" s="80"/>
      <c r="C66" s="80"/>
      <c r="D66" s="27"/>
      <c r="E66" s="197"/>
    </row>
    <row r="67" spans="1:5" ht="15.75">
      <c r="A67" s="47" t="s">
        <v>32</v>
      </c>
      <c r="B67" s="48"/>
      <c r="C67" s="48"/>
      <c r="D67" s="27"/>
      <c r="E67" s="197"/>
    </row>
    <row r="68" spans="1:5" ht="15.75">
      <c r="A68" s="47" t="s">
        <v>174</v>
      </c>
      <c r="B68" s="48"/>
      <c r="C68" s="48"/>
      <c r="D68" s="27"/>
      <c r="E68" s="197"/>
    </row>
    <row r="69" spans="1:5" ht="16.5" thickBot="1">
      <c r="A69" s="68" t="s">
        <v>30</v>
      </c>
      <c r="B69" s="61">
        <v>0</v>
      </c>
      <c r="C69" s="61">
        <v>0</v>
      </c>
      <c r="D69" s="61">
        <v>0</v>
      </c>
      <c r="E69" s="221">
        <v>0</v>
      </c>
    </row>
    <row r="70" spans="1:5" ht="16.5" thickBot="1">
      <c r="A70" s="69" t="s">
        <v>33</v>
      </c>
      <c r="B70" s="70">
        <v>0</v>
      </c>
      <c r="C70" s="70">
        <v>0</v>
      </c>
      <c r="D70" s="70">
        <v>0</v>
      </c>
      <c r="E70" s="215">
        <v>0</v>
      </c>
    </row>
    <row r="71" spans="1:5" ht="16.5" thickBot="1">
      <c r="A71" s="71"/>
      <c r="B71" s="72"/>
      <c r="C71" s="72"/>
      <c r="D71" s="72"/>
      <c r="E71" s="205"/>
    </row>
    <row r="72" spans="1:5" ht="15.75">
      <c r="A72" s="73" t="s">
        <v>34</v>
      </c>
      <c r="B72" s="25"/>
      <c r="C72" s="25"/>
      <c r="D72" s="25"/>
      <c r="E72" s="199"/>
    </row>
    <row r="73" spans="1:5" ht="15.75">
      <c r="A73" s="26" t="s">
        <v>35</v>
      </c>
      <c r="B73" s="27"/>
      <c r="C73" s="27"/>
      <c r="D73" s="27"/>
      <c r="E73" s="220"/>
    </row>
    <row r="74" spans="1:5" ht="15.75">
      <c r="A74" s="26" t="s">
        <v>175</v>
      </c>
      <c r="B74" s="27"/>
      <c r="C74" s="27"/>
      <c r="D74" s="27"/>
      <c r="E74" s="220"/>
    </row>
    <row r="75" spans="1:5" ht="15.75">
      <c r="A75" s="26" t="s">
        <v>176</v>
      </c>
      <c r="B75" s="27"/>
      <c r="C75" s="27"/>
      <c r="D75" s="27"/>
      <c r="E75" s="220"/>
    </row>
    <row r="76" spans="1:5" ht="15.75">
      <c r="A76" s="26" t="s">
        <v>177</v>
      </c>
      <c r="B76" s="27"/>
      <c r="C76" s="27"/>
      <c r="D76" s="192"/>
      <c r="E76" s="220"/>
    </row>
    <row r="77" spans="1:5" ht="15.75">
      <c r="A77" s="26" t="s">
        <v>178</v>
      </c>
      <c r="B77" s="27"/>
      <c r="C77" s="27"/>
      <c r="D77" s="192"/>
      <c r="E77" s="220"/>
    </row>
    <row r="78" spans="1:5" ht="16.5" thickBot="1">
      <c r="A78" s="3" t="s">
        <v>79</v>
      </c>
      <c r="B78" s="25"/>
      <c r="C78" s="25"/>
      <c r="D78" s="25"/>
      <c r="E78" s="220"/>
    </row>
    <row r="79" spans="1:5" ht="16.5" thickBot="1">
      <c r="A79" s="66" t="s">
        <v>36</v>
      </c>
      <c r="B79" s="52">
        <v>0</v>
      </c>
      <c r="C79" s="52">
        <v>0</v>
      </c>
      <c r="D79" s="52">
        <v>0</v>
      </c>
      <c r="E79" s="222">
        <v>0</v>
      </c>
    </row>
    <row r="80" spans="1:5" ht="15.75">
      <c r="A80" s="74" t="s">
        <v>37</v>
      </c>
      <c r="B80" s="75"/>
      <c r="C80" s="75"/>
      <c r="D80" s="23"/>
      <c r="E80" s="216"/>
    </row>
    <row r="81" spans="1:5" ht="15.75">
      <c r="A81" s="74" t="s">
        <v>38</v>
      </c>
      <c r="B81" s="75"/>
      <c r="C81" s="75"/>
      <c r="D81" s="27"/>
      <c r="E81" s="220"/>
    </row>
    <row r="82" spans="1:5" ht="15.75">
      <c r="A82" s="74" t="s">
        <v>39</v>
      </c>
      <c r="B82" s="75"/>
      <c r="C82" s="75"/>
      <c r="D82" s="27"/>
      <c r="E82" s="220"/>
    </row>
    <row r="83" spans="1:5" ht="15.75">
      <c r="A83" s="26" t="s">
        <v>40</v>
      </c>
      <c r="B83" s="27"/>
      <c r="C83" s="27"/>
      <c r="D83" s="27"/>
      <c r="E83" s="220"/>
    </row>
    <row r="84" spans="1:5" ht="15.75">
      <c r="A84" s="26" t="s">
        <v>41</v>
      </c>
      <c r="B84" s="27"/>
      <c r="C84" s="27"/>
      <c r="D84" s="27"/>
      <c r="E84" s="220"/>
    </row>
    <row r="85" spans="1:5" ht="15.75">
      <c r="A85" s="26" t="s">
        <v>42</v>
      </c>
      <c r="B85" s="27"/>
      <c r="C85" s="27"/>
      <c r="D85" s="27"/>
      <c r="E85" s="220"/>
    </row>
    <row r="86" spans="1:5" ht="16.5" thickBot="1">
      <c r="A86" s="3"/>
      <c r="B86" s="25"/>
      <c r="C86" s="25"/>
      <c r="D86" s="25"/>
      <c r="E86" s="217"/>
    </row>
    <row r="87" spans="1:5" ht="16.5" thickBot="1">
      <c r="A87" s="66" t="s">
        <v>43</v>
      </c>
      <c r="B87" s="52">
        <v>0</v>
      </c>
      <c r="C87" s="52">
        <v>0</v>
      </c>
      <c r="D87" s="52">
        <v>0</v>
      </c>
      <c r="E87" s="222">
        <v>0</v>
      </c>
    </row>
    <row r="88" spans="1:5" ht="16.5" thickBot="1">
      <c r="A88" s="28" t="s">
        <v>44</v>
      </c>
      <c r="B88" s="54">
        <v>0</v>
      </c>
      <c r="C88" s="54">
        <v>0</v>
      </c>
      <c r="D88" s="54">
        <v>0</v>
      </c>
      <c r="E88" s="222">
        <v>0</v>
      </c>
    </row>
    <row r="89" spans="1:5" ht="15.75">
      <c r="A89" s="56" t="s">
        <v>45</v>
      </c>
      <c r="B89" s="57"/>
      <c r="C89" s="57"/>
      <c r="D89" s="57"/>
      <c r="E89" s="202"/>
    </row>
    <row r="90" spans="1:5" ht="15.75">
      <c r="A90" s="26" t="s">
        <v>46</v>
      </c>
      <c r="B90" s="27"/>
      <c r="C90" s="27"/>
      <c r="D90" s="27"/>
      <c r="E90" s="197"/>
    </row>
    <row r="91" spans="1:5" ht="15.75">
      <c r="A91" s="26" t="s">
        <v>47</v>
      </c>
      <c r="B91" s="27"/>
      <c r="C91" s="27"/>
      <c r="D91" s="27"/>
      <c r="E91" s="197"/>
    </row>
    <row r="92" spans="1:5" ht="15.75">
      <c r="A92" s="26" t="s">
        <v>48</v>
      </c>
      <c r="B92" s="76"/>
      <c r="C92" s="76"/>
      <c r="D92" s="76"/>
      <c r="E92" s="220"/>
    </row>
    <row r="93" spans="1:5" ht="16.5" thickBot="1">
      <c r="A93" s="6" t="s">
        <v>49</v>
      </c>
      <c r="B93" s="76"/>
      <c r="C93" s="76"/>
      <c r="D93" s="76"/>
      <c r="E93" s="217"/>
    </row>
    <row r="94" spans="1:5" ht="16.5" thickBot="1">
      <c r="A94" s="68" t="s">
        <v>45</v>
      </c>
      <c r="B94" s="54">
        <v>0</v>
      </c>
      <c r="C94" s="54">
        <v>0</v>
      </c>
      <c r="D94" s="54">
        <v>0</v>
      </c>
      <c r="E94" s="222">
        <v>0</v>
      </c>
    </row>
    <row r="95" spans="1:5" ht="16.5" thickBot="1">
      <c r="A95" s="69" t="s">
        <v>50</v>
      </c>
      <c r="B95" s="77">
        <v>0</v>
      </c>
      <c r="C95" s="77">
        <v>0</v>
      </c>
      <c r="D95" s="77">
        <v>0</v>
      </c>
      <c r="E95" s="215">
        <v>0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/>
  <cp:lastModifiedBy>Polg. Hiv.</cp:lastModifiedBy>
  <cp:lastPrinted>2014-05-07T08:28:43Z</cp:lastPrinted>
  <dcterms:created xsi:type="dcterms:W3CDTF">2012-01-15T17:00:27Z</dcterms:created>
  <dcterms:modified xsi:type="dcterms:W3CDTF">2014-05-07T08:28:50Z</dcterms:modified>
  <cp:category/>
  <cp:version/>
  <cp:contentType/>
  <cp:contentStatus/>
</cp:coreProperties>
</file>