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75" windowWidth="12120" windowHeight="2460" tabRatio="803" activeTab="1"/>
  </bookViews>
  <sheets>
    <sheet name="önként2015." sheetId="1" r:id="rId1"/>
    <sheet name="kötelező2015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'kötelező2015.'!$A$1:$N$44</definedName>
    <definedName name="_xlnm.Print_Area" localSheetId="0">'önként2015.'!$A$1:$M$31</definedName>
  </definedNames>
  <calcPr fullCalcOnLoad="1"/>
</workbook>
</file>

<file path=xl/sharedStrings.xml><?xml version="1.0" encoding="utf-8"?>
<sst xmlns="http://schemas.openxmlformats.org/spreadsheetml/2006/main" count="96" uniqueCount="87">
  <si>
    <t>ezer Ft-ban</t>
  </si>
  <si>
    <t>Életkezdési támogatás</t>
  </si>
  <si>
    <t>Megnevezés</t>
  </si>
  <si>
    <t>Feladat-mutató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</si>
  <si>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</si>
  <si>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</si>
  <si>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</si>
  <si>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</si>
  <si>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</si>
  <si>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</si>
  <si>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</si>
  <si>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</si>
  <si>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</si>
  <si>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</si>
  <si>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</si>
  <si>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</si>
  <si>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</si>
  <si>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</si>
  <si>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</si>
  <si>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</si>
  <si>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</si>
  <si>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</si>
  <si>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</si>
  <si>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</si>
  <si>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</si>
  <si>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</si>
  <si>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</si>
  <si>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</si>
  <si>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</si>
  <si>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</si>
  <si>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</si>
  <si>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</si>
  <si>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</si>
  <si>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</si>
  <si>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</si>
  <si>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</si>
  <si>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</si>
  <si>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</si>
  <si>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</si>
  <si>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</si>
  <si>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</si>
  <si>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</si>
  <si>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</si>
  <si>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</si>
  <si>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</si>
  <si>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</si>
  <si>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</si>
  <si>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</si>
  <si>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</si>
  <si>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</si>
  <si>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</si>
  <si>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</si>
  <si>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</si>
  <si>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</si>
  <si>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</si>
  <si>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</si>
  <si>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2015. Működési költségvetés  -  Kötelezően előírt feladatkörök</t>
  </si>
  <si>
    <t>2015. Működési költségvetés -  Önként vállalt feladatkörök</t>
  </si>
  <si>
    <t>Feladat-mutató 2015.</t>
  </si>
  <si>
    <t>Saját intézményi bevételek 2015.</t>
  </si>
  <si>
    <t>Intézm.         bevételek fedezete % 2015.</t>
  </si>
  <si>
    <t>Állami támogatás + Tb.finansz.2015.</t>
  </si>
  <si>
    <t>Állami támogatás fedezete % 2015.</t>
  </si>
  <si>
    <t>Átvett pe.  2015.</t>
  </si>
  <si>
    <t>Átvett pe.       fedezete %  2015.</t>
  </si>
  <si>
    <t>Önkorm.       hozzájárulás 2015.</t>
  </si>
  <si>
    <t>Önkormányzati hozzájárulás fedezete % 2015.</t>
  </si>
  <si>
    <t>Saját intézményi bevételek
2015.</t>
  </si>
  <si>
    <t>Intézm. bevételek fedezete %
2015.</t>
  </si>
  <si>
    <t>Önkorm. hozzájárulás
2015.</t>
  </si>
  <si>
    <t>Állami támogatás 
2015.</t>
  </si>
  <si>
    <t>OEP fin. +átvett pe.
2015.</t>
  </si>
  <si>
    <t>Képviselő-testület kiadásai</t>
  </si>
  <si>
    <t>Jelzőrendszeres házi segítségnyújtás</t>
  </si>
  <si>
    <t>Polgármesteri Hivatal</t>
  </si>
  <si>
    <t>Államigazgatási feladatok</t>
  </si>
  <si>
    <t>Önkorm.műk. kapcs. kiadások</t>
  </si>
  <si>
    <t>Kv.         maradvány</t>
  </si>
  <si>
    <t>Kv.       maradvány</t>
  </si>
  <si>
    <t>Közbiztonság kiadásai</t>
  </si>
  <si>
    <t>Oktatási bizottság kiadásai</t>
  </si>
  <si>
    <t>Egészségügyi és Szoc. Biz. Kiad.</t>
  </si>
  <si>
    <t>Emberi jogi, nemzetiségi és egyházügyi biz. Kiad</t>
  </si>
  <si>
    <t>Kulturális és tanácsnoki keret kiad.</t>
  </si>
  <si>
    <t>Polgármesteri Hiv.igazg.kiad.</t>
  </si>
  <si>
    <t>Teljesítés 100% 
2015.</t>
  </si>
  <si>
    <t>Teljesítés 100%         2015.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</si>
</sst>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10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0" fontId="10" fillId="0" borderId="17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8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2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 wrapText="1" shrinkToFit="1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3" fillId="0" borderId="29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21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 horizontal="center" vertical="center" wrapText="1" shrinkToFit="1"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20" xfId="0" applyNumberFormat="1" applyFont="1" applyFill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172" fontId="10" fillId="0" borderId="2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shrinkToFit="1"/>
    </xf>
    <xf numFmtId="3" fontId="9" fillId="0" borderId="24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2" fontId="12" fillId="0" borderId="32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2" fontId="12" fillId="0" borderId="3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5.00390625" style="1" customWidth="1"/>
    <col min="2" max="2" width="6.75390625" style="1" customWidth="1"/>
    <col min="3" max="3" width="10.125" style="1" customWidth="1"/>
    <col min="4" max="4" width="9.75390625" style="1" customWidth="1"/>
    <col min="5" max="5" width="9.625" style="123" customWidth="1"/>
    <col min="6" max="6" width="11.375" style="1" customWidth="1"/>
    <col min="7" max="7" width="10.375" style="1" customWidth="1"/>
    <col min="8" max="8" width="8.625" style="1" customWidth="1"/>
    <col min="9" max="9" width="9.375" style="1" customWidth="1"/>
    <col min="10" max="10" width="9.875" style="1" customWidth="1"/>
    <col min="11" max="11" width="9.75390625" style="1" customWidth="1"/>
    <col min="12" max="12" width="11.75390625" style="1" customWidth="1"/>
    <col min="13" max="13" width="13.375" style="1" customWidth="1"/>
    <col min="14" max="14" width="9.125" style="1" customWidth="1"/>
    <col min="15" max="15" width="11.75390625" style="1" bestFit="1" customWidth="1"/>
    <col min="16" max="16384" width="9.125" style="1" customWidth="1"/>
  </cols>
  <sheetData>
    <row r="1" spans="1:13" ht="12.75">
      <c r="A1" s="57"/>
      <c r="B1" s="57"/>
      <c r="C1" s="57"/>
      <c r="D1" s="57"/>
      <c r="E1" s="113"/>
      <c r="F1" s="57"/>
      <c r="G1" s="57"/>
      <c r="H1" s="57"/>
      <c r="I1" s="57"/>
      <c r="J1" s="57"/>
      <c r="K1" s="57"/>
      <c r="L1" s="126" t="s">
        <v>33</v>
      </c>
      <c r="M1" s="126"/>
    </row>
    <row r="2" spans="1:13" ht="12.75">
      <c r="A2" s="57"/>
      <c r="B2" s="57"/>
      <c r="C2" s="57"/>
      <c r="D2" s="57"/>
      <c r="E2" s="113"/>
      <c r="F2" s="57"/>
      <c r="G2" s="57"/>
      <c r="H2" s="57"/>
      <c r="I2" s="57"/>
      <c r="J2" s="57"/>
      <c r="K2" s="57"/>
      <c r="L2" s="57"/>
      <c r="M2" s="57"/>
    </row>
    <row r="3" spans="1:13" ht="12.75">
      <c r="A3" s="127" t="s">
        <v>57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2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3.5" thickBot="1">
      <c r="A5" s="89"/>
      <c r="B5" s="89"/>
      <c r="C5" s="89"/>
      <c r="D5" s="89"/>
      <c r="E5" s="114"/>
      <c r="F5" s="67"/>
      <c r="G5" s="68"/>
      <c r="H5" s="67"/>
      <c r="I5" s="68"/>
      <c r="J5" s="68"/>
      <c r="K5" s="68"/>
      <c r="L5" s="69"/>
      <c r="M5" s="77" t="s">
        <v>0</v>
      </c>
    </row>
    <row r="6" spans="1:13" ht="67.5" customHeight="1" thickBot="1">
      <c r="A6" s="58" t="s">
        <v>2</v>
      </c>
      <c r="B6" s="78" t="s">
        <v>58</v>
      </c>
      <c r="C6" s="70" t="s">
        <v>86</v>
      </c>
      <c r="D6" s="70" t="s">
        <v>59</v>
      </c>
      <c r="E6" s="71" t="s">
        <v>60</v>
      </c>
      <c r="F6" s="70" t="s">
        <v>61</v>
      </c>
      <c r="G6" s="71" t="s">
        <v>62</v>
      </c>
      <c r="H6" s="70" t="s">
        <v>63</v>
      </c>
      <c r="I6" s="71" t="s">
        <v>64</v>
      </c>
      <c r="J6" s="71" t="s">
        <v>78</v>
      </c>
      <c r="K6" s="71" t="s">
        <v>50</v>
      </c>
      <c r="L6" s="72" t="s">
        <v>65</v>
      </c>
      <c r="M6" s="80" t="s">
        <v>66</v>
      </c>
    </row>
    <row r="7" spans="1:13" ht="12.75">
      <c r="A7" s="13" t="s">
        <v>21</v>
      </c>
      <c r="B7" s="32"/>
      <c r="C7" s="14">
        <f>82113+17973+3400+26420+44900+4173+4541+2802+2225+3810+93809+33269+14226</f>
        <v>333661</v>
      </c>
      <c r="D7" s="14">
        <v>626</v>
      </c>
      <c r="E7" s="65">
        <f>SUM(D7/C7)*100</f>
        <v>0.18761557389086528</v>
      </c>
      <c r="F7" s="15"/>
      <c r="G7" s="16">
        <f aca="true" t="shared" si="0" ref="G7:G16">SUM(F7/C7)*100</f>
        <v>0</v>
      </c>
      <c r="H7" s="15"/>
      <c r="I7" s="16">
        <f>SUM(H7/C7*100)</f>
        <v>0</v>
      </c>
      <c r="J7" s="15">
        <f>320+150+250+2557+250</f>
        <v>3527</v>
      </c>
      <c r="K7" s="16">
        <f>SUM(J7/C7*100)</f>
        <v>1.0570609091263288</v>
      </c>
      <c r="L7" s="20">
        <f>SUM(C7-D7-F7-H7-J7)</f>
        <v>329508</v>
      </c>
      <c r="M7" s="17">
        <f>SUM(L7/C7)*100</f>
        <v>98.75532351698281</v>
      </c>
    </row>
    <row r="8" spans="1:16" ht="12.75">
      <c r="A8" s="13" t="s">
        <v>22</v>
      </c>
      <c r="B8" s="33"/>
      <c r="C8" s="19">
        <f>3206074-1077790</f>
        <v>2128284</v>
      </c>
      <c r="D8" s="19">
        <f>108362+10319+31938+31449+1728+10988+40374+73501+6502+60000</f>
        <v>375161</v>
      </c>
      <c r="E8" s="115">
        <f>SUM(D8/C8)*100</f>
        <v>17.62739371249326</v>
      </c>
      <c r="F8" s="20"/>
      <c r="G8" s="21">
        <f t="shared" si="0"/>
        <v>0</v>
      </c>
      <c r="H8" s="20">
        <v>1982</v>
      </c>
      <c r="I8" s="21">
        <f>SUM(H8/C8*100)</f>
        <v>0.09312666918512755</v>
      </c>
      <c r="J8" s="20">
        <v>44873</v>
      </c>
      <c r="K8" s="16">
        <f aca="true" t="shared" si="1" ref="K8:K28">SUM(J8/C8*100)</f>
        <v>2.108412223180741</v>
      </c>
      <c r="L8" s="20">
        <f aca="true" t="shared" si="2" ref="L8:L16">SUM(C8-D8-F8-H8-J8)</f>
        <v>1706268</v>
      </c>
      <c r="M8" s="22">
        <f>SUM(L8/C8)*100</f>
        <v>80.17106739514087</v>
      </c>
      <c r="O8" s="3"/>
      <c r="P8" s="3"/>
    </row>
    <row r="9" spans="1:13" ht="12.75">
      <c r="A9" s="18" t="s">
        <v>76</v>
      </c>
      <c r="B9" s="33"/>
      <c r="C9" s="19">
        <v>322098</v>
      </c>
      <c r="D9" s="19"/>
      <c r="E9" s="115">
        <f aca="true" t="shared" si="3" ref="E9:E17">SUM(D9/C9)*100</f>
        <v>0</v>
      </c>
      <c r="F9" s="20"/>
      <c r="G9" s="21">
        <f t="shared" si="0"/>
        <v>0</v>
      </c>
      <c r="H9" s="20"/>
      <c r="I9" s="21">
        <f aca="true" t="shared" si="4" ref="I9:I17">SUM(H9/C9*100)</f>
        <v>0</v>
      </c>
      <c r="J9" s="20">
        <f>2075</f>
        <v>2075</v>
      </c>
      <c r="K9" s="16">
        <f t="shared" si="1"/>
        <v>0.644213872796478</v>
      </c>
      <c r="L9" s="20">
        <f t="shared" si="2"/>
        <v>320023</v>
      </c>
      <c r="M9" s="22">
        <f aca="true" t="shared" si="5" ref="M9:M17">SUM(L9/C9)*100</f>
        <v>99.35578612720353</v>
      </c>
    </row>
    <row r="10" spans="1:13" ht="12.75">
      <c r="A10" s="18" t="s">
        <v>80</v>
      </c>
      <c r="B10" s="33"/>
      <c r="C10" s="19">
        <f>2317+6759</f>
        <v>9076</v>
      </c>
      <c r="D10" s="19"/>
      <c r="E10" s="115">
        <f>SUM(D10/C10)*100</f>
        <v>0</v>
      </c>
      <c r="F10" s="20"/>
      <c r="G10" s="21">
        <f>SUM(F10/C10)*100</f>
        <v>0</v>
      </c>
      <c r="H10" s="20"/>
      <c r="I10" s="21">
        <f>SUM(H10/C10*100)</f>
        <v>0</v>
      </c>
      <c r="J10" s="20">
        <v>550</v>
      </c>
      <c r="K10" s="16">
        <f>SUM(J10/C10*100)</f>
        <v>6.0599382988100485</v>
      </c>
      <c r="L10" s="20">
        <f>SUM(C10-D10-F10-H10-J10)</f>
        <v>8526</v>
      </c>
      <c r="M10" s="22">
        <f>SUM(L10/C10)*100</f>
        <v>93.94006170118995</v>
      </c>
    </row>
    <row r="11" spans="1:13" ht="12.75">
      <c r="A11" s="18" t="s">
        <v>81</v>
      </c>
      <c r="B11" s="33"/>
      <c r="C11" s="19">
        <f>4432+480</f>
        <v>4912</v>
      </c>
      <c r="D11" s="19"/>
      <c r="E11" s="115">
        <f>SUM(D11/C11)*100</f>
        <v>0</v>
      </c>
      <c r="F11" s="20"/>
      <c r="G11" s="21">
        <f>SUM(F11/C11)*100</f>
        <v>0</v>
      </c>
      <c r="H11" s="20"/>
      <c r="I11" s="21">
        <f>SUM(H11/C11*100)</f>
        <v>0</v>
      </c>
      <c r="J11" s="20">
        <v>1100</v>
      </c>
      <c r="K11" s="16">
        <f>SUM(J11/C11*100)</f>
        <v>22.39413680781759</v>
      </c>
      <c r="L11" s="20">
        <f>SUM(C11-D11-F11-H11-J11)</f>
        <v>3812</v>
      </c>
      <c r="M11" s="22">
        <f>SUM(L11/C11)*100</f>
        <v>77.60586319218241</v>
      </c>
    </row>
    <row r="12" spans="1:13" ht="12.75">
      <c r="A12" s="18" t="s">
        <v>82</v>
      </c>
      <c r="B12" s="33"/>
      <c r="C12" s="19">
        <f>1943+2768</f>
        <v>4711</v>
      </c>
      <c r="D12" s="19"/>
      <c r="E12" s="115">
        <f>SUM(D12/C12)*100</f>
        <v>0</v>
      </c>
      <c r="F12" s="20"/>
      <c r="G12" s="21">
        <f>SUM(F12/C12)*100</f>
        <v>0</v>
      </c>
      <c r="H12" s="20"/>
      <c r="I12" s="21">
        <f>SUM(H12/C12*100)</f>
        <v>0</v>
      </c>
      <c r="J12" s="20">
        <f>1600+750</f>
        <v>2350</v>
      </c>
      <c r="K12" s="16">
        <f>SUM(J12/C12*100)</f>
        <v>49.883251963489705</v>
      </c>
      <c r="L12" s="20">
        <f>SUM(C12-D12-F12-H12-J12)</f>
        <v>2361</v>
      </c>
      <c r="M12" s="22">
        <f>SUM(L12/C12)*100</f>
        <v>50.116748036510295</v>
      </c>
    </row>
    <row r="13" spans="1:13" ht="12.75">
      <c r="A13" s="18" t="s">
        <v>83</v>
      </c>
      <c r="B13" s="33"/>
      <c r="C13" s="19">
        <f>7982+29992</f>
        <v>37974</v>
      </c>
      <c r="D13" s="19"/>
      <c r="E13" s="115">
        <f>SUM(D13/C13)*100</f>
        <v>0</v>
      </c>
      <c r="F13" s="20"/>
      <c r="G13" s="21">
        <f>SUM(F13/C13)*100</f>
        <v>0</v>
      </c>
      <c r="H13" s="20"/>
      <c r="I13" s="21">
        <f>SUM(H13/C13*100)</f>
        <v>0</v>
      </c>
      <c r="J13" s="20"/>
      <c r="K13" s="16">
        <f>SUM(J13/C13*100)</f>
        <v>0</v>
      </c>
      <c r="L13" s="20">
        <f>SUM(C13-D13-F13-H13-J13)</f>
        <v>37974</v>
      </c>
      <c r="M13" s="22">
        <f>SUM(L13/C13)*100</f>
        <v>100</v>
      </c>
    </row>
    <row r="14" spans="1:15" ht="12.75">
      <c r="A14" s="18" t="s">
        <v>1</v>
      </c>
      <c r="B14" s="33"/>
      <c r="C14" s="19">
        <v>10639</v>
      </c>
      <c r="D14" s="19"/>
      <c r="E14" s="115">
        <f t="shared" si="3"/>
        <v>0</v>
      </c>
      <c r="F14" s="20"/>
      <c r="G14" s="21">
        <f t="shared" si="0"/>
        <v>0</v>
      </c>
      <c r="H14" s="20"/>
      <c r="I14" s="21">
        <f t="shared" si="4"/>
        <v>0</v>
      </c>
      <c r="J14" s="20"/>
      <c r="K14" s="16">
        <f t="shared" si="1"/>
        <v>0</v>
      </c>
      <c r="L14" s="20">
        <f t="shared" si="2"/>
        <v>10639</v>
      </c>
      <c r="M14" s="22">
        <f t="shared" si="5"/>
        <v>100</v>
      </c>
      <c r="O14" s="3"/>
    </row>
    <row r="15" spans="1:13" ht="12.75">
      <c r="A15" s="18" t="s">
        <v>26</v>
      </c>
      <c r="B15" s="33"/>
      <c r="C15" s="19">
        <v>66180</v>
      </c>
      <c r="D15" s="19"/>
      <c r="E15" s="115">
        <f t="shared" si="3"/>
        <v>0</v>
      </c>
      <c r="F15" s="20"/>
      <c r="G15" s="21">
        <f t="shared" si="0"/>
        <v>0</v>
      </c>
      <c r="H15" s="20"/>
      <c r="I15" s="21">
        <f t="shared" si="4"/>
        <v>0</v>
      </c>
      <c r="J15" s="20"/>
      <c r="K15" s="16">
        <f t="shared" si="1"/>
        <v>0</v>
      </c>
      <c r="L15" s="20">
        <f t="shared" si="2"/>
        <v>66180</v>
      </c>
      <c r="M15" s="22">
        <f t="shared" si="5"/>
        <v>100</v>
      </c>
    </row>
    <row r="16" spans="1:15" ht="13.5" thickBot="1">
      <c r="A16" s="18" t="s">
        <v>27</v>
      </c>
      <c r="B16" s="33"/>
      <c r="C16" s="19">
        <v>482010</v>
      </c>
      <c r="D16" s="19"/>
      <c r="E16" s="115">
        <f t="shared" si="3"/>
        <v>0</v>
      </c>
      <c r="F16" s="20"/>
      <c r="G16" s="21">
        <f t="shared" si="0"/>
        <v>0</v>
      </c>
      <c r="H16" s="20"/>
      <c r="I16" s="21">
        <f t="shared" si="4"/>
        <v>0</v>
      </c>
      <c r="J16" s="20">
        <v>12648</v>
      </c>
      <c r="K16" s="16">
        <f t="shared" si="1"/>
        <v>2.6240119499595442</v>
      </c>
      <c r="L16" s="20">
        <f t="shared" si="2"/>
        <v>469362</v>
      </c>
      <c r="M16" s="22">
        <f t="shared" si="5"/>
        <v>97.37598805004045</v>
      </c>
      <c r="O16" s="3"/>
    </row>
    <row r="17" spans="1:17" s="50" customFormat="1" ht="13.5" thickBot="1">
      <c r="A17" s="44" t="s">
        <v>41</v>
      </c>
      <c r="B17" s="45"/>
      <c r="C17" s="31">
        <f>SUM(C7:C16)</f>
        <v>3399545</v>
      </c>
      <c r="D17" s="31">
        <f>SUM(D7:D16)</f>
        <v>375787</v>
      </c>
      <c r="E17" s="116">
        <f t="shared" si="3"/>
        <v>11.054038113924069</v>
      </c>
      <c r="F17" s="31">
        <f>SUM(F7:F16)</f>
        <v>0</v>
      </c>
      <c r="G17" s="82">
        <f>SUM(F17/C17*100)</f>
        <v>0</v>
      </c>
      <c r="H17" s="31">
        <f>SUM(H7:H16)</f>
        <v>1982</v>
      </c>
      <c r="I17" s="46">
        <f t="shared" si="4"/>
        <v>0.058301919815740046</v>
      </c>
      <c r="J17" s="31">
        <f>SUM(J7:J16)</f>
        <v>67123</v>
      </c>
      <c r="K17" s="46">
        <f t="shared" si="1"/>
        <v>1.9744701129121693</v>
      </c>
      <c r="L17" s="31">
        <f>SUM(L7:L16)</f>
        <v>2954653</v>
      </c>
      <c r="M17" s="62">
        <f t="shared" si="5"/>
        <v>86.91318985334802</v>
      </c>
      <c r="O17" s="83"/>
      <c r="Q17" s="56"/>
    </row>
    <row r="18" spans="1:15" ht="12.75">
      <c r="A18" s="41" t="s">
        <v>23</v>
      </c>
      <c r="B18" s="42"/>
      <c r="C18" s="14">
        <v>26434</v>
      </c>
      <c r="D18" s="14"/>
      <c r="E18" s="65">
        <f aca="true" t="shared" si="6" ref="E18:E28">SUM(D18/C18)*100</f>
        <v>0</v>
      </c>
      <c r="F18" s="43"/>
      <c r="G18" s="16">
        <f aca="true" t="shared" si="7" ref="G18:G28">SUM(F18/C18)*100</f>
        <v>0</v>
      </c>
      <c r="H18" s="43">
        <v>56621</v>
      </c>
      <c r="I18" s="16">
        <f aca="true" t="shared" si="8" ref="I18:I23">SUM(H18/C18*100)</f>
        <v>214.19762427177122</v>
      </c>
      <c r="J18" s="15">
        <v>10833</v>
      </c>
      <c r="K18" s="16">
        <f t="shared" si="1"/>
        <v>40.98131194673527</v>
      </c>
      <c r="L18" s="15">
        <f aca="true" t="shared" si="9" ref="L18:L23">SUM(C18-D18-F18-H18-J18)</f>
        <v>-41020</v>
      </c>
      <c r="M18" s="17">
        <f aca="true" t="shared" si="10" ref="M18:M26">SUM(L18/C18)*100</f>
        <v>-155.17893621850646</v>
      </c>
      <c r="O18" s="83"/>
    </row>
    <row r="19" spans="1:15" ht="12.75">
      <c r="A19" s="23" t="s">
        <v>35</v>
      </c>
      <c r="B19" s="34">
        <v>820</v>
      </c>
      <c r="C19" s="19">
        <v>877731</v>
      </c>
      <c r="D19" s="19">
        <v>57784</v>
      </c>
      <c r="E19" s="115">
        <f t="shared" si="6"/>
        <v>6.583338175363522</v>
      </c>
      <c r="F19" s="24">
        <f>1012+7332+3096</f>
        <v>11440</v>
      </c>
      <c r="G19" s="21">
        <f t="shared" si="7"/>
        <v>1.3033605968115516</v>
      </c>
      <c r="H19" s="24">
        <f>523599+50</f>
        <v>523649</v>
      </c>
      <c r="I19" s="21">
        <f t="shared" si="8"/>
        <v>59.65939450697309</v>
      </c>
      <c r="J19" s="15">
        <f>89055-12171+190</f>
        <v>77074</v>
      </c>
      <c r="K19" s="16">
        <f t="shared" si="1"/>
        <v>8.781050230651532</v>
      </c>
      <c r="L19" s="15">
        <f t="shared" si="9"/>
        <v>207784</v>
      </c>
      <c r="M19" s="22">
        <f t="shared" si="10"/>
        <v>23.6728564902003</v>
      </c>
      <c r="O19" s="83"/>
    </row>
    <row r="20" spans="1:15" ht="12.75">
      <c r="A20" s="23" t="s">
        <v>24</v>
      </c>
      <c r="B20" s="34">
        <v>115</v>
      </c>
      <c r="C20" s="19">
        <v>101477</v>
      </c>
      <c r="D20" s="19">
        <v>8102</v>
      </c>
      <c r="E20" s="115">
        <f t="shared" si="6"/>
        <v>7.984075209160696</v>
      </c>
      <c r="F20" s="24"/>
      <c r="G20" s="21">
        <f t="shared" si="7"/>
        <v>0</v>
      </c>
      <c r="H20" s="24">
        <v>66628</v>
      </c>
      <c r="I20" s="21">
        <f t="shared" si="8"/>
        <v>65.65822797284113</v>
      </c>
      <c r="J20" s="15">
        <v>12169</v>
      </c>
      <c r="K20" s="16">
        <f t="shared" si="1"/>
        <v>11.99187993338392</v>
      </c>
      <c r="L20" s="15">
        <f t="shared" si="9"/>
        <v>14578</v>
      </c>
      <c r="M20" s="22">
        <f t="shared" si="10"/>
        <v>14.365816884614247</v>
      </c>
      <c r="O20" s="83"/>
    </row>
    <row r="21" spans="1:15" ht="12.75">
      <c r="A21" s="23" t="s">
        <v>25</v>
      </c>
      <c r="B21" s="34">
        <v>60</v>
      </c>
      <c r="C21" s="19">
        <v>65391</v>
      </c>
      <c r="D21" s="19">
        <v>7728</v>
      </c>
      <c r="E21" s="115">
        <f t="shared" si="6"/>
        <v>11.818140111024453</v>
      </c>
      <c r="F21" s="24"/>
      <c r="G21" s="21">
        <f t="shared" si="7"/>
        <v>0</v>
      </c>
      <c r="H21" s="24">
        <v>51311</v>
      </c>
      <c r="I21" s="21">
        <f t="shared" si="8"/>
        <v>78.46798489088712</v>
      </c>
      <c r="J21" s="15">
        <v>8422</v>
      </c>
      <c r="K21" s="16">
        <f t="shared" si="1"/>
        <v>12.87944824211283</v>
      </c>
      <c r="L21" s="15">
        <f t="shared" si="9"/>
        <v>-2070</v>
      </c>
      <c r="M21" s="22">
        <f t="shared" si="10"/>
        <v>-3.165573244024407</v>
      </c>
      <c r="O21" s="83"/>
    </row>
    <row r="22" spans="1:15" ht="12.75">
      <c r="A22" s="23" t="s">
        <v>36</v>
      </c>
      <c r="B22" s="34">
        <v>134</v>
      </c>
      <c r="C22" s="19">
        <v>28112</v>
      </c>
      <c r="D22" s="19">
        <v>40435</v>
      </c>
      <c r="E22" s="115">
        <f t="shared" si="6"/>
        <v>143.83537279453614</v>
      </c>
      <c r="F22" s="24"/>
      <c r="G22" s="21">
        <f t="shared" si="7"/>
        <v>0</v>
      </c>
      <c r="H22" s="24"/>
      <c r="I22" s="21">
        <f t="shared" si="8"/>
        <v>0</v>
      </c>
      <c r="J22" s="15">
        <v>1688</v>
      </c>
      <c r="K22" s="16">
        <f t="shared" si="1"/>
        <v>6.004553215708594</v>
      </c>
      <c r="L22" s="15">
        <f t="shared" si="9"/>
        <v>-14011</v>
      </c>
      <c r="M22" s="22">
        <f t="shared" si="10"/>
        <v>-49.83992601024473</v>
      </c>
      <c r="O22" s="83"/>
    </row>
    <row r="23" spans="1:15" ht="13.5" thickBot="1">
      <c r="A23" s="38" t="s">
        <v>37</v>
      </c>
      <c r="B23" s="39">
        <v>90</v>
      </c>
      <c r="C23" s="26">
        <v>58393</v>
      </c>
      <c r="D23" s="26">
        <v>426</v>
      </c>
      <c r="E23" s="117">
        <f t="shared" si="6"/>
        <v>0.7295394995975545</v>
      </c>
      <c r="F23" s="40"/>
      <c r="G23" s="28">
        <f t="shared" si="7"/>
        <v>0</v>
      </c>
      <c r="H23" s="40">
        <v>29060</v>
      </c>
      <c r="I23" s="28">
        <f t="shared" si="8"/>
        <v>49.76623910400219</v>
      </c>
      <c r="J23" s="53">
        <v>5033</v>
      </c>
      <c r="K23" s="16">
        <f t="shared" si="1"/>
        <v>8.61918380627815</v>
      </c>
      <c r="L23" s="15">
        <f t="shared" si="9"/>
        <v>23874</v>
      </c>
      <c r="M23" s="29">
        <f t="shared" si="10"/>
        <v>40.8850375901221</v>
      </c>
      <c r="O23" s="83"/>
    </row>
    <row r="24" spans="1:15" s="50" customFormat="1" ht="13.5" thickBot="1">
      <c r="A24" s="30" t="s">
        <v>45</v>
      </c>
      <c r="B24" s="35"/>
      <c r="C24" s="31">
        <f>SUM(C18:C23)</f>
        <v>1157538</v>
      </c>
      <c r="D24" s="31">
        <f aca="true" t="shared" si="11" ref="D24:L24">SUM(D18:D23)</f>
        <v>114475</v>
      </c>
      <c r="E24" s="118">
        <f t="shared" si="6"/>
        <v>9.889524145211649</v>
      </c>
      <c r="F24" s="31">
        <f t="shared" si="11"/>
        <v>11440</v>
      </c>
      <c r="G24" s="46">
        <f t="shared" si="7"/>
        <v>0.9883044876280519</v>
      </c>
      <c r="H24" s="31">
        <f t="shared" si="11"/>
        <v>727269</v>
      </c>
      <c r="I24" s="46">
        <f t="shared" si="11"/>
        <v>467.74947074647474</v>
      </c>
      <c r="J24" s="31">
        <f>SUM(J18:J23)</f>
        <v>115219</v>
      </c>
      <c r="K24" s="46">
        <f t="shared" si="1"/>
        <v>9.953798493008437</v>
      </c>
      <c r="L24" s="31">
        <f t="shared" si="11"/>
        <v>189135</v>
      </c>
      <c r="M24" s="62">
        <f t="shared" si="10"/>
        <v>16.339420390518498</v>
      </c>
      <c r="O24" s="83"/>
    </row>
    <row r="25" spans="1:15" s="95" customFormat="1" ht="12.75">
      <c r="A25" s="93" t="s">
        <v>74</v>
      </c>
      <c r="B25" s="94"/>
      <c r="C25" s="52">
        <v>48334</v>
      </c>
      <c r="D25" s="52"/>
      <c r="E25" s="119">
        <f t="shared" si="6"/>
        <v>0</v>
      </c>
      <c r="F25" s="52"/>
      <c r="G25" s="54">
        <f t="shared" si="7"/>
        <v>0</v>
      </c>
      <c r="H25" s="52"/>
      <c r="I25" s="54">
        <f>SUM(H25/C25*100)</f>
        <v>0</v>
      </c>
      <c r="J25" s="52"/>
      <c r="K25" s="54">
        <f t="shared" si="1"/>
        <v>0</v>
      </c>
      <c r="L25" s="53">
        <f>SUM(C25-D25-F25-H25-J25)</f>
        <v>48334</v>
      </c>
      <c r="M25" s="55">
        <f t="shared" si="10"/>
        <v>100</v>
      </c>
      <c r="O25" s="83"/>
    </row>
    <row r="26" spans="1:15" ht="13.5" thickBot="1">
      <c r="A26" s="59" t="s">
        <v>38</v>
      </c>
      <c r="B26" s="90"/>
      <c r="C26" s="36">
        <v>2550</v>
      </c>
      <c r="D26" s="36"/>
      <c r="E26" s="120">
        <f t="shared" si="6"/>
        <v>0</v>
      </c>
      <c r="F26" s="37"/>
      <c r="G26" s="60">
        <f t="shared" si="7"/>
        <v>0</v>
      </c>
      <c r="H26" s="37"/>
      <c r="I26" s="60">
        <f>SUM(H26/C26*100)</f>
        <v>0</v>
      </c>
      <c r="J26" s="37"/>
      <c r="K26" s="60">
        <f t="shared" si="1"/>
        <v>0</v>
      </c>
      <c r="L26" s="37">
        <f>SUM(C26-D26-F26-H26-J26)</f>
        <v>2550</v>
      </c>
      <c r="M26" s="61">
        <f t="shared" si="10"/>
        <v>100</v>
      </c>
      <c r="N26" s="3"/>
      <c r="O26" s="83"/>
    </row>
    <row r="27" spans="1:15" s="50" customFormat="1" ht="13.5" thickBot="1">
      <c r="A27" s="44" t="s">
        <v>42</v>
      </c>
      <c r="B27" s="45"/>
      <c r="C27" s="31">
        <f>SUM(C25:C26)</f>
        <v>50884</v>
      </c>
      <c r="D27" s="31">
        <f aca="true" t="shared" si="12" ref="D27:M27">SUM(D26)</f>
        <v>0</v>
      </c>
      <c r="E27" s="118">
        <f t="shared" si="6"/>
        <v>0</v>
      </c>
      <c r="F27" s="31">
        <f t="shared" si="12"/>
        <v>0</v>
      </c>
      <c r="G27" s="46">
        <f t="shared" si="7"/>
        <v>0</v>
      </c>
      <c r="H27" s="31">
        <f t="shared" si="12"/>
        <v>0</v>
      </c>
      <c r="I27" s="46">
        <f t="shared" si="12"/>
        <v>0</v>
      </c>
      <c r="J27" s="31">
        <f>SUM(J26)</f>
        <v>0</v>
      </c>
      <c r="K27" s="46">
        <f t="shared" si="1"/>
        <v>0</v>
      </c>
      <c r="L27" s="31">
        <f>SUM(L25:L26)</f>
        <v>50884</v>
      </c>
      <c r="M27" s="62">
        <f t="shared" si="12"/>
        <v>100</v>
      </c>
      <c r="N27" s="56"/>
      <c r="O27" s="83"/>
    </row>
    <row r="28" spans="1:17" s="50" customFormat="1" ht="13.5" thickBot="1">
      <c r="A28" s="30" t="s">
        <v>20</v>
      </c>
      <c r="B28" s="35"/>
      <c r="C28" s="31">
        <f>SUM(C27,C24,C17)</f>
        <v>4607967</v>
      </c>
      <c r="D28" s="31">
        <f>SUM(D27,D24,D17)</f>
        <v>490262</v>
      </c>
      <c r="E28" s="118">
        <f t="shared" si="6"/>
        <v>10.639442513368694</v>
      </c>
      <c r="F28" s="31">
        <f>SUM(F27,F24,F17)</f>
        <v>11440</v>
      </c>
      <c r="G28" s="46">
        <f t="shared" si="7"/>
        <v>0.24826566683311754</v>
      </c>
      <c r="H28" s="31">
        <f>SUM(H27,H24,H17)</f>
        <v>729251</v>
      </c>
      <c r="I28" s="46">
        <f>SUM(H28/C28*100)</f>
        <v>15.825872884940365</v>
      </c>
      <c r="J28" s="31">
        <f>SUM(J27,J24,J17)</f>
        <v>182342</v>
      </c>
      <c r="K28" s="46">
        <f t="shared" si="1"/>
        <v>3.957102991405972</v>
      </c>
      <c r="L28" s="31">
        <f>SUM(L27,L24,L17)</f>
        <v>3194672</v>
      </c>
      <c r="M28" s="62">
        <f>SUM(L28/C28)*100</f>
        <v>69.32931594345185</v>
      </c>
      <c r="O28" s="83"/>
      <c r="P28" s="56"/>
      <c r="Q28" s="56"/>
    </row>
    <row r="29" spans="4:16" ht="12.75">
      <c r="D29" s="5"/>
      <c r="E29" s="121"/>
      <c r="F29" s="3"/>
      <c r="G29" s="2"/>
      <c r="H29" s="3"/>
      <c r="I29" s="2"/>
      <c r="J29" s="2"/>
      <c r="K29" s="2"/>
      <c r="L29" s="5"/>
      <c r="O29" s="3"/>
      <c r="P29" s="130"/>
    </row>
    <row r="30" spans="1:8" s="3" customFormat="1" ht="13.5" thickBot="1">
      <c r="A30" s="99" t="s">
        <v>75</v>
      </c>
      <c r="E30" s="122"/>
      <c r="H30" s="73"/>
    </row>
    <row r="31" spans="1:13" s="3" customFormat="1" ht="13.5" thickBot="1">
      <c r="A31" s="96" t="s">
        <v>84</v>
      </c>
      <c r="B31" s="97"/>
      <c r="C31" s="97">
        <f>4566+952</f>
        <v>5518</v>
      </c>
      <c r="D31" s="97">
        <v>6217</v>
      </c>
      <c r="E31" s="125">
        <f>SUM(D31/C31)*100</f>
        <v>112.66763320043493</v>
      </c>
      <c r="F31" s="97"/>
      <c r="G31" s="97">
        <f>SUM(F31/C31)*100</f>
        <v>0</v>
      </c>
      <c r="H31" s="98"/>
      <c r="I31" s="97">
        <f>SUM(H31/C31*100)</f>
        <v>0</v>
      </c>
      <c r="J31" s="97"/>
      <c r="K31" s="97">
        <f>SUM(J31/C31*100)</f>
        <v>0</v>
      </c>
      <c r="L31" s="97">
        <f>SUM(C31-D31-F31-H31-J31)</f>
        <v>-699</v>
      </c>
      <c r="M31" s="124">
        <f>SUM(L31/C31)*100</f>
        <v>-12.667633200434942</v>
      </c>
    </row>
    <row r="32" spans="5:8" s="3" customFormat="1" ht="12.75">
      <c r="E32" s="122"/>
      <c r="H32" s="73"/>
    </row>
    <row r="35" ht="12.75">
      <c r="I35" s="3"/>
    </row>
  </sheetData>
  <sheetProtection/>
  <mergeCells count="2">
    <mergeCell ref="L1:M1"/>
    <mergeCell ref="A3:M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PageLayoutView="0" workbookViewId="0" topLeftCell="B1">
      <selection activeCell="D5" sqref="D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125" style="3" bestFit="1" customWidth="1"/>
    <col min="4" max="4" width="10.25390625" style="3" customWidth="1"/>
    <col min="5" max="5" width="9.75390625" style="3" bestFit="1" customWidth="1"/>
    <col min="6" max="6" width="9.75390625" style="2" customWidth="1"/>
    <col min="7" max="7" width="10.875" style="3" customWidth="1"/>
    <col min="8" max="8" width="9.75390625" style="6" customWidth="1"/>
    <col min="9" max="9" width="11.625" style="131" customWidth="1"/>
    <col min="10" max="10" width="8.375" style="100" customWidth="1"/>
    <col min="11" max="11" width="9.75390625" style="132" customWidth="1"/>
    <col min="12" max="12" width="10.00390625" style="110" customWidth="1"/>
    <col min="13" max="13" width="11.125" style="5" customWidth="1"/>
    <col min="14" max="14" width="13.00390625" style="1" customWidth="1"/>
    <col min="15" max="16384" width="9.125" style="1" customWidth="1"/>
  </cols>
  <sheetData>
    <row r="1" spans="13:14" ht="12" customHeight="1">
      <c r="M1" s="129" t="s">
        <v>32</v>
      </c>
      <c r="N1" s="129"/>
    </row>
    <row r="2" spans="2:14" ht="12" customHeight="1">
      <c r="B2" s="128" t="s">
        <v>56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4" ht="12" customHeight="1" thickBot="1">
      <c r="B3" s="57"/>
      <c r="C3" s="73"/>
      <c r="D3" s="73"/>
      <c r="E3" s="73"/>
      <c r="F3" s="74"/>
      <c r="G3" s="73"/>
      <c r="H3" s="75"/>
      <c r="I3" s="133"/>
      <c r="J3" s="101"/>
      <c r="K3" s="134"/>
      <c r="L3" s="111"/>
      <c r="M3" s="76"/>
      <c r="N3" s="77" t="s">
        <v>0</v>
      </c>
    </row>
    <row r="4" spans="2:14" s="81" customFormat="1" ht="51.75" customHeight="1" thickBot="1">
      <c r="B4" s="58" t="s">
        <v>2</v>
      </c>
      <c r="C4" s="91" t="s">
        <v>3</v>
      </c>
      <c r="D4" s="70" t="s">
        <v>85</v>
      </c>
      <c r="E4" s="70" t="s">
        <v>67</v>
      </c>
      <c r="F4" s="71" t="s">
        <v>68</v>
      </c>
      <c r="G4" s="70" t="s">
        <v>70</v>
      </c>
      <c r="H4" s="79" t="s">
        <v>62</v>
      </c>
      <c r="I4" s="70" t="s">
        <v>71</v>
      </c>
      <c r="J4" s="79" t="s">
        <v>64</v>
      </c>
      <c r="K4" s="71" t="s">
        <v>77</v>
      </c>
      <c r="L4" s="71" t="s">
        <v>50</v>
      </c>
      <c r="M4" s="72" t="s">
        <v>69</v>
      </c>
      <c r="N4" s="80" t="s">
        <v>66</v>
      </c>
    </row>
    <row r="5" spans="2:14" ht="12" customHeight="1">
      <c r="B5" s="18" t="s">
        <v>39</v>
      </c>
      <c r="C5" s="19"/>
      <c r="D5" s="19">
        <v>45068</v>
      </c>
      <c r="E5" s="20"/>
      <c r="F5" s="21">
        <f>SUM(E5/D5)*100</f>
        <v>0</v>
      </c>
      <c r="G5" s="20"/>
      <c r="H5" s="16">
        <f>SUM(G5/D5)*100</f>
        <v>0</v>
      </c>
      <c r="I5" s="20"/>
      <c r="J5" s="102">
        <f aca="true" t="shared" si="0" ref="J5:J20">SUM(I5/D5)*100</f>
        <v>0</v>
      </c>
      <c r="K5" s="15"/>
      <c r="L5" s="16">
        <f aca="true" t="shared" si="1" ref="L5:L20">SUM(K5/D5)*100</f>
        <v>0</v>
      </c>
      <c r="M5" s="15">
        <f aca="true" t="shared" si="2" ref="M5:M14">SUM(D5-E5-G5-I5-K5)</f>
        <v>45068</v>
      </c>
      <c r="N5" s="22">
        <f>SUM(M5/D5)*100</f>
        <v>100</v>
      </c>
    </row>
    <row r="6" spans="2:14" ht="12" customHeight="1">
      <c r="B6" s="18" t="s">
        <v>5</v>
      </c>
      <c r="C6" s="19"/>
      <c r="D6" s="19">
        <v>48334</v>
      </c>
      <c r="E6" s="20">
        <f>101+106+75</f>
        <v>282</v>
      </c>
      <c r="F6" s="21">
        <f>SUM(E6/D6)*100</f>
        <v>0.5834402284106426</v>
      </c>
      <c r="G6" s="20">
        <f>10690+2411+886+466+13</f>
        <v>14466</v>
      </c>
      <c r="H6" s="16">
        <f>SUM(G6/D6)*100</f>
        <v>29.929242355277857</v>
      </c>
      <c r="I6" s="20">
        <f>31+239+227+3085</f>
        <v>3582</v>
      </c>
      <c r="J6" s="102">
        <f t="shared" si="0"/>
        <v>7.410932263003269</v>
      </c>
      <c r="K6" s="15"/>
      <c r="L6" s="16">
        <f t="shared" si="1"/>
        <v>0</v>
      </c>
      <c r="M6" s="15">
        <f t="shared" si="2"/>
        <v>30004</v>
      </c>
      <c r="N6" s="22">
        <f>SUM(M6/D6)*100</f>
        <v>62.07638515330823</v>
      </c>
    </row>
    <row r="7" spans="2:14" ht="12" customHeight="1">
      <c r="B7" s="18" t="s">
        <v>6</v>
      </c>
      <c r="C7" s="19"/>
      <c r="D7" s="19">
        <v>265000</v>
      </c>
      <c r="E7" s="20"/>
      <c r="F7" s="21">
        <f>SUM(E7/D7)*100</f>
        <v>0</v>
      </c>
      <c r="G7" s="20">
        <v>10508</v>
      </c>
      <c r="H7" s="16">
        <f>SUM(G7/D7)*100</f>
        <v>3.9652830188679244</v>
      </c>
      <c r="I7" s="20"/>
      <c r="J7" s="102">
        <f t="shared" si="0"/>
        <v>0</v>
      </c>
      <c r="K7" s="15"/>
      <c r="L7" s="16">
        <f t="shared" si="1"/>
        <v>0</v>
      </c>
      <c r="M7" s="15">
        <f t="shared" si="2"/>
        <v>254492</v>
      </c>
      <c r="N7" s="22">
        <f>SUM(M7/D7)*100</f>
        <v>96.03471698113208</v>
      </c>
    </row>
    <row r="8" spans="2:14" ht="12" customHeight="1">
      <c r="B8" s="18" t="s">
        <v>16</v>
      </c>
      <c r="C8" s="19"/>
      <c r="D8" s="19">
        <v>136585</v>
      </c>
      <c r="E8" s="20"/>
      <c r="F8" s="21">
        <f aca="true" t="shared" si="3" ref="F8:F15">SUM(E8/D8)*100</f>
        <v>0</v>
      </c>
      <c r="G8" s="20">
        <v>5775</v>
      </c>
      <c r="H8" s="21">
        <f aca="true" t="shared" si="4" ref="H8:H15">SUM(G8/D8)*100</f>
        <v>4.228136325365157</v>
      </c>
      <c r="I8" s="20"/>
      <c r="J8" s="102">
        <f t="shared" si="0"/>
        <v>0</v>
      </c>
      <c r="K8" s="15"/>
      <c r="L8" s="16">
        <f t="shared" si="1"/>
        <v>0</v>
      </c>
      <c r="M8" s="15">
        <f t="shared" si="2"/>
        <v>130810</v>
      </c>
      <c r="N8" s="22">
        <f aca="true" t="shared" si="5" ref="N8:N15">SUM(M8/D8)*100</f>
        <v>95.77186367463484</v>
      </c>
    </row>
    <row r="9" spans="2:14" ht="12" customHeight="1">
      <c r="B9" s="18" t="s">
        <v>17</v>
      </c>
      <c r="C9" s="19"/>
      <c r="D9" s="19">
        <v>744557</v>
      </c>
      <c r="E9" s="20"/>
      <c r="F9" s="21">
        <f t="shared" si="3"/>
        <v>0</v>
      </c>
      <c r="G9" s="20">
        <v>11214</v>
      </c>
      <c r="H9" s="21">
        <f t="shared" si="4"/>
        <v>1.506130491016806</v>
      </c>
      <c r="I9" s="20">
        <v>36150</v>
      </c>
      <c r="J9" s="102">
        <f t="shared" si="0"/>
        <v>4.855236066546953</v>
      </c>
      <c r="K9" s="15">
        <v>164397</v>
      </c>
      <c r="L9" s="16">
        <f t="shared" si="1"/>
        <v>22.079840764373984</v>
      </c>
      <c r="M9" s="15">
        <f t="shared" si="2"/>
        <v>532796</v>
      </c>
      <c r="N9" s="22">
        <f t="shared" si="5"/>
        <v>71.55879267806226</v>
      </c>
    </row>
    <row r="10" spans="2:14" ht="12" customHeight="1">
      <c r="B10" s="18" t="s">
        <v>18</v>
      </c>
      <c r="C10" s="19"/>
      <c r="D10" s="19">
        <v>384480</v>
      </c>
      <c r="E10" s="20"/>
      <c r="F10" s="21">
        <f t="shared" si="3"/>
        <v>0</v>
      </c>
      <c r="G10" s="20"/>
      <c r="H10" s="21">
        <f t="shared" si="4"/>
        <v>0</v>
      </c>
      <c r="I10" s="20"/>
      <c r="J10" s="102">
        <f t="shared" si="0"/>
        <v>0</v>
      </c>
      <c r="K10" s="15"/>
      <c r="L10" s="16">
        <f t="shared" si="1"/>
        <v>0</v>
      </c>
      <c r="M10" s="15">
        <f t="shared" si="2"/>
        <v>384480</v>
      </c>
      <c r="N10" s="22">
        <f t="shared" si="5"/>
        <v>100</v>
      </c>
    </row>
    <row r="11" spans="2:14" ht="12" customHeight="1">
      <c r="B11" s="18" t="s">
        <v>19</v>
      </c>
      <c r="C11" s="19"/>
      <c r="D11" s="19">
        <v>1077790</v>
      </c>
      <c r="E11" s="20">
        <f>1578130+302193</f>
        <v>1880323</v>
      </c>
      <c r="F11" s="21">
        <f t="shared" si="3"/>
        <v>174.46098033939822</v>
      </c>
      <c r="G11" s="20"/>
      <c r="H11" s="21">
        <f t="shared" si="4"/>
        <v>0</v>
      </c>
      <c r="I11" s="20"/>
      <c r="J11" s="102">
        <f t="shared" si="0"/>
        <v>0</v>
      </c>
      <c r="K11" s="15"/>
      <c r="L11" s="16">
        <f t="shared" si="1"/>
        <v>0</v>
      </c>
      <c r="M11" s="15">
        <f>SUM(D11-E11-G11-I11-K11)</f>
        <v>-802533</v>
      </c>
      <c r="N11" s="22">
        <f t="shared" si="5"/>
        <v>-74.4609803393982</v>
      </c>
    </row>
    <row r="12" spans="2:14" ht="12" customHeight="1">
      <c r="B12" s="25" t="s">
        <v>79</v>
      </c>
      <c r="C12" s="26"/>
      <c r="D12" s="26">
        <f>22370+111890</f>
        <v>134260</v>
      </c>
      <c r="E12" s="27">
        <v>70</v>
      </c>
      <c r="F12" s="21">
        <f t="shared" si="3"/>
        <v>0.05213764337851929</v>
      </c>
      <c r="G12" s="27"/>
      <c r="H12" s="28">
        <f t="shared" si="4"/>
        <v>0</v>
      </c>
      <c r="I12" s="27"/>
      <c r="J12" s="102">
        <f t="shared" si="0"/>
        <v>0</v>
      </c>
      <c r="K12" s="20"/>
      <c r="L12" s="16">
        <f t="shared" si="1"/>
        <v>0</v>
      </c>
      <c r="M12" s="15">
        <f>SUM(D12-E12-G12-I12-K12)</f>
        <v>134190</v>
      </c>
      <c r="N12" s="22">
        <f>SUM(M12/D12)*100</f>
        <v>99.94786235662147</v>
      </c>
    </row>
    <row r="13" spans="2:14" ht="12" customHeight="1">
      <c r="B13" s="25" t="s">
        <v>55</v>
      </c>
      <c r="C13" s="26"/>
      <c r="D13" s="26">
        <f>1104982+349577</f>
        <v>1454559</v>
      </c>
      <c r="E13" s="27">
        <v>3035026</v>
      </c>
      <c r="F13" s="28">
        <f t="shared" si="3"/>
        <v>208.656094390121</v>
      </c>
      <c r="G13" s="27"/>
      <c r="H13" s="28">
        <f t="shared" si="4"/>
        <v>0</v>
      </c>
      <c r="I13" s="27"/>
      <c r="J13" s="102">
        <f t="shared" si="0"/>
        <v>0</v>
      </c>
      <c r="K13" s="53"/>
      <c r="L13" s="16">
        <f t="shared" si="1"/>
        <v>0</v>
      </c>
      <c r="M13" s="15">
        <f t="shared" si="2"/>
        <v>-1580467</v>
      </c>
      <c r="N13" s="29">
        <f t="shared" si="5"/>
        <v>-108.65609439012098</v>
      </c>
    </row>
    <row r="14" spans="2:14" ht="12" customHeight="1" thickBot="1">
      <c r="B14" s="25" t="s">
        <v>31</v>
      </c>
      <c r="C14" s="26"/>
      <c r="D14" s="26">
        <v>433128</v>
      </c>
      <c r="E14" s="27">
        <v>65396</v>
      </c>
      <c r="F14" s="28">
        <f t="shared" si="3"/>
        <v>15.098539000018471</v>
      </c>
      <c r="G14" s="27"/>
      <c r="H14" s="28">
        <f t="shared" si="4"/>
        <v>0</v>
      </c>
      <c r="I14" s="27"/>
      <c r="J14" s="103">
        <f t="shared" si="0"/>
        <v>0</v>
      </c>
      <c r="K14" s="27"/>
      <c r="L14" s="54">
        <f t="shared" si="1"/>
        <v>0</v>
      </c>
      <c r="M14" s="53">
        <f t="shared" si="2"/>
        <v>367732</v>
      </c>
      <c r="N14" s="29">
        <f t="shared" si="5"/>
        <v>84.90146099998152</v>
      </c>
    </row>
    <row r="15" spans="2:14" s="50" customFormat="1" ht="12" customHeight="1" thickBot="1">
      <c r="B15" s="44" t="s">
        <v>41</v>
      </c>
      <c r="C15" s="31"/>
      <c r="D15" s="31">
        <f>SUM(D5:D14)</f>
        <v>4723761</v>
      </c>
      <c r="E15" s="31">
        <f>SUM(E5:E14)</f>
        <v>4981097</v>
      </c>
      <c r="F15" s="82">
        <f t="shared" si="3"/>
        <v>105.4476930564438</v>
      </c>
      <c r="G15" s="31">
        <f>SUM(G5:G14)</f>
        <v>41963</v>
      </c>
      <c r="H15" s="82">
        <f t="shared" si="4"/>
        <v>0.8883387622701487</v>
      </c>
      <c r="I15" s="31">
        <f>SUM(I5:I14)</f>
        <v>39732</v>
      </c>
      <c r="J15" s="82">
        <f t="shared" si="0"/>
        <v>0.8411094464770763</v>
      </c>
      <c r="K15" s="31">
        <f>SUM(K5:K14)</f>
        <v>164397</v>
      </c>
      <c r="L15" s="46">
        <f t="shared" si="1"/>
        <v>3.4802141767968364</v>
      </c>
      <c r="M15" s="31">
        <f>SUM(M5:M14)</f>
        <v>-503428</v>
      </c>
      <c r="N15" s="92">
        <f t="shared" si="5"/>
        <v>-10.657355441987857</v>
      </c>
    </row>
    <row r="16" spans="2:14" s="12" customFormat="1" ht="12" customHeight="1">
      <c r="B16" s="23" t="s">
        <v>15</v>
      </c>
      <c r="C16" s="19"/>
      <c r="D16" s="19">
        <v>17792</v>
      </c>
      <c r="E16" s="24">
        <v>15923</v>
      </c>
      <c r="F16" s="21">
        <f aca="true" t="shared" si="6" ref="F16:F24">SUM(E16/D16)*100</f>
        <v>89.49527877697841</v>
      </c>
      <c r="G16" s="24"/>
      <c r="H16" s="63">
        <f aca="true" t="shared" si="7" ref="H16:H23">SUM(G16/D16)*100</f>
        <v>0</v>
      </c>
      <c r="I16" s="24"/>
      <c r="J16" s="104">
        <f t="shared" si="0"/>
        <v>0</v>
      </c>
      <c r="K16" s="43">
        <v>8729</v>
      </c>
      <c r="L16" s="66">
        <f t="shared" si="1"/>
        <v>49.06137589928058</v>
      </c>
      <c r="M16" s="15">
        <f>SUM(D16-E16-G16-I16-K16)</f>
        <v>-6860</v>
      </c>
      <c r="N16" s="22">
        <f aca="true" t="shared" si="8" ref="N16:N24">SUM(M16/D16)*100</f>
        <v>-38.556654676258994</v>
      </c>
    </row>
    <row r="17" spans="2:14" s="12" customFormat="1" ht="12" customHeight="1">
      <c r="B17" s="23" t="s">
        <v>28</v>
      </c>
      <c r="C17" s="19">
        <v>60</v>
      </c>
      <c r="D17" s="19">
        <v>36657</v>
      </c>
      <c r="E17" s="24">
        <v>437</v>
      </c>
      <c r="F17" s="21">
        <f t="shared" si="6"/>
        <v>1.1921324712878851</v>
      </c>
      <c r="G17" s="24"/>
      <c r="H17" s="63">
        <f t="shared" si="7"/>
        <v>0</v>
      </c>
      <c r="I17" s="24">
        <v>18943</v>
      </c>
      <c r="J17" s="104">
        <f t="shared" si="0"/>
        <v>51.676351038000924</v>
      </c>
      <c r="K17" s="43">
        <v>1587</v>
      </c>
      <c r="L17" s="66">
        <f t="shared" si="1"/>
        <v>4.329323185203371</v>
      </c>
      <c r="M17" s="15">
        <f>SUM(D17-E17-G17-I17-K17)</f>
        <v>15690</v>
      </c>
      <c r="N17" s="22">
        <f t="shared" si="8"/>
        <v>42.802193305507814</v>
      </c>
    </row>
    <row r="18" spans="2:14" s="12" customFormat="1" ht="12" customHeight="1">
      <c r="B18" s="23" t="s">
        <v>34</v>
      </c>
      <c r="C18" s="19"/>
      <c r="D18" s="19">
        <v>48117</v>
      </c>
      <c r="E18" s="24">
        <v>6</v>
      </c>
      <c r="F18" s="21">
        <f t="shared" si="6"/>
        <v>0.012469605336991086</v>
      </c>
      <c r="G18" s="24"/>
      <c r="H18" s="63">
        <f t="shared" si="7"/>
        <v>0</v>
      </c>
      <c r="I18" s="24">
        <v>38112</v>
      </c>
      <c r="J18" s="104">
        <f t="shared" si="0"/>
        <v>79.20693310056737</v>
      </c>
      <c r="K18" s="43">
        <v>2792</v>
      </c>
      <c r="L18" s="66">
        <f t="shared" si="1"/>
        <v>5.8025230168131845</v>
      </c>
      <c r="M18" s="15">
        <f>SUM(D18-E18-G18-I18-K18)</f>
        <v>7207</v>
      </c>
      <c r="N18" s="22">
        <f t="shared" si="8"/>
        <v>14.978074277282458</v>
      </c>
    </row>
    <row r="19" spans="2:14" s="12" customFormat="1" ht="12" customHeight="1">
      <c r="B19" s="23" t="s">
        <v>30</v>
      </c>
      <c r="C19" s="19"/>
      <c r="D19" s="19">
        <v>12054</v>
      </c>
      <c r="E19" s="24">
        <v>482</v>
      </c>
      <c r="F19" s="21">
        <f t="shared" si="6"/>
        <v>3.9986726397876224</v>
      </c>
      <c r="G19" s="24"/>
      <c r="H19" s="63">
        <f t="shared" si="7"/>
        <v>0</v>
      </c>
      <c r="I19" s="24">
        <v>14980</v>
      </c>
      <c r="J19" s="104">
        <f t="shared" si="0"/>
        <v>124.27409988385598</v>
      </c>
      <c r="K19" s="43">
        <v>632</v>
      </c>
      <c r="L19" s="66">
        <f t="shared" si="1"/>
        <v>5.243072838891654</v>
      </c>
      <c r="M19" s="15">
        <f>SUM(D19-E19-G19-I19-K19)</f>
        <v>-4040</v>
      </c>
      <c r="N19" s="22">
        <f t="shared" si="8"/>
        <v>-33.51584536253526</v>
      </c>
    </row>
    <row r="20" spans="2:14" s="12" customFormat="1" ht="12" customHeight="1" thickBot="1">
      <c r="B20" s="38" t="s">
        <v>29</v>
      </c>
      <c r="C20" s="26">
        <v>200</v>
      </c>
      <c r="D20" s="26">
        <v>30847</v>
      </c>
      <c r="E20" s="40">
        <v>2367</v>
      </c>
      <c r="F20" s="28">
        <f t="shared" si="6"/>
        <v>7.67335559373683</v>
      </c>
      <c r="G20" s="40"/>
      <c r="H20" s="64">
        <f t="shared" si="7"/>
        <v>0</v>
      </c>
      <c r="I20" s="40">
        <v>19486</v>
      </c>
      <c r="J20" s="104">
        <f t="shared" si="0"/>
        <v>63.169838233863906</v>
      </c>
      <c r="K20" s="135">
        <v>6828</v>
      </c>
      <c r="L20" s="66">
        <f t="shared" si="1"/>
        <v>22.135053651894836</v>
      </c>
      <c r="M20" s="15">
        <f>SUM(D20-E20-G20-I20-K20)</f>
        <v>2166</v>
      </c>
      <c r="N20" s="29">
        <f t="shared" si="8"/>
        <v>7.021752520504425</v>
      </c>
    </row>
    <row r="21" spans="2:14" s="50" customFormat="1" ht="12" customHeight="1" thickBot="1">
      <c r="B21" s="44" t="s">
        <v>40</v>
      </c>
      <c r="C21" s="31"/>
      <c r="D21" s="31">
        <f>SUM(D16:D20)</f>
        <v>145467</v>
      </c>
      <c r="E21" s="31">
        <f aca="true" t="shared" si="9" ref="E21:M21">SUM(E16:E20)</f>
        <v>19215</v>
      </c>
      <c r="F21" s="46">
        <f t="shared" si="6"/>
        <v>13.209181463837158</v>
      </c>
      <c r="G21" s="31">
        <f t="shared" si="9"/>
        <v>0</v>
      </c>
      <c r="H21" s="46">
        <f t="shared" si="7"/>
        <v>0</v>
      </c>
      <c r="I21" s="31">
        <f t="shared" si="9"/>
        <v>91521</v>
      </c>
      <c r="J21" s="82">
        <f aca="true" t="shared" si="10" ref="J21:J38">SUM(I21/D21)*100</f>
        <v>62.91530037740518</v>
      </c>
      <c r="K21" s="31">
        <f>SUM(K16:K20)</f>
        <v>20568</v>
      </c>
      <c r="L21" s="46">
        <f aca="true" t="shared" si="11" ref="L21:L38">SUM(K21/D21)*100</f>
        <v>14.13928932335169</v>
      </c>
      <c r="M21" s="31">
        <f t="shared" si="9"/>
        <v>14163</v>
      </c>
      <c r="N21" s="62">
        <f t="shared" si="8"/>
        <v>9.736228835405969</v>
      </c>
    </row>
    <row r="22" spans="2:14" ht="12" customHeight="1">
      <c r="B22" s="84" t="s">
        <v>52</v>
      </c>
      <c r="C22" s="85"/>
      <c r="D22" s="85">
        <f>380598-17310</f>
        <v>363288</v>
      </c>
      <c r="E22" s="86">
        <v>91256</v>
      </c>
      <c r="F22" s="87">
        <f t="shared" si="6"/>
        <v>25.11946444694017</v>
      </c>
      <c r="G22" s="86">
        <f>160+319+106</f>
        <v>585</v>
      </c>
      <c r="H22" s="87">
        <f t="shared" si="7"/>
        <v>0.16102926603686332</v>
      </c>
      <c r="I22" s="86"/>
      <c r="J22" s="105">
        <f>SUM(I22/D22)*100</f>
        <v>0</v>
      </c>
      <c r="K22" s="86">
        <v>25104</v>
      </c>
      <c r="L22" s="87">
        <f>SUM(K22/D22)*100</f>
        <v>6.91021999075114</v>
      </c>
      <c r="M22" s="86">
        <f>SUM(D22-E22-G22-I22-K22)</f>
        <v>246343</v>
      </c>
      <c r="N22" s="88">
        <f t="shared" si="8"/>
        <v>67.80928629627184</v>
      </c>
    </row>
    <row r="23" spans="2:14" ht="12" customHeight="1" thickBot="1">
      <c r="B23" s="59" t="s">
        <v>53</v>
      </c>
      <c r="C23" s="36"/>
      <c r="D23" s="36">
        <v>615281</v>
      </c>
      <c r="E23" s="37">
        <v>356803</v>
      </c>
      <c r="F23" s="60">
        <f t="shared" si="6"/>
        <v>57.9902516086146</v>
      </c>
      <c r="G23" s="37">
        <v>827</v>
      </c>
      <c r="H23" s="60">
        <f t="shared" si="7"/>
        <v>0.13441013130585863</v>
      </c>
      <c r="I23" s="37"/>
      <c r="J23" s="106">
        <f>SUM(I23/D23)*100</f>
        <v>0</v>
      </c>
      <c r="K23" s="60"/>
      <c r="L23" s="60">
        <f>SUM(K23/D23)*100</f>
        <v>0</v>
      </c>
      <c r="M23" s="37">
        <f>SUM(D23-E23-G23-I23-K23)</f>
        <v>257651</v>
      </c>
      <c r="N23" s="61">
        <f t="shared" si="8"/>
        <v>41.875338260079545</v>
      </c>
    </row>
    <row r="24" spans="2:14" ht="12" customHeight="1" thickBot="1">
      <c r="B24" s="44" t="s">
        <v>54</v>
      </c>
      <c r="C24" s="31"/>
      <c r="D24" s="31">
        <f>SUM(D22:D23)</f>
        <v>978569</v>
      </c>
      <c r="E24" s="31">
        <f>SUM(E22:E23)</f>
        <v>448059</v>
      </c>
      <c r="F24" s="82">
        <f t="shared" si="6"/>
        <v>45.787164727270124</v>
      </c>
      <c r="G24" s="31">
        <f aca="true" t="shared" si="12" ref="G24:M24">SUM(G22:G23)</f>
        <v>1412</v>
      </c>
      <c r="H24" s="82">
        <f t="shared" si="12"/>
        <v>0.29543939734272195</v>
      </c>
      <c r="I24" s="31">
        <f t="shared" si="12"/>
        <v>0</v>
      </c>
      <c r="J24" s="82">
        <f t="shared" si="12"/>
        <v>0</v>
      </c>
      <c r="K24" s="31">
        <f t="shared" si="12"/>
        <v>25104</v>
      </c>
      <c r="L24" s="46">
        <f t="shared" si="12"/>
        <v>6.91021999075114</v>
      </c>
      <c r="M24" s="31">
        <f t="shared" si="12"/>
        <v>503994</v>
      </c>
      <c r="N24" s="92">
        <f t="shared" si="8"/>
        <v>51.50316431442239</v>
      </c>
    </row>
    <row r="25" spans="2:14" ht="12" customHeight="1">
      <c r="B25" s="51" t="s">
        <v>4</v>
      </c>
      <c r="C25" s="52"/>
      <c r="D25" s="52">
        <f>1977938-1400-5518</f>
        <v>1971020</v>
      </c>
      <c r="E25" s="53">
        <f>6502+69988-6217</f>
        <v>70273</v>
      </c>
      <c r="F25" s="54">
        <f aca="true" t="shared" si="13" ref="F25:F44">SUM(E25/D25)*100</f>
        <v>3.565311361630019</v>
      </c>
      <c r="G25" s="53">
        <f>325546+1822+1613+287+1822+656+1822-1827+209</f>
        <v>331950</v>
      </c>
      <c r="H25" s="54">
        <f aca="true" t="shared" si="14" ref="H25:H44">SUM(G25/D25)*100</f>
        <v>16.841533825126078</v>
      </c>
      <c r="I25" s="53">
        <v>1167</v>
      </c>
      <c r="J25" s="103">
        <f t="shared" si="10"/>
        <v>0.05920792280139217</v>
      </c>
      <c r="K25" s="53">
        <v>37365</v>
      </c>
      <c r="L25" s="54">
        <f t="shared" si="11"/>
        <v>1.8957189678440605</v>
      </c>
      <c r="M25" s="53">
        <f>SUM(D25-E25-G25-I25-K25)</f>
        <v>1530265</v>
      </c>
      <c r="N25" s="55">
        <f aca="true" t="shared" si="15" ref="N25:N44">SUM(M25/D25)*100</f>
        <v>77.63822792259845</v>
      </c>
    </row>
    <row r="26" spans="2:14" ht="12" customHeight="1">
      <c r="B26" s="18" t="s">
        <v>51</v>
      </c>
      <c r="C26" s="19"/>
      <c r="D26" s="19">
        <v>1400</v>
      </c>
      <c r="E26" s="20"/>
      <c r="F26" s="21">
        <f t="shared" si="13"/>
        <v>0</v>
      </c>
      <c r="G26" s="20"/>
      <c r="H26" s="21">
        <f t="shared" si="14"/>
        <v>0</v>
      </c>
      <c r="I26" s="20"/>
      <c r="J26" s="107">
        <f t="shared" si="10"/>
        <v>0</v>
      </c>
      <c r="K26" s="20"/>
      <c r="L26" s="21">
        <f t="shared" si="11"/>
        <v>0</v>
      </c>
      <c r="M26" s="20">
        <f>SUM(D26-E26-G26-I26-K26)</f>
        <v>1400</v>
      </c>
      <c r="N26" s="22">
        <f t="shared" si="15"/>
        <v>100</v>
      </c>
    </row>
    <row r="27" spans="2:14" ht="12" customHeight="1" thickBot="1">
      <c r="B27" s="51" t="s">
        <v>72</v>
      </c>
      <c r="C27" s="52"/>
      <c r="D27" s="52">
        <v>214678</v>
      </c>
      <c r="E27" s="53"/>
      <c r="F27" s="54">
        <f t="shared" si="13"/>
        <v>0</v>
      </c>
      <c r="G27" s="53"/>
      <c r="H27" s="54">
        <f t="shared" si="14"/>
        <v>0</v>
      </c>
      <c r="I27" s="53"/>
      <c r="J27" s="103">
        <f t="shared" si="10"/>
        <v>0</v>
      </c>
      <c r="K27" s="53"/>
      <c r="L27" s="54">
        <f t="shared" si="11"/>
        <v>0</v>
      </c>
      <c r="M27" s="53">
        <f>SUM(D27-E27-G27-I27-K27)</f>
        <v>214678</v>
      </c>
      <c r="N27" s="55">
        <f t="shared" si="15"/>
        <v>100</v>
      </c>
    </row>
    <row r="28" spans="2:14" ht="12" customHeight="1" thickBot="1">
      <c r="B28" s="44" t="s">
        <v>42</v>
      </c>
      <c r="C28" s="31"/>
      <c r="D28" s="31">
        <f>SUM(D25:D27)</f>
        <v>2187098</v>
      </c>
      <c r="E28" s="31">
        <f>SUM(E25:E27)</f>
        <v>70273</v>
      </c>
      <c r="F28" s="46">
        <f t="shared" si="13"/>
        <v>3.2130704705504733</v>
      </c>
      <c r="G28" s="31">
        <f>SUM(G25:G27)</f>
        <v>331950</v>
      </c>
      <c r="H28" s="46">
        <f t="shared" si="14"/>
        <v>15.177646360611185</v>
      </c>
      <c r="I28" s="31">
        <f>SUM(I25:I27)</f>
        <v>1167</v>
      </c>
      <c r="J28" s="82">
        <f t="shared" si="10"/>
        <v>0.0533583771737709</v>
      </c>
      <c r="K28" s="31">
        <f>SUM(K25)</f>
        <v>37365</v>
      </c>
      <c r="L28" s="46">
        <f t="shared" si="11"/>
        <v>1.7084282460136675</v>
      </c>
      <c r="M28" s="31">
        <f>SUM(M25:M27)</f>
        <v>1746343</v>
      </c>
      <c r="N28" s="62">
        <f t="shared" si="15"/>
        <v>79.84749654565091</v>
      </c>
    </row>
    <row r="29" spans="2:14" ht="12" customHeight="1" thickBot="1">
      <c r="B29" s="51" t="s">
        <v>7</v>
      </c>
      <c r="C29" s="52">
        <v>115</v>
      </c>
      <c r="D29" s="52">
        <v>160386</v>
      </c>
      <c r="E29" s="53">
        <v>6226</v>
      </c>
      <c r="F29" s="54">
        <f t="shared" si="13"/>
        <v>3.8818849525519687</v>
      </c>
      <c r="G29" s="53">
        <f>56822+294+2098+3886+3298+946+1294+291-4941</f>
        <v>63988</v>
      </c>
      <c r="H29" s="54">
        <f t="shared" si="14"/>
        <v>39.89625029616051</v>
      </c>
      <c r="I29" s="53">
        <v>359</v>
      </c>
      <c r="J29" s="103">
        <f t="shared" si="10"/>
        <v>0.22383499806716295</v>
      </c>
      <c r="K29" s="53">
        <v>3410</v>
      </c>
      <c r="L29" s="54">
        <f t="shared" si="11"/>
        <v>2.1261207337298766</v>
      </c>
      <c r="M29" s="53">
        <f>SUM(D29-E29-G29-I29-K29)</f>
        <v>86403</v>
      </c>
      <c r="N29" s="55">
        <f t="shared" si="15"/>
        <v>53.87190901949048</v>
      </c>
    </row>
    <row r="30" spans="2:14" ht="12" customHeight="1" thickBot="1">
      <c r="B30" s="44" t="s">
        <v>43</v>
      </c>
      <c r="C30" s="31"/>
      <c r="D30" s="31">
        <f>SUM(D29)</f>
        <v>160386</v>
      </c>
      <c r="E30" s="47">
        <f>SUM(E29)</f>
        <v>6226</v>
      </c>
      <c r="F30" s="48">
        <f t="shared" si="13"/>
        <v>3.8818849525519687</v>
      </c>
      <c r="G30" s="47">
        <f>SUM(G29)</f>
        <v>63988</v>
      </c>
      <c r="H30" s="48">
        <f t="shared" si="14"/>
        <v>39.89625029616051</v>
      </c>
      <c r="I30" s="47">
        <f>SUM(I29)</f>
        <v>359</v>
      </c>
      <c r="J30" s="108">
        <f t="shared" si="10"/>
        <v>0.22383499806716295</v>
      </c>
      <c r="K30" s="47">
        <f>SUM(K29)</f>
        <v>3410</v>
      </c>
      <c r="L30" s="48">
        <f t="shared" si="11"/>
        <v>2.1261207337298766</v>
      </c>
      <c r="M30" s="47">
        <f>SUM(M29)</f>
        <v>86403</v>
      </c>
      <c r="N30" s="49">
        <f t="shared" si="15"/>
        <v>53.87190901949048</v>
      </c>
    </row>
    <row r="31" spans="2:14" ht="12" customHeight="1">
      <c r="B31" s="13" t="s">
        <v>8</v>
      </c>
      <c r="C31" s="14">
        <v>300</v>
      </c>
      <c r="D31" s="14">
        <v>200671</v>
      </c>
      <c r="E31" s="15">
        <v>10537</v>
      </c>
      <c r="F31" s="16">
        <f t="shared" si="13"/>
        <v>5.250883286573546</v>
      </c>
      <c r="G31" s="15">
        <f>39135+1398+126-1635</f>
        <v>39024</v>
      </c>
      <c r="H31" s="16">
        <f t="shared" si="14"/>
        <v>19.446756133173203</v>
      </c>
      <c r="I31" s="15"/>
      <c r="J31" s="102">
        <f t="shared" si="10"/>
        <v>0</v>
      </c>
      <c r="K31" s="15">
        <v>14274</v>
      </c>
      <c r="L31" s="16">
        <f t="shared" si="11"/>
        <v>7.113135430630235</v>
      </c>
      <c r="M31" s="15">
        <f>SUM(D31-E31-G31-I31-K31)</f>
        <v>136836</v>
      </c>
      <c r="N31" s="17">
        <f t="shared" si="15"/>
        <v>68.18922514962301</v>
      </c>
    </row>
    <row r="32" spans="2:14" ht="12" customHeight="1">
      <c r="B32" s="18" t="s">
        <v>9</v>
      </c>
      <c r="C32" s="19">
        <v>88</v>
      </c>
      <c r="D32" s="19">
        <v>103137</v>
      </c>
      <c r="E32" s="20">
        <v>12786</v>
      </c>
      <c r="F32" s="21">
        <f t="shared" si="13"/>
        <v>12.397102882573664</v>
      </c>
      <c r="G32" s="20">
        <f>18158+1164+60-435</f>
        <v>18947</v>
      </c>
      <c r="H32" s="21">
        <f t="shared" si="14"/>
        <v>18.370710802136962</v>
      </c>
      <c r="I32" s="20"/>
      <c r="J32" s="102">
        <f t="shared" si="10"/>
        <v>0</v>
      </c>
      <c r="K32" s="15"/>
      <c r="L32" s="16">
        <f t="shared" si="11"/>
        <v>0</v>
      </c>
      <c r="M32" s="15">
        <f aca="true" t="shared" si="16" ref="M32:M38">SUM(D32-E32-G32-I32-K32)</f>
        <v>71404</v>
      </c>
      <c r="N32" s="22">
        <f t="shared" si="15"/>
        <v>69.23218631528937</v>
      </c>
    </row>
    <row r="33" spans="2:14" ht="12" customHeight="1">
      <c r="B33" s="18" t="s">
        <v>10</v>
      </c>
      <c r="C33" s="19">
        <v>14</v>
      </c>
      <c r="D33" s="19">
        <v>42517</v>
      </c>
      <c r="E33" s="20">
        <v>12039</v>
      </c>
      <c r="F33" s="21">
        <f t="shared" si="13"/>
        <v>28.315732530517206</v>
      </c>
      <c r="G33" s="20">
        <f>22526+313+16</f>
        <v>22855</v>
      </c>
      <c r="H33" s="21">
        <f t="shared" si="14"/>
        <v>53.754968600794975</v>
      </c>
      <c r="I33" s="20"/>
      <c r="J33" s="102">
        <f t="shared" si="10"/>
        <v>0</v>
      </c>
      <c r="K33" s="15"/>
      <c r="L33" s="16">
        <f t="shared" si="11"/>
        <v>0</v>
      </c>
      <c r="M33" s="15">
        <f t="shared" si="16"/>
        <v>7623</v>
      </c>
      <c r="N33" s="22">
        <f t="shared" si="15"/>
        <v>17.92929886868782</v>
      </c>
    </row>
    <row r="34" spans="2:14" ht="12" customHeight="1">
      <c r="B34" s="18" t="s">
        <v>11</v>
      </c>
      <c r="C34" s="19">
        <v>550</v>
      </c>
      <c r="D34" s="19">
        <v>79653</v>
      </c>
      <c r="E34" s="20">
        <v>24178</v>
      </c>
      <c r="F34" s="21">
        <f t="shared" si="13"/>
        <v>30.354161174092624</v>
      </c>
      <c r="G34" s="20">
        <f>30656+44+2-830</f>
        <v>29872</v>
      </c>
      <c r="H34" s="21">
        <f t="shared" si="14"/>
        <v>37.502667821676525</v>
      </c>
      <c r="I34" s="20"/>
      <c r="J34" s="102">
        <f t="shared" si="10"/>
        <v>0</v>
      </c>
      <c r="K34" s="15"/>
      <c r="L34" s="16">
        <f t="shared" si="11"/>
        <v>0</v>
      </c>
      <c r="M34" s="15">
        <f t="shared" si="16"/>
        <v>25603</v>
      </c>
      <c r="N34" s="22">
        <f t="shared" si="15"/>
        <v>32.14317100423085</v>
      </c>
    </row>
    <row r="35" spans="2:14" ht="12" customHeight="1">
      <c r="B35" s="18" t="s">
        <v>12</v>
      </c>
      <c r="C35" s="19">
        <v>30</v>
      </c>
      <c r="D35" s="19">
        <v>28413</v>
      </c>
      <c r="E35" s="20"/>
      <c r="F35" s="21">
        <f t="shared" si="13"/>
        <v>0</v>
      </c>
      <c r="G35" s="20"/>
      <c r="H35" s="21">
        <f t="shared" si="14"/>
        <v>0</v>
      </c>
      <c r="I35" s="20">
        <f>10178+9372+2832</f>
        <v>22382</v>
      </c>
      <c r="J35" s="102">
        <f t="shared" si="10"/>
        <v>78.77380072502024</v>
      </c>
      <c r="K35" s="15"/>
      <c r="L35" s="16">
        <f t="shared" si="11"/>
        <v>0</v>
      </c>
      <c r="M35" s="15">
        <f t="shared" si="16"/>
        <v>6031</v>
      </c>
      <c r="N35" s="22">
        <f t="shared" si="15"/>
        <v>21.226199274979763</v>
      </c>
    </row>
    <row r="36" spans="2:14" ht="12" customHeight="1">
      <c r="B36" s="18" t="s">
        <v>13</v>
      </c>
      <c r="C36" s="19">
        <v>26270</v>
      </c>
      <c r="D36" s="19">
        <v>189278</v>
      </c>
      <c r="E36" s="20">
        <v>42</v>
      </c>
      <c r="F36" s="21">
        <f t="shared" si="13"/>
        <v>0.022189583575481567</v>
      </c>
      <c r="G36" s="20">
        <f>25530+1024</f>
        <v>26554</v>
      </c>
      <c r="H36" s="21">
        <f t="shared" si="14"/>
        <v>14.029100053888987</v>
      </c>
      <c r="I36" s="20"/>
      <c r="J36" s="102">
        <f t="shared" si="10"/>
        <v>0</v>
      </c>
      <c r="K36" s="15"/>
      <c r="L36" s="16">
        <f t="shared" si="11"/>
        <v>0</v>
      </c>
      <c r="M36" s="15">
        <f t="shared" si="16"/>
        <v>162682</v>
      </c>
      <c r="N36" s="22">
        <f t="shared" si="15"/>
        <v>85.94871036253554</v>
      </c>
    </row>
    <row r="37" spans="2:14" ht="12" customHeight="1">
      <c r="B37" s="25" t="s">
        <v>73</v>
      </c>
      <c r="C37" s="26"/>
      <c r="D37" s="26">
        <v>6189</v>
      </c>
      <c r="E37" s="27">
        <v>981</v>
      </c>
      <c r="F37" s="28">
        <f t="shared" si="13"/>
        <v>15.850702859912749</v>
      </c>
      <c r="G37" s="27">
        <f>208+44+2</f>
        <v>254</v>
      </c>
      <c r="H37" s="21">
        <f t="shared" si="14"/>
        <v>4.104055582485054</v>
      </c>
      <c r="I37" s="27">
        <v>981</v>
      </c>
      <c r="J37" s="103">
        <f t="shared" si="10"/>
        <v>15.850702859912749</v>
      </c>
      <c r="K37" s="53"/>
      <c r="L37" s="54">
        <f t="shared" si="11"/>
        <v>0</v>
      </c>
      <c r="M37" s="15">
        <f t="shared" si="16"/>
        <v>3973</v>
      </c>
      <c r="N37" s="22">
        <f t="shared" si="15"/>
        <v>64.19453869768945</v>
      </c>
    </row>
    <row r="38" spans="2:14" ht="12" customHeight="1" thickBot="1">
      <c r="B38" s="59" t="s">
        <v>14</v>
      </c>
      <c r="C38" s="36"/>
      <c r="D38" s="36">
        <v>11398</v>
      </c>
      <c r="E38" s="37"/>
      <c r="F38" s="60">
        <f t="shared" si="13"/>
        <v>0</v>
      </c>
      <c r="G38" s="37">
        <f>622+134+7</f>
        <v>763</v>
      </c>
      <c r="H38" s="60">
        <f t="shared" si="14"/>
        <v>6.69415686962625</v>
      </c>
      <c r="I38" s="37">
        <v>8150</v>
      </c>
      <c r="J38" s="106">
        <f t="shared" si="10"/>
        <v>71.50377259168275</v>
      </c>
      <c r="K38" s="37"/>
      <c r="L38" s="60">
        <f t="shared" si="11"/>
        <v>0</v>
      </c>
      <c r="M38" s="37">
        <f t="shared" si="16"/>
        <v>2485</v>
      </c>
      <c r="N38" s="61">
        <f t="shared" si="15"/>
        <v>21.802070538690998</v>
      </c>
    </row>
    <row r="39" spans="2:14" s="50" customFormat="1" ht="12" customHeight="1" thickBot="1">
      <c r="B39" s="44" t="s">
        <v>44</v>
      </c>
      <c r="C39" s="31"/>
      <c r="D39" s="31">
        <f>SUM(D31:D38)</f>
        <v>661256</v>
      </c>
      <c r="E39" s="47">
        <f>SUM(E31:E38)</f>
        <v>60563</v>
      </c>
      <c r="F39" s="48">
        <f t="shared" si="13"/>
        <v>9.158782680232768</v>
      </c>
      <c r="G39" s="47">
        <f>SUM(G31:G38)</f>
        <v>138269</v>
      </c>
      <c r="H39" s="48">
        <f t="shared" si="14"/>
        <v>20.91005601461461</v>
      </c>
      <c r="I39" s="47">
        <f>SUM(I31:I38)</f>
        <v>31513</v>
      </c>
      <c r="J39" s="108">
        <f aca="true" t="shared" si="17" ref="J39:J44">SUM(I39/D39)*100</f>
        <v>4.7656278355130235</v>
      </c>
      <c r="K39" s="47">
        <f>SUM(K31:K38)</f>
        <v>14274</v>
      </c>
      <c r="L39" s="48">
        <f aca="true" t="shared" si="18" ref="L39:L44">SUM(K39/D39)*100</f>
        <v>2.158619354682604</v>
      </c>
      <c r="M39" s="47">
        <f>SUM(M31:M38)</f>
        <v>416637</v>
      </c>
      <c r="N39" s="49">
        <f t="shared" si="15"/>
        <v>63.00691411495699</v>
      </c>
    </row>
    <row r="40" spans="2:14" s="50" customFormat="1" ht="12" customHeight="1" thickBot="1">
      <c r="B40" s="136" t="s">
        <v>46</v>
      </c>
      <c r="C40" s="137"/>
      <c r="D40" s="137">
        <v>140355</v>
      </c>
      <c r="E40" s="138">
        <v>5445</v>
      </c>
      <c r="F40" s="139">
        <f t="shared" si="13"/>
        <v>3.879448541199102</v>
      </c>
      <c r="G40" s="138">
        <f>103843+21+123+75+18-1140+234-4782-4143+1883</f>
        <v>96132</v>
      </c>
      <c r="H40" s="139">
        <f t="shared" si="14"/>
        <v>68.49203804638239</v>
      </c>
      <c r="I40" s="138"/>
      <c r="J40" s="140">
        <f t="shared" si="17"/>
        <v>0</v>
      </c>
      <c r="K40" s="138">
        <v>2384</v>
      </c>
      <c r="L40" s="48">
        <f t="shared" si="18"/>
        <v>1.698550105090663</v>
      </c>
      <c r="M40" s="138">
        <f>SUM(D40-E40-G40-I40-K40)</f>
        <v>36394</v>
      </c>
      <c r="N40" s="141">
        <f t="shared" si="15"/>
        <v>25.929963307327846</v>
      </c>
    </row>
    <row r="41" spans="2:14" s="50" customFormat="1" ht="12" customHeight="1" thickBot="1">
      <c r="B41" s="44" t="s">
        <v>47</v>
      </c>
      <c r="C41" s="31"/>
      <c r="D41" s="31">
        <v>82919</v>
      </c>
      <c r="E41" s="47">
        <v>3760</v>
      </c>
      <c r="F41" s="48">
        <f t="shared" si="13"/>
        <v>4.534545761526309</v>
      </c>
      <c r="G41" s="47">
        <f>76151+136+684+438+105-4143+1884+30</f>
        <v>75285</v>
      </c>
      <c r="H41" s="48">
        <f t="shared" si="14"/>
        <v>90.79342490864579</v>
      </c>
      <c r="I41" s="47"/>
      <c r="J41" s="108">
        <f t="shared" si="17"/>
        <v>0</v>
      </c>
      <c r="K41" s="47">
        <v>1424</v>
      </c>
      <c r="L41" s="142">
        <f t="shared" si="18"/>
        <v>1.717338607556772</v>
      </c>
      <c r="M41" s="143">
        <f>SUM(D41-E41-G41-I41-K41)</f>
        <v>2450</v>
      </c>
      <c r="N41" s="144">
        <f t="shared" si="15"/>
        <v>2.954690722271132</v>
      </c>
    </row>
    <row r="42" spans="2:14" s="50" customFormat="1" ht="12" customHeight="1" thickBot="1">
      <c r="B42" s="44" t="s">
        <v>48</v>
      </c>
      <c r="C42" s="31"/>
      <c r="D42" s="31">
        <v>160755</v>
      </c>
      <c r="E42" s="47">
        <v>21179</v>
      </c>
      <c r="F42" s="48">
        <f t="shared" si="13"/>
        <v>13.174706852041925</v>
      </c>
      <c r="G42" s="47">
        <f>89997+965+172+615+141</f>
        <v>91890</v>
      </c>
      <c r="H42" s="48">
        <f t="shared" si="14"/>
        <v>57.1615190818326</v>
      </c>
      <c r="I42" s="47"/>
      <c r="J42" s="108">
        <f t="shared" si="17"/>
        <v>0</v>
      </c>
      <c r="K42" s="47">
        <v>1428</v>
      </c>
      <c r="L42" s="142">
        <f t="shared" si="18"/>
        <v>0.8883082952318745</v>
      </c>
      <c r="M42" s="143">
        <f>SUM(D42-E42-G42-I42-K42)</f>
        <v>46258</v>
      </c>
      <c r="N42" s="144">
        <f t="shared" si="15"/>
        <v>28.775465770893593</v>
      </c>
    </row>
    <row r="43" spans="2:14" s="50" customFormat="1" ht="12" customHeight="1" thickBot="1">
      <c r="B43" s="136" t="s">
        <v>49</v>
      </c>
      <c r="C43" s="137"/>
      <c r="D43" s="137">
        <v>128715</v>
      </c>
      <c r="E43" s="138">
        <v>3262</v>
      </c>
      <c r="F43" s="139">
        <f t="shared" si="13"/>
        <v>2.5342811638115217</v>
      </c>
      <c r="G43" s="138">
        <f>76152+52+312+198+47+830</f>
        <v>77591</v>
      </c>
      <c r="H43" s="139">
        <f t="shared" si="14"/>
        <v>60.28124150254438</v>
      </c>
      <c r="I43" s="138"/>
      <c r="J43" s="140">
        <f t="shared" si="17"/>
        <v>0</v>
      </c>
      <c r="K43" s="138">
        <v>17999</v>
      </c>
      <c r="L43" s="48">
        <f t="shared" si="18"/>
        <v>13.98360719418871</v>
      </c>
      <c r="M43" s="138">
        <f>SUM(D43-E43-G43-I43-K43)</f>
        <v>29863</v>
      </c>
      <c r="N43" s="141">
        <f t="shared" si="15"/>
        <v>23.200870139455386</v>
      </c>
    </row>
    <row r="44" spans="2:14" s="4" customFormat="1" ht="12" customHeight="1" thickBot="1">
      <c r="B44" s="30" t="s">
        <v>20</v>
      </c>
      <c r="C44" s="31"/>
      <c r="D44" s="31">
        <f>SUM(D39,D30,D28,D21,D15,D40,D41,D42,D43,D24)</f>
        <v>9369281</v>
      </c>
      <c r="E44" s="31">
        <f>SUM(E39,E30,E28,E21,E15,E40,E41,E42,E43,E24)</f>
        <v>5619079</v>
      </c>
      <c r="F44" s="46">
        <f t="shared" si="13"/>
        <v>59.973428057072894</v>
      </c>
      <c r="G44" s="31">
        <f>SUM(G39,G30,G28,G21,G15,G40,G41,G42,G43,G24)</f>
        <v>918480</v>
      </c>
      <c r="H44" s="46">
        <f t="shared" si="14"/>
        <v>9.803100152509035</v>
      </c>
      <c r="I44" s="31">
        <f>SUM(I39,I30,I28,I21,I15,I40,I41,I42,I43)</f>
        <v>164292</v>
      </c>
      <c r="J44" s="82">
        <f t="shared" si="17"/>
        <v>1.7535176925529292</v>
      </c>
      <c r="K44" s="31">
        <f>SUM(K39,K30,K28,K21,K15,K40,K41,K42,K43,K24)</f>
        <v>288353</v>
      </c>
      <c r="L44" s="48">
        <f t="shared" si="18"/>
        <v>3.077642777498081</v>
      </c>
      <c r="M44" s="31">
        <f>SUM(M39,M30,M28,M21,M15,M40,M41,M42,M43,M24)</f>
        <v>2379077</v>
      </c>
      <c r="N44" s="62">
        <f t="shared" si="15"/>
        <v>25.39231132036706</v>
      </c>
    </row>
    <row r="45" spans="2:14" ht="12.75">
      <c r="B45" s="7"/>
      <c r="C45" s="8"/>
      <c r="D45" s="8"/>
      <c r="E45" s="8"/>
      <c r="F45" s="11"/>
      <c r="G45" s="8"/>
      <c r="H45" s="9"/>
      <c r="I45" s="145"/>
      <c r="J45" s="109"/>
      <c r="K45" s="146"/>
      <c r="L45" s="112"/>
      <c r="M45" s="10"/>
      <c r="N45" s="7"/>
    </row>
  </sheetData>
  <sheetProtection/>
  <mergeCells count="2">
    <mergeCell ref="B2:N2"/>
    <mergeCell ref="M1:N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2016-05-09T12:52:02Z</cp:lastPrinted>
  <dcterms:created xsi:type="dcterms:W3CDTF">2009-02-04T11:37:44Z</dcterms:created>
  <dcterms:modified xsi:type="dcterms:W3CDTF">2016-05-09T13:05:54Z</dcterms:modified>
  <cp:category/>
  <cp:version/>
  <cp:contentType/>
  <cp:contentStatus/>
</cp:coreProperties>
</file>