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760" yWindow="32760" windowWidth="19200" windowHeight="10785" tabRatio="973" activeTab="3"/>
  </bookViews>
  <sheets>
    <sheet name="TARTALOMJEGYZÉK" sheetId="134" r:id="rId1"/>
    <sheet name="ALAPADATOK" sheetId="94" r:id="rId2"/>
    <sheet name="KV_ÖSSZEFÜGGÉSEK" sheetId="75" r:id="rId3"/>
    <sheet name="KV_1.1.sz.mell." sheetId="1" r:id="rId4"/>
    <sheet name="KV_1.2.sz.mell." sheetId="130" r:id="rId5"/>
    <sheet name="KV_1.3.sz.mell." sheetId="131" r:id="rId6"/>
    <sheet name="KV_1.4.sz.mell." sheetId="132" r:id="rId7"/>
    <sheet name="KV_2.1.sz.mell." sheetId="73" r:id="rId8"/>
    <sheet name="KV_2.2.sz.mell." sheetId="61" r:id="rId9"/>
    <sheet name="KV_ELLENŐRZÉS" sheetId="76" r:id="rId10"/>
    <sheet name="KV_3.sz.mell." sheetId="62" r:id="rId11"/>
    <sheet name="KV_4.sz.mell." sheetId="77" r:id="rId12"/>
    <sheet name="KV_5.sz.mell." sheetId="78" r:id="rId13"/>
    <sheet name="KV_6.sz.mell." sheetId="63" r:id="rId14"/>
    <sheet name="KV_7.sz.mell." sheetId="64" r:id="rId15"/>
    <sheet name="KV_8.sz.mell." sheetId="173" r:id="rId16"/>
    <sheet name="KV_9.1.sz.mell" sheetId="3" r:id="rId17"/>
    <sheet name="KV_9.1.1.sz.mell" sheetId="119" r:id="rId18"/>
    <sheet name="KV_9.1.2.sz.mell." sheetId="120" r:id="rId19"/>
    <sheet name="KV_9.1.3.sz.mell" sheetId="121" r:id="rId20"/>
    <sheet name="KV_9.2.sz.mell" sheetId="79" r:id="rId21"/>
    <sheet name="KV_9.2.1.sz.mell" sheetId="122" r:id="rId22"/>
    <sheet name="KV_9.2.2.sz.mell" sheetId="123" r:id="rId23"/>
    <sheet name="KV_9.2.3.sz.mell" sheetId="124" r:id="rId24"/>
    <sheet name="KV_9.3.sz.mell" sheetId="105" r:id="rId25"/>
    <sheet name="KV_9.3.1.sz.mell" sheetId="125" r:id="rId26"/>
    <sheet name="KV_9.3.2.sz.mell" sheetId="126" r:id="rId27"/>
    <sheet name="KV_9.3.3.sz.mell" sheetId="127" r:id="rId28"/>
    <sheet name="KV_9.4.sz.mell" sheetId="136" r:id="rId29"/>
    <sheet name="KV_9.4.1.sz.mell" sheetId="137" r:id="rId30"/>
    <sheet name="KV_9.4.2.sz.mell" sheetId="138" r:id="rId31"/>
    <sheet name="KV_9.4.3.sz.mell" sheetId="139" r:id="rId32"/>
    <sheet name="KV_9.5.sz.mell" sheetId="140" r:id="rId33"/>
    <sheet name="KV_9.5.1.sz.mell" sheetId="141" r:id="rId34"/>
    <sheet name="KV_9.5.2.sz.mell" sheetId="142" r:id="rId35"/>
    <sheet name="KV_9.5.3.sz.mell" sheetId="143" r:id="rId36"/>
    <sheet name="KV_9.6.sz.mell" sheetId="144" r:id="rId37"/>
    <sheet name="KV_9.6.1.sz.mell" sheetId="145" r:id="rId38"/>
    <sheet name="KV_9.6.2.sz.mell" sheetId="146" r:id="rId39"/>
    <sheet name="KV_9.6.3.sz.mell" sheetId="147" r:id="rId40"/>
    <sheet name="KV_9.7.sz.mell" sheetId="148" r:id="rId41"/>
    <sheet name="KV_9.7.1.sz.mell" sheetId="149" r:id="rId42"/>
    <sheet name="KV_9.7.2.sz.mell" sheetId="150" r:id="rId43"/>
    <sheet name="KV_9.7.3.sz.mell" sheetId="151" r:id="rId44"/>
    <sheet name="KV_10.sz.mell" sheetId="89" r:id="rId45"/>
    <sheet name="KV_1.sz.tájékoztató_t." sheetId="87" r:id="rId46"/>
    <sheet name="KV_2.sz.tájékoztató_t." sheetId="66" r:id="rId47"/>
    <sheet name="KV_3.sz.tájékoztató_t." sheetId="88" r:id="rId48"/>
    <sheet name="KV_4.sz.tájékoztató_t." sheetId="24" r:id="rId49"/>
    <sheet name="KV_5.sz.tájékoztató_t" sheetId="172" r:id="rId50"/>
    <sheet name="KV_6.sz.tájékoztató_t." sheetId="70" r:id="rId51"/>
    <sheet name="KV_7.sz.tájékoztató_t." sheetId="128" r:id="rId52"/>
  </sheets>
  <externalReferences>
    <externalReference r:id="rId53"/>
  </externalReferences>
  <definedNames>
    <definedName name="_xlnm.Print_Titles" localSheetId="17">KV_9.1.1.sz.mell!$1:$6</definedName>
    <definedName name="_xlnm.Print_Titles" localSheetId="18">KV_9.1.2.sz.mell.!$1:$6</definedName>
    <definedName name="_xlnm.Print_Titles" localSheetId="19">KV_9.1.3.sz.mell!$1:$6</definedName>
    <definedName name="_xlnm.Print_Titles" localSheetId="16">KV_9.1.sz.mell!$1:$6</definedName>
    <definedName name="_xlnm.Print_Titles" localSheetId="21">KV_9.2.1.sz.mell!$1:$6</definedName>
    <definedName name="_xlnm.Print_Titles" localSheetId="22">KV_9.2.2.sz.mell!$1:$6</definedName>
    <definedName name="_xlnm.Print_Titles" localSheetId="23">KV_9.2.3.sz.mell!$1:$6</definedName>
    <definedName name="_xlnm.Print_Titles" localSheetId="20">KV_9.2.sz.mell!$1:$6</definedName>
    <definedName name="_xlnm.Print_Titles" localSheetId="25">KV_9.3.1.sz.mell!$1:$6</definedName>
    <definedName name="_xlnm.Print_Titles" localSheetId="26">KV_9.3.2.sz.mell!$1:$6</definedName>
    <definedName name="_xlnm.Print_Titles" localSheetId="27">KV_9.3.3.sz.mell!$1:$6</definedName>
    <definedName name="_xlnm.Print_Titles" localSheetId="24">KV_9.3.sz.mell!$1:$6</definedName>
    <definedName name="_xlnm.Print_Titles" localSheetId="29">KV_9.4.1.sz.mell!$1:$6</definedName>
    <definedName name="_xlnm.Print_Titles" localSheetId="30">KV_9.4.2.sz.mell!$1:$6</definedName>
    <definedName name="_xlnm.Print_Titles" localSheetId="31">KV_9.4.3.sz.mell!$1:$6</definedName>
    <definedName name="_xlnm.Print_Titles" localSheetId="28">KV_9.4.sz.mell!$1:$6</definedName>
    <definedName name="_xlnm.Print_Titles" localSheetId="33">KV_9.5.1.sz.mell!$1:$6</definedName>
    <definedName name="_xlnm.Print_Titles" localSheetId="34">KV_9.5.2.sz.mell!$1:$6</definedName>
    <definedName name="_xlnm.Print_Titles" localSheetId="35">KV_9.5.3.sz.mell!$1:$6</definedName>
    <definedName name="_xlnm.Print_Titles" localSheetId="32">KV_9.5.sz.mell!$1:$6</definedName>
    <definedName name="_xlnm.Print_Titles" localSheetId="37">KV_9.6.1.sz.mell!$1:$6</definedName>
    <definedName name="_xlnm.Print_Titles" localSheetId="38">KV_9.6.2.sz.mell!$1:$6</definedName>
    <definedName name="_xlnm.Print_Titles" localSheetId="39">KV_9.6.3.sz.mell!$1:$6</definedName>
    <definedName name="_xlnm.Print_Titles" localSheetId="36">KV_9.6.sz.mell!$1:$6</definedName>
    <definedName name="_xlnm.Print_Titles" localSheetId="41">KV_9.7.1.sz.mell!$1:$6</definedName>
    <definedName name="_xlnm.Print_Titles" localSheetId="42">KV_9.7.2.sz.mell!$1:$6</definedName>
    <definedName name="_xlnm.Print_Titles" localSheetId="43">KV_9.7.3.sz.mell!$1:$6</definedName>
    <definedName name="_xlnm.Print_Titles" localSheetId="40">KV_9.7.sz.mell!$1:$6</definedName>
    <definedName name="_xlnm.Print_Area" localSheetId="3">KV_1.1.sz.mell.!$A$1:$E$164</definedName>
    <definedName name="_xlnm.Print_Area" localSheetId="4">KV_1.2.sz.mell.!$A$1:$C$164</definedName>
    <definedName name="_xlnm.Print_Area" localSheetId="5">KV_1.3.sz.mell.!$A$1:$C$164</definedName>
    <definedName name="_xlnm.Print_Area" localSheetId="6">KV_1.4.sz.mell.!$A$1:$C$164</definedName>
    <definedName name="_xlnm.Print_Area" localSheetId="45">KV_1.sz.tájékoztató_t.!$A$1:$E$157</definedName>
    <definedName name="_xlnm.Print_Area" localSheetId="51">KV_7.sz.tájékoztató_t.!$A$2:$E$40</definedName>
    <definedName name="_xlnm.Print_Area" localSheetId="0">TARTALOMJEGYZÉK!$A$1:$C$44</definedName>
  </definedNames>
  <calcPr calcId="181029" fullCalcOnLoad="1"/>
</workbook>
</file>

<file path=xl/calcChain.xml><?xml version="1.0" encoding="utf-8"?>
<calcChain xmlns="http://schemas.openxmlformats.org/spreadsheetml/2006/main">
  <c r="D36" i="63"/>
  <c r="D37"/>
  <c r="D15" i="64"/>
  <c r="D44" i="63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8"/>
  <c r="D39"/>
  <c r="E146" i="1"/>
  <c r="E145"/>
  <c r="E158"/>
  <c r="E141" i="3"/>
  <c r="E142"/>
  <c r="E143"/>
  <c r="E112"/>
  <c r="E113"/>
  <c r="E111"/>
  <c r="D111"/>
  <c r="D93"/>
  <c r="E117" i="1"/>
  <c r="E118"/>
  <c r="E116"/>
  <c r="D116"/>
  <c r="D98"/>
  <c r="E100"/>
  <c r="E101"/>
  <c r="E98"/>
  <c r="E102"/>
  <c r="E103"/>
  <c r="E99"/>
  <c r="E95" i="3"/>
  <c r="E96"/>
  <c r="E97"/>
  <c r="E98"/>
  <c r="E94"/>
  <c r="F20" i="70"/>
  <c r="F40"/>
  <c r="E40"/>
  <c r="E53" i="148"/>
  <c r="E54"/>
  <c r="E46"/>
  <c r="E47"/>
  <c r="E52"/>
  <c r="E48"/>
  <c r="E51"/>
  <c r="E45"/>
  <c r="E37"/>
  <c r="E30"/>
  <c r="E26"/>
  <c r="E20"/>
  <c r="E8"/>
  <c r="E36"/>
  <c r="E41"/>
  <c r="D51"/>
  <c r="D45"/>
  <c r="D57"/>
  <c r="D37"/>
  <c r="D30"/>
  <c r="D26"/>
  <c r="D20"/>
  <c r="D8"/>
  <c r="D36"/>
  <c r="D41"/>
  <c r="E116" i="3"/>
  <c r="E117"/>
  <c r="E118"/>
  <c r="E119"/>
  <c r="E115"/>
  <c r="E76"/>
  <c r="E75"/>
  <c r="E89"/>
  <c r="E90"/>
  <c r="E32"/>
  <c r="E33"/>
  <c r="E34"/>
  <c r="E35"/>
  <c r="E36"/>
  <c r="E31"/>
  <c r="E27"/>
  <c r="E146"/>
  <c r="E140"/>
  <c r="E154"/>
  <c r="E133"/>
  <c r="E129"/>
  <c r="E82"/>
  <c r="E78"/>
  <c r="E70"/>
  <c r="E66"/>
  <c r="E60"/>
  <c r="E55"/>
  <c r="E49"/>
  <c r="E37"/>
  <c r="E29"/>
  <c r="E22"/>
  <c r="E15"/>
  <c r="E8"/>
  <c r="D146"/>
  <c r="D140"/>
  <c r="D154"/>
  <c r="D133"/>
  <c r="D129"/>
  <c r="D114"/>
  <c r="D82"/>
  <c r="D78"/>
  <c r="D75"/>
  <c r="D70"/>
  <c r="D66"/>
  <c r="D60"/>
  <c r="D55"/>
  <c r="D49"/>
  <c r="D37"/>
  <c r="D29"/>
  <c r="D22"/>
  <c r="D15"/>
  <c r="D8"/>
  <c r="E121" i="1"/>
  <c r="E122"/>
  <c r="E123"/>
  <c r="E124"/>
  <c r="E120"/>
  <c r="D9" i="64"/>
  <c r="D10"/>
  <c r="D11"/>
  <c r="D12"/>
  <c r="D13"/>
  <c r="D14"/>
  <c r="D16"/>
  <c r="D17"/>
  <c r="D18"/>
  <c r="D19"/>
  <c r="D20"/>
  <c r="D21"/>
  <c r="D22"/>
  <c r="D23"/>
  <c r="D24"/>
  <c r="D25"/>
  <c r="D26"/>
  <c r="E78" i="1"/>
  <c r="D24"/>
  <c r="E29"/>
  <c r="E24"/>
  <c r="E150"/>
  <c r="E138"/>
  <c r="E134"/>
  <c r="E95"/>
  <c r="E162"/>
  <c r="E84"/>
  <c r="E80"/>
  <c r="E77"/>
  <c r="E91"/>
  <c r="E72"/>
  <c r="E68"/>
  <c r="E62"/>
  <c r="E57"/>
  <c r="E51"/>
  <c r="E39"/>
  <c r="E31"/>
  <c r="E17"/>
  <c r="E10"/>
  <c r="E96"/>
  <c r="D150"/>
  <c r="D145"/>
  <c r="D158"/>
  <c r="D164"/>
  <c r="D138"/>
  <c r="D134"/>
  <c r="D119"/>
  <c r="D133"/>
  <c r="D159"/>
  <c r="D160"/>
  <c r="D162"/>
  <c r="D84"/>
  <c r="D80"/>
  <c r="D77"/>
  <c r="D72"/>
  <c r="D68"/>
  <c r="D62"/>
  <c r="D57"/>
  <c r="D51"/>
  <c r="D39"/>
  <c r="D31"/>
  <c r="D17"/>
  <c r="D10"/>
  <c r="D96"/>
  <c r="C27" i="64"/>
  <c r="B27"/>
  <c r="D8"/>
  <c r="B6"/>
  <c r="D5"/>
  <c r="C40" i="63"/>
  <c r="D40"/>
  <c r="B40"/>
  <c r="D8"/>
  <c r="E57" i="148"/>
  <c r="E58"/>
  <c r="D58"/>
  <c r="E114" i="3"/>
  <c r="D89"/>
  <c r="E65"/>
  <c r="D65"/>
  <c r="D90"/>
  <c r="E119" i="1"/>
  <c r="D91"/>
  <c r="D67"/>
  <c r="D92"/>
  <c r="E15" i="173"/>
  <c r="D15"/>
  <c r="C15"/>
  <c r="B18" i="128"/>
  <c r="B17"/>
  <c r="B16"/>
  <c r="B15"/>
  <c r="B14"/>
  <c r="B13"/>
  <c r="B12"/>
  <c r="D7" i="94"/>
  <c r="E30" i="173"/>
  <c r="E24"/>
  <c r="E7"/>
  <c r="D30"/>
  <c r="C30"/>
  <c r="B29"/>
  <c r="B28"/>
  <c r="B27"/>
  <c r="B26"/>
  <c r="B25"/>
  <c r="B30"/>
  <c r="D24"/>
  <c r="C24"/>
  <c r="B23"/>
  <c r="B22"/>
  <c r="B21"/>
  <c r="B20"/>
  <c r="B19"/>
  <c r="B18"/>
  <c r="B24"/>
  <c r="N13" i="94"/>
  <c r="P13"/>
  <c r="N11"/>
  <c r="P11"/>
  <c r="B31" i="87"/>
  <c r="B32"/>
  <c r="B33"/>
  <c r="B34"/>
  <c r="B35"/>
  <c r="B36"/>
  <c r="B30"/>
  <c r="B36" i="121"/>
  <c r="B35"/>
  <c r="B34"/>
  <c r="B33"/>
  <c r="B32"/>
  <c r="B31"/>
  <c r="B30"/>
  <c r="B36" i="120"/>
  <c r="B35"/>
  <c r="B34"/>
  <c r="B33"/>
  <c r="B32"/>
  <c r="B31"/>
  <c r="B30"/>
  <c r="B36" i="119"/>
  <c r="B35"/>
  <c r="B34"/>
  <c r="B33"/>
  <c r="B32"/>
  <c r="B31"/>
  <c r="B30"/>
  <c r="B31" i="3"/>
  <c r="B32"/>
  <c r="B33"/>
  <c r="B34"/>
  <c r="B35"/>
  <c r="B36"/>
  <c r="B30"/>
  <c r="A4" i="62"/>
  <c r="A4" i="77"/>
  <c r="B38" i="132"/>
  <c r="B37"/>
  <c r="B36"/>
  <c r="B35"/>
  <c r="B34"/>
  <c r="B33"/>
  <c r="B32"/>
  <c r="B38" i="131"/>
  <c r="B37"/>
  <c r="B36"/>
  <c r="B35"/>
  <c r="B34"/>
  <c r="B33"/>
  <c r="B32"/>
  <c r="B33" i="130"/>
  <c r="B34"/>
  <c r="B35"/>
  <c r="B36"/>
  <c r="B37"/>
  <c r="B38"/>
  <c r="B32"/>
  <c r="A5" i="75"/>
  <c r="C29" i="3"/>
  <c r="C26" i="172"/>
  <c r="B2" i="148"/>
  <c r="B2" i="149"/>
  <c r="B2" i="150"/>
  <c r="B2" i="151"/>
  <c r="B2" i="144"/>
  <c r="B2" i="145"/>
  <c r="B2" i="146"/>
  <c r="B2" i="147"/>
  <c r="B2" i="140"/>
  <c r="B2" i="141"/>
  <c r="B2" i="142"/>
  <c r="B2" i="143"/>
  <c r="C18" i="73"/>
  <c r="B2" i="119"/>
  <c r="C51" i="149"/>
  <c r="B2" i="79"/>
  <c r="B2" i="77"/>
  <c r="B36" i="134"/>
  <c r="B35"/>
  <c r="B34"/>
  <c r="B33"/>
  <c r="B32"/>
  <c r="B31"/>
  <c r="B30"/>
  <c r="B29"/>
  <c r="B27"/>
  <c r="D1" i="70"/>
  <c r="B2" i="105"/>
  <c r="B2" i="125"/>
  <c r="B2" i="126"/>
  <c r="B2" i="127"/>
  <c r="F1" i="61"/>
  <c r="B2" i="3"/>
  <c r="B28" i="134"/>
  <c r="A2" i="128"/>
  <c r="C11"/>
  <c r="C23"/>
  <c r="C25"/>
  <c r="D11"/>
  <c r="D23"/>
  <c r="D25"/>
  <c r="E11"/>
  <c r="E23"/>
  <c r="E25"/>
  <c r="C32"/>
  <c r="C36"/>
  <c r="C38"/>
  <c r="D32"/>
  <c r="D36"/>
  <c r="D38"/>
  <c r="E32"/>
  <c r="E36"/>
  <c r="E38"/>
  <c r="D40" i="70"/>
  <c r="O6" i="24"/>
  <c r="O7"/>
  <c r="O8"/>
  <c r="O9"/>
  <c r="O10"/>
  <c r="O11"/>
  <c r="O12"/>
  <c r="O13"/>
  <c r="O14"/>
  <c r="C15"/>
  <c r="D15"/>
  <c r="E15"/>
  <c r="F15"/>
  <c r="G15"/>
  <c r="H15"/>
  <c r="I15"/>
  <c r="J15"/>
  <c r="K15"/>
  <c r="L15"/>
  <c r="M15"/>
  <c r="N15"/>
  <c r="O17"/>
  <c r="O18"/>
  <c r="O19"/>
  <c r="O20"/>
  <c r="O21"/>
  <c r="O22"/>
  <c r="O23"/>
  <c r="O24"/>
  <c r="O25"/>
  <c r="C26"/>
  <c r="D26"/>
  <c r="E26"/>
  <c r="F26"/>
  <c r="G26"/>
  <c r="H26"/>
  <c r="I26"/>
  <c r="J26"/>
  <c r="K26"/>
  <c r="L26"/>
  <c r="M26"/>
  <c r="M27"/>
  <c r="N26"/>
  <c r="C32" i="88"/>
  <c r="D32"/>
  <c r="D6" i="66"/>
  <c r="E6"/>
  <c r="I6"/>
  <c r="F6"/>
  <c r="G6"/>
  <c r="G18"/>
  <c r="H6"/>
  <c r="I7"/>
  <c r="I8"/>
  <c r="D9"/>
  <c r="E9"/>
  <c r="F9"/>
  <c r="G9"/>
  <c r="H9"/>
  <c r="I9"/>
  <c r="I18"/>
  <c r="I10"/>
  <c r="I11"/>
  <c r="D12"/>
  <c r="E12"/>
  <c r="F12"/>
  <c r="G12"/>
  <c r="H12"/>
  <c r="I13"/>
  <c r="D14"/>
  <c r="E14"/>
  <c r="F14"/>
  <c r="G14"/>
  <c r="I14"/>
  <c r="H14"/>
  <c r="I15"/>
  <c r="D16"/>
  <c r="D18"/>
  <c r="E16"/>
  <c r="F16"/>
  <c r="G16"/>
  <c r="H16"/>
  <c r="I17"/>
  <c r="A2" i="87"/>
  <c r="C8"/>
  <c r="D8"/>
  <c r="E8"/>
  <c r="C15"/>
  <c r="D15"/>
  <c r="E15"/>
  <c r="C22"/>
  <c r="D22"/>
  <c r="E22"/>
  <c r="C29"/>
  <c r="D29"/>
  <c r="E29"/>
  <c r="C37"/>
  <c r="D37"/>
  <c r="E37"/>
  <c r="E65"/>
  <c r="C49"/>
  <c r="D49"/>
  <c r="E49"/>
  <c r="C55"/>
  <c r="D55"/>
  <c r="E55"/>
  <c r="C60"/>
  <c r="D60"/>
  <c r="E60"/>
  <c r="C66"/>
  <c r="D66"/>
  <c r="E66"/>
  <c r="C70"/>
  <c r="D70"/>
  <c r="E70"/>
  <c r="C75"/>
  <c r="D75"/>
  <c r="E75"/>
  <c r="C78"/>
  <c r="D78"/>
  <c r="E78"/>
  <c r="C82"/>
  <c r="D82"/>
  <c r="E82"/>
  <c r="E89"/>
  <c r="C96"/>
  <c r="D96"/>
  <c r="E96"/>
  <c r="C117"/>
  <c r="D117"/>
  <c r="E117"/>
  <c r="C132"/>
  <c r="D132"/>
  <c r="E132"/>
  <c r="C136"/>
  <c r="D136"/>
  <c r="E136"/>
  <c r="E156"/>
  <c r="C143"/>
  <c r="D143"/>
  <c r="E143"/>
  <c r="C148"/>
  <c r="D148"/>
  <c r="E148"/>
  <c r="G13" i="89"/>
  <c r="G14"/>
  <c r="G15"/>
  <c r="G16"/>
  <c r="G17"/>
  <c r="G18"/>
  <c r="C19"/>
  <c r="D19"/>
  <c r="E19"/>
  <c r="F19"/>
  <c r="G19"/>
  <c r="C8" i="151"/>
  <c r="C36"/>
  <c r="C20"/>
  <c r="C26"/>
  <c r="C41"/>
  <c r="C58"/>
  <c r="C30"/>
  <c r="C37"/>
  <c r="C45"/>
  <c r="C57"/>
  <c r="C51"/>
  <c r="C8" i="150"/>
  <c r="C20"/>
  <c r="C26"/>
  <c r="C30"/>
  <c r="C37"/>
  <c r="C45"/>
  <c r="C51"/>
  <c r="C57"/>
  <c r="C8" i="149"/>
  <c r="C20"/>
  <c r="C26"/>
  <c r="C36"/>
  <c r="C41"/>
  <c r="C30"/>
  <c r="C37"/>
  <c r="C45"/>
  <c r="C57"/>
  <c r="C8" i="148"/>
  <c r="C36"/>
  <c r="C20"/>
  <c r="C26"/>
  <c r="C30"/>
  <c r="C37"/>
  <c r="C45"/>
  <c r="C51"/>
  <c r="C8" i="147"/>
  <c r="C20"/>
  <c r="C26"/>
  <c r="C30"/>
  <c r="C37"/>
  <c r="C45"/>
  <c r="C51"/>
  <c r="C8" i="146"/>
  <c r="C36"/>
  <c r="C20"/>
  <c r="C26"/>
  <c r="C30"/>
  <c r="C37"/>
  <c r="C41"/>
  <c r="C45"/>
  <c r="C57"/>
  <c r="C51"/>
  <c r="C8" i="145"/>
  <c r="C20"/>
  <c r="C26"/>
  <c r="C30"/>
  <c r="C37"/>
  <c r="C45"/>
  <c r="C57"/>
  <c r="C51"/>
  <c r="C8" i="144"/>
  <c r="C20"/>
  <c r="C26"/>
  <c r="C30"/>
  <c r="C37"/>
  <c r="C45"/>
  <c r="C51"/>
  <c r="C8" i="143"/>
  <c r="C20"/>
  <c r="C26"/>
  <c r="C30"/>
  <c r="C37"/>
  <c r="C45"/>
  <c r="C51"/>
  <c r="C8" i="142"/>
  <c r="C20"/>
  <c r="C26"/>
  <c r="C30"/>
  <c r="C37"/>
  <c r="C45"/>
  <c r="C51"/>
  <c r="C8" i="141"/>
  <c r="C20"/>
  <c r="C26"/>
  <c r="C30"/>
  <c r="C37"/>
  <c r="C45"/>
  <c r="C51"/>
  <c r="C57"/>
  <c r="C8" i="140"/>
  <c r="C20"/>
  <c r="C26"/>
  <c r="C30"/>
  <c r="C37"/>
  <c r="C45"/>
  <c r="C51"/>
  <c r="C8" i="139"/>
  <c r="C20"/>
  <c r="C26"/>
  <c r="C30"/>
  <c r="C36"/>
  <c r="C37"/>
  <c r="C45"/>
  <c r="C51"/>
  <c r="C8" i="138"/>
  <c r="C20"/>
  <c r="C26"/>
  <c r="C30"/>
  <c r="C37"/>
  <c r="C45"/>
  <c r="C57"/>
  <c r="C51"/>
  <c r="C8" i="137"/>
  <c r="C36"/>
  <c r="C41"/>
  <c r="C20"/>
  <c r="C26"/>
  <c r="C30"/>
  <c r="C37"/>
  <c r="C45"/>
  <c r="C57"/>
  <c r="C51"/>
  <c r="B2" i="136"/>
  <c r="B2" i="137"/>
  <c r="B2" i="138"/>
  <c r="B2" i="139"/>
  <c r="C8" i="136"/>
  <c r="C20"/>
  <c r="C26"/>
  <c r="C30"/>
  <c r="C37"/>
  <c r="C45"/>
  <c r="C51"/>
  <c r="C8" i="127"/>
  <c r="C20"/>
  <c r="C26"/>
  <c r="C36"/>
  <c r="C41"/>
  <c r="C58"/>
  <c r="C30"/>
  <c r="C37"/>
  <c r="C45"/>
  <c r="C57"/>
  <c r="C51"/>
  <c r="C8" i="126"/>
  <c r="C20"/>
  <c r="C26"/>
  <c r="C30"/>
  <c r="C37"/>
  <c r="C45"/>
  <c r="C57"/>
  <c r="C51"/>
  <c r="C8" i="125"/>
  <c r="C20"/>
  <c r="C36"/>
  <c r="C26"/>
  <c r="C30"/>
  <c r="C37"/>
  <c r="C41"/>
  <c r="C45"/>
  <c r="C57"/>
  <c r="C51"/>
  <c r="C8" i="105"/>
  <c r="C20"/>
  <c r="C26"/>
  <c r="C30"/>
  <c r="C37"/>
  <c r="C45"/>
  <c r="C57"/>
  <c r="C51"/>
  <c r="B2" i="124"/>
  <c r="C8"/>
  <c r="C37"/>
  <c r="C20"/>
  <c r="C26"/>
  <c r="C31"/>
  <c r="C38"/>
  <c r="C46"/>
  <c r="C58"/>
  <c r="C52"/>
  <c r="B2" i="123"/>
  <c r="C8"/>
  <c r="C37"/>
  <c r="C20"/>
  <c r="C26"/>
  <c r="C31"/>
  <c r="C38"/>
  <c r="C46"/>
  <c r="C58"/>
  <c r="C52"/>
  <c r="B2" i="122"/>
  <c r="C8"/>
  <c r="C37"/>
  <c r="C20"/>
  <c r="C26"/>
  <c r="C31"/>
  <c r="C38"/>
  <c r="C46"/>
  <c r="C58"/>
  <c r="C52"/>
  <c r="C8" i="79"/>
  <c r="C20"/>
  <c r="C26"/>
  <c r="C31"/>
  <c r="C38"/>
  <c r="C46"/>
  <c r="C52"/>
  <c r="B2" i="121"/>
  <c r="C8"/>
  <c r="C15"/>
  <c r="C22"/>
  <c r="C29"/>
  <c r="C37"/>
  <c r="C49"/>
  <c r="C55"/>
  <c r="C60"/>
  <c r="C66"/>
  <c r="C70"/>
  <c r="C89"/>
  <c r="C75"/>
  <c r="C78"/>
  <c r="C82"/>
  <c r="C93"/>
  <c r="C128"/>
  <c r="C114"/>
  <c r="C129"/>
  <c r="C133"/>
  <c r="C140"/>
  <c r="C146"/>
  <c r="B2" i="120"/>
  <c r="C8"/>
  <c r="C15"/>
  <c r="C22"/>
  <c r="C29"/>
  <c r="C37"/>
  <c r="C49"/>
  <c r="C55"/>
  <c r="C60"/>
  <c r="C66"/>
  <c r="C70"/>
  <c r="C75"/>
  <c r="C78"/>
  <c r="C82"/>
  <c r="C93"/>
  <c r="C114"/>
  <c r="C129"/>
  <c r="C133"/>
  <c r="C140"/>
  <c r="C154"/>
  <c r="C146"/>
  <c r="C8" i="119"/>
  <c r="C15"/>
  <c r="C22"/>
  <c r="C29"/>
  <c r="C37"/>
  <c r="C49"/>
  <c r="C55"/>
  <c r="C60"/>
  <c r="C66"/>
  <c r="C70"/>
  <c r="C89"/>
  <c r="C75"/>
  <c r="C78"/>
  <c r="C82"/>
  <c r="C93"/>
  <c r="C114"/>
  <c r="C129"/>
  <c r="C133"/>
  <c r="C140"/>
  <c r="C146"/>
  <c r="C8" i="3"/>
  <c r="C15"/>
  <c r="C22"/>
  <c r="C37"/>
  <c r="C49"/>
  <c r="C55"/>
  <c r="C60"/>
  <c r="C66"/>
  <c r="C70"/>
  <c r="C75"/>
  <c r="C78"/>
  <c r="C82"/>
  <c r="C93"/>
  <c r="C114"/>
  <c r="C128"/>
  <c r="C155"/>
  <c r="C156"/>
  <c r="C129"/>
  <c r="C133"/>
  <c r="C140"/>
  <c r="C146"/>
  <c r="C11" i="78"/>
  <c r="C14" i="77"/>
  <c r="F9" i="62"/>
  <c r="F10"/>
  <c r="F11"/>
  <c r="F12"/>
  <c r="F13"/>
  <c r="C14"/>
  <c r="D14"/>
  <c r="E14"/>
  <c r="E2" i="61"/>
  <c r="C17"/>
  <c r="E17"/>
  <c r="C32"/>
  <c r="C18"/>
  <c r="C30"/>
  <c r="C24"/>
  <c r="E30"/>
  <c r="E2" i="73"/>
  <c r="E18"/>
  <c r="C19"/>
  <c r="C24"/>
  <c r="C29"/>
  <c r="E29"/>
  <c r="D14" i="76"/>
  <c r="B2" i="132"/>
  <c r="C7"/>
  <c r="C95"/>
  <c r="C162"/>
  <c r="C10"/>
  <c r="C17"/>
  <c r="C24"/>
  <c r="C31"/>
  <c r="C39"/>
  <c r="C51"/>
  <c r="C57"/>
  <c r="C62"/>
  <c r="C68"/>
  <c r="C91"/>
  <c r="C72"/>
  <c r="C77"/>
  <c r="C80"/>
  <c r="C84"/>
  <c r="C98"/>
  <c r="C119"/>
  <c r="C134"/>
  <c r="C158"/>
  <c r="C138"/>
  <c r="C145"/>
  <c r="C150"/>
  <c r="B2" i="131"/>
  <c r="C7"/>
  <c r="C95"/>
  <c r="C162"/>
  <c r="C10"/>
  <c r="C17"/>
  <c r="C24"/>
  <c r="C31"/>
  <c r="C39"/>
  <c r="C51"/>
  <c r="C57"/>
  <c r="C62"/>
  <c r="C68"/>
  <c r="C72"/>
  <c r="C77"/>
  <c r="C80"/>
  <c r="C84"/>
  <c r="C98"/>
  <c r="C119"/>
  <c r="C134"/>
  <c r="C138"/>
  <c r="C158"/>
  <c r="C145"/>
  <c r="C150"/>
  <c r="B2" i="130"/>
  <c r="C7"/>
  <c r="C95"/>
  <c r="C162"/>
  <c r="C10"/>
  <c r="C17"/>
  <c r="C24"/>
  <c r="C31"/>
  <c r="C39"/>
  <c r="C51"/>
  <c r="C57"/>
  <c r="C62"/>
  <c r="C68"/>
  <c r="C72"/>
  <c r="C77"/>
  <c r="C91"/>
  <c r="C164"/>
  <c r="C80"/>
  <c r="C84"/>
  <c r="C98"/>
  <c r="C119"/>
  <c r="C134"/>
  <c r="C138"/>
  <c r="C145"/>
  <c r="C150"/>
  <c r="B2" i="1"/>
  <c r="C17"/>
  <c r="C24"/>
  <c r="C31"/>
  <c r="C39"/>
  <c r="C51"/>
  <c r="C57"/>
  <c r="C62"/>
  <c r="C68"/>
  <c r="C72"/>
  <c r="C77"/>
  <c r="C91"/>
  <c r="C80"/>
  <c r="C84"/>
  <c r="C162"/>
  <c r="C98"/>
  <c r="C119"/>
  <c r="C134"/>
  <c r="C138"/>
  <c r="C158"/>
  <c r="C145"/>
  <c r="C150"/>
  <c r="C10"/>
  <c r="B1" i="172"/>
  <c r="B42" i="134"/>
  <c r="D3" i="66"/>
  <c r="C57" i="136"/>
  <c r="D156" i="87"/>
  <c r="H4" i="66"/>
  <c r="D1" i="172"/>
  <c r="D1" i="88"/>
  <c r="C1" i="120"/>
  <c r="F1" i="73"/>
  <c r="B1" i="1"/>
  <c r="A3" i="87"/>
  <c r="B38" i="134"/>
  <c r="E1" i="128"/>
  <c r="J1" i="66"/>
  <c r="C1" i="122"/>
  <c r="B1" i="132"/>
  <c r="F1" i="173"/>
  <c r="A4" i="78"/>
  <c r="E1" i="87"/>
  <c r="C1" i="79"/>
  <c r="B1" i="131"/>
  <c r="C1" i="121"/>
  <c r="B1" i="130"/>
  <c r="C5" i="77"/>
  <c r="C5" i="78"/>
  <c r="E5" i="62"/>
  <c r="A4" i="76"/>
  <c r="D6" i="87"/>
  <c r="D94"/>
  <c r="A23" i="89"/>
  <c r="C91" i="131"/>
  <c r="C1" i="124"/>
  <c r="C1" i="3"/>
  <c r="B2" i="89"/>
  <c r="B2" i="62"/>
  <c r="B3" i="1"/>
  <c r="B3" i="130"/>
  <c r="B3" i="131"/>
  <c r="B3" i="132"/>
  <c r="C1" i="119"/>
  <c r="B2" i="78"/>
  <c r="A3" i="128"/>
  <c r="B44" i="134"/>
  <c r="C1" i="123"/>
  <c r="O1" i="24"/>
  <c r="C36" i="138"/>
  <c r="C41"/>
  <c r="C58"/>
  <c r="C41" i="139"/>
  <c r="C58"/>
  <c r="C57" i="147"/>
  <c r="C8" i="130"/>
  <c r="C96"/>
  <c r="C8" i="131"/>
  <c r="C96"/>
  <c r="A12" i="75"/>
  <c r="A11" i="76"/>
  <c r="F4" i="66"/>
  <c r="C57" i="139"/>
  <c r="C57" i="148"/>
  <c r="F18" i="66"/>
  <c r="E18"/>
  <c r="I12"/>
  <c r="C36" i="136"/>
  <c r="C41"/>
  <c r="C57" i="144"/>
  <c r="C36"/>
  <c r="C36" i="145"/>
  <c r="C41"/>
  <c r="I16" i="66"/>
  <c r="E4"/>
  <c r="C8" i="132"/>
  <c r="C96"/>
  <c r="A2" i="24"/>
  <c r="B41" i="134"/>
  <c r="C3" i="172"/>
  <c r="C6" i="128"/>
  <c r="C29"/>
  <c r="C8" i="1"/>
  <c r="C7" i="62"/>
  <c r="D7"/>
  <c r="E7"/>
  <c r="E6" i="128"/>
  <c r="E29"/>
  <c r="C6" i="77"/>
  <c r="C4" i="73"/>
  <c r="E6" i="87"/>
  <c r="E94"/>
  <c r="C96" i="1"/>
  <c r="E4" i="61"/>
  <c r="E4" i="73"/>
  <c r="C4" i="61"/>
  <c r="C65" i="3"/>
  <c r="C154"/>
  <c r="C41" i="144"/>
  <c r="C58"/>
  <c r="C57" i="140"/>
  <c r="C36"/>
  <c r="C41"/>
  <c r="C58" i="136"/>
  <c r="C155" i="121"/>
  <c r="B14" i="76"/>
  <c r="E14"/>
  <c r="C164" i="132"/>
  <c r="C164" i="131"/>
  <c r="C36" i="147"/>
  <c r="C41"/>
  <c r="C58"/>
  <c r="C154" i="121"/>
  <c r="C58" i="79"/>
  <c r="C42" i="123"/>
  <c r="C59"/>
  <c r="C57" i="143"/>
  <c r="C89" i="87"/>
  <c r="C158" i="130"/>
  <c r="F14" i="62"/>
  <c r="C154" i="119"/>
  <c r="C65" i="121"/>
  <c r="C90"/>
  <c r="C36" i="143"/>
  <c r="C41"/>
  <c r="C36" i="150"/>
  <c r="C41"/>
  <c r="C58"/>
  <c r="C6" i="87"/>
  <c r="C94"/>
  <c r="A2" i="70"/>
  <c r="B43" i="134"/>
  <c r="G4" i="66"/>
  <c r="D6" i="128"/>
  <c r="D29"/>
  <c r="E30" i="73"/>
  <c r="C89" i="3"/>
  <c r="C89" i="120"/>
  <c r="C37" i="79"/>
  <c r="C42"/>
  <c r="C59"/>
  <c r="C36" i="105"/>
  <c r="C41"/>
  <c r="C58"/>
  <c r="C36" i="126"/>
  <c r="C41"/>
  <c r="C58"/>
  <c r="C36" i="141"/>
  <c r="C41"/>
  <c r="C58"/>
  <c r="C156" i="87"/>
  <c r="H18" i="66"/>
  <c r="C58" i="140"/>
  <c r="C58" i="143"/>
  <c r="C156" i="121"/>
  <c r="C133" i="1"/>
  <c r="B13" i="76"/>
  <c r="C67" i="1"/>
  <c r="B6" i="76"/>
  <c r="C90" i="3"/>
  <c r="B7" i="76"/>
  <c r="C92" i="1"/>
  <c r="B8" i="76"/>
  <c r="C164" i="1"/>
  <c r="C163"/>
  <c r="C159"/>
  <c r="C4" i="119"/>
  <c r="C4" i="120"/>
  <c r="C4" i="121"/>
  <c r="C4" i="79"/>
  <c r="C4" i="122"/>
  <c r="C4" i="123"/>
  <c r="C4" i="124"/>
  <c r="E3" i="173"/>
  <c r="E12"/>
  <c r="E31" i="61"/>
  <c r="D13" i="76"/>
  <c r="E13"/>
  <c r="E32" i="61"/>
  <c r="D7" i="76"/>
  <c r="E7"/>
  <c r="C31" i="61"/>
  <c r="C31" i="73"/>
  <c r="E31"/>
  <c r="C30"/>
  <c r="D6" i="76"/>
  <c r="E6"/>
  <c r="C41" i="148"/>
  <c r="C58"/>
  <c r="E33" i="61"/>
  <c r="B15" i="76"/>
  <c r="C160" i="1"/>
  <c r="C33" i="61"/>
  <c r="D15" i="76"/>
  <c r="E32" i="73"/>
  <c r="D8" i="76"/>
  <c r="E8"/>
  <c r="C32" i="73"/>
  <c r="A33"/>
  <c r="E15" i="76"/>
  <c r="C35" i="134"/>
  <c r="C32"/>
  <c r="C34"/>
  <c r="C33"/>
  <c r="C36"/>
  <c r="C131" i="87"/>
  <c r="C157"/>
  <c r="E131"/>
  <c r="E157"/>
  <c r="K27" i="24"/>
  <c r="G27"/>
  <c r="O26"/>
  <c r="F27"/>
  <c r="I27"/>
  <c r="E27"/>
  <c r="N27"/>
  <c r="J27"/>
  <c r="L27"/>
  <c r="H27"/>
  <c r="D27"/>
  <c r="C27"/>
  <c r="O15"/>
  <c r="D89" i="87"/>
  <c r="D65"/>
  <c r="D90"/>
  <c r="D131"/>
  <c r="D157"/>
  <c r="O27" i="24"/>
  <c r="C57" i="142"/>
  <c r="C36"/>
  <c r="C41"/>
  <c r="C58"/>
  <c r="C58" i="137"/>
  <c r="C58" i="125"/>
  <c r="C42" i="124"/>
  <c r="C59"/>
  <c r="C42" i="122"/>
  <c r="C59"/>
  <c r="C65" i="120"/>
  <c r="C90"/>
  <c r="C128"/>
  <c r="C155"/>
  <c r="C128" i="119"/>
  <c r="C155"/>
  <c r="C65"/>
  <c r="C90"/>
  <c r="C133" i="132"/>
  <c r="C159"/>
  <c r="C67" i="131"/>
  <c r="C92"/>
  <c r="C133"/>
  <c r="C159"/>
  <c r="C67" i="132"/>
  <c r="C133" i="130"/>
  <c r="C159"/>
  <c r="C67"/>
  <c r="C92"/>
  <c r="C156" i="120"/>
  <c r="C156" i="119"/>
  <c r="C163" i="132"/>
  <c r="C160" i="131"/>
  <c r="C163"/>
  <c r="C92" i="132"/>
  <c r="C160"/>
  <c r="C160" i="130"/>
  <c r="C163"/>
  <c r="E39" i="128"/>
  <c r="D39"/>
  <c r="C39"/>
  <c r="E90" i="87"/>
  <c r="E158"/>
  <c r="C65"/>
  <c r="C90"/>
  <c r="C58" i="146"/>
  <c r="C58" i="145"/>
  <c r="C58" i="149"/>
  <c r="C1" i="127"/>
  <c r="C1" i="125"/>
  <c r="C1" i="105"/>
  <c r="C1" i="126"/>
  <c r="N15" i="94"/>
  <c r="P15"/>
  <c r="N17"/>
  <c r="C1" i="137"/>
  <c r="C1" i="138"/>
  <c r="C1" i="139"/>
  <c r="C1" i="136"/>
  <c r="N19" i="94"/>
  <c r="P17"/>
  <c r="P19"/>
  <c r="N21"/>
  <c r="C1" i="142"/>
  <c r="C1" i="143"/>
  <c r="C1" i="140"/>
  <c r="C1" i="141"/>
  <c r="N23" i="94"/>
  <c r="P21"/>
  <c r="C1" i="146"/>
  <c r="C1" i="144"/>
  <c r="C1" i="147"/>
  <c r="C1" i="145"/>
  <c r="C1" i="149"/>
  <c r="C1" i="151"/>
  <c r="C1" i="150"/>
  <c r="C1" i="148"/>
  <c r="P23" i="94"/>
  <c r="N25"/>
  <c r="P25"/>
  <c r="N27"/>
  <c r="N29"/>
  <c r="P27"/>
  <c r="N31"/>
  <c r="P31"/>
  <c r="P29"/>
  <c r="C19" i="134"/>
  <c r="C20"/>
  <c r="C4" i="149"/>
  <c r="C4" i="150"/>
  <c r="C4" i="151"/>
  <c r="C4" i="136"/>
  <c r="C4" i="137"/>
  <c r="C4" i="138"/>
  <c r="C4" i="139"/>
  <c r="C4" i="140"/>
  <c r="C4" i="141"/>
  <c r="C4" i="142"/>
  <c r="C4" i="143"/>
  <c r="C4" i="144"/>
  <c r="C4" i="145"/>
  <c r="C4" i="146"/>
  <c r="C4" i="147"/>
  <c r="C4" i="105"/>
  <c r="C4" i="125"/>
  <c r="C4" i="126"/>
  <c r="C4" i="127"/>
  <c r="G11" i="89"/>
  <c r="E5" i="87"/>
  <c r="E93"/>
  <c r="I2" i="66"/>
  <c r="D4" i="88"/>
  <c r="O3" i="24"/>
  <c r="E5" i="128"/>
  <c r="E28"/>
  <c r="E67" i="1"/>
  <c r="D27" i="64"/>
  <c r="D128" i="3"/>
  <c r="D155"/>
  <c r="D156"/>
  <c r="E93"/>
  <c r="E128"/>
  <c r="E155"/>
  <c r="E156"/>
  <c r="E92" i="1"/>
  <c r="E164"/>
  <c r="E133"/>
  <c r="E159"/>
  <c r="E160"/>
  <c r="D163"/>
  <c r="E163"/>
  <c r="C30" i="134"/>
  <c r="C41"/>
  <c r="C12"/>
  <c r="C29"/>
  <c r="C43"/>
  <c r="C44"/>
  <c r="C9"/>
  <c r="C17"/>
  <c r="C28"/>
  <c r="C10"/>
  <c r="C18"/>
  <c r="C31"/>
  <c r="C27"/>
  <c r="C26"/>
  <c r="C21"/>
  <c r="C16"/>
  <c r="C24"/>
  <c r="C14"/>
  <c r="C39"/>
  <c r="C13"/>
  <c r="C11"/>
  <c r="C8"/>
  <c r="C15"/>
  <c r="C38"/>
  <c r="C25"/>
  <c r="C40"/>
  <c r="C7"/>
  <c r="C37"/>
  <c r="C22"/>
  <c r="C23"/>
  <c r="C42"/>
</calcChain>
</file>

<file path=xl/sharedStrings.xml><?xml version="1.0" encoding="utf-8"?>
<sst xmlns="http://schemas.openxmlformats.org/spreadsheetml/2006/main" count="6129" uniqueCount="794">
  <si>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</si>
  <si>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</si>
  <si>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</si>
  <si>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</si>
  <si>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</si>
  <si>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</si>
  <si>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</si>
  <si>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</si>
  <si>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</si>
  <si>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</si>
  <si>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</si>
  <si>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</si>
  <si>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</si>
  <si>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</si>
  <si>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</si>
  <si>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</si>
  <si>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</si>
  <si>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</si>
  <si>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</si>
  <si>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</si>
  <si>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</si>
  <si>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</si>
  <si>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</si>
  <si>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</si>
  <si>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</si>
  <si>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</si>
  <si>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</si>
  <si>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</si>
  <si>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</si>
  <si>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</si>
  <si>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</si>
  <si>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</si>
  <si>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</si>
  <si>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</si>
  <si>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</si>
  <si>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</si>
  <si>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</si>
  <si>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</si>
  <si>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</si>
  <si>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</si>
  <si>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</si>
  <si>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</si>
  <si>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</si>
  <si>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</si>
  <si>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</si>
  <si>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</si>
  <si>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</si>
  <si>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</si>
  <si>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</si>
  <si>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</si>
  <si>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</si>
  <si>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</si>
  <si>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</si>
  <si>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</si>
  <si>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</si>
  <si>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</si>
  <si>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</si>
  <si>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</si>
  <si>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</si>
  <si>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</si>
  <si>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</si>
  <si>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</si>
  <si>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</si>
  <si>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</si>
  <si>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</si>
  <si>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</si>
  <si>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</si>
  <si>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</si>
  <si>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</si>
  <si>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</si>
  <si>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</si>
  <si>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</si>
  <si>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</si>
  <si>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</si>
  <si>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</si>
  <si>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</si>
  <si>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</si>
  <si>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</si>
  <si>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</si>
  <si>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</si>
  <si>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</si>
  <si>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</si>
  <si>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</si>
  <si>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</si>
  <si>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</si>
  <si>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</si>
  <si>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</si>
  <si>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</si>
  <si>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</si>
  <si>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</si>
  <si>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</si>
  <si>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</si>
  <si>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</si>
  <si>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</si>
  <si>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</si>
  <si>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</si>
  <si>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</si>
  <si>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</si>
  <si>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</si>
  <si>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</si>
  <si>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</si>
  <si>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</si>
  <si>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</si>
  <si>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</si>
  <si>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</si>
  <si>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</si>
  <si>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</si>
  <si>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</si>
  <si>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</si>
  <si>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</si>
  <si>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</si>
  <si>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</si>
  <si>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</si>
  <si>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</si>
  <si>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</si>
  <si>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</si>
  <si>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</si>
  <si>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</si>
  <si>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</si>
  <si>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</si>
  <si>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</si>
  <si>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</si>
  <si>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</si>
  <si>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</si>
  <si>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</si>
  <si>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</si>
  <si>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</si>
  <si>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</si>
  <si>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</si>
  <si>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</si>
  <si>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</si>
  <si>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</si>
  <si>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</si>
  <si>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Források összesen: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</si>
  <si>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</si>
  <si>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</si>
  <si>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</si>
  <si>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</si>
  <si>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</si>
  <si>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</si>
  <si>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</si>
  <si>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</si>
  <si>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</si>
  <si>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</si>
  <si>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</si>
  <si>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</si>
  <si>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</si>
  <si>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</si>
  <si>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</si>
  <si>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</si>
  <si>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</si>
  <si>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</si>
  <si>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</si>
  <si>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</si>
  <si>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</si>
  <si>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</si>
  <si>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</si>
  <si>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</si>
  <si>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</si>
  <si>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</si>
  <si>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</si>
  <si>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</si>
  <si>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</si>
  <si>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</si>
  <si>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</si>
  <si>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</si>
  <si>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</si>
  <si>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</si>
  <si>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</si>
  <si>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</si>
  <si>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</si>
  <si>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</si>
  <si>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</si>
  <si>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</si>
  <si>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</si>
  <si>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</si>
  <si>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</si>
  <si>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</si>
  <si>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</si>
  <si>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</si>
  <si>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</si>
  <si>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</si>
  <si>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</si>
  <si>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</si>
  <si>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</si>
  <si>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</si>
  <si>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</si>
  <si>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</si>
  <si>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</si>
  <si>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</si>
  <si>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</si>
  <si>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</si>
  <si>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</si>
  <si>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</si>
  <si>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</si>
  <si>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</si>
  <si>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Nem kötelező!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</si>
  <si>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</si>
  <si>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</si>
  <si>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</si>
  <si>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</si>
  <si>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</si>
  <si>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</si>
  <si>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</si>
  <si>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</si>
  <si>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</si>
  <si>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</si>
  <si>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</si>
  <si>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</si>
  <si>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</si>
  <si>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</si>
  <si>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</si>
  <si>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</si>
  <si>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</si>
  <si>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</si>
  <si>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</si>
  <si>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</si>
  <si>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</si>
  <si>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</si>
  <si>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</si>
  <si>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</si>
  <si>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</si>
  <si>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</si>
  <si>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</si>
  <si>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</si>
  <si>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8.3.</t>
  </si>
  <si>
    <t>Egyéb felhalmozási kiadások</t>
  </si>
  <si>
    <t xml:space="preserve">   Betét visszavonásából származó bevétel 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</si>
  <si>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</si>
  <si>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</si>
  <si>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</si>
  <si>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</si>
  <si>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</si>
  <si>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</si>
  <si>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</si>
  <si>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</si>
  <si>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</si>
  <si>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</si>
  <si>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</si>
  <si>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</si>
  <si>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</si>
  <si>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</si>
  <si>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</si>
  <si>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</si>
  <si>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</si>
  <si>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</si>
  <si>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</si>
  <si>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</si>
  <si>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</si>
  <si>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</si>
  <si>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</si>
  <si>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</si>
  <si>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</si>
  <si>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</si>
  <si>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</si>
  <si>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</si>
  <si>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</si>
  <si>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</si>
  <si>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</si>
  <si>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</si>
  <si>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</si>
  <si>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</si>
  <si>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</si>
  <si>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4.2.</t>
  </si>
  <si>
    <t>4.3.</t>
  </si>
  <si>
    <t>4.4.</t>
  </si>
  <si>
    <t>Gépjárműadó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</si>
  <si>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</si>
  <si>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</si>
  <si>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</si>
  <si>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</si>
  <si>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</si>
  <si>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</si>
  <si>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</si>
  <si>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</si>
  <si>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</si>
  <si>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</si>
  <si>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</si>
  <si>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</si>
  <si>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</si>
  <si>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</si>
  <si>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</si>
  <si>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</si>
  <si>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</si>
  <si>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</si>
  <si>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</si>
  <si>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</si>
  <si>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</si>
  <si>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</si>
  <si>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</si>
  <si>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</si>
  <si>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</si>
  <si>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</si>
  <si>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</si>
  <si>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</si>
  <si>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</si>
  <si>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</si>
  <si>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</si>
  <si>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</si>
  <si>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</si>
  <si>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</si>
  <si>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</si>
  <si>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</si>
  <si>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</si>
  <si>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</si>
  <si>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</si>
  <si>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</si>
  <si>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</si>
  <si>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Befektetési célú belföldi értékpapírok beváltása,  értékesítése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</si>
  <si>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</si>
  <si>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</si>
  <si>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</si>
  <si>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</si>
  <si>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</si>
  <si>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</si>
  <si>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</si>
  <si>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</si>
  <si>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</si>
  <si>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</si>
  <si>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</si>
  <si>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</si>
  <si>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</si>
  <si>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</si>
  <si>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</si>
  <si>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</si>
  <si>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</si>
  <si>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</si>
  <si>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</si>
  <si>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</si>
  <si>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</si>
  <si>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</si>
  <si>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</si>
  <si>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</si>
  <si>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</si>
  <si>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</si>
  <si>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</si>
  <si>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</si>
  <si>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</si>
  <si>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</si>
  <si>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</si>
  <si>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</si>
  <si>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</si>
  <si>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</si>
  <si>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</si>
  <si>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</si>
  <si>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</si>
  <si>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</si>
  <si>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</si>
  <si>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</si>
  <si>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</si>
  <si>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</si>
  <si>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</si>
  <si>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</si>
  <si>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</si>
  <si>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</si>
  <si>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</si>
  <si>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</si>
  <si>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</si>
  <si>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</si>
  <si>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</si>
  <si>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</si>
  <si>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</si>
  <si>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</si>
  <si>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</si>
  <si>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</si>
  <si>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</si>
  <si>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</si>
  <si>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</si>
  <si>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</si>
  <si>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</si>
  <si>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</si>
  <si>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</si>
  <si>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</si>
  <si>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</si>
  <si>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</si>
  <si>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</si>
  <si>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</si>
  <si>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</si>
  <si>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</si>
  <si>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</si>
  <si>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</si>
  <si>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</si>
  <si>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</si>
  <si>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</si>
  <si>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</si>
  <si>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</si>
  <si>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</si>
  <si>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</si>
  <si>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</si>
  <si>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</si>
  <si>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</si>
  <si>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</si>
  <si>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</si>
  <si>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</si>
  <si>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</si>
  <si>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</si>
  <si>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</si>
  <si>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</si>
  <si>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</si>
  <si>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</si>
  <si>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</si>
  <si>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</si>
  <si>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</si>
  <si>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</si>
  <si>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</si>
  <si>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</si>
  <si>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</si>
  <si>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</si>
  <si>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</si>
  <si>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</si>
  <si>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</si>
  <si>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</si>
  <si>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</si>
  <si>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</si>
  <si>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</si>
  <si>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</si>
  <si>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</si>
  <si>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</si>
  <si>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</si>
  <si>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</si>
  <si>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</si>
  <si>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</si>
  <si>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</si>
  <si>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</si>
  <si>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</si>
  <si>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</si>
  <si>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</si>
  <si>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</si>
  <si>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</si>
  <si>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</si>
  <si>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</si>
  <si>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</si>
  <si>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</si>
  <si>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</si>
  <si>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</si>
  <si>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</si>
  <si>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</si>
  <si>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</si>
  <si>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</si>
  <si>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</si>
  <si>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</si>
  <si>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</si>
  <si>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</si>
  <si>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</si>
  <si>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</si>
  <si>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</si>
  <si>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</si>
  <si>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</si>
  <si>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</si>
  <si>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</si>
  <si>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</si>
  <si>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</si>
  <si>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</si>
  <si>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</si>
  <si>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</si>
  <si>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</si>
  <si>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</si>
  <si>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</si>
  <si>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</si>
  <si>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</si>
  <si>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</si>
  <si>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</si>
  <si>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</si>
  <si>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</si>
  <si>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</si>
  <si>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</si>
  <si>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</si>
  <si>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</si>
  <si>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</si>
  <si>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</si>
  <si>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</si>
  <si>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</si>
  <si>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</si>
  <si>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</si>
  <si>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</si>
  <si>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</si>
  <si>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</si>
  <si>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</si>
  <si>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</si>
  <si>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</si>
  <si>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</si>
  <si>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</si>
  <si>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</si>
  <si>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</si>
  <si>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</si>
  <si>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</si>
  <si>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</si>
  <si>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</si>
  <si>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</si>
  <si>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</si>
  <si>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</si>
  <si>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</si>
  <si>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</si>
  <si>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</si>
  <si>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</si>
  <si>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</si>
  <si>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</si>
  <si>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</si>
  <si>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</si>
  <si>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</si>
  <si>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</si>
  <si>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</si>
  <si>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</si>
  <si>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</si>
  <si>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</si>
  <si>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</si>
  <si>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</si>
  <si>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</si>
  <si>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</si>
  <si>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</si>
  <si>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</si>
  <si>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</si>
  <si>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</si>
  <si>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</si>
  <si>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</si>
  <si>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</si>
  <si>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</si>
  <si>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</si>
  <si>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</si>
  <si>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</si>
  <si>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</si>
  <si>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</si>
  <si>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</si>
  <si>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</si>
  <si>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</si>
  <si>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</si>
  <si>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</si>
  <si>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</si>
  <si>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</si>
  <si>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</si>
  <si>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</si>
  <si>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</si>
  <si>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</si>
  <si>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</si>
  <si>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</si>
  <si>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</si>
  <si>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</si>
  <si>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</si>
  <si>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</si>
  <si>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</si>
  <si>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</si>
  <si>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</si>
  <si>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Önkormányzatok szociális és gyermekjóléti, étkeztetési feladatainak támogatása</t>
  </si>
  <si>
    <t>Közhatalmi bevételek (4.1.+…+4.7.)</t>
  </si>
  <si>
    <t>4.5.</t>
  </si>
  <si>
    <t>4.6.</t>
  </si>
  <si>
    <t>4.7.</t>
  </si>
  <si>
    <t>Építményadó</t>
  </si>
  <si>
    <t>Idegenforgalmi adó</t>
  </si>
  <si>
    <t>Iparűzési adó</t>
  </si>
  <si>
    <t>Talajterhelési díj</t>
  </si>
  <si>
    <t>Kamatbevételek és más nyereségjellegű bevételek</t>
  </si>
  <si>
    <t>Közhatalmi bevételek (4.1.+...+4.7.)</t>
  </si>
  <si>
    <t>Kamatbevételek és más nyereség jellegű bevételek</t>
  </si>
  <si>
    <t>Kiemelt előirányzat, előirányzat megnevezése</t>
  </si>
  <si>
    <t>Forintban!</t>
  </si>
  <si>
    <t>Éves eredeti kiadási előirányzat: …………… Ft</t>
  </si>
  <si>
    <t>Bruttó  hiány:</t>
  </si>
  <si>
    <t>Bruttó  többlet:</t>
  </si>
  <si>
    <t xml:space="preserve">   3.5.-ből EU-s támogatás</t>
  </si>
  <si>
    <t xml:space="preserve">   Rövid lejáratú  hitelek, kölcsönök felvétele pénzügyi vállalkozástól</t>
  </si>
  <si>
    <t>Éven belüli lejáratú belföldi értékpapírok kibocsátása</t>
  </si>
  <si>
    <t>Éven túli lejáratú belföldi értékpapírok kibocsátása</t>
  </si>
  <si>
    <t>Lekötött betétek megszüntetése</t>
  </si>
  <si>
    <t xml:space="preserve">Egyéb működési célú támogatások bevételei államháztartáson belülről </t>
  </si>
  <si>
    <t>Egyéb felhalmozási célú kiadások</t>
  </si>
  <si>
    <t xml:space="preserve">   Elszámolásból származó bevételek</t>
  </si>
  <si>
    <t xml:space="preserve">   2.5.-ből EU-s támogatás</t>
  </si>
  <si>
    <t xml:space="preserve">   Egyéb működési bevételek</t>
  </si>
  <si>
    <t>ÖSSZEVONT MÉRLEGE</t>
  </si>
  <si>
    <t>KÖTELEZŐ FELADATOK MÉRLEGE</t>
  </si>
  <si>
    <t>ÖNKÉNT VÁLLALT FELADATOK MÉRLEGE</t>
  </si>
  <si>
    <t>ÁLLAMIGAZGATÁSI FELADATOK MÉRLEGE</t>
  </si>
  <si>
    <t>Tartalomjegyzék</t>
  </si>
  <si>
    <t>Ugrás</t>
  </si>
  <si>
    <t>ALAPADATOK</t>
  </si>
  <si>
    <t>KÖLTSÉGVETÉSI RENDLET</t>
  </si>
  <si>
    <t>1. költségvetési szerv neve</t>
  </si>
  <si>
    <t>2. költségvetési szerv neve</t>
  </si>
  <si>
    <t>3. költségvetési szerv neve</t>
  </si>
  <si>
    <t>4. költségvetési szerv neve</t>
  </si>
  <si>
    <t>5. költségvetési szerv neve</t>
  </si>
  <si>
    <t>6. költségvetési szerv neve</t>
  </si>
  <si>
    <t>7. költségvetési szerv neve</t>
  </si>
  <si>
    <t>8. költségvetési szerv neve</t>
  </si>
  <si>
    <t>10. költségvetési szerv neve</t>
  </si>
  <si>
    <t>6 kvi név</t>
  </si>
  <si>
    <t>7 kvi név</t>
  </si>
  <si>
    <t>8 kvi név</t>
  </si>
  <si>
    <t>9 kvi név</t>
  </si>
  <si>
    <t>10 kvi név</t>
  </si>
  <si>
    <t>BEVÉTELEI, KIADÁSAI</t>
  </si>
  <si>
    <t>05</t>
  </si>
  <si>
    <t>06</t>
  </si>
  <si>
    <t>07</t>
  </si>
  <si>
    <t>A dokumentációs rendszerben található táblázatok listája</t>
  </si>
  <si>
    <t>Dokumentum neve</t>
  </si>
  <si>
    <t>Alapadatok</t>
  </si>
  <si>
    <t>Adatok megadása</t>
  </si>
  <si>
    <t>Összefüggések</t>
  </si>
  <si>
    <t xml:space="preserve">1.1. melléklet </t>
  </si>
  <si>
    <t>Önkormányzat összevont pénzügyi mérlege összesen</t>
  </si>
  <si>
    <t>1.2. melléklet</t>
  </si>
  <si>
    <t>1.3. melléklet</t>
  </si>
  <si>
    <t xml:space="preserve">Önkormányzat kötelező feladatainak összevont pénzügyi mérlege  </t>
  </si>
  <si>
    <t xml:space="preserve">Önkormányzat önként vállalt feladatainak összevont pénzügyi mérlege  </t>
  </si>
  <si>
    <t>1.4. melléklet</t>
  </si>
  <si>
    <t xml:space="preserve">Önkormányzat államigazgatási feladatainak összevont pénzügyi mérlege  </t>
  </si>
  <si>
    <t>2.1. melléklet</t>
  </si>
  <si>
    <t>Működési célú bevételek, kiadások mérlege</t>
  </si>
  <si>
    <t>2.2. melléklet</t>
  </si>
  <si>
    <t>Felhalmozási célú bevételek, kiadások mérlege</t>
  </si>
  <si>
    <t>Ellenőrző lista</t>
  </si>
  <si>
    <t>Ellenőrzés az 1-es és 2.1., 2.2. mellékletek adati esetében</t>
  </si>
  <si>
    <t>3. melléklet</t>
  </si>
  <si>
    <t>4. melléklet</t>
  </si>
  <si>
    <t>Önkormányzat saját bevételeinek bemutatása</t>
  </si>
  <si>
    <t>Az önkormányzat adósságot keletkeztető fejlesztései céljai</t>
  </si>
  <si>
    <t>5. melléklet</t>
  </si>
  <si>
    <t>6. melléklet</t>
  </si>
  <si>
    <t>Beruházások előirányzatai</t>
  </si>
  <si>
    <t>7. melléklet</t>
  </si>
  <si>
    <t>Felújítások előirányzatai</t>
  </si>
  <si>
    <t>8. melléklet</t>
  </si>
  <si>
    <t>EU-s projektek táblázatai</t>
  </si>
  <si>
    <t>9.1. melléklet</t>
  </si>
  <si>
    <t>Önkormányzat bevételei kiadásai (összesen)</t>
  </si>
  <si>
    <t>9.1.1. melléklet</t>
  </si>
  <si>
    <t xml:space="preserve">Önkormányzat kötelező feladatai  </t>
  </si>
  <si>
    <t>9.1.2. melléklet</t>
  </si>
  <si>
    <t xml:space="preserve">Önkormányzat önként vállalt feladatai </t>
  </si>
  <si>
    <t>9.1.3. melléklet</t>
  </si>
  <si>
    <t xml:space="preserve">Önkormányzat államigazgatási feladatai </t>
  </si>
  <si>
    <t>9.2. melléklet</t>
  </si>
  <si>
    <t>Polgármesteri/Közös hivatal költségvetési táblái (9.2.1., 9.2.2., 9.2.3.)</t>
  </si>
  <si>
    <t>9.3. melléklet</t>
  </si>
  <si>
    <t>9.4. melléklet</t>
  </si>
  <si>
    <t>/</t>
  </si>
  <si>
    <t>(</t>
  </si>
  <si>
    <t>)</t>
  </si>
  <si>
    <t>a</t>
  </si>
  <si>
    <t>önkormányzati rendelethez</t>
  </si>
  <si>
    <t>9.5. melléklet</t>
  </si>
  <si>
    <t>9.6. melléklet</t>
  </si>
  <si>
    <t>9.7. melléklet</t>
  </si>
  <si>
    <t>9.8. melléklet</t>
  </si>
  <si>
    <t>9.9. melléklet</t>
  </si>
  <si>
    <t>9.10. melléklet</t>
  </si>
  <si>
    <t>9.11. melléklet</t>
  </si>
  <si>
    <t>9.12. melléklet</t>
  </si>
  <si>
    <t>10. melléklet</t>
  </si>
  <si>
    <t>1. számú tájékoztató tábla</t>
  </si>
  <si>
    <t>2. számú tájékoztató tábla</t>
  </si>
  <si>
    <t>3. számú tájékoztató tábla</t>
  </si>
  <si>
    <t>4. számú tájékoztató tábla</t>
  </si>
  <si>
    <t>5. számú tájékoztató tábla</t>
  </si>
  <si>
    <t>6. számú tájékoztató tábla</t>
  </si>
  <si>
    <t>7. számú tájékoztató tábla</t>
  </si>
  <si>
    <t>Adatszolgáltatás az elismert tartozásállományról</t>
  </si>
  <si>
    <t>Az önkormányzat által adott közvetett támogatások (kedvezmények)</t>
  </si>
  <si>
    <t>Európai uniós támogatással megvalósuló projektek</t>
  </si>
  <si>
    <t>Előterjesztéskor</t>
  </si>
  <si>
    <t>Forintban</t>
  </si>
  <si>
    <t>Egyéb</t>
  </si>
  <si>
    <t>Telekadó</t>
  </si>
  <si>
    <t>Kommunális adó</t>
  </si>
  <si>
    <t>.</t>
  </si>
  <si>
    <t>2019. évi LXXI.
törvény 2.  melléklete száma*</t>
  </si>
  <si>
    <t>* Magyarország 2020. évi központi költségvetéséról szóló törvény</t>
  </si>
  <si>
    <t>Támogatási szerződés szerinti bevételek, kiadások</t>
  </si>
  <si>
    <t>Évenkénti ütemezés</t>
  </si>
  <si>
    <t>B=(C+D+E)</t>
  </si>
  <si>
    <t xml:space="preserve">Önkormányzaton kívüli EU-s projekthez történő hozzájárulás </t>
  </si>
  <si>
    <t xml:space="preserve">Összesen: </t>
  </si>
  <si>
    <r>
      <t>EU-s projekt neve, azonosítója:</t>
    </r>
    <r>
      <rPr>
        <sz val="11"/>
        <rFont val="Times New Roman"/>
        <family val="1"/>
        <charset val="238"/>
      </rPr>
      <t>*</t>
    </r>
  </si>
  <si>
    <t xml:space="preserve">* Amennyiben több projekt megvalósítása történi egy időben akkor azokat külön-külön, projektenként be kell mutatni!  </t>
  </si>
  <si>
    <t>Táblázatok adatainak összefüggései</t>
  </si>
  <si>
    <t>Adósságot keletkeztető ügyletek táblázata</t>
  </si>
  <si>
    <t xml:space="preserve">* Magyarország gazdasági stabilitásáról szóló 2011. évi CXCIV. törvény 8. § (2) bekezdése szerinti adósságot keletkezető ügyletek.
</t>
  </si>
  <si>
    <t>ADÓSSÁGOT KELETKEZTETŐ ÜGYLETEK VÁRHATÓ EGYÜTTES ÖSSZEGE*</t>
  </si>
  <si>
    <t xml:space="preserve">bevételei, kiadásai, hozzájárulások  </t>
  </si>
  <si>
    <t>Összes tervezett
 forrás, kiadás</t>
  </si>
  <si>
    <t>DABAS VÁROS ÖNKORMÁNYZATA</t>
  </si>
  <si>
    <t>Dabasi Polgármesteri  Hivatal</t>
  </si>
  <si>
    <t>Dabas-Sári Óvoda</t>
  </si>
  <si>
    <t>Dabasi Egyesített Óvodák</t>
  </si>
  <si>
    <t>Dr. Halász Géza Szakorvosi Rendelőintézet</t>
  </si>
  <si>
    <t>Dabasi Intézményfenntartó Központ</t>
  </si>
  <si>
    <t>József Attila utca felújítása (pályázat)</t>
  </si>
  <si>
    <t>Bennárik-ház felújítása (pályázat)</t>
  </si>
  <si>
    <t>Mini bölcsőde kialakítása (Rákóczi u. 11.) Pályázat</t>
  </si>
  <si>
    <t>Ősi Halász-kúria felújítása (Táncsics M. utca 1.) pályázat</t>
  </si>
  <si>
    <t>Egykori Evangélikus iskola felújítása (Luther utca 27.) pályázat</t>
  </si>
  <si>
    <t>Mánteleki tó turisztikai fejlesztése (pályázat)</t>
  </si>
  <si>
    <t>Dabasi Ligetfesztivál (pályázat)</t>
  </si>
  <si>
    <t>Csapadékvízelvezetés (pályázat)</t>
  </si>
  <si>
    <t>Sári Ravatalozó (pályázat)</t>
  </si>
  <si>
    <t>Szennyvíztelep felülvizsgálati dokumentáció</t>
  </si>
  <si>
    <t>Zenepavilon környezetépítése</t>
  </si>
  <si>
    <t>Gyóni temető  régi ravatalozó bontása</t>
  </si>
  <si>
    <t>Szilágyi ingatlan bontás és rendezés</t>
  </si>
  <si>
    <t>4468/hrsz ingatlanvásárlás</t>
  </si>
  <si>
    <t>2203/3.hrsz ingatlanvásárlás</t>
  </si>
  <si>
    <t>931/1, 931/4.hrszú ingatlanvásárlás</t>
  </si>
  <si>
    <t>1888.hrszú ingatlanvásárlás</t>
  </si>
  <si>
    <t>FC Dabas Labdarúgócsarnok építés önrész</t>
  </si>
  <si>
    <t>OBO Aréna felújítás önrész</t>
  </si>
  <si>
    <t>Felhalmozásra átadott pénzeszköz</t>
  </si>
  <si>
    <t>Borzasi kápolna felújítása</t>
  </si>
  <si>
    <t>Településarculati Kézikönyv</t>
  </si>
  <si>
    <t>Városfejlesztési beruházások</t>
  </si>
  <si>
    <t>nemleges</t>
  </si>
  <si>
    <t>Kossuth Művelődési Központ és Halász Boldizsár Város Könyvtár</t>
  </si>
  <si>
    <t>Intézmények</t>
  </si>
  <si>
    <t>Dr. Halász Géza Szakorvosi Rendelőintézet beruházásai</t>
  </si>
  <si>
    <t>Polgármesteri Hivatal beruházásai (Informatika,berendezés)</t>
  </si>
  <si>
    <t>I.1.a.</t>
  </si>
  <si>
    <t>Önkormányzati hivatal működésének támogatása</t>
  </si>
  <si>
    <t>II.1.</t>
  </si>
  <si>
    <t>Pedagógusok és az e pedagógusok munkáját segítők bértámogatása</t>
  </si>
  <si>
    <t>II.2.</t>
  </si>
  <si>
    <t>Óvodaműködtetési támogatás</t>
  </si>
  <si>
    <t>II.4.</t>
  </si>
  <si>
    <t>Kiegészítő támogatás a pedagógusok és a pedagógus szakképzettséggel rendelkező segítők minősítéséből adódó többletkiadáshoz</t>
  </si>
  <si>
    <t>II.5.</t>
  </si>
  <si>
    <t>Nemzetiségi pótlék</t>
  </si>
  <si>
    <t>III.2.</t>
  </si>
  <si>
    <t>A települési önkormányzatok szociális feladatainak egyéb támogatása</t>
  </si>
  <si>
    <t>III.3.</t>
  </si>
  <si>
    <t>Egyes szociális és gyermekjóléti feladatok támogatása</t>
  </si>
  <si>
    <t>Családi bölcsőde</t>
  </si>
  <si>
    <t>Közösségi alapellátások</t>
  </si>
  <si>
    <t>Óvodai és iskolai szociális segítő tevékenység támogatása</t>
  </si>
  <si>
    <t>III.5.</t>
  </si>
  <si>
    <t>Gyermekétkeztetés támogatása</t>
  </si>
  <si>
    <t>IV.1.d.</t>
  </si>
  <si>
    <t>Települési önkormányzatok nyilvános könyvtári és közművelődési feladatainak támogatása</t>
  </si>
  <si>
    <t>III.2.n.</t>
  </si>
  <si>
    <t>III.2.j.</t>
  </si>
  <si>
    <t>III.2.m.</t>
  </si>
  <si>
    <t>III.2.g</t>
  </si>
  <si>
    <t>Fogyatékos és demens személyek nappali intézményi ellátása</t>
  </si>
  <si>
    <t>Citera zenekar támogatása</t>
  </si>
  <si>
    <t>Rozmaring Népdalkör támogatása (Szlovák ÖK)</t>
  </si>
  <si>
    <t>Civil szervezetek, egyesületek rezsi költsége</t>
  </si>
  <si>
    <t>FC Dabas SE támogatás</t>
  </si>
  <si>
    <t xml:space="preserve">Dabas Városi Kézilabda Club  </t>
  </si>
  <si>
    <t>Vívás, tenisz és triatlon támogatása</t>
  </si>
  <si>
    <t>Magyar Zarándokút  támogatása(tagdíj)</t>
  </si>
  <si>
    <t>Dabasi Sportcsarnok Kft támogatása</t>
  </si>
  <si>
    <t>Társult ÖK Együtt Segítőszolgálat támogatása</t>
  </si>
  <si>
    <t>Társult ÖK Együtt Segítőszolgálata támogatása -Dabas</t>
  </si>
  <si>
    <t xml:space="preserve">OKÖT- Reménysugár Fogyatékosok támogatása - Dabas </t>
  </si>
  <si>
    <t>OKÖT-Reménysugár Fogyatékosok támogatása</t>
  </si>
  <si>
    <t>Révfülöpi Üdülő Tábor Alapítvány</t>
  </si>
  <si>
    <t>Dabas Város Roma Nemzetiségi Önkormányzata támogatása</t>
  </si>
  <si>
    <t>Sári Szlovák Önkormányzat támogatása</t>
  </si>
  <si>
    <t>Szakorvosi ellátási szerződések</t>
  </si>
  <si>
    <t>Pantheon Kft támogatása</t>
  </si>
  <si>
    <t>34.</t>
  </si>
  <si>
    <t>Országközepe Többcélú Kistérségi Társulás tagdíj</t>
  </si>
  <si>
    <t>Kisvárosi Önkormányzatok tagdíj</t>
  </si>
  <si>
    <t>(II.18.)</t>
  </si>
  <si>
    <t>2020. Eredeti előirányzat</t>
  </si>
  <si>
    <t>módosítás</t>
  </si>
  <si>
    <t>2020. módosított előirányzat</t>
  </si>
  <si>
    <t>D= B+C</t>
  </si>
  <si>
    <t>Zarándokház parkolóépítés és parkostíás</t>
  </si>
  <si>
    <t>Dabasi temetőben urnapark III.ütem</t>
  </si>
  <si>
    <t>Védőnői helység kialakítása PH épületében+ berendezés</t>
  </si>
  <si>
    <t>Temetőbe lombszívó-fúvó vásárlás</t>
  </si>
  <si>
    <t xml:space="preserve">Gépjármű vásárlás </t>
  </si>
  <si>
    <t>Módosítás</t>
  </si>
  <si>
    <t>2020.Módosított előirányzat</t>
  </si>
  <si>
    <t>D=B+C</t>
  </si>
  <si>
    <t>DIK épület fűtés felújítás</t>
  </si>
  <si>
    <t>Útfelújítás</t>
  </si>
  <si>
    <t>Egyház utca felújítás</t>
  </si>
  <si>
    <t>Vasút u. 2. ( volt takarék) felújítása</t>
  </si>
  <si>
    <t>Védőnői helység felújítása(PH épület) fűtés, vizesblokk</t>
  </si>
  <si>
    <t>Módosítás 04.30.</t>
  </si>
  <si>
    <t>Módosított előirányzat</t>
  </si>
  <si>
    <t>Erkel Ferenc úti óvoda felújítása (214 millióból)</t>
  </si>
  <si>
    <t>Forint</t>
  </si>
  <si>
    <t>Támogatás összege</t>
  </si>
  <si>
    <t>Módosított támogatás</t>
  </si>
  <si>
    <t>Térfigyelőrendszer</t>
  </si>
  <si>
    <t>Korona vírussal kapcsolatos gép beszerzések</t>
  </si>
  <si>
    <t>Interaktí kül és beltéri terv (Gyón)</t>
  </si>
  <si>
    <t>Sári Ravatalozó geotechnika</t>
  </si>
  <si>
    <t>Erkel Ferenc úti óvoda felújítása abalakfóliázás</t>
  </si>
  <si>
    <t xml:space="preserve">Erkel Ferenc úti óvoda felújítása gépészet </t>
  </si>
  <si>
    <t>Kossuth Művelődési Központ és Halász Boldizsár Városi Könyvtár beruházásai</t>
  </si>
  <si>
    <t>Gépjármű vásárlás</t>
  </si>
</sst>
</file>

<file path=xl/styles.xml><?xml version="1.0" encoding="utf-8"?>
<styleSheet xmlns="http://schemas.openxmlformats.org/spreadsheetml/2006/main">
  <numFmts count="5">
    <numFmt numFmtId="43" formatCode="_-* #,##0.00\ _F_t_-;\-* #,##0.00\ _F_t_-;_-* &quot;-&quot;??\ _F_t_-;_-@_-"/>
    <numFmt numFmtId="166" formatCode="#,###"/>
    <numFmt numFmtId="168" formatCode="_-* #,##0\ _F_t_-;\-* #,##0\ _F_t_-;_-* &quot;-&quot;??\ _F_t_-;_-@_-"/>
    <numFmt numFmtId="174" formatCode="0&quot;.&quot;"/>
    <numFmt numFmtId="175" formatCode="#,##0.0"/>
  </numFmts>
  <fonts count="73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i/>
      <sz val="11"/>
      <name val="Times New Roman CE"/>
      <charset val="238"/>
    </font>
    <font>
      <sz val="7"/>
      <name val="Times New Roman CE"/>
      <family val="1"/>
      <charset val="238"/>
    </font>
    <font>
      <b/>
      <sz val="7"/>
      <name val="Times New Roman CE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sz val="7"/>
      <name val="Times New Roman CE"/>
      <charset val="238"/>
    </font>
    <font>
      <b/>
      <sz val="7"/>
      <name val="Times New Roman CE"/>
      <charset val="238"/>
    </font>
    <font>
      <i/>
      <sz val="11"/>
      <name val="Times New Roman CE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1"/>
      <name val="Times New Roman"/>
      <family val="1"/>
      <charset val="238"/>
    </font>
    <font>
      <i/>
      <sz val="9"/>
      <name val="Times New Roman CE"/>
      <charset val="238"/>
    </font>
    <font>
      <b/>
      <i/>
      <sz val="8"/>
      <name val="Times New Roman"/>
      <family val="1"/>
      <charset val="238"/>
    </font>
    <font>
      <i/>
      <sz val="12"/>
      <name val="Times New Roman CE"/>
      <charset val="238"/>
    </font>
    <font>
      <u/>
      <sz val="10"/>
      <color theme="10"/>
      <name val="Times New Roman CE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FF0000"/>
      <name val="Times New Roman CE"/>
      <charset val="238"/>
    </font>
    <font>
      <sz val="8"/>
      <color rgb="FFFF0000"/>
      <name val="Times New Roman CE"/>
      <charset val="238"/>
    </font>
    <font>
      <sz val="12"/>
      <color rgb="FFFF0000"/>
      <name val="Times New Roman CE"/>
      <charset val="238"/>
    </font>
    <font>
      <i/>
      <sz val="12"/>
      <color theme="1"/>
      <name val="Calibri"/>
      <family val="2"/>
      <charset val="238"/>
      <scheme val="minor"/>
    </font>
    <font>
      <sz val="10"/>
      <color theme="0"/>
      <name val="Times New Roman CE"/>
      <charset val="238"/>
    </font>
    <font>
      <sz val="10"/>
      <color theme="1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2"/>
      <color rgb="FFFF0000"/>
      <name val="Times New Roman CE"/>
      <charset val="238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darkHorizontal"/>
    </fill>
    <fill>
      <patternFill patternType="lightHorizontal"/>
    </fill>
    <fill>
      <patternFill patternType="solid">
        <fgColor indexed="9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rgb="FF006600"/>
      </left>
      <right style="thick">
        <color rgb="FF006600"/>
      </right>
      <top style="thick">
        <color rgb="FF006600"/>
      </top>
      <bottom style="thick">
        <color rgb="FF006600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2" fillId="0" borderId="0"/>
    <xf numFmtId="0" fontId="12" fillId="0" borderId="0"/>
    <xf numFmtId="9" fontId="17" fillId="0" borderId="0" applyFont="0" applyFill="0" applyBorder="0" applyAlignment="0" applyProtection="0"/>
  </cellStyleXfs>
  <cellXfs count="852">
    <xf numFmtId="0" fontId="0" fillId="0" borderId="0" xfId="0"/>
    <xf numFmtId="0" fontId="15" fillId="0" borderId="0" xfId="7" applyFont="1" applyFill="1"/>
    <xf numFmtId="166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7" applyFont="1" applyFill="1" applyBorder="1" applyAlignment="1" applyProtection="1">
      <alignment horizontal="center" vertical="center" wrapText="1"/>
    </xf>
    <xf numFmtId="0" fontId="7" fillId="0" borderId="0" xfId="7" applyFont="1" applyFill="1" applyBorder="1" applyAlignment="1" applyProtection="1">
      <alignment vertical="center" wrapText="1"/>
    </xf>
    <xf numFmtId="0" fontId="22" fillId="0" borderId="1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1"/>
    </xf>
    <xf numFmtId="0" fontId="22" fillId="0" borderId="4" xfId="7" applyFont="1" applyFill="1" applyBorder="1" applyAlignment="1" applyProtection="1">
      <alignment horizontal="left" vertical="center" wrapText="1" indent="1"/>
    </xf>
    <xf numFmtId="0" fontId="22" fillId="0" borderId="5" xfId="7" applyFont="1" applyFill="1" applyBorder="1" applyAlignment="1" applyProtection="1">
      <alignment horizontal="left" vertical="center" wrapText="1" indent="1"/>
    </xf>
    <xf numFmtId="0" fontId="22" fillId="0" borderId="6" xfId="7" applyFont="1" applyFill="1" applyBorder="1" applyAlignment="1" applyProtection="1">
      <alignment horizontal="left" vertical="center" wrapText="1" indent="1"/>
    </xf>
    <xf numFmtId="49" fontId="22" fillId="0" borderId="7" xfId="7" applyNumberFormat="1" applyFont="1" applyFill="1" applyBorder="1" applyAlignment="1" applyProtection="1">
      <alignment horizontal="left" vertical="center" wrapText="1" indent="1"/>
    </xf>
    <xf numFmtId="49" fontId="22" fillId="0" borderId="8" xfId="7" applyNumberFormat="1" applyFont="1" applyFill="1" applyBorder="1" applyAlignment="1" applyProtection="1">
      <alignment horizontal="left" vertical="center" wrapText="1" indent="1"/>
    </xf>
    <xf numFmtId="49" fontId="22" fillId="0" borderId="9" xfId="7" applyNumberFormat="1" applyFont="1" applyFill="1" applyBorder="1" applyAlignment="1" applyProtection="1">
      <alignment horizontal="left" vertical="center" wrapText="1" indent="1"/>
    </xf>
    <xf numFmtId="49" fontId="22" fillId="0" borderId="10" xfId="7" applyNumberFormat="1" applyFont="1" applyFill="1" applyBorder="1" applyAlignment="1" applyProtection="1">
      <alignment horizontal="left" vertical="center" wrapText="1" indent="1"/>
    </xf>
    <xf numFmtId="49" fontId="22" fillId="0" borderId="11" xfId="7" applyNumberFormat="1" applyFont="1" applyFill="1" applyBorder="1" applyAlignment="1" applyProtection="1">
      <alignment horizontal="left" vertical="center" wrapText="1" indent="1"/>
    </xf>
    <xf numFmtId="49" fontId="22" fillId="0" borderId="12" xfId="7" applyNumberFormat="1" applyFont="1" applyFill="1" applyBorder="1" applyAlignment="1" applyProtection="1">
      <alignment horizontal="left" vertical="center" wrapText="1" indent="1"/>
    </xf>
    <xf numFmtId="0" fontId="22" fillId="0" borderId="0" xfId="7" applyFont="1" applyFill="1" applyBorder="1" applyAlignment="1" applyProtection="1">
      <alignment horizontal="left" vertical="center" wrapText="1" indent="1"/>
    </xf>
    <xf numFmtId="0" fontId="20" fillId="0" borderId="13" xfId="7" applyFont="1" applyFill="1" applyBorder="1" applyAlignment="1" applyProtection="1">
      <alignment horizontal="left" vertical="center" wrapText="1" indent="1"/>
    </xf>
    <xf numFmtId="0" fontId="20" fillId="0" borderId="14" xfId="7" applyFont="1" applyFill="1" applyBorder="1" applyAlignment="1" applyProtection="1">
      <alignment horizontal="left" vertical="center" wrapText="1" indent="1"/>
    </xf>
    <xf numFmtId="0" fontId="20" fillId="0" borderId="15" xfId="7" applyFont="1" applyFill="1" applyBorder="1" applyAlignment="1" applyProtection="1">
      <alignment horizontal="left" vertical="center" wrapText="1" indent="1"/>
    </xf>
    <xf numFmtId="0" fontId="8" fillId="0" borderId="13" xfId="7" applyFont="1" applyFill="1" applyBorder="1" applyAlignment="1" applyProtection="1">
      <alignment horizontal="center" vertical="center" wrapText="1"/>
    </xf>
    <xf numFmtId="0" fontId="8" fillId="0" borderId="14" xfId="7" applyFont="1" applyFill="1" applyBorder="1" applyAlignment="1" applyProtection="1">
      <alignment horizontal="center" vertical="center" wrapText="1"/>
    </xf>
    <xf numFmtId="0" fontId="20" fillId="0" borderId="14" xfId="7" applyFont="1" applyFill="1" applyBorder="1" applyAlignment="1" applyProtection="1">
      <alignment vertical="center" wrapText="1"/>
    </xf>
    <xf numFmtId="0" fontId="20" fillId="0" borderId="16" xfId="7" applyFont="1" applyFill="1" applyBorder="1" applyAlignment="1" applyProtection="1">
      <alignment vertical="center" wrapText="1"/>
    </xf>
    <xf numFmtId="0" fontId="29" fillId="0" borderId="4" xfId="0" applyFont="1" applyBorder="1" applyAlignment="1" applyProtection="1">
      <alignment horizontal="left" vertical="center" indent="1"/>
      <protection locked="0"/>
    </xf>
    <xf numFmtId="0" fontId="29" fillId="0" borderId="2" xfId="0" applyFont="1" applyBorder="1" applyAlignment="1" applyProtection="1">
      <alignment horizontal="left" vertical="center" indent="1"/>
      <protection locked="0"/>
    </xf>
    <xf numFmtId="0" fontId="20" fillId="0" borderId="13" xfId="7" applyFont="1" applyFill="1" applyBorder="1" applyAlignment="1" applyProtection="1">
      <alignment horizontal="center" vertical="center" wrapText="1"/>
    </xf>
    <xf numFmtId="0" fontId="20" fillId="0" borderId="14" xfId="7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8" fillId="0" borderId="14" xfId="8" applyFont="1" applyFill="1" applyBorder="1" applyAlignment="1" applyProtection="1">
      <alignment horizontal="left" vertical="center" indent="1"/>
    </xf>
    <xf numFmtId="0" fontId="12" fillId="0" borderId="0" xfId="7" applyFill="1"/>
    <xf numFmtId="0" fontId="22" fillId="0" borderId="0" xfId="7" applyFont="1" applyFill="1"/>
    <xf numFmtId="0" fontId="24" fillId="0" borderId="0" xfId="7" applyFont="1" applyFill="1"/>
    <xf numFmtId="166" fontId="6" fillId="0" borderId="0" xfId="0" applyNumberFormat="1" applyFont="1" applyFill="1" applyAlignment="1">
      <alignment horizontal="right" vertical="center"/>
    </xf>
    <xf numFmtId="166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6" fontId="27" fillId="0" borderId="17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6" fontId="8" fillId="0" borderId="17" xfId="0" applyNumberFormat="1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vertical="center" wrapText="1"/>
    </xf>
    <xf numFmtId="166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0" fontId="7" fillId="0" borderId="0" xfId="0" applyFont="1" applyFill="1" applyAlignment="1">
      <alignment horizontal="center" vertical="center" wrapText="1"/>
    </xf>
    <xf numFmtId="166" fontId="22" fillId="0" borderId="18" xfId="0" applyNumberFormat="1" applyFont="1" applyFill="1" applyBorder="1" applyAlignment="1" applyProtection="1">
      <alignment vertical="center" wrapText="1"/>
    </xf>
    <xf numFmtId="166" fontId="22" fillId="0" borderId="19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0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1" xfId="0" applyNumberFormat="1" applyFont="1" applyFill="1" applyBorder="1" applyAlignment="1" applyProtection="1">
      <alignment horizontal="left" vertical="center" wrapText="1" indent="1"/>
      <protection locked="0"/>
    </xf>
    <xf numFmtId="166" fontId="10" fillId="0" borderId="0" xfId="0" applyNumberFormat="1" applyFont="1" applyFill="1" applyAlignment="1">
      <alignment horizontal="center" vertical="center" wrapText="1"/>
    </xf>
    <xf numFmtId="166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6" fontId="29" fillId="0" borderId="22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8" xfId="0" applyFont="1" applyFill="1" applyBorder="1" applyAlignment="1">
      <alignment horizontal="center" vertical="center" wrapText="1"/>
    </xf>
    <xf numFmtId="166" fontId="29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" xfId="0" applyFont="1" applyFill="1" applyBorder="1" applyAlignment="1" applyProtection="1">
      <alignment vertical="center" wrapText="1"/>
      <protection locked="0"/>
    </xf>
    <xf numFmtId="0" fontId="29" fillId="0" borderId="24" xfId="0" applyFont="1" applyFill="1" applyBorder="1" applyAlignment="1" applyProtection="1">
      <alignment vertical="center" wrapText="1"/>
      <protection locked="0"/>
    </xf>
    <xf numFmtId="166" fontId="29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3" fillId="0" borderId="0" xfId="0" applyFont="1" applyFill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0" fillId="0" borderId="15" xfId="8" applyFont="1" applyFill="1" applyBorder="1" applyAlignment="1" applyProtection="1">
      <alignment horizontal="center" vertical="center" wrapText="1"/>
    </xf>
    <xf numFmtId="0" fontId="30" fillId="0" borderId="16" xfId="8" applyFont="1" applyFill="1" applyBorder="1" applyAlignment="1" applyProtection="1">
      <alignment horizontal="center" vertical="center"/>
    </xf>
    <xf numFmtId="0" fontId="30" fillId="0" borderId="26" xfId="8" applyFont="1" applyFill="1" applyBorder="1" applyAlignment="1" applyProtection="1">
      <alignment horizontal="center" vertical="center"/>
    </xf>
    <xf numFmtId="0" fontId="12" fillId="0" borderId="0" xfId="8" applyFill="1" applyProtection="1"/>
    <xf numFmtId="0" fontId="22" fillId="0" borderId="13" xfId="8" applyFont="1" applyFill="1" applyBorder="1" applyAlignment="1" applyProtection="1">
      <alignment horizontal="left" vertical="center" indent="1"/>
    </xf>
    <xf numFmtId="0" fontId="12" fillId="0" borderId="0" xfId="8" applyFill="1" applyAlignment="1" applyProtection="1">
      <alignment vertical="center"/>
    </xf>
    <xf numFmtId="0" fontId="22" fillId="0" borderId="7" xfId="8" applyFont="1" applyFill="1" applyBorder="1" applyAlignment="1" applyProtection="1">
      <alignment horizontal="left" vertical="center" indent="1"/>
    </xf>
    <xf numFmtId="166" fontId="22" fillId="0" borderId="27" xfId="8" applyNumberFormat="1" applyFont="1" applyFill="1" applyBorder="1" applyAlignment="1" applyProtection="1">
      <alignment vertical="center"/>
    </xf>
    <xf numFmtId="0" fontId="22" fillId="0" borderId="8" xfId="8" applyFont="1" applyFill="1" applyBorder="1" applyAlignment="1" applyProtection="1">
      <alignment horizontal="left" vertical="center" indent="1"/>
    </xf>
    <xf numFmtId="166" fontId="22" fillId="0" borderId="23" xfId="8" applyNumberFormat="1" applyFont="1" applyFill="1" applyBorder="1" applyAlignment="1" applyProtection="1">
      <alignment vertical="center"/>
    </xf>
    <xf numFmtId="0" fontId="12" fillId="0" borderId="0" xfId="8" applyFill="1" applyAlignment="1" applyProtection="1">
      <alignment vertical="center"/>
      <protection locked="0"/>
    </xf>
    <xf numFmtId="166" fontId="22" fillId="0" borderId="22" xfId="8" applyNumberFormat="1" applyFont="1" applyFill="1" applyBorder="1" applyAlignment="1" applyProtection="1">
      <alignment vertical="center"/>
    </xf>
    <xf numFmtId="166" fontId="20" fillId="0" borderId="17" xfId="8" applyNumberFormat="1" applyFont="1" applyFill="1" applyBorder="1" applyAlignment="1" applyProtection="1">
      <alignment vertical="center"/>
    </xf>
    <xf numFmtId="0" fontId="22" fillId="0" borderId="9" xfId="8" applyFont="1" applyFill="1" applyBorder="1" applyAlignment="1" applyProtection="1">
      <alignment horizontal="left" vertical="center" indent="1"/>
    </xf>
    <xf numFmtId="0" fontId="20" fillId="0" borderId="13" xfId="8" applyFont="1" applyFill="1" applyBorder="1" applyAlignment="1" applyProtection="1">
      <alignment horizontal="left" vertical="center" indent="1"/>
    </xf>
    <xf numFmtId="166" fontId="20" fillId="0" borderId="17" xfId="8" applyNumberFormat="1" applyFont="1" applyFill="1" applyBorder="1" applyProtection="1"/>
    <xf numFmtId="0" fontId="12" fillId="0" borderId="0" xfId="8" applyFill="1" applyProtection="1">
      <protection locked="0"/>
    </xf>
    <xf numFmtId="0" fontId="15" fillId="0" borderId="0" xfId="8" applyFont="1" applyFill="1" applyProtection="1"/>
    <xf numFmtId="0" fontId="34" fillId="0" borderId="0" xfId="8" applyFont="1" applyFill="1" applyProtection="1">
      <protection locked="0"/>
    </xf>
    <xf numFmtId="0" fontId="23" fillId="0" borderId="0" xfId="8" applyFont="1" applyFill="1" applyProtection="1">
      <protection locked="0"/>
    </xf>
    <xf numFmtId="0" fontId="26" fillId="0" borderId="28" xfId="0" applyFont="1" applyFill="1" applyBorder="1" applyAlignment="1" applyProtection="1">
      <alignment horizontal="left" vertical="center" wrapText="1"/>
      <protection locked="0"/>
    </xf>
    <xf numFmtId="0" fontId="26" fillId="0" borderId="29" xfId="0" applyFont="1" applyFill="1" applyBorder="1" applyAlignment="1" applyProtection="1">
      <alignment horizontal="left" vertical="center" wrapText="1"/>
      <protection locked="0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9" fillId="0" borderId="3" xfId="0" applyFont="1" applyFill="1" applyBorder="1" applyAlignment="1" applyProtection="1">
      <alignment vertical="center" wrapText="1"/>
      <protection locked="0"/>
    </xf>
    <xf numFmtId="0" fontId="28" fillId="0" borderId="14" xfId="7" applyFont="1" applyFill="1" applyBorder="1" applyAlignment="1" applyProtection="1">
      <alignment horizontal="left" vertical="center" wrapText="1" indent="1"/>
    </xf>
    <xf numFmtId="0" fontId="23" fillId="0" borderId="0" xfId="7" applyFont="1" applyFill="1"/>
    <xf numFmtId="166" fontId="28" fillId="0" borderId="13" xfId="0" applyNumberFormat="1" applyFont="1" applyFill="1" applyBorder="1" applyAlignment="1" applyProtection="1">
      <alignment horizontal="left" vertical="center" wrapText="1" indent="1"/>
    </xf>
    <xf numFmtId="0" fontId="36" fillId="0" borderId="0" xfId="0" applyFont="1"/>
    <xf numFmtId="0" fontId="37" fillId="0" borderId="0" xfId="0" applyFont="1"/>
    <xf numFmtId="0" fontId="37" fillId="0" borderId="0" xfId="0" applyFont="1" applyAlignment="1">
      <alignment horizontal="right" indent="1"/>
    </xf>
    <xf numFmtId="0" fontId="24" fillId="0" borderId="0" xfId="0" applyFont="1" applyAlignment="1">
      <alignment horizontal="center"/>
    </xf>
    <xf numFmtId="0" fontId="28" fillId="0" borderId="14" xfId="7" applyFont="1" applyFill="1" applyBorder="1" applyAlignment="1" applyProtection="1">
      <alignment horizontal="left" vertical="center" wrapText="1"/>
    </xf>
    <xf numFmtId="166" fontId="29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37" fillId="0" borderId="0" xfId="0" applyFont="1" applyFill="1"/>
    <xf numFmtId="3" fontId="37" fillId="0" borderId="0" xfId="0" applyNumberFormat="1" applyFont="1" applyFill="1" applyAlignment="1">
      <alignment horizontal="right" indent="1"/>
    </xf>
    <xf numFmtId="3" fontId="30" fillId="0" borderId="0" xfId="0" applyNumberFormat="1" applyFont="1" applyFill="1" applyAlignment="1">
      <alignment horizontal="right" indent="1"/>
    </xf>
    <xf numFmtId="0" fontId="37" fillId="0" borderId="0" xfId="0" applyFont="1" applyFill="1" applyAlignment="1">
      <alignment horizontal="right" indent="1"/>
    </xf>
    <xf numFmtId="166" fontId="35" fillId="0" borderId="31" xfId="7" applyNumberFormat="1" applyFont="1" applyFill="1" applyBorder="1" applyAlignment="1" applyProtection="1">
      <alignment horizontal="left" vertical="center"/>
    </xf>
    <xf numFmtId="0" fontId="29" fillId="0" borderId="32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indent="6"/>
    </xf>
    <xf numFmtId="0" fontId="22" fillId="0" borderId="2" xfId="7" applyFont="1" applyFill="1" applyBorder="1" applyAlignment="1" applyProtection="1">
      <alignment horizontal="left" vertical="center" wrapText="1" indent="6"/>
    </xf>
    <xf numFmtId="0" fontId="22" fillId="0" borderId="6" xfId="7" applyFont="1" applyFill="1" applyBorder="1" applyAlignment="1" applyProtection="1">
      <alignment horizontal="left" vertical="center" wrapText="1" indent="6"/>
    </xf>
    <xf numFmtId="0" fontId="22" fillId="0" borderId="24" xfId="7" applyFont="1" applyFill="1" applyBorder="1" applyAlignment="1" applyProtection="1">
      <alignment horizontal="left" vertical="center" wrapText="1" indent="6"/>
    </xf>
    <xf numFmtId="0" fontId="42" fillId="0" borderId="0" xfId="0" applyFont="1" applyFill="1"/>
    <xf numFmtId="0" fontId="43" fillId="0" borderId="0" xfId="0" applyFont="1"/>
    <xf numFmtId="0" fontId="15" fillId="0" borderId="0" xfId="7" applyFont="1" applyFill="1" applyBorder="1"/>
    <xf numFmtId="0" fontId="2" fillId="0" borderId="0" xfId="7" applyFont="1" applyFill="1"/>
    <xf numFmtId="0" fontId="15" fillId="0" borderId="8" xfId="7" applyFont="1" applyFill="1" applyBorder="1" applyAlignment="1">
      <alignment horizontal="center" vertical="center"/>
    </xf>
    <xf numFmtId="0" fontId="15" fillId="0" borderId="9" xfId="7" applyFont="1" applyFill="1" applyBorder="1" applyAlignment="1">
      <alignment horizontal="center" vertical="center"/>
    </xf>
    <xf numFmtId="0" fontId="15" fillId="0" borderId="13" xfId="7" applyFont="1" applyFill="1" applyBorder="1" applyAlignment="1">
      <alignment horizontal="center" vertical="center"/>
    </xf>
    <xf numFmtId="0" fontId="15" fillId="0" borderId="14" xfId="7" applyFont="1" applyFill="1" applyBorder="1" applyAlignment="1">
      <alignment horizontal="center" vertical="center"/>
    </xf>
    <xf numFmtId="0" fontId="15" fillId="0" borderId="17" xfId="7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7" applyFont="1" applyFill="1" applyBorder="1" applyAlignment="1">
      <alignment horizontal="center" vertical="center"/>
    </xf>
    <xf numFmtId="0" fontId="31" fillId="0" borderId="14" xfId="7" applyFont="1" applyFill="1" applyBorder="1"/>
    <xf numFmtId="0" fontId="8" fillId="0" borderId="33" xfId="7" applyFont="1" applyFill="1" applyBorder="1" applyAlignment="1" applyProtection="1">
      <alignment horizontal="center" vertical="center" wrapText="1"/>
    </xf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1" fillId="0" borderId="0" xfId="0" applyFont="1" applyFill="1"/>
    <xf numFmtId="166" fontId="29" fillId="0" borderId="3" xfId="0" applyNumberFormat="1" applyFont="1" applyFill="1" applyBorder="1" applyAlignment="1" applyProtection="1">
      <alignment vertical="center"/>
      <protection locked="0"/>
    </xf>
    <xf numFmtId="166" fontId="29" fillId="0" borderId="2" xfId="0" applyNumberFormat="1" applyFont="1" applyFill="1" applyBorder="1" applyAlignment="1" applyProtection="1">
      <alignment vertical="center"/>
      <protection locked="0"/>
    </xf>
    <xf numFmtId="166" fontId="29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7" applyFont="1" applyFill="1" applyBorder="1" applyProtection="1">
      <protection locked="0"/>
    </xf>
    <xf numFmtId="0" fontId="15" fillId="0" borderId="2" xfId="7" applyFont="1" applyFill="1" applyBorder="1" applyProtection="1">
      <protection locked="0"/>
    </xf>
    <xf numFmtId="0" fontId="15" fillId="0" borderId="6" xfId="7" applyFont="1" applyFill="1" applyBorder="1" applyProtection="1">
      <protection locked="0"/>
    </xf>
    <xf numFmtId="0" fontId="29" fillId="0" borderId="13" xfId="7" applyFont="1" applyFill="1" applyBorder="1" applyAlignment="1" applyProtection="1">
      <alignment horizontal="center" vertical="center"/>
    </xf>
    <xf numFmtId="0" fontId="29" fillId="0" borderId="11" xfId="7" applyFont="1" applyFill="1" applyBorder="1" applyAlignment="1" applyProtection="1">
      <alignment horizontal="center" vertical="center"/>
    </xf>
    <xf numFmtId="0" fontId="29" fillId="0" borderId="8" xfId="7" applyFont="1" applyFill="1" applyBorder="1" applyAlignment="1" applyProtection="1">
      <alignment horizontal="center" vertical="center"/>
    </xf>
    <xf numFmtId="0" fontId="29" fillId="0" borderId="10" xfId="7" applyFont="1" applyFill="1" applyBorder="1" applyAlignment="1" applyProtection="1">
      <alignment horizontal="center" vertical="center"/>
    </xf>
    <xf numFmtId="168" fontId="28" fillId="0" borderId="17" xfId="1" applyNumberFormat="1" applyFont="1" applyFill="1" applyBorder="1" applyProtection="1"/>
    <xf numFmtId="168" fontId="29" fillId="0" borderId="34" xfId="1" applyNumberFormat="1" applyFont="1" applyFill="1" applyBorder="1" applyProtection="1">
      <protection locked="0"/>
    </xf>
    <xf numFmtId="168" fontId="29" fillId="0" borderId="23" xfId="1" applyNumberFormat="1" applyFont="1" applyFill="1" applyBorder="1" applyProtection="1">
      <protection locked="0"/>
    </xf>
    <xf numFmtId="168" fontId="29" fillId="0" borderId="35" xfId="1" applyNumberFormat="1" applyFont="1" applyFill="1" applyBorder="1" applyProtection="1">
      <protection locked="0"/>
    </xf>
    <xf numFmtId="0" fontId="29" fillId="0" borderId="4" xfId="7" applyFont="1" applyFill="1" applyBorder="1" applyProtection="1">
      <protection locked="0"/>
    </xf>
    <xf numFmtId="0" fontId="29" fillId="0" borderId="2" xfId="7" applyFont="1" applyFill="1" applyBorder="1" applyProtection="1">
      <protection locked="0"/>
    </xf>
    <xf numFmtId="0" fontId="29" fillId="0" borderId="6" xfId="7" applyFont="1" applyFill="1" applyBorder="1" applyProtection="1">
      <protection locked="0"/>
    </xf>
    <xf numFmtId="0" fontId="33" fillId="0" borderId="13" xfId="0" applyFont="1" applyFill="1" applyBorder="1" applyAlignment="1" applyProtection="1">
      <alignment horizontal="center" vertical="center" wrapText="1"/>
    </xf>
    <xf numFmtId="0" fontId="33" fillId="0" borderId="17" xfId="0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center" vertical="center" wrapText="1"/>
    </xf>
    <xf numFmtId="166" fontId="8" fillId="0" borderId="14" xfId="0" applyNumberFormat="1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17" xfId="0" applyFont="1" applyFill="1" applyBorder="1" applyAlignment="1" applyProtection="1">
      <alignment horizontal="center" vertical="center" wrapText="1"/>
    </xf>
    <xf numFmtId="0" fontId="26" fillId="0" borderId="30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8"/>
    </xf>
    <xf numFmtId="0" fontId="29" fillId="0" borderId="3" xfId="0" applyFont="1" applyFill="1" applyBorder="1" applyAlignment="1" applyProtection="1">
      <alignment vertical="center" wrapText="1"/>
    </xf>
    <xf numFmtId="0" fontId="29" fillId="0" borderId="2" xfId="0" applyFont="1" applyFill="1" applyBorder="1" applyAlignment="1" applyProtection="1">
      <alignment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30" fillId="0" borderId="32" xfId="0" applyFont="1" applyFill="1" applyBorder="1" applyAlignment="1" applyProtection="1">
      <alignment vertical="center" wrapText="1"/>
    </xf>
    <xf numFmtId="166" fontId="28" fillId="0" borderId="32" xfId="0" applyNumberFormat="1" applyFont="1" applyFill="1" applyBorder="1" applyAlignment="1" applyProtection="1">
      <alignment vertical="center" wrapText="1"/>
    </xf>
    <xf numFmtId="166" fontId="28" fillId="0" borderId="36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0" fontId="29" fillId="0" borderId="11" xfId="0" applyFont="1" applyBorder="1" applyAlignment="1" applyProtection="1">
      <alignment horizontal="right" vertical="center" indent="1"/>
    </xf>
    <xf numFmtId="0" fontId="29" fillId="0" borderId="8" xfId="0" applyFont="1" applyBorder="1" applyAlignment="1" applyProtection="1">
      <alignment horizontal="right" vertical="center" indent="1"/>
    </xf>
    <xf numFmtId="166" fontId="15" fillId="2" borderId="18" xfId="0" applyNumberFormat="1" applyFont="1" applyFill="1" applyBorder="1" applyAlignment="1" applyProtection="1">
      <alignment horizontal="left" vertical="center" wrapText="1" indent="2"/>
    </xf>
    <xf numFmtId="0" fontId="0" fillId="0" borderId="0" xfId="0" applyFill="1" applyProtection="1"/>
    <xf numFmtId="166" fontId="3" fillId="0" borderId="0" xfId="0" applyNumberFormat="1" applyFont="1" applyFill="1" applyAlignment="1" applyProtection="1">
      <alignment horizontal="left" vertical="center" wrapText="1"/>
    </xf>
    <xf numFmtId="166" fontId="3" fillId="0" borderId="0" xfId="0" applyNumberFormat="1" applyFont="1" applyFill="1" applyAlignment="1" applyProtection="1">
      <alignment vertical="center" wrapText="1"/>
    </xf>
    <xf numFmtId="166" fontId="19" fillId="0" borderId="0" xfId="0" applyNumberFormat="1" applyFont="1" applyFill="1" applyAlignment="1" applyProtection="1">
      <alignment vertical="center" wrapText="1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26" xfId="0" applyFont="1" applyFill="1" applyBorder="1" applyAlignment="1" applyProtection="1">
      <alignment horizontal="center" vertical="center" wrapText="1"/>
    </xf>
    <xf numFmtId="0" fontId="8" fillId="0" borderId="37" xfId="0" applyFont="1" applyFill="1" applyBorder="1" applyAlignment="1" applyProtection="1">
      <alignment horizontal="center" vertical="center" wrapText="1"/>
    </xf>
    <xf numFmtId="0" fontId="8" fillId="0" borderId="38" xfId="0" applyFont="1" applyFill="1" applyBorder="1" applyAlignment="1" applyProtection="1">
      <alignment horizontal="center" vertical="center" wrapText="1"/>
    </xf>
    <xf numFmtId="166" fontId="8" fillId="0" borderId="39" xfId="0" applyNumberFormat="1" applyFont="1" applyFill="1" applyBorder="1" applyAlignment="1" applyProtection="1">
      <alignment horizontal="center" vertical="center" wrapText="1"/>
    </xf>
    <xf numFmtId="0" fontId="28" fillId="0" borderId="14" xfId="0" applyFont="1" applyFill="1" applyBorder="1" applyAlignment="1" applyProtection="1">
      <alignment horizontal="left" vertical="center" wrapText="1" indent="1"/>
    </xf>
    <xf numFmtId="0" fontId="27" fillId="0" borderId="13" xfId="0" applyFont="1" applyBorder="1" applyAlignment="1" applyProtection="1">
      <alignment horizontal="center" vertical="center" wrapText="1"/>
    </xf>
    <xf numFmtId="0" fontId="38" fillId="0" borderId="40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1" xfId="0" applyFont="1" applyFill="1" applyBorder="1" applyAlignment="1" applyProtection="1">
      <alignment horizontal="center" vertical="center" wrapText="1"/>
    </xf>
    <xf numFmtId="0" fontId="8" fillId="0" borderId="42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0" xfId="0" applyFont="1" applyFill="1" applyBorder="1" applyAlignment="1" applyProtection="1">
      <alignment vertical="center" wrapText="1"/>
    </xf>
    <xf numFmtId="16" fontId="0" fillId="0" borderId="0" xfId="0" applyNumberFormat="1" applyFill="1" applyAlignment="1">
      <alignment vertical="center" wrapText="1"/>
    </xf>
    <xf numFmtId="0" fontId="29" fillId="0" borderId="9" xfId="0" applyFont="1" applyFill="1" applyBorder="1" applyAlignment="1" applyProtection="1">
      <alignment horizontal="center" vertical="center"/>
    </xf>
    <xf numFmtId="166" fontId="28" fillId="0" borderId="22" xfId="0" applyNumberFormat="1" applyFont="1" applyFill="1" applyBorder="1" applyAlignment="1" applyProtection="1">
      <alignment vertical="center"/>
    </xf>
    <xf numFmtId="0" fontId="29" fillId="0" borderId="8" xfId="0" applyFont="1" applyFill="1" applyBorder="1" applyAlignment="1" applyProtection="1">
      <alignment horizontal="center" vertical="center"/>
    </xf>
    <xf numFmtId="166" fontId="28" fillId="0" borderId="23" xfId="0" applyNumberFormat="1" applyFont="1" applyFill="1" applyBorder="1" applyAlignment="1" applyProtection="1">
      <alignment vertical="center"/>
    </xf>
    <xf numFmtId="0" fontId="29" fillId="0" borderId="10" xfId="0" applyFont="1" applyFill="1" applyBorder="1" applyAlignment="1" applyProtection="1">
      <alignment horizontal="center" vertical="center"/>
    </xf>
    <xf numFmtId="0" fontId="29" fillId="0" borderId="6" xfId="0" applyFont="1" applyFill="1" applyBorder="1" applyAlignment="1" applyProtection="1">
      <alignment vertical="center" wrapText="1"/>
    </xf>
    <xf numFmtId="166" fontId="28" fillId="0" borderId="35" xfId="0" applyNumberFormat="1" applyFont="1" applyFill="1" applyBorder="1" applyAlignment="1" applyProtection="1">
      <alignment vertical="center"/>
    </xf>
    <xf numFmtId="0" fontId="28" fillId="0" borderId="13" xfId="0" applyFont="1" applyFill="1" applyBorder="1" applyAlignment="1" applyProtection="1">
      <alignment horizontal="center" vertical="center"/>
    </xf>
    <xf numFmtId="0" fontId="30" fillId="0" borderId="14" xfId="0" applyFont="1" applyFill="1" applyBorder="1" applyAlignment="1" applyProtection="1">
      <alignment vertical="center" wrapText="1"/>
    </xf>
    <xf numFmtId="166" fontId="28" fillId="0" borderId="14" xfId="0" applyNumberFormat="1" applyFont="1" applyFill="1" applyBorder="1" applyAlignment="1" applyProtection="1">
      <alignment vertical="center"/>
    </xf>
    <xf numFmtId="166" fontId="28" fillId="0" borderId="17" xfId="0" applyNumberFormat="1" applyFont="1" applyFill="1" applyBorder="1" applyAlignment="1" applyProtection="1">
      <alignment vertical="center"/>
    </xf>
    <xf numFmtId="0" fontId="0" fillId="0" borderId="43" xfId="0" applyFill="1" applyBorder="1" applyProtection="1"/>
    <xf numFmtId="0" fontId="6" fillId="0" borderId="43" xfId="0" applyFont="1" applyFill="1" applyBorder="1" applyAlignment="1" applyProtection="1">
      <alignment horizontal="center"/>
    </xf>
    <xf numFmtId="0" fontId="41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166" fontId="20" fillId="0" borderId="33" xfId="7" applyNumberFormat="1" applyFont="1" applyFill="1" applyBorder="1" applyAlignment="1" applyProtection="1">
      <alignment horizontal="right" vertical="center" wrapText="1" indent="1"/>
    </xf>
    <xf numFmtId="166" fontId="22" fillId="0" borderId="44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5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9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4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9" xfId="7" applyNumberFormat="1" applyFont="1" applyFill="1" applyBorder="1" applyAlignment="1" applyProtection="1">
      <alignment horizontal="right" vertical="center" wrapText="1" indent="1"/>
      <protection locked="0"/>
    </xf>
    <xf numFmtId="166" fontId="8" fillId="0" borderId="46" xfId="0" applyNumberFormat="1" applyFont="1" applyFill="1" applyBorder="1" applyAlignment="1" applyProtection="1">
      <alignment horizontal="center" vertical="center"/>
    </xf>
    <xf numFmtId="166" fontId="8" fillId="0" borderId="25" xfId="0" applyNumberFormat="1" applyFont="1" applyFill="1" applyBorder="1" applyAlignment="1" applyProtection="1">
      <alignment horizontal="center" vertical="center" wrapText="1"/>
    </xf>
    <xf numFmtId="166" fontId="20" fillId="0" borderId="41" xfId="0" applyNumberFormat="1" applyFont="1" applyFill="1" applyBorder="1" applyAlignment="1" applyProtection="1">
      <alignment horizontal="center" vertical="center" wrapText="1"/>
    </xf>
    <xf numFmtId="166" fontId="20" fillId="0" borderId="18" xfId="0" applyNumberFormat="1" applyFont="1" applyFill="1" applyBorder="1" applyAlignment="1" applyProtection="1">
      <alignment horizontal="center" vertical="center" wrapText="1"/>
    </xf>
    <xf numFmtId="166" fontId="20" fillId="0" borderId="47" xfId="0" applyNumberFormat="1" applyFont="1" applyFill="1" applyBorder="1" applyAlignment="1" applyProtection="1">
      <alignment horizontal="center" vertical="center" wrapText="1"/>
    </xf>
    <xf numFmtId="166" fontId="20" fillId="0" borderId="17" xfId="0" applyNumberFormat="1" applyFont="1" applyFill="1" applyBorder="1" applyAlignment="1" applyProtection="1">
      <alignment horizontal="center" vertical="center" wrapText="1"/>
    </xf>
    <xf numFmtId="166" fontId="20" fillId="0" borderId="48" xfId="0" applyNumberFormat="1" applyFont="1" applyFill="1" applyBorder="1" applyAlignment="1" applyProtection="1">
      <alignment horizontal="center" vertical="center" wrapText="1"/>
    </xf>
    <xf numFmtId="166" fontId="20" fillId="0" borderId="13" xfId="0" applyNumberFormat="1" applyFont="1" applyFill="1" applyBorder="1" applyAlignment="1" applyProtection="1">
      <alignment horizontal="center" vertical="center" wrapText="1"/>
    </xf>
    <xf numFmtId="166" fontId="20" fillId="0" borderId="18" xfId="0" applyNumberFormat="1" applyFont="1" applyFill="1" applyBorder="1" applyAlignment="1" applyProtection="1">
      <alignment horizontal="left" vertical="center" wrapText="1" indent="1"/>
    </xf>
    <xf numFmtId="166" fontId="20" fillId="0" borderId="8" xfId="0" applyNumberFormat="1" applyFont="1" applyFill="1" applyBorder="1" applyAlignment="1" applyProtection="1">
      <alignment horizontal="center" vertical="center" wrapText="1"/>
    </xf>
    <xf numFmtId="166" fontId="22" fillId="0" borderId="19" xfId="0" applyNumberFormat="1" applyFont="1" applyFill="1" applyBorder="1" applyAlignment="1" applyProtection="1">
      <alignment vertical="center" wrapText="1"/>
    </xf>
    <xf numFmtId="166" fontId="20" fillId="0" borderId="10" xfId="0" applyNumberFormat="1" applyFont="1" applyFill="1" applyBorder="1" applyAlignment="1" applyProtection="1">
      <alignment horizontal="center" vertical="center" wrapText="1"/>
    </xf>
    <xf numFmtId="166" fontId="22" fillId="0" borderId="20" xfId="0" applyNumberFormat="1" applyFont="1" applyFill="1" applyBorder="1" applyAlignment="1" applyProtection="1">
      <alignment vertical="center" wrapText="1"/>
    </xf>
    <xf numFmtId="166" fontId="28" fillId="0" borderId="18" xfId="0" applyNumberFormat="1" applyFont="1" applyFill="1" applyBorder="1" applyAlignment="1" applyProtection="1">
      <alignment horizontal="left" vertical="center" wrapText="1" indent="1"/>
    </xf>
    <xf numFmtId="166" fontId="20" fillId="0" borderId="7" xfId="0" applyNumberFormat="1" applyFont="1" applyFill="1" applyBorder="1" applyAlignment="1" applyProtection="1">
      <alignment horizontal="center" vertical="center" wrapText="1"/>
    </xf>
    <xf numFmtId="166" fontId="22" fillId="0" borderId="48" xfId="0" applyNumberFormat="1" applyFont="1" applyFill="1" applyBorder="1" applyAlignment="1" applyProtection="1">
      <alignment vertical="center" wrapText="1"/>
    </xf>
    <xf numFmtId="0" fontId="22" fillId="0" borderId="2" xfId="8" applyFont="1" applyFill="1" applyBorder="1" applyAlignment="1" applyProtection="1">
      <alignment horizontal="left" vertical="center" indent="1"/>
    </xf>
    <xf numFmtId="0" fontId="22" fillId="0" borderId="3" xfId="8" applyFont="1" applyFill="1" applyBorder="1" applyAlignment="1" applyProtection="1">
      <alignment horizontal="left" vertical="center" wrapText="1" indent="1"/>
    </xf>
    <xf numFmtId="0" fontId="22" fillId="0" borderId="2" xfId="8" applyFont="1" applyFill="1" applyBorder="1" applyAlignment="1" applyProtection="1">
      <alignment horizontal="left" vertical="center" wrapText="1" indent="1"/>
    </xf>
    <xf numFmtId="0" fontId="22" fillId="0" borderId="3" xfId="8" applyFont="1" applyFill="1" applyBorder="1" applyAlignment="1" applyProtection="1">
      <alignment horizontal="left" vertical="center" indent="1"/>
    </xf>
    <xf numFmtId="0" fontId="8" fillId="0" borderId="14" xfId="8" applyFont="1" applyFill="1" applyBorder="1" applyAlignment="1" applyProtection="1">
      <alignment horizontal="left" indent="1"/>
    </xf>
    <xf numFmtId="166" fontId="29" fillId="0" borderId="45" xfId="7" applyNumberFormat="1" applyFont="1" applyFill="1" applyBorder="1" applyAlignment="1" applyProtection="1">
      <alignment horizontal="right" vertical="center" wrapText="1" indent="1"/>
      <protection locked="0"/>
    </xf>
    <xf numFmtId="0" fontId="25" fillId="0" borderId="15" xfId="0" applyFont="1" applyFill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left" vertical="center" wrapText="1" indent="1"/>
    </xf>
    <xf numFmtId="0" fontId="26" fillId="0" borderId="2" xfId="0" applyFont="1" applyBorder="1" applyAlignment="1" applyProtection="1">
      <alignment horizontal="left" vertical="center" wrapText="1" indent="1"/>
    </xf>
    <xf numFmtId="0" fontId="26" fillId="0" borderId="6" xfId="0" applyFont="1" applyBorder="1" applyAlignment="1" applyProtection="1">
      <alignment horizontal="left" vertical="center" wrapText="1" indent="1"/>
    </xf>
    <xf numFmtId="0" fontId="27" fillId="0" borderId="49" xfId="0" applyFont="1" applyBorder="1" applyAlignment="1" applyProtection="1">
      <alignment horizontal="left" vertical="center" wrapText="1" indent="1"/>
    </xf>
    <xf numFmtId="166" fontId="20" fillId="0" borderId="26" xfId="7" applyNumberFormat="1" applyFont="1" applyFill="1" applyBorder="1" applyAlignment="1" applyProtection="1">
      <alignment horizontal="right" vertical="center" wrapText="1" indent="1"/>
    </xf>
    <xf numFmtId="166" fontId="20" fillId="0" borderId="17" xfId="7" applyNumberFormat="1" applyFont="1" applyFill="1" applyBorder="1" applyAlignment="1" applyProtection="1">
      <alignment horizontal="right" vertical="center" wrapText="1" indent="1"/>
    </xf>
    <xf numFmtId="166" fontId="22" fillId="0" borderId="34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3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2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3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7" applyNumberFormat="1" applyFont="1" applyFill="1" applyBorder="1" applyAlignment="1" applyProtection="1">
      <alignment horizontal="right" vertical="center" wrapText="1" indent="1"/>
    </xf>
    <xf numFmtId="166" fontId="7" fillId="0" borderId="0" xfId="7" applyNumberFormat="1" applyFont="1" applyFill="1" applyBorder="1" applyAlignment="1" applyProtection="1">
      <alignment horizontal="right" vertical="center" wrapText="1" indent="1"/>
    </xf>
    <xf numFmtId="166" fontId="22" fillId="0" borderId="25" xfId="7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applyNumberFormat="1" applyFont="1" applyBorder="1" applyAlignment="1" applyProtection="1">
      <alignment horizontal="right" vertical="center" wrapText="1" indent="1"/>
    </xf>
    <xf numFmtId="0" fontId="6" fillId="0" borderId="31" xfId="0" applyFont="1" applyFill="1" applyBorder="1" applyAlignment="1" applyProtection="1">
      <alignment horizontal="right" vertical="center"/>
    </xf>
    <xf numFmtId="166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50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0" applyNumberFormat="1" applyFont="1" applyFill="1" applyBorder="1" applyAlignment="1" applyProtection="1">
      <alignment horizontal="right" vertical="center" wrapText="1" indent="1"/>
    </xf>
    <xf numFmtId="166" fontId="29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2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0" applyNumberFormat="1" applyFont="1" applyFill="1" applyBorder="1" applyAlignment="1" applyProtection="1">
      <alignment horizontal="right" vertical="center" wrapText="1" indent="1"/>
    </xf>
    <xf numFmtId="166" fontId="29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6" fontId="7" fillId="0" borderId="0" xfId="0" applyNumberFormat="1" applyFont="1" applyFill="1" applyAlignment="1" applyProtection="1">
      <alignment horizontal="centerContinuous" vertical="center" wrapText="1"/>
    </xf>
    <xf numFmtId="166" fontId="0" fillId="0" borderId="0" xfId="0" applyNumberFormat="1" applyFill="1" applyAlignment="1" applyProtection="1">
      <alignment horizontal="centerContinuous" vertical="center"/>
    </xf>
    <xf numFmtId="166" fontId="8" fillId="0" borderId="13" xfId="0" applyNumberFormat="1" applyFont="1" applyFill="1" applyBorder="1" applyAlignment="1" applyProtection="1">
      <alignment horizontal="centerContinuous" vertical="center" wrapText="1"/>
    </xf>
    <xf numFmtId="166" fontId="8" fillId="0" borderId="14" xfId="0" applyNumberFormat="1" applyFont="1" applyFill="1" applyBorder="1" applyAlignment="1" applyProtection="1">
      <alignment horizontal="centerContinuous" vertical="center" wrapText="1"/>
    </xf>
    <xf numFmtId="166" fontId="8" fillId="0" borderId="17" xfId="0" applyNumberFormat="1" applyFont="1" applyFill="1" applyBorder="1" applyAlignment="1" applyProtection="1">
      <alignment horizontal="centerContinuous" vertical="center" wrapText="1"/>
    </xf>
    <xf numFmtId="166" fontId="4" fillId="0" borderId="0" xfId="0" applyNumberFormat="1" applyFont="1" applyFill="1" applyAlignment="1" applyProtection="1">
      <alignment horizontal="center" vertical="center" wrapText="1"/>
    </xf>
    <xf numFmtId="166" fontId="28" fillId="0" borderId="18" xfId="0" applyNumberFormat="1" applyFont="1" applyFill="1" applyBorder="1" applyAlignment="1" applyProtection="1">
      <alignment horizontal="center" vertical="center" wrapText="1"/>
    </xf>
    <xf numFmtId="166" fontId="28" fillId="0" borderId="13" xfId="0" applyNumberFormat="1" applyFont="1" applyFill="1" applyBorder="1" applyAlignment="1" applyProtection="1">
      <alignment horizontal="center" vertical="center" wrapText="1"/>
    </xf>
    <xf numFmtId="166" fontId="28" fillId="0" borderId="14" xfId="0" applyNumberFormat="1" applyFont="1" applyFill="1" applyBorder="1" applyAlignment="1" applyProtection="1">
      <alignment horizontal="center" vertical="center" wrapText="1"/>
    </xf>
    <xf numFmtId="166" fontId="28" fillId="0" borderId="17" xfId="0" applyNumberFormat="1" applyFont="1" applyFill="1" applyBorder="1" applyAlignment="1" applyProtection="1">
      <alignment horizontal="center" vertical="center" wrapText="1"/>
    </xf>
    <xf numFmtId="166" fontId="28" fillId="0" borderId="0" xfId="0" applyNumberFormat="1" applyFont="1" applyFill="1" applyAlignment="1" applyProtection="1">
      <alignment horizontal="center" vertical="center" wrapText="1"/>
    </xf>
    <xf numFmtId="166" fontId="0" fillId="0" borderId="21" xfId="0" applyNumberForma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1"/>
    </xf>
    <xf numFmtId="166" fontId="0" fillId="0" borderId="19" xfId="0" applyNumberFormat="1" applyFill="1" applyBorder="1" applyAlignment="1" applyProtection="1">
      <alignment horizontal="left" vertical="center" wrapText="1" indent="1"/>
    </xf>
    <xf numFmtId="166" fontId="22" fillId="0" borderId="8" xfId="0" applyNumberFormat="1" applyFont="1" applyFill="1" applyBorder="1" applyAlignment="1" applyProtection="1">
      <alignment horizontal="left" vertical="center" wrapText="1" indent="1"/>
    </xf>
    <xf numFmtId="166" fontId="22" fillId="0" borderId="51" xfId="0" applyNumberFormat="1" applyFont="1" applyFill="1" applyBorder="1" applyAlignment="1" applyProtection="1">
      <alignment horizontal="left" vertical="center" wrapText="1" indent="1"/>
    </xf>
    <xf numFmtId="166" fontId="31" fillId="0" borderId="18" xfId="0" applyNumberFormat="1" applyFont="1" applyFill="1" applyBorder="1" applyAlignment="1" applyProtection="1">
      <alignment horizontal="left" vertical="center" wrapText="1" indent="1"/>
    </xf>
    <xf numFmtId="166" fontId="1" fillId="0" borderId="48" xfId="0" applyNumberFormat="1" applyFont="1" applyFill="1" applyBorder="1" applyAlignment="1" applyProtection="1">
      <alignment horizontal="left" vertical="center" wrapText="1" indent="1"/>
    </xf>
    <xf numFmtId="166" fontId="29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1"/>
    </xf>
    <xf numFmtId="166" fontId="1" fillId="0" borderId="19" xfId="0" applyNumberFormat="1" applyFont="1" applyFill="1" applyBorder="1" applyAlignment="1" applyProtection="1">
      <alignment horizontal="left" vertical="center" wrapText="1" indent="1"/>
    </xf>
    <xf numFmtId="166" fontId="32" fillId="0" borderId="2" xfId="0" applyNumberFormat="1" applyFont="1" applyFill="1" applyBorder="1" applyAlignment="1" applyProtection="1">
      <alignment horizontal="right" vertical="center" wrapText="1" indent="1"/>
    </xf>
    <xf numFmtId="166" fontId="31" fillId="0" borderId="13" xfId="0" applyNumberFormat="1" applyFont="1" applyFill="1" applyBorder="1" applyAlignment="1" applyProtection="1">
      <alignment horizontal="left" vertical="center" wrapText="1" indent="1"/>
    </xf>
    <xf numFmtId="166" fontId="31" fillId="0" borderId="33" xfId="0" applyNumberFormat="1" applyFont="1" applyFill="1" applyBorder="1" applyAlignment="1" applyProtection="1">
      <alignment horizontal="right" vertical="center" wrapText="1" indent="1"/>
    </xf>
    <xf numFmtId="166" fontId="28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6" fontId="32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2"/>
    </xf>
    <xf numFmtId="166" fontId="29" fillId="0" borderId="2" xfId="0" applyNumberFormat="1" applyFont="1" applyFill="1" applyBorder="1" applyAlignment="1" applyProtection="1">
      <alignment horizontal="left" vertical="center" wrapText="1" indent="2"/>
    </xf>
    <xf numFmtId="166" fontId="32" fillId="0" borderId="2" xfId="0" applyNumberFormat="1" applyFont="1" applyFill="1" applyBorder="1" applyAlignment="1" applyProtection="1">
      <alignment horizontal="left" vertical="center" wrapText="1" indent="1"/>
    </xf>
    <xf numFmtId="166" fontId="29" fillId="0" borderId="9" xfId="0" applyNumberFormat="1" applyFon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2"/>
    </xf>
    <xf numFmtId="166" fontId="22" fillId="0" borderId="10" xfId="0" applyNumberFormat="1" applyFont="1" applyFill="1" applyBorder="1" applyAlignment="1" applyProtection="1">
      <alignment horizontal="left" vertical="center" wrapText="1" indent="2"/>
    </xf>
    <xf numFmtId="166" fontId="32" fillId="0" borderId="3" xfId="0" applyNumberFormat="1" applyFont="1" applyFill="1" applyBorder="1" applyAlignment="1" applyProtection="1">
      <alignment horizontal="right" vertical="center" wrapText="1" indent="1"/>
    </xf>
    <xf numFmtId="168" fontId="29" fillId="0" borderId="52" xfId="1" applyNumberFormat="1" applyFont="1" applyFill="1" applyBorder="1" applyProtection="1">
      <protection locked="0"/>
    </xf>
    <xf numFmtId="168" fontId="29" fillId="0" borderId="44" xfId="1" applyNumberFormat="1" applyFont="1" applyFill="1" applyBorder="1" applyProtection="1">
      <protection locked="0"/>
    </xf>
    <xf numFmtId="168" fontId="29" fillId="0" borderId="39" xfId="1" applyNumberFormat="1" applyFont="1" applyFill="1" applyBorder="1" applyProtection="1">
      <protection locked="0"/>
    </xf>
    <xf numFmtId="0" fontId="29" fillId="0" borderId="3" xfId="7" applyFont="1" applyFill="1" applyBorder="1" applyProtection="1"/>
    <xf numFmtId="166" fontId="8" fillId="0" borderId="39" xfId="0" applyNumberFormat="1" applyFont="1" applyFill="1" applyBorder="1" applyAlignment="1" applyProtection="1">
      <alignment horizontal="right" vertical="center" wrapText="1" indent="1"/>
    </xf>
    <xf numFmtId="166" fontId="22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3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3" xfId="0" applyNumberFormat="1" applyFont="1" applyFill="1" applyBorder="1" applyAlignment="1" applyProtection="1">
      <alignment horizontal="right" vertical="center" wrapText="1" indent="1"/>
    </xf>
    <xf numFmtId="166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6" fontId="20" fillId="0" borderId="33" xfId="0" applyNumberFormat="1" applyFont="1" applyFill="1" applyBorder="1" applyAlignment="1" applyProtection="1">
      <alignment horizontal="right" vertical="center" wrapText="1" indent="1"/>
    </xf>
    <xf numFmtId="166" fontId="20" fillId="0" borderId="17" xfId="0" applyNumberFormat="1" applyFont="1" applyFill="1" applyBorder="1" applyAlignment="1" applyProtection="1">
      <alignment horizontal="right" vertical="center" wrapText="1" indent="1"/>
    </xf>
    <xf numFmtId="49" fontId="8" fillId="0" borderId="34" xfId="0" applyNumberFormat="1" applyFont="1" applyFill="1" applyBorder="1" applyAlignment="1" applyProtection="1">
      <alignment horizontal="right" vertical="center"/>
    </xf>
    <xf numFmtId="49" fontId="8" fillId="0" borderId="53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4" xfId="7" applyFont="1" applyFill="1" applyBorder="1" applyAlignment="1" applyProtection="1">
      <alignment horizontal="center" vertical="center" wrapText="1"/>
    </xf>
    <xf numFmtId="0" fontId="7" fillId="0" borderId="54" xfId="7" applyFont="1" applyFill="1" applyBorder="1" applyAlignment="1" applyProtection="1">
      <alignment vertical="center" wrapText="1"/>
    </xf>
    <xf numFmtId="166" fontId="7" fillId="0" borderId="54" xfId="7" applyNumberFormat="1" applyFont="1" applyFill="1" applyBorder="1" applyAlignment="1" applyProtection="1">
      <alignment horizontal="right" vertical="center" wrapText="1" indent="1"/>
    </xf>
    <xf numFmtId="0" fontId="22" fillId="0" borderId="54" xfId="7" applyFont="1" applyFill="1" applyBorder="1" applyAlignment="1" applyProtection="1">
      <alignment horizontal="right" vertical="center" wrapText="1" indent="1"/>
      <protection locked="0"/>
    </xf>
    <xf numFmtId="166" fontId="29" fillId="0" borderId="54" xfId="7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31" fillId="0" borderId="15" xfId="0" applyFont="1" applyBorder="1" applyAlignment="1" applyProtection="1">
      <alignment horizontal="center" vertical="center" wrapText="1"/>
    </xf>
    <xf numFmtId="0" fontId="31" fillId="0" borderId="16" xfId="0" applyFont="1" applyBorder="1" applyAlignment="1" applyProtection="1">
      <alignment horizontal="center" vertical="center"/>
    </xf>
    <xf numFmtId="0" fontId="31" fillId="0" borderId="26" xfId="0" applyFont="1" applyBorder="1" applyAlignment="1" applyProtection="1">
      <alignment horizontal="center" vertical="center" wrapText="1"/>
    </xf>
    <xf numFmtId="0" fontId="25" fillId="0" borderId="32" xfId="0" applyFont="1" applyBorder="1" applyAlignment="1" applyProtection="1">
      <alignment horizontal="left" vertical="center" wrapText="1" indent="1"/>
    </xf>
    <xf numFmtId="0" fontId="12" fillId="0" borderId="0" xfId="7" applyFont="1" applyFill="1" applyProtection="1"/>
    <xf numFmtId="0" fontId="12" fillId="0" borderId="0" xfId="7" applyFont="1" applyFill="1" applyAlignment="1" applyProtection="1">
      <alignment horizontal="right" vertical="center" indent="1"/>
    </xf>
    <xf numFmtId="0" fontId="12" fillId="0" borderId="0" xfId="7" applyFont="1" applyFill="1"/>
    <xf numFmtId="0" fontId="12" fillId="0" borderId="0" xfId="7" applyFont="1" applyFill="1" applyAlignment="1">
      <alignment horizontal="right" vertical="center" indent="1"/>
    </xf>
    <xf numFmtId="0" fontId="39" fillId="0" borderId="2" xfId="0" applyFont="1" applyBorder="1" applyAlignment="1">
      <alignment horizontal="justify" wrapText="1"/>
    </xf>
    <xf numFmtId="0" fontId="39" fillId="0" borderId="2" xfId="0" applyFont="1" applyBorder="1" applyAlignment="1">
      <alignment wrapText="1"/>
    </xf>
    <xf numFmtId="0" fontId="39" fillId="0" borderId="24" xfId="0" applyFont="1" applyBorder="1" applyAlignment="1">
      <alignment wrapText="1"/>
    </xf>
    <xf numFmtId="0" fontId="44" fillId="0" borderId="0" xfId="0" applyFont="1" applyFill="1" applyAlignment="1" applyProtection="1">
      <alignment horizontal="left" vertical="center" wrapText="1"/>
    </xf>
    <xf numFmtId="0" fontId="44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6" fontId="0" fillId="0" borderId="48" xfId="0" applyNumberFormat="1" applyFill="1" applyBorder="1" applyAlignment="1" applyProtection="1">
      <alignment horizontal="left" vertical="center" wrapText="1" indent="1"/>
    </xf>
    <xf numFmtId="166" fontId="22" fillId="0" borderId="7" xfId="0" applyNumberFormat="1" applyFont="1" applyFill="1" applyBorder="1" applyAlignment="1" applyProtection="1">
      <alignment horizontal="left" vertical="center" wrapText="1" indent="1"/>
    </xf>
    <xf numFmtId="166" fontId="22" fillId="0" borderId="55" xfId="0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6" xfId="7" applyNumberFormat="1" applyFont="1" applyFill="1" applyBorder="1" applyAlignment="1" applyProtection="1">
      <alignment horizontal="right" vertical="center" wrapText="1" indent="1"/>
    </xf>
    <xf numFmtId="166" fontId="20" fillId="0" borderId="14" xfId="7" applyNumberFormat="1" applyFont="1" applyFill="1" applyBorder="1" applyAlignment="1" applyProtection="1">
      <alignment horizontal="right" vertical="center" wrapText="1" indent="1"/>
    </xf>
    <xf numFmtId="166" fontId="22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7" applyNumberFormat="1" applyFont="1" applyFill="1" applyBorder="1" applyAlignment="1" applyProtection="1">
      <alignment horizontal="right" vertical="center" wrapText="1" indent="1"/>
    </xf>
    <xf numFmtId="0" fontId="8" fillId="0" borderId="40" xfId="7" applyFont="1" applyFill="1" applyBorder="1" applyAlignment="1" applyProtection="1">
      <alignment horizontal="center" vertical="center" wrapText="1"/>
    </xf>
    <xf numFmtId="166" fontId="26" fillId="0" borderId="56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57" xfId="0" applyFont="1" applyFill="1" applyBorder="1" applyAlignment="1" applyProtection="1">
      <alignment horizontal="center" vertical="center" wrapText="1"/>
    </xf>
    <xf numFmtId="0" fontId="8" fillId="0" borderId="41" xfId="0" applyFont="1" applyFill="1" applyBorder="1" applyAlignment="1" applyProtection="1">
      <alignment horizontal="center" vertical="center" wrapText="1"/>
    </xf>
    <xf numFmtId="0" fontId="20" fillId="0" borderId="15" xfId="7" applyFont="1" applyFill="1" applyBorder="1" applyAlignment="1" applyProtection="1">
      <alignment horizontal="center" vertical="center" wrapText="1"/>
    </xf>
    <xf numFmtId="0" fontId="20" fillId="0" borderId="16" xfId="7" applyFont="1" applyFill="1" applyBorder="1" applyAlignment="1" applyProtection="1">
      <alignment horizontal="center" vertical="center" wrapText="1"/>
    </xf>
    <xf numFmtId="0" fontId="22" fillId="0" borderId="3" xfId="7" applyFont="1" applyFill="1" applyBorder="1" applyAlignment="1" applyProtection="1">
      <alignment horizontal="left" vertical="center" wrapText="1" indent="6"/>
    </xf>
    <xf numFmtId="0" fontId="12" fillId="0" borderId="0" xfId="7" applyFill="1" applyProtection="1"/>
    <xf numFmtId="0" fontId="22" fillId="0" borderId="0" xfId="7" applyFont="1" applyFill="1" applyProtection="1"/>
    <xf numFmtId="0" fontId="15" fillId="0" borderId="0" xfId="7" applyFont="1" applyFill="1" applyProtection="1"/>
    <xf numFmtId="0" fontId="26" fillId="0" borderId="3" xfId="0" applyFont="1" applyBorder="1" applyAlignment="1" applyProtection="1">
      <alignment horizontal="left" wrapText="1" indent="1"/>
    </xf>
    <xf numFmtId="0" fontId="26" fillId="0" borderId="2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wrapText="1"/>
    </xf>
    <xf numFmtId="0" fontId="26" fillId="0" borderId="9" xfId="0" applyFont="1" applyBorder="1" applyAlignment="1" applyProtection="1">
      <alignment wrapText="1"/>
    </xf>
    <xf numFmtId="0" fontId="26" fillId="0" borderId="8" xfId="0" applyFont="1" applyBorder="1" applyAlignment="1" applyProtection="1">
      <alignment wrapText="1"/>
    </xf>
    <xf numFmtId="0" fontId="26" fillId="0" borderId="10" xfId="0" applyFont="1" applyBorder="1" applyAlignment="1" applyProtection="1">
      <alignment wrapText="1"/>
    </xf>
    <xf numFmtId="0" fontId="27" fillId="0" borderId="14" xfId="0" applyFont="1" applyBorder="1" applyAlignment="1" applyProtection="1">
      <alignment wrapText="1"/>
    </xf>
    <xf numFmtId="0" fontId="27" fillId="0" borderId="32" xfId="0" applyFont="1" applyBorder="1" applyAlignment="1" applyProtection="1">
      <alignment wrapText="1"/>
    </xf>
    <xf numFmtId="0" fontId="12" fillId="0" borderId="0" xfId="7" applyFill="1" applyAlignment="1" applyProtection="1"/>
    <xf numFmtId="166" fontId="25" fillId="0" borderId="17" xfId="0" quotePrefix="1" applyNumberFormat="1" applyFont="1" applyBorder="1" applyAlignment="1" applyProtection="1">
      <alignment horizontal="right" vertical="center" wrapText="1" indent="1"/>
    </xf>
    <xf numFmtId="0" fontId="24" fillId="0" borderId="0" xfId="7" applyFont="1" applyFill="1" applyProtection="1"/>
    <xf numFmtId="0" fontId="23" fillId="0" borderId="0" xfId="7" applyFont="1" applyFill="1" applyProtection="1"/>
    <xf numFmtId="0" fontId="12" fillId="0" borderId="0" xfId="7" applyFill="1" applyBorder="1" applyProtection="1"/>
    <xf numFmtId="166" fontId="29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6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6" fontId="29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49" fontId="22" fillId="0" borderId="9" xfId="7" applyNumberFormat="1" applyFont="1" applyFill="1" applyBorder="1" applyAlignment="1" applyProtection="1">
      <alignment horizontal="center" vertical="center" wrapText="1"/>
    </xf>
    <xf numFmtId="49" fontId="22" fillId="0" borderId="8" xfId="7" applyNumberFormat="1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wrapText="1"/>
    </xf>
    <xf numFmtId="0" fontId="26" fillId="0" borderId="9" xfId="0" applyFont="1" applyBorder="1" applyAlignment="1" applyProtection="1">
      <alignment horizontal="center" wrapText="1"/>
    </xf>
    <xf numFmtId="0" fontId="26" fillId="0" borderId="8" xfId="0" applyFont="1" applyBorder="1" applyAlignment="1" applyProtection="1">
      <alignment horizontal="center" wrapText="1"/>
    </xf>
    <xf numFmtId="0" fontId="26" fillId="0" borderId="10" xfId="0" applyFont="1" applyBorder="1" applyAlignment="1" applyProtection="1">
      <alignment horizontal="center" wrapText="1"/>
    </xf>
    <xf numFmtId="0" fontId="27" fillId="0" borderId="49" xfId="0" applyFont="1" applyBorder="1" applyAlignment="1" applyProtection="1">
      <alignment horizontal="center" wrapText="1"/>
    </xf>
    <xf numFmtId="49" fontId="22" fillId="0" borderId="11" xfId="7" applyNumberFormat="1" applyFont="1" applyFill="1" applyBorder="1" applyAlignment="1" applyProtection="1">
      <alignment horizontal="center" vertical="center" wrapText="1"/>
    </xf>
    <xf numFmtId="49" fontId="22" fillId="0" borderId="7" xfId="7" applyNumberFormat="1" applyFont="1" applyFill="1" applyBorder="1" applyAlignment="1" applyProtection="1">
      <alignment horizontal="center" vertical="center" wrapText="1"/>
    </xf>
    <xf numFmtId="49" fontId="22" fillId="0" borderId="12" xfId="7" applyNumberFormat="1" applyFont="1" applyFill="1" applyBorder="1" applyAlignment="1" applyProtection="1">
      <alignment horizontal="center" vertical="center" wrapText="1"/>
    </xf>
    <xf numFmtId="0" fontId="27" fillId="0" borderId="49" xfId="0" applyFont="1" applyBorder="1" applyAlignment="1" applyProtection="1">
      <alignment horizontal="center" vertical="center" wrapText="1"/>
    </xf>
    <xf numFmtId="166" fontId="28" fillId="0" borderId="33" xfId="7" applyNumberFormat="1" applyFont="1" applyFill="1" applyBorder="1" applyAlignment="1" applyProtection="1">
      <alignment horizontal="right" vertical="center" wrapText="1" indent="1"/>
    </xf>
    <xf numFmtId="0" fontId="20" fillId="0" borderId="33" xfId="7" applyFont="1" applyFill="1" applyBorder="1" applyAlignment="1" applyProtection="1">
      <alignment horizontal="center" vertical="center" wrapText="1"/>
    </xf>
    <xf numFmtId="0" fontId="8" fillId="0" borderId="58" xfId="0" applyFont="1" applyFill="1" applyBorder="1" applyAlignment="1" applyProtection="1">
      <alignment horizontal="center" vertical="center" wrapText="1"/>
    </xf>
    <xf numFmtId="49" fontId="29" fillId="0" borderId="11" xfId="0" applyNumberFormat="1" applyFont="1" applyFill="1" applyBorder="1" applyAlignment="1" applyProtection="1">
      <alignment horizontal="center" vertical="center" wrapText="1"/>
    </xf>
    <xf numFmtId="49" fontId="29" fillId="0" borderId="8" xfId="0" applyNumberFormat="1" applyFont="1" applyFill="1" applyBorder="1" applyAlignment="1" applyProtection="1">
      <alignment horizontal="center" vertical="center" wrapText="1"/>
    </xf>
    <xf numFmtId="49" fontId="29" fillId="0" borderId="9" xfId="0" applyNumberFormat="1" applyFont="1" applyFill="1" applyBorder="1" applyAlignment="1" applyProtection="1">
      <alignment horizontal="center" vertical="center" wrapText="1"/>
    </xf>
    <xf numFmtId="0" fontId="29" fillId="0" borderId="3" xfId="7" applyFont="1" applyFill="1" applyBorder="1" applyAlignment="1" applyProtection="1">
      <alignment horizontal="left" vertical="center" wrapText="1" indent="1"/>
    </xf>
    <xf numFmtId="0" fontId="29" fillId="0" borderId="2" xfId="7" applyFont="1" applyFill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6" fontId="29" fillId="0" borderId="22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13" xfId="0" applyFont="1" applyBorder="1" applyAlignment="1" applyProtection="1">
      <alignment vertical="center" wrapText="1"/>
    </xf>
    <xf numFmtId="0" fontId="27" fillId="0" borderId="49" xfId="0" applyFont="1" applyBorder="1" applyAlignment="1" applyProtection="1">
      <alignment vertical="center" wrapText="1"/>
    </xf>
    <xf numFmtId="166" fontId="20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33" xfId="7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3" xfId="7" applyFont="1" applyFill="1" applyBorder="1" applyAlignment="1">
      <alignment horizontal="center" vertical="center"/>
    </xf>
    <xf numFmtId="0" fontId="34" fillId="0" borderId="0" xfId="7" applyFont="1" applyFill="1"/>
    <xf numFmtId="0" fontId="28" fillId="0" borderId="13" xfId="7" applyFont="1" applyFill="1" applyBorder="1" applyAlignment="1" applyProtection="1">
      <alignment horizontal="center" vertical="center"/>
    </xf>
    <xf numFmtId="166" fontId="6" fillId="0" borderId="0" xfId="0" applyNumberFormat="1" applyFont="1" applyFill="1" applyAlignment="1" applyProtection="1">
      <alignment horizontal="right"/>
    </xf>
    <xf numFmtId="166" fontId="5" fillId="0" borderId="0" xfId="0" applyNumberFormat="1" applyFont="1" applyFill="1" applyAlignment="1" applyProtection="1">
      <alignment vertical="center"/>
    </xf>
    <xf numFmtId="166" fontId="5" fillId="0" borderId="0" xfId="0" applyNumberFormat="1" applyFont="1" applyFill="1" applyAlignment="1" applyProtection="1">
      <alignment horizontal="center" vertical="center"/>
    </xf>
    <xf numFmtId="166" fontId="5" fillId="0" borderId="0" xfId="0" applyNumberFormat="1" applyFont="1" applyFill="1" applyAlignment="1" applyProtection="1">
      <alignment horizontal="center" vertical="center" wrapText="1"/>
    </xf>
    <xf numFmtId="0" fontId="22" fillId="0" borderId="1" xfId="8" applyFont="1" applyFill="1" applyBorder="1" applyAlignment="1" applyProtection="1">
      <alignment horizontal="left" vertical="center" wrapText="1" indent="1"/>
    </xf>
    <xf numFmtId="174" fontId="31" fillId="0" borderId="6" xfId="7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 applyProtection="1">
      <alignment vertical="center" wrapText="1"/>
    </xf>
    <xf numFmtId="0" fontId="20" fillId="0" borderId="49" xfId="7" applyFont="1" applyFill="1" applyBorder="1" applyAlignment="1" applyProtection="1">
      <alignment horizontal="left" vertical="center" wrapText="1" indent="1"/>
    </xf>
    <xf numFmtId="0" fontId="20" fillId="0" borderId="32" xfId="7" applyFont="1" applyFill="1" applyBorder="1" applyAlignment="1" applyProtection="1">
      <alignment vertical="center" wrapText="1"/>
    </xf>
    <xf numFmtId="166" fontId="20" fillId="0" borderId="36" xfId="7" applyNumberFormat="1" applyFont="1" applyFill="1" applyBorder="1" applyAlignment="1" applyProtection="1">
      <alignment horizontal="right" vertical="center" wrapText="1" indent="1"/>
    </xf>
    <xf numFmtId="0" fontId="22" fillId="0" borderId="24" xfId="7" applyFont="1" applyFill="1" applyBorder="1" applyAlignment="1" applyProtection="1">
      <alignment horizontal="left" vertical="center" wrapText="1" indent="7"/>
    </xf>
    <xf numFmtId="166" fontId="27" fillId="0" borderId="17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7" applyFont="1" applyFill="1" applyBorder="1" applyAlignment="1" applyProtection="1">
      <alignment horizontal="left" vertical="center" wrapText="1"/>
    </xf>
    <xf numFmtId="166" fontId="32" fillId="0" borderId="1" xfId="0" applyNumberFormat="1" applyFont="1" applyFill="1" applyBorder="1" applyAlignment="1" applyProtection="1">
      <alignment horizontal="right" vertical="center" wrapText="1" indent="1"/>
    </xf>
    <xf numFmtId="49" fontId="28" fillId="0" borderId="13" xfId="7" applyNumberFormat="1" applyFont="1" applyFill="1" applyBorder="1" applyAlignment="1" applyProtection="1">
      <alignment horizontal="center" vertical="center" wrapText="1"/>
    </xf>
    <xf numFmtId="166" fontId="20" fillId="0" borderId="59" xfId="7" applyNumberFormat="1" applyFont="1" applyFill="1" applyBorder="1" applyAlignment="1" applyProtection="1">
      <alignment horizontal="right" vertical="center" wrapText="1" indent="1"/>
    </xf>
    <xf numFmtId="166" fontId="22" fillId="0" borderId="52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0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53" xfId="7" applyNumberFormat="1" applyFont="1" applyFill="1" applyBorder="1" applyAlignment="1" applyProtection="1">
      <alignment horizontal="right" vertical="center" wrapText="1" indent="1"/>
    </xf>
    <xf numFmtId="166" fontId="27" fillId="0" borderId="33" xfId="0" applyNumberFormat="1" applyFont="1" applyBorder="1" applyAlignment="1" applyProtection="1">
      <alignment horizontal="right" vertical="center" wrapText="1" indent="1"/>
    </xf>
    <xf numFmtId="166" fontId="27" fillId="0" borderId="33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33" xfId="0" quotePrefix="1" applyNumberFormat="1" applyFont="1" applyBorder="1" applyAlignment="1" applyProtection="1">
      <alignment horizontal="right" vertical="center" wrapText="1" indent="1"/>
    </xf>
    <xf numFmtId="166" fontId="22" fillId="0" borderId="4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4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32" xfId="7" applyNumberFormat="1" applyFont="1" applyFill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</xf>
    <xf numFmtId="0" fontId="20" fillId="0" borderId="59" xfId="7" applyFont="1" applyFill="1" applyBorder="1" applyAlignment="1" applyProtection="1">
      <alignment horizontal="center" vertical="center" wrapText="1"/>
    </xf>
    <xf numFmtId="0" fontId="28" fillId="0" borderId="32" xfId="7" applyFont="1" applyFill="1" applyBorder="1" applyAlignment="1" applyProtection="1">
      <alignment vertical="center" wrapText="1"/>
    </xf>
    <xf numFmtId="166" fontId="28" fillId="0" borderId="32" xfId="7" applyNumberFormat="1" applyFont="1" applyFill="1" applyBorder="1" applyAlignment="1" applyProtection="1">
      <alignment horizontal="right" vertical="center" wrapText="1" indent="1"/>
    </xf>
    <xf numFmtId="166" fontId="28" fillId="0" borderId="53" xfId="7" applyNumberFormat="1" applyFont="1" applyFill="1" applyBorder="1" applyAlignment="1" applyProtection="1">
      <alignment horizontal="right" vertical="center" wrapText="1" indent="1"/>
    </xf>
    <xf numFmtId="0" fontId="22" fillId="0" borderId="54" xfId="7" applyFont="1" applyFill="1" applyBorder="1" applyAlignment="1" applyProtection="1">
      <alignment horizontal="right" vertical="center" wrapText="1" indent="1"/>
    </xf>
    <xf numFmtId="166" fontId="29" fillId="0" borderId="54" xfId="7" applyNumberFormat="1" applyFont="1" applyFill="1" applyBorder="1" applyAlignment="1" applyProtection="1">
      <alignment horizontal="right" vertical="center" wrapText="1" indent="1"/>
    </xf>
    <xf numFmtId="0" fontId="15" fillId="0" borderId="0" xfId="7" applyFont="1" applyFill="1" applyBorder="1" applyProtection="1"/>
    <xf numFmtId="166" fontId="28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3" xfId="7" applyNumberFormat="1" applyFont="1" applyFill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6" fontId="25" fillId="0" borderId="33" xfId="0" quotePrefix="1" applyNumberFormat="1" applyFont="1" applyBorder="1" applyAlignment="1" applyProtection="1">
      <alignment horizontal="right" vertical="center" wrapText="1" indent="1"/>
      <protection locked="0"/>
    </xf>
    <xf numFmtId="0" fontId="26" fillId="0" borderId="6" xfId="0" applyFont="1" applyBorder="1" applyAlignment="1" applyProtection="1">
      <alignment horizontal="left" indent="1"/>
    </xf>
    <xf numFmtId="0" fontId="28" fillId="0" borderId="14" xfId="7" applyFont="1" applyFill="1" applyBorder="1" applyAlignment="1" applyProtection="1">
      <alignment horizontal="center" vertical="center"/>
    </xf>
    <xf numFmtId="0" fontId="28" fillId="0" borderId="17" xfId="7" applyFont="1" applyFill="1" applyBorder="1" applyAlignment="1" applyProtection="1">
      <alignment horizontal="center" vertical="center"/>
    </xf>
    <xf numFmtId="0" fontId="26" fillId="0" borderId="6" xfId="0" applyFont="1" applyBorder="1" applyAlignment="1" applyProtection="1"/>
    <xf numFmtId="168" fontId="46" fillId="0" borderId="3" xfId="1" applyNumberFormat="1" applyFont="1" applyFill="1" applyBorder="1" applyProtection="1">
      <protection locked="0"/>
    </xf>
    <xf numFmtId="168" fontId="46" fillId="0" borderId="22" xfId="1" applyNumberFormat="1" applyFont="1" applyFill="1" applyBorder="1"/>
    <xf numFmtId="168" fontId="46" fillId="0" borderId="2" xfId="1" applyNumberFormat="1" applyFont="1" applyFill="1" applyBorder="1" applyProtection="1">
      <protection locked="0"/>
    </xf>
    <xf numFmtId="168" fontId="46" fillId="0" borderId="23" xfId="1" applyNumberFormat="1" applyFont="1" applyFill="1" applyBorder="1"/>
    <xf numFmtId="168" fontId="46" fillId="0" borderId="6" xfId="1" applyNumberFormat="1" applyFont="1" applyFill="1" applyBorder="1" applyProtection="1">
      <protection locked="0"/>
    </xf>
    <xf numFmtId="168" fontId="47" fillId="0" borderId="14" xfId="7" applyNumberFormat="1" applyFont="1" applyFill="1" applyBorder="1"/>
    <xf numFmtId="168" fontId="47" fillId="0" borderId="17" xfId="7" applyNumberFormat="1" applyFont="1" applyFill="1" applyBorder="1"/>
    <xf numFmtId="49" fontId="46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46" fillId="0" borderId="18" xfId="0" applyNumberFormat="1" applyFont="1" applyFill="1" applyBorder="1" applyAlignment="1" applyProtection="1">
      <alignment vertical="center" wrapText="1"/>
    </xf>
    <xf numFmtId="166" fontId="46" fillId="0" borderId="13" xfId="0" applyNumberFormat="1" applyFont="1" applyFill="1" applyBorder="1" applyAlignment="1" applyProtection="1">
      <alignment vertical="center" wrapText="1"/>
    </xf>
    <xf numFmtId="166" fontId="46" fillId="0" borderId="14" xfId="0" applyNumberFormat="1" applyFont="1" applyFill="1" applyBorder="1" applyAlignment="1" applyProtection="1">
      <alignment vertical="center" wrapText="1"/>
    </xf>
    <xf numFmtId="166" fontId="46" fillId="0" borderId="17" xfId="0" applyNumberFormat="1" applyFont="1" applyFill="1" applyBorder="1" applyAlignment="1" applyProtection="1">
      <alignment vertical="center" wrapText="1"/>
    </xf>
    <xf numFmtId="49" fontId="46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46" fillId="0" borderId="19" xfId="0" applyNumberFormat="1" applyFont="1" applyFill="1" applyBorder="1" applyAlignment="1" applyProtection="1">
      <alignment vertical="center" wrapText="1"/>
      <protection locked="0"/>
    </xf>
    <xf numFmtId="166" fontId="46" fillId="0" borderId="8" xfId="0" applyNumberFormat="1" applyFont="1" applyFill="1" applyBorder="1" applyAlignment="1" applyProtection="1">
      <alignment vertical="center" wrapText="1"/>
      <protection locked="0"/>
    </xf>
    <xf numFmtId="166" fontId="46" fillId="0" borderId="2" xfId="0" applyNumberFormat="1" applyFont="1" applyFill="1" applyBorder="1" applyAlignment="1" applyProtection="1">
      <alignment vertical="center" wrapText="1"/>
      <protection locked="0"/>
    </xf>
    <xf numFmtId="166" fontId="46" fillId="0" borderId="23" xfId="0" applyNumberFormat="1" applyFont="1" applyFill="1" applyBorder="1" applyAlignment="1" applyProtection="1">
      <alignment vertical="center" wrapText="1"/>
      <protection locked="0"/>
    </xf>
    <xf numFmtId="49" fontId="46" fillId="0" borderId="6" xfId="0" applyNumberFormat="1" applyFont="1" applyFill="1" applyBorder="1" applyAlignment="1" applyProtection="1">
      <alignment horizontal="center" vertical="center" wrapText="1"/>
      <protection locked="0"/>
    </xf>
    <xf numFmtId="166" fontId="46" fillId="0" borderId="20" xfId="0" applyNumberFormat="1" applyFont="1" applyFill="1" applyBorder="1" applyAlignment="1" applyProtection="1">
      <alignment vertical="center" wrapText="1"/>
      <protection locked="0"/>
    </xf>
    <xf numFmtId="166" fontId="46" fillId="0" borderId="10" xfId="0" applyNumberFormat="1" applyFont="1" applyFill="1" applyBorder="1" applyAlignment="1" applyProtection="1">
      <alignment vertical="center" wrapText="1"/>
      <protection locked="0"/>
    </xf>
    <xf numFmtId="166" fontId="46" fillId="0" borderId="6" xfId="0" applyNumberFormat="1" applyFont="1" applyFill="1" applyBorder="1" applyAlignment="1" applyProtection="1">
      <alignment vertical="center" wrapText="1"/>
      <protection locked="0"/>
    </xf>
    <xf numFmtId="166" fontId="46" fillId="0" borderId="35" xfId="0" applyNumberFormat="1" applyFont="1" applyFill="1" applyBorder="1" applyAlignment="1" applyProtection="1">
      <alignment vertical="center" wrapText="1"/>
      <protection locked="0"/>
    </xf>
    <xf numFmtId="49" fontId="46" fillId="0" borderId="55" xfId="0" applyNumberFormat="1" applyFont="1" applyFill="1" applyBorder="1" applyAlignment="1" applyProtection="1">
      <alignment horizontal="center" vertical="center" wrapText="1"/>
      <protection locked="0"/>
    </xf>
    <xf numFmtId="166" fontId="46" fillId="0" borderId="48" xfId="0" applyNumberFormat="1" applyFont="1" applyFill="1" applyBorder="1" applyAlignment="1" applyProtection="1">
      <alignment vertical="center" wrapText="1"/>
      <protection locked="0"/>
    </xf>
    <xf numFmtId="166" fontId="46" fillId="0" borderId="7" xfId="0" applyNumberFormat="1" applyFont="1" applyFill="1" applyBorder="1" applyAlignment="1" applyProtection="1">
      <alignment vertical="center" wrapText="1"/>
      <protection locked="0"/>
    </xf>
    <xf numFmtId="166" fontId="46" fillId="0" borderId="1" xfId="0" applyNumberFormat="1" applyFont="1" applyFill="1" applyBorder="1" applyAlignment="1" applyProtection="1">
      <alignment vertical="center" wrapText="1"/>
      <protection locked="0"/>
    </xf>
    <xf numFmtId="166" fontId="46" fillId="0" borderId="27" xfId="0" applyNumberFormat="1" applyFont="1" applyFill="1" applyBorder="1" applyAlignment="1" applyProtection="1">
      <alignment vertical="center" wrapText="1"/>
      <protection locked="0"/>
    </xf>
    <xf numFmtId="166" fontId="46" fillId="3" borderId="47" xfId="0" applyNumberFormat="1" applyFont="1" applyFill="1" applyBorder="1" applyAlignment="1" applyProtection="1">
      <alignment horizontal="left" vertical="center" wrapText="1" indent="2"/>
    </xf>
    <xf numFmtId="166" fontId="48" fillId="0" borderId="1" xfId="8" applyNumberFormat="1" applyFont="1" applyFill="1" applyBorder="1" applyAlignment="1" applyProtection="1">
      <alignment vertical="center"/>
      <protection locked="0"/>
    </xf>
    <xf numFmtId="166" fontId="48" fillId="0" borderId="2" xfId="8" applyNumberFormat="1" applyFont="1" applyFill="1" applyBorder="1" applyAlignment="1" applyProtection="1">
      <alignment vertical="center"/>
      <protection locked="0"/>
    </xf>
    <xf numFmtId="166" fontId="48" fillId="0" borderId="3" xfId="8" applyNumberFormat="1" applyFont="1" applyFill="1" applyBorder="1" applyAlignment="1" applyProtection="1">
      <alignment vertical="center"/>
      <protection locked="0"/>
    </xf>
    <xf numFmtId="166" fontId="49" fillId="0" borderId="14" xfId="8" applyNumberFormat="1" applyFont="1" applyFill="1" applyBorder="1" applyAlignment="1" applyProtection="1">
      <alignment vertical="center"/>
    </xf>
    <xf numFmtId="166" fontId="49" fillId="0" borderId="14" xfId="8" applyNumberFormat="1" applyFont="1" applyFill="1" applyBorder="1" applyProtection="1"/>
    <xf numFmtId="3" fontId="50" fillId="0" borderId="23" xfId="0" applyNumberFormat="1" applyFont="1" applyBorder="1" applyAlignment="1" applyProtection="1">
      <alignment horizontal="right" vertical="center" indent="1"/>
      <protection locked="0"/>
    </xf>
    <xf numFmtId="3" fontId="50" fillId="0" borderId="23" xfId="0" applyNumberFormat="1" applyFont="1" applyFill="1" applyBorder="1" applyAlignment="1" applyProtection="1">
      <alignment horizontal="right" vertical="center" indent="1"/>
      <protection locked="0"/>
    </xf>
    <xf numFmtId="3" fontId="51" fillId="0" borderId="17" xfId="0" applyNumberFormat="1" applyFont="1" applyFill="1" applyBorder="1" applyAlignment="1" applyProtection="1">
      <alignment horizontal="right" vertical="center" indent="1"/>
    </xf>
    <xf numFmtId="0" fontId="35" fillId="0" borderId="26" xfId="0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left" vertical="center" wrapText="1"/>
    </xf>
    <xf numFmtId="166" fontId="22" fillId="0" borderId="35" xfId="7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7" applyFont="1" applyFill="1" applyAlignment="1" applyProtection="1">
      <alignment vertical="center"/>
    </xf>
    <xf numFmtId="166" fontId="29" fillId="0" borderId="35" xfId="7" applyNumberFormat="1" applyFont="1" applyFill="1" applyBorder="1" applyAlignment="1" applyProtection="1">
      <alignment horizontal="right" vertical="center" wrapText="1"/>
      <protection locked="0"/>
    </xf>
    <xf numFmtId="0" fontId="26" fillId="0" borderId="3" xfId="0" applyFont="1" applyBorder="1" applyAlignment="1">
      <alignment horizontal="left" wrapText="1" indent="1"/>
    </xf>
    <xf numFmtId="0" fontId="26" fillId="0" borderId="1" xfId="0" applyFont="1" applyBorder="1" applyAlignment="1">
      <alignment horizontal="left" vertical="center" wrapText="1" indent="1"/>
    </xf>
    <xf numFmtId="0" fontId="4" fillId="0" borderId="13" xfId="7" applyFont="1" applyFill="1" applyBorder="1" applyAlignment="1" applyProtection="1">
      <alignment horizontal="center" vertical="center" wrapText="1"/>
    </xf>
    <xf numFmtId="0" fontId="4" fillId="0" borderId="14" xfId="7" applyFont="1" applyFill="1" applyBorder="1" applyAlignment="1" applyProtection="1">
      <alignment horizontal="center" vertical="center" wrapText="1"/>
    </xf>
    <xf numFmtId="0" fontId="4" fillId="0" borderId="17" xfId="7" applyFont="1" applyFill="1" applyBorder="1" applyAlignment="1" applyProtection="1">
      <alignment horizontal="center" vertical="center" wrapText="1"/>
    </xf>
    <xf numFmtId="0" fontId="8" fillId="0" borderId="15" xfId="7" applyFont="1" applyFill="1" applyBorder="1" applyAlignment="1" applyProtection="1">
      <alignment horizontal="center" vertical="center" wrapText="1"/>
    </xf>
    <xf numFmtId="0" fontId="8" fillId="0" borderId="16" xfId="7" applyFont="1" applyFill="1" applyBorder="1" applyAlignment="1" applyProtection="1">
      <alignment horizontal="center" vertical="center" wrapText="1"/>
    </xf>
    <xf numFmtId="0" fontId="8" fillId="0" borderId="26" xfId="7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left" vertical="center" wrapText="1"/>
    </xf>
    <xf numFmtId="0" fontId="26" fillId="0" borderId="1" xfId="0" applyFont="1" applyBorder="1" applyAlignment="1" applyProtection="1">
      <alignment horizontal="left" wrapText="1" indent="1"/>
    </xf>
    <xf numFmtId="49" fontId="22" fillId="0" borderId="13" xfId="7" applyNumberFormat="1" applyFont="1" applyFill="1" applyBorder="1" applyAlignment="1" applyProtection="1">
      <alignment horizontal="left" vertical="center" wrapText="1" indent="1"/>
    </xf>
    <xf numFmtId="0" fontId="26" fillId="0" borderId="14" xfId="0" applyFont="1" applyBorder="1" applyAlignment="1" applyProtection="1">
      <alignment horizontal="left" vertical="center" wrapText="1" indent="1"/>
    </xf>
    <xf numFmtId="166" fontId="29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24" xfId="0" applyFont="1" applyBorder="1" applyAlignment="1" applyProtection="1">
      <alignment horizontal="left" vertical="center" wrapText="1" indent="1"/>
    </xf>
    <xf numFmtId="166" fontId="29" fillId="0" borderId="25" xfId="7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14" xfId="7" applyFont="1" applyFill="1" applyBorder="1" applyAlignment="1" applyProtection="1">
      <alignment horizontal="left" vertical="center" wrapText="1" indent="1"/>
    </xf>
    <xf numFmtId="166" fontId="22" fillId="0" borderId="33" xfId="7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quotePrefix="1" applyNumberFormat="1" applyFont="1" applyBorder="1" applyAlignment="1" applyProtection="1">
      <alignment horizontal="right" vertical="center" wrapText="1" indent="1"/>
    </xf>
    <xf numFmtId="0" fontId="27" fillId="0" borderId="32" xfId="0" applyFont="1" applyBorder="1" applyAlignment="1" applyProtection="1">
      <alignment horizontal="left" vertical="center" wrapText="1" indent="1"/>
    </xf>
    <xf numFmtId="0" fontId="29" fillId="0" borderId="0" xfId="7" applyFont="1" applyFill="1" applyProtection="1"/>
    <xf numFmtId="0" fontId="21" fillId="0" borderId="31" xfId="0" applyFont="1" applyFill="1" applyBorder="1" applyAlignment="1" applyProtection="1">
      <alignment horizontal="right" vertical="center"/>
      <protection locked="0"/>
    </xf>
    <xf numFmtId="0" fontId="21" fillId="0" borderId="31" xfId="0" applyFont="1" applyFill="1" applyBorder="1" applyAlignment="1" applyProtection="1">
      <alignment horizontal="right"/>
    </xf>
    <xf numFmtId="0" fontId="21" fillId="0" borderId="31" xfId="0" applyFont="1" applyFill="1" applyBorder="1" applyAlignment="1" applyProtection="1">
      <alignment horizontal="right" vertical="center"/>
    </xf>
    <xf numFmtId="166" fontId="21" fillId="0" borderId="0" xfId="0" applyNumberFormat="1" applyFont="1" applyFill="1" applyAlignment="1" applyProtection="1">
      <alignment horizontal="right" vertical="center"/>
      <protection locked="0"/>
    </xf>
    <xf numFmtId="166" fontId="21" fillId="0" borderId="0" xfId="0" applyNumberFormat="1" applyFont="1" applyFill="1" applyAlignment="1" applyProtection="1">
      <alignment horizontal="right" vertical="center"/>
    </xf>
    <xf numFmtId="0" fontId="62" fillId="0" borderId="0" xfId="0" applyFont="1"/>
    <xf numFmtId="0" fontId="62" fillId="0" borderId="0" xfId="0" applyFont="1" applyAlignment="1">
      <alignment horizontal="justify" vertical="top" wrapText="1"/>
    </xf>
    <xf numFmtId="0" fontId="63" fillId="5" borderId="0" xfId="0" applyFont="1" applyFill="1" applyAlignment="1">
      <alignment horizontal="center" vertical="center"/>
    </xf>
    <xf numFmtId="0" fontId="63" fillId="5" borderId="0" xfId="0" applyFont="1" applyFill="1" applyAlignment="1">
      <alignment horizontal="center" vertical="top" wrapText="1"/>
    </xf>
    <xf numFmtId="0" fontId="53" fillId="0" borderId="0" xfId="0" applyFont="1"/>
    <xf numFmtId="0" fontId="0" fillId="0" borderId="0" xfId="0" applyAlignment="1"/>
    <xf numFmtId="0" fontId="5" fillId="0" borderId="4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55" fillId="0" borderId="0" xfId="0" applyFont="1" applyAlignment="1" applyProtection="1">
      <alignment horizontal="right" vertical="top"/>
      <protection locked="0"/>
    </xf>
    <xf numFmtId="16" fontId="53" fillId="0" borderId="0" xfId="0" applyNumberFormat="1" applyFont="1"/>
    <xf numFmtId="14" fontId="53" fillId="0" borderId="0" xfId="0" applyNumberFormat="1" applyFont="1"/>
    <xf numFmtId="166" fontId="3" fillId="0" borderId="0" xfId="0" applyNumberFormat="1" applyFont="1" applyFill="1" applyAlignment="1" applyProtection="1">
      <alignment horizontal="left" vertical="center" wrapText="1"/>
      <protection locked="0"/>
    </xf>
    <xf numFmtId="166" fontId="19" fillId="0" borderId="0" xfId="0" applyNumberFormat="1" applyFont="1" applyFill="1" applyAlignment="1" applyProtection="1">
      <alignment vertical="center" wrapText="1"/>
      <protection locked="0"/>
    </xf>
    <xf numFmtId="0" fontId="8" fillId="0" borderId="57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8" fillId="0" borderId="34" xfId="0" quotePrefix="1" applyFont="1" applyFill="1" applyBorder="1" applyAlignment="1" applyProtection="1">
      <alignment horizontal="right" vertical="center" indent="1"/>
      <protection locked="0"/>
    </xf>
    <xf numFmtId="0" fontId="8" fillId="0" borderId="58" xfId="0" applyFont="1" applyFill="1" applyBorder="1" applyAlignment="1" applyProtection="1">
      <alignment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49" fontId="8" fillId="0" borderId="53" xfId="0" applyNumberFormat="1" applyFont="1" applyFill="1" applyBorder="1" applyAlignment="1" applyProtection="1">
      <alignment horizontal="right" vertical="center" inden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8" fillId="0" borderId="41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0" fontId="8" fillId="0" borderId="26" xfId="0" applyFont="1" applyFill="1" applyBorder="1" applyAlignment="1" applyProtection="1">
      <alignment horizontal="right" vertical="center" wrapText="1" indent="1"/>
      <protection locked="0"/>
    </xf>
    <xf numFmtId="0" fontId="20" fillId="0" borderId="13" xfId="0" applyFont="1" applyFill="1" applyBorder="1" applyAlignment="1" applyProtection="1">
      <alignment horizontal="center" vertical="center" wrapText="1"/>
      <protection locked="0"/>
    </xf>
    <xf numFmtId="0" fontId="20" fillId="0" borderId="14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Fill="1" applyBorder="1" applyAlignment="1" applyProtection="1">
      <alignment horizontal="center" vertical="center" wrapText="1"/>
      <protection locked="0"/>
    </xf>
    <xf numFmtId="0" fontId="8" fillId="0" borderId="37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Fill="1" applyBorder="1" applyAlignment="1" applyProtection="1">
      <alignment horizontal="center" vertical="center" wrapText="1"/>
      <protection locked="0"/>
    </xf>
    <xf numFmtId="166" fontId="8" fillId="0" borderId="39" xfId="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right" vertical="center" wrapText="1" indent="1"/>
      <protection locked="0"/>
    </xf>
    <xf numFmtId="166" fontId="64" fillId="0" borderId="0" xfId="0" applyNumberFormat="1" applyFont="1" applyFill="1" applyAlignment="1" applyProtection="1">
      <alignment horizontal="right" vertical="center" wrapText="1" indent="1"/>
    </xf>
    <xf numFmtId="49" fontId="8" fillId="0" borderId="34" xfId="0" applyNumberFormat="1" applyFont="1" applyFill="1" applyBorder="1" applyAlignment="1" applyProtection="1">
      <alignment horizontal="right" vertical="center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locked="0"/>
    </xf>
    <xf numFmtId="49" fontId="8" fillId="0" borderId="53" xfId="0" applyNumberFormat="1" applyFont="1" applyFill="1" applyBorder="1" applyAlignment="1" applyProtection="1">
      <alignment horizontal="right" vertical="center"/>
      <protection locked="0"/>
    </xf>
    <xf numFmtId="0" fontId="8" fillId="0" borderId="26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166" fontId="64" fillId="0" borderId="0" xfId="0" applyNumberFormat="1" applyFont="1" applyFill="1" applyAlignment="1" applyProtection="1">
      <alignment vertical="center" wrapText="1"/>
    </xf>
    <xf numFmtId="0" fontId="23" fillId="0" borderId="0" xfId="0" applyFont="1"/>
    <xf numFmtId="0" fontId="12" fillId="0" borderId="0" xfId="7" applyFont="1" applyFill="1" applyProtection="1">
      <protection locked="0"/>
    </xf>
    <xf numFmtId="0" fontId="23" fillId="0" borderId="0" xfId="7" applyFont="1" applyFill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12" fillId="0" borderId="0" xfId="7" applyFont="1" applyFill="1" applyAlignment="1" applyProtection="1">
      <alignment horizontal="right" vertical="center" indent="1"/>
      <protection locked="0"/>
    </xf>
    <xf numFmtId="0" fontId="8" fillId="0" borderId="13" xfId="7" applyFont="1" applyFill="1" applyBorder="1" applyAlignment="1" applyProtection="1">
      <alignment horizontal="center" vertical="center" wrapText="1"/>
      <protection locked="0"/>
    </xf>
    <xf numFmtId="0" fontId="8" fillId="0" borderId="14" xfId="7" applyFont="1" applyFill="1" applyBorder="1" applyAlignment="1" applyProtection="1">
      <alignment horizontal="center" vertical="center" wrapText="1"/>
      <protection locked="0"/>
    </xf>
    <xf numFmtId="0" fontId="8" fillId="0" borderId="17" xfId="7" applyFont="1" applyFill="1" applyBorder="1" applyAlignment="1" applyProtection="1">
      <alignment horizontal="center" vertical="center" wrapText="1"/>
      <protection locked="0"/>
    </xf>
    <xf numFmtId="0" fontId="29" fillId="0" borderId="0" xfId="7" applyFont="1" applyFill="1" applyProtection="1">
      <protection locked="0"/>
    </xf>
    <xf numFmtId="166" fontId="65" fillId="0" borderId="0" xfId="7" applyNumberFormat="1" applyFont="1" applyFill="1" applyAlignment="1" applyProtection="1">
      <alignment horizontal="right" vertical="center" indent="1"/>
    </xf>
    <xf numFmtId="0" fontId="45" fillId="0" borderId="0" xfId="0" applyFont="1" applyAlignment="1"/>
    <xf numFmtId="0" fontId="5" fillId="0" borderId="4" xfId="0" applyFont="1" applyFill="1" applyBorder="1" applyAlignment="1" applyProtection="1">
      <alignment horizontal="center" vertical="center" wrapText="1"/>
    </xf>
    <xf numFmtId="0" fontId="45" fillId="0" borderId="0" xfId="8" applyFont="1" applyFill="1" applyAlignment="1" applyProtection="1">
      <protection locked="0"/>
    </xf>
    <xf numFmtId="0" fontId="45" fillId="0" borderId="0" xfId="7" applyFont="1" applyFill="1" applyAlignment="1" applyProtection="1">
      <alignment vertical="center"/>
    </xf>
    <xf numFmtId="0" fontId="61" fillId="0" borderId="0" xfId="4" applyAlignment="1" applyProtection="1"/>
    <xf numFmtId="0" fontId="53" fillId="0" borderId="0" xfId="0" applyFont="1" applyAlignment="1">
      <alignment wrapText="1"/>
    </xf>
    <xf numFmtId="0" fontId="12" fillId="0" borderId="0" xfId="8" applyFill="1" applyAlignment="1" applyProtection="1">
      <alignment vertical="center" wrapText="1"/>
    </xf>
    <xf numFmtId="0" fontId="52" fillId="0" borderId="0" xfId="0" applyFont="1" applyAlignment="1">
      <alignment horizontal="right"/>
    </xf>
    <xf numFmtId="0" fontId="52" fillId="0" borderId="0" xfId="0" applyFont="1" applyFill="1" applyAlignment="1">
      <alignment horizontal="right" vertical="center"/>
    </xf>
    <xf numFmtId="166" fontId="66" fillId="0" borderId="0" xfId="7" applyNumberFormat="1" applyFont="1" applyFill="1"/>
    <xf numFmtId="0" fontId="0" fillId="0" borderId="0" xfId="0" applyProtection="1">
      <protection locked="0"/>
    </xf>
    <xf numFmtId="0" fontId="34" fillId="0" borderId="0" xfId="0" applyFont="1" applyAlignment="1" applyProtection="1">
      <alignment horizontal="center"/>
      <protection locked="0"/>
    </xf>
    <xf numFmtId="0" fontId="25" fillId="0" borderId="26" xfId="0" applyFont="1" applyFill="1" applyBorder="1" applyAlignment="1" applyProtection="1">
      <alignment horizontal="center" vertical="center" wrapText="1"/>
    </xf>
    <xf numFmtId="166" fontId="66" fillId="0" borderId="0" xfId="7" applyNumberFormat="1" applyFont="1" applyFill="1" applyProtection="1"/>
    <xf numFmtId="0" fontId="52" fillId="0" borderId="0" xfId="7" applyFont="1" applyFill="1" applyAlignment="1" applyProtection="1">
      <alignment horizontal="right"/>
      <protection locked="0"/>
    </xf>
    <xf numFmtId="166" fontId="35" fillId="0" borderId="31" xfId="7" applyNumberFormat="1" applyFont="1" applyFill="1" applyBorder="1" applyAlignment="1" applyProtection="1">
      <alignment horizontal="left" vertical="center"/>
      <protection locked="0"/>
    </xf>
    <xf numFmtId="0" fontId="2" fillId="0" borderId="0" xfId="7" applyFont="1" applyFill="1" applyProtection="1">
      <protection locked="0"/>
    </xf>
    <xf numFmtId="166" fontId="5" fillId="0" borderId="0" xfId="7" applyNumberFormat="1" applyFont="1" applyFill="1" applyBorder="1" applyAlignment="1" applyProtection="1">
      <alignment horizontal="centerContinuous" vertical="center"/>
      <protection locked="0"/>
    </xf>
    <xf numFmtId="0" fontId="21" fillId="0" borderId="0" xfId="0" applyFont="1" applyFill="1" applyBorder="1" applyAlignment="1" applyProtection="1">
      <alignment horizontal="right"/>
      <protection locked="0"/>
    </xf>
    <xf numFmtId="0" fontId="28" fillId="0" borderId="11" xfId="7" applyFont="1" applyFill="1" applyBorder="1" applyAlignment="1" applyProtection="1">
      <alignment horizontal="center" vertical="center" wrapText="1"/>
      <protection locked="0"/>
    </xf>
    <xf numFmtId="0" fontId="28" fillId="0" borderId="4" xfId="7" applyFont="1" applyFill="1" applyBorder="1" applyAlignment="1" applyProtection="1">
      <alignment horizontal="center" vertical="center" wrapText="1"/>
      <protection locked="0"/>
    </xf>
    <xf numFmtId="0" fontId="28" fillId="0" borderId="34" xfId="7" applyFont="1" applyFill="1" applyBorder="1" applyAlignment="1" applyProtection="1">
      <alignment horizontal="center" vertical="center" wrapText="1"/>
      <protection locked="0"/>
    </xf>
    <xf numFmtId="166" fontId="64" fillId="0" borderId="0" xfId="0" applyNumberFormat="1" applyFont="1" applyFill="1" applyAlignment="1" applyProtection="1">
      <alignment horizontal="right" vertical="center" wrapText="1" indent="1"/>
      <protection locked="0"/>
    </xf>
    <xf numFmtId="0" fontId="45" fillId="0" borderId="0" xfId="0" applyFont="1" applyFill="1" applyAlignment="1" applyProtection="1">
      <alignment horizontal="right"/>
      <protection locked="0"/>
    </xf>
    <xf numFmtId="0" fontId="6" fillId="0" borderId="31" xfId="0" applyFont="1" applyFill="1" applyBorder="1" applyAlignment="1" applyProtection="1">
      <alignment horizontal="right" vertical="center"/>
      <protection locked="0"/>
    </xf>
    <xf numFmtId="0" fontId="8" fillId="0" borderId="40" xfId="7" applyFont="1" applyFill="1" applyBorder="1" applyAlignment="1" applyProtection="1">
      <alignment horizontal="center" vertical="center" wrapText="1"/>
      <protection locked="0"/>
    </xf>
    <xf numFmtId="0" fontId="8" fillId="0" borderId="33" xfId="7" applyFont="1" applyFill="1" applyBorder="1" applyAlignment="1" applyProtection="1">
      <alignment horizontal="center" vertical="center" wrapText="1"/>
      <protection locked="0"/>
    </xf>
    <xf numFmtId="0" fontId="56" fillId="0" borderId="0" xfId="0" applyFont="1" applyFill="1" applyBorder="1" applyAlignment="1" applyProtection="1">
      <alignment horizontal="right"/>
    </xf>
    <xf numFmtId="0" fontId="31" fillId="0" borderId="18" xfId="0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40" fillId="0" borderId="0" xfId="0" applyFont="1" applyFill="1" applyProtection="1">
      <protection locked="0"/>
    </xf>
    <xf numFmtId="0" fontId="0" fillId="0" borderId="61" xfId="0" applyFill="1" applyBorder="1" applyProtection="1">
      <protection locked="0"/>
    </xf>
    <xf numFmtId="0" fontId="0" fillId="0" borderId="62" xfId="0" applyFill="1" applyBorder="1" applyProtection="1">
      <protection locked="0"/>
    </xf>
    <xf numFmtId="0" fontId="0" fillId="0" borderId="18" xfId="0" applyFill="1" applyBorder="1" applyAlignment="1" applyProtection="1">
      <alignment vertical="center"/>
      <protection locked="0"/>
    </xf>
    <xf numFmtId="0" fontId="26" fillId="0" borderId="6" xfId="0" applyFont="1" applyBorder="1" applyAlignment="1">
      <alignment horizontal="left" indent="1"/>
    </xf>
    <xf numFmtId="0" fontId="0" fillId="0" borderId="0" xfId="0" applyAlignment="1" applyProtection="1">
      <alignment horizontal="left"/>
      <protection locked="0"/>
    </xf>
    <xf numFmtId="49" fontId="0" fillId="0" borderId="0" xfId="0" applyNumberFormat="1"/>
    <xf numFmtId="166" fontId="10" fillId="0" borderId="0" xfId="6" applyNumberFormat="1" applyFont="1" applyFill="1" applyAlignment="1" applyProtection="1">
      <alignment vertical="center" wrapText="1"/>
      <protection locked="0"/>
    </xf>
    <xf numFmtId="166" fontId="20" fillId="0" borderId="63" xfId="6" applyNumberFormat="1" applyFont="1" applyFill="1" applyBorder="1" applyAlignment="1">
      <alignment horizontal="center" vertical="center"/>
    </xf>
    <xf numFmtId="166" fontId="20" fillId="0" borderId="18" xfId="6" applyNumberFormat="1" applyFont="1" applyFill="1" applyBorder="1" applyAlignment="1">
      <alignment horizontal="center" vertical="center"/>
    </xf>
    <xf numFmtId="166" fontId="20" fillId="0" borderId="64" xfId="6" applyNumberFormat="1" applyFont="1" applyFill="1" applyBorder="1" applyAlignment="1">
      <alignment horizontal="center" vertical="center"/>
    </xf>
    <xf numFmtId="166" fontId="20" fillId="0" borderId="18" xfId="6" applyNumberFormat="1" applyFont="1" applyFill="1" applyBorder="1" applyAlignment="1">
      <alignment horizontal="center" vertical="center" wrapText="1"/>
    </xf>
    <xf numFmtId="166" fontId="20" fillId="0" borderId="64" xfId="6" applyNumberFormat="1" applyFont="1" applyFill="1" applyBorder="1" applyAlignment="1">
      <alignment horizontal="center" vertical="center" wrapText="1"/>
    </xf>
    <xf numFmtId="49" fontId="37" fillId="0" borderId="57" xfId="6" applyNumberFormat="1" applyFont="1" applyFill="1" applyBorder="1" applyAlignment="1">
      <alignment horizontal="left" vertical="center"/>
    </xf>
    <xf numFmtId="49" fontId="58" fillId="0" borderId="65" xfId="6" quotePrefix="1" applyNumberFormat="1" applyFont="1" applyFill="1" applyBorder="1" applyAlignment="1">
      <alignment horizontal="left" vertical="center"/>
    </xf>
    <xf numFmtId="49" fontId="37" fillId="0" borderId="65" xfId="6" applyNumberFormat="1" applyFont="1" applyFill="1" applyBorder="1" applyAlignment="1">
      <alignment horizontal="left" vertical="center"/>
    </xf>
    <xf numFmtId="49" fontId="30" fillId="0" borderId="41" xfId="6" applyNumberFormat="1" applyFont="1" applyFill="1" applyBorder="1" applyAlignment="1" applyProtection="1">
      <alignment horizontal="left" vertical="center"/>
      <protection locked="0"/>
    </xf>
    <xf numFmtId="49" fontId="37" fillId="0" borderId="9" xfId="6" applyNumberFormat="1" applyFont="1" applyFill="1" applyBorder="1" applyAlignment="1">
      <alignment horizontal="left" vertical="center"/>
    </xf>
    <xf numFmtId="49" fontId="37" fillId="0" borderId="8" xfId="6" applyNumberFormat="1" applyFont="1" applyFill="1" applyBorder="1" applyAlignment="1">
      <alignment horizontal="left" vertical="center"/>
    </xf>
    <xf numFmtId="49" fontId="37" fillId="0" borderId="10" xfId="6" applyNumberFormat="1" applyFont="1" applyFill="1" applyBorder="1" applyAlignment="1" applyProtection="1">
      <alignment horizontal="left" vertical="center"/>
      <protection locked="0"/>
    </xf>
    <xf numFmtId="175" fontId="30" fillId="0" borderId="18" xfId="6" applyNumberFormat="1" applyFont="1" applyFill="1" applyBorder="1" applyAlignment="1">
      <alignment horizontal="left" vertical="center" wrapText="1"/>
    </xf>
    <xf numFmtId="166" fontId="17" fillId="0" borderId="0" xfId="6" applyNumberFormat="1" applyFill="1" applyAlignment="1">
      <alignment vertical="center" wrapText="1"/>
    </xf>
    <xf numFmtId="166" fontId="6" fillId="0" borderId="31" xfId="6" applyNumberFormat="1" applyFont="1" applyFill="1" applyBorder="1" applyAlignment="1">
      <alignment horizontal="right" vertical="center"/>
    </xf>
    <xf numFmtId="0" fontId="17" fillId="0" borderId="0" xfId="6" applyFill="1" applyAlignment="1">
      <alignment vertical="center"/>
    </xf>
    <xf numFmtId="166" fontId="31" fillId="0" borderId="18" xfId="6" applyNumberFormat="1" applyFont="1" applyFill="1" applyBorder="1" applyAlignment="1">
      <alignment horizontal="center" vertical="center" wrapText="1"/>
    </xf>
    <xf numFmtId="3" fontId="17" fillId="0" borderId="21" xfId="6" applyNumberFormat="1" applyFont="1" applyFill="1" applyBorder="1" applyAlignment="1" applyProtection="1">
      <alignment horizontal="right" vertical="center" wrapText="1"/>
      <protection locked="0"/>
    </xf>
    <xf numFmtId="3" fontId="17" fillId="0" borderId="20" xfId="6" applyNumberFormat="1" applyFont="1" applyFill="1" applyBorder="1" applyAlignment="1" applyProtection="1">
      <alignment horizontal="right" vertical="center" wrapText="1"/>
      <protection locked="0"/>
    </xf>
    <xf numFmtId="166" fontId="31" fillId="0" borderId="18" xfId="6" applyNumberFormat="1" applyFont="1" applyFill="1" applyBorder="1" applyAlignment="1">
      <alignment horizontal="right" vertical="center" wrapText="1"/>
    </xf>
    <xf numFmtId="0" fontId="67" fillId="0" borderId="0" xfId="0" applyFont="1" applyAlignment="1">
      <alignment vertical="top" textRotation="180"/>
    </xf>
    <xf numFmtId="0" fontId="0" fillId="0" borderId="0" xfId="0" applyFill="1" applyAlignment="1" applyProtection="1">
      <alignment horizontal="right"/>
      <protection locked="0"/>
    </xf>
    <xf numFmtId="166" fontId="31" fillId="0" borderId="0" xfId="6" applyNumberFormat="1" applyFont="1" applyFill="1" applyBorder="1" applyAlignment="1">
      <alignment horizontal="left" vertical="center" wrapText="1"/>
    </xf>
    <xf numFmtId="166" fontId="31" fillId="0" borderId="0" xfId="6" applyNumberFormat="1" applyFont="1" applyFill="1" applyBorder="1" applyAlignment="1">
      <alignment horizontal="right" vertical="center" wrapText="1"/>
    </xf>
    <xf numFmtId="0" fontId="68" fillId="0" borderId="0" xfId="0" applyFont="1"/>
    <xf numFmtId="166" fontId="37" fillId="0" borderId="66" xfId="6" applyNumberFormat="1" applyFont="1" applyFill="1" applyBorder="1" applyAlignment="1" applyProtection="1">
      <alignment horizontal="right" vertical="center" indent="2"/>
    </xf>
    <xf numFmtId="166" fontId="37" fillId="0" borderId="66" xfId="6" applyNumberFormat="1" applyFont="1" applyFill="1" applyBorder="1" applyAlignment="1" applyProtection="1">
      <alignment horizontal="right" vertical="center" wrapText="1" indent="2"/>
      <protection locked="0"/>
    </xf>
    <xf numFmtId="166" fontId="37" fillId="0" borderId="67" xfId="6" applyNumberFormat="1" applyFont="1" applyFill="1" applyBorder="1" applyAlignment="1" applyProtection="1">
      <alignment horizontal="right" vertical="center" wrapText="1" indent="2"/>
      <protection locked="0"/>
    </xf>
    <xf numFmtId="166" fontId="58" fillId="0" borderId="19" xfId="6" applyNumberFormat="1" applyFont="1" applyFill="1" applyBorder="1" applyAlignment="1" applyProtection="1">
      <alignment horizontal="right" vertical="center" indent="2"/>
    </xf>
    <xf numFmtId="166" fontId="58" fillId="0" borderId="19" xfId="6" applyNumberFormat="1" applyFont="1" applyFill="1" applyBorder="1" applyAlignment="1" applyProtection="1">
      <alignment horizontal="right" vertical="center" wrapText="1" indent="2"/>
      <protection locked="0"/>
    </xf>
    <xf numFmtId="166" fontId="37" fillId="0" borderId="19" xfId="6" applyNumberFormat="1" applyFont="1" applyFill="1" applyBorder="1" applyAlignment="1" applyProtection="1">
      <alignment horizontal="right" vertical="center" indent="2"/>
    </xf>
    <xf numFmtId="166" fontId="37" fillId="0" borderId="19" xfId="6" applyNumberFormat="1" applyFont="1" applyFill="1" applyBorder="1" applyAlignment="1" applyProtection="1">
      <alignment horizontal="right" vertical="center" wrapText="1" indent="2"/>
      <protection locked="0"/>
    </xf>
    <xf numFmtId="166" fontId="30" fillId="0" borderId="18" xfId="6" applyNumberFormat="1" applyFont="1" applyFill="1" applyBorder="1" applyAlignment="1" applyProtection="1">
      <alignment horizontal="right" vertical="center" indent="2"/>
    </xf>
    <xf numFmtId="166" fontId="30" fillId="0" borderId="18" xfId="6" applyNumberFormat="1" applyFont="1" applyFill="1" applyBorder="1" applyAlignment="1">
      <alignment horizontal="right" vertical="center" indent="2"/>
    </xf>
    <xf numFmtId="166" fontId="30" fillId="0" borderId="18" xfId="6" applyNumberFormat="1" applyFont="1" applyFill="1" applyBorder="1" applyAlignment="1" applyProtection="1">
      <alignment horizontal="right" vertical="center" wrapText="1" indent="2"/>
    </xf>
    <xf numFmtId="166" fontId="37" fillId="0" borderId="20" xfId="6" applyNumberFormat="1" applyFont="1" applyFill="1" applyBorder="1" applyAlignment="1" applyProtection="1">
      <alignment horizontal="right" vertical="center" indent="2"/>
    </xf>
    <xf numFmtId="166" fontId="37" fillId="0" borderId="20" xfId="6" applyNumberFormat="1" applyFont="1" applyFill="1" applyBorder="1" applyAlignment="1" applyProtection="1">
      <alignment horizontal="right" vertical="center" wrapText="1" indent="2"/>
      <protection locked="0"/>
    </xf>
    <xf numFmtId="166" fontId="37" fillId="0" borderId="68" xfId="6" applyNumberFormat="1" applyFont="1" applyFill="1" applyBorder="1" applyAlignment="1" applyProtection="1">
      <alignment horizontal="right" vertical="center" wrapText="1" indent="2"/>
      <protection locked="0"/>
    </xf>
    <xf numFmtId="166" fontId="6" fillId="0" borderId="31" xfId="6" applyNumberFormat="1" applyFont="1" applyFill="1" applyBorder="1" applyAlignment="1" applyProtection="1">
      <alignment horizontal="right" vertical="center"/>
    </xf>
    <xf numFmtId="0" fontId="22" fillId="0" borderId="24" xfId="7" applyFont="1" applyFill="1" applyBorder="1" applyAlignment="1" applyProtection="1">
      <alignment horizontal="left" vertical="center" wrapText="1" indent="1"/>
    </xf>
    <xf numFmtId="0" fontId="0" fillId="6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2" fillId="0" borderId="0" xfId="0" applyFon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31" fillId="0" borderId="75" xfId="0" applyFont="1" applyBorder="1" applyProtection="1">
      <protection locked="0"/>
    </xf>
    <xf numFmtId="0" fontId="34" fillId="0" borderId="0" xfId="0" applyFont="1" applyProtection="1">
      <protection locked="0"/>
    </xf>
    <xf numFmtId="0" fontId="69" fillId="0" borderId="2" xfId="0" applyFont="1" applyBorder="1" applyAlignment="1" applyProtection="1">
      <alignment horizontal="justify" vertical="center"/>
      <protection locked="0"/>
    </xf>
    <xf numFmtId="166" fontId="22" fillId="7" borderId="22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7" borderId="44" xfId="7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66" xfId="0" applyBorder="1" applyProtection="1">
      <protection locked="0"/>
    </xf>
    <xf numFmtId="0" fontId="26" fillId="0" borderId="69" xfId="0" applyFont="1" applyBorder="1" applyAlignment="1" applyProtection="1">
      <alignment horizontal="left" vertical="center" wrapText="1"/>
      <protection locked="0"/>
    </xf>
    <xf numFmtId="166" fontId="26" fillId="0" borderId="56" xfId="0" applyNumberFormat="1" applyFont="1" applyBorder="1" applyAlignment="1" applyProtection="1">
      <alignment horizontal="right" vertical="center" wrapText="1"/>
      <protection locked="0"/>
    </xf>
    <xf numFmtId="0" fontId="0" fillId="0" borderId="61" xfId="0" applyBorder="1" applyProtection="1">
      <protection locked="0"/>
    </xf>
    <xf numFmtId="0" fontId="26" fillId="0" borderId="28" xfId="0" applyFont="1" applyBorder="1" applyAlignment="1" applyProtection="1">
      <alignment horizontal="left" vertical="center" wrapText="1"/>
      <protection locked="0"/>
    </xf>
    <xf numFmtId="166" fontId="0" fillId="0" borderId="0" xfId="0" applyNumberFormat="1" applyFill="1"/>
    <xf numFmtId="0" fontId="39" fillId="0" borderId="2" xfId="0" applyFont="1" applyBorder="1" applyProtection="1">
      <protection locked="0"/>
    </xf>
    <xf numFmtId="0" fontId="39" fillId="4" borderId="2" xfId="0" applyFont="1" applyFill="1" applyBorder="1" applyProtection="1">
      <protection locked="0"/>
    </xf>
    <xf numFmtId="0" fontId="39" fillId="4" borderId="2" xfId="0" applyFont="1" applyFill="1" applyBorder="1" applyAlignment="1" applyProtection="1">
      <alignment wrapText="1"/>
      <protection locked="0"/>
    </xf>
    <xf numFmtId="3" fontId="0" fillId="0" borderId="0" xfId="0" applyNumberFormat="1"/>
    <xf numFmtId="0" fontId="39" fillId="0" borderId="4" xfId="0" applyFont="1" applyBorder="1" applyProtection="1">
      <protection locked="0"/>
    </xf>
    <xf numFmtId="3" fontId="39" fillId="7" borderId="34" xfId="0" applyNumberFormat="1" applyFont="1" applyFill="1" applyBorder="1" applyProtection="1">
      <protection locked="0"/>
    </xf>
    <xf numFmtId="3" fontId="39" fillId="7" borderId="23" xfId="0" applyNumberFormat="1" applyFont="1" applyFill="1" applyBorder="1" applyProtection="1">
      <protection locked="0"/>
    </xf>
    <xf numFmtId="0" fontId="0" fillId="0" borderId="2" xfId="0" applyBorder="1" applyProtection="1">
      <protection locked="0"/>
    </xf>
    <xf numFmtId="0" fontId="29" fillId="0" borderId="12" xfId="0" applyFont="1" applyBorder="1" applyAlignment="1" applyProtection="1">
      <alignment horizontal="right" vertical="center" indent="1"/>
    </xf>
    <xf numFmtId="0" fontId="29" fillId="0" borderId="24" xfId="0" applyFont="1" applyBorder="1" applyAlignment="1" applyProtection="1">
      <alignment horizontal="left" vertical="center" indent="1"/>
      <protection locked="0"/>
    </xf>
    <xf numFmtId="3" fontId="50" fillId="0" borderId="25" xfId="0" applyNumberFormat="1" applyFont="1" applyFill="1" applyBorder="1" applyAlignment="1" applyProtection="1">
      <alignment horizontal="right" vertical="center" indent="1"/>
      <protection locked="0"/>
    </xf>
    <xf numFmtId="3" fontId="0" fillId="7" borderId="23" xfId="0" applyNumberFormat="1" applyFill="1" applyBorder="1" applyProtection="1">
      <protection locked="0"/>
    </xf>
    <xf numFmtId="0" fontId="0" fillId="0" borderId="2" xfId="0" applyFont="1" applyBorder="1" applyAlignment="1" applyProtection="1">
      <protection locked="0"/>
    </xf>
    <xf numFmtId="3" fontId="0" fillId="0" borderId="23" xfId="0" applyNumberFormat="1" applyFont="1" applyBorder="1" applyAlignment="1" applyProtection="1">
      <alignment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 wrapText="1"/>
    </xf>
    <xf numFmtId="0" fontId="22" fillId="0" borderId="1" xfId="7" applyFont="1" applyFill="1" applyBorder="1" applyAlignment="1" applyProtection="1">
      <alignment horizontal="center" vertical="center" wrapText="1"/>
    </xf>
    <xf numFmtId="0" fontId="22" fillId="0" borderId="2" xfId="7" applyFont="1" applyFill="1" applyBorder="1" applyAlignment="1" applyProtection="1">
      <alignment horizontal="center" vertical="center" wrapText="1"/>
    </xf>
    <xf numFmtId="166" fontId="0" fillId="0" borderId="0" xfId="0" applyNumberFormat="1" applyAlignment="1" applyProtection="1">
      <alignment horizontal="center" vertical="center" wrapText="1"/>
      <protection locked="0"/>
    </xf>
    <xf numFmtId="166" fontId="0" fillId="0" borderId="0" xfId="0" applyNumberFormat="1" applyAlignment="1" applyProtection="1">
      <alignment vertical="center" wrapText="1"/>
      <protection locked="0"/>
    </xf>
    <xf numFmtId="166" fontId="0" fillId="0" borderId="0" xfId="0" applyNumberFormat="1" applyAlignment="1">
      <alignment vertical="center" wrapText="1"/>
    </xf>
    <xf numFmtId="166" fontId="6" fillId="0" borderId="0" xfId="0" applyNumberFormat="1" applyFont="1" applyAlignment="1" applyProtection="1">
      <alignment horizontal="right" wrapText="1"/>
      <protection locked="0"/>
    </xf>
    <xf numFmtId="166" fontId="8" fillId="0" borderId="13" xfId="0" applyNumberFormat="1" applyFont="1" applyBorder="1" applyAlignment="1" applyProtection="1">
      <alignment horizontal="center" vertical="center" wrapText="1"/>
      <protection locked="0"/>
    </xf>
    <xf numFmtId="166" fontId="8" fillId="0" borderId="14" xfId="0" applyNumberFormat="1" applyFont="1" applyBorder="1" applyAlignment="1" applyProtection="1">
      <alignment horizontal="center" vertical="center" wrapText="1"/>
      <protection locked="0"/>
    </xf>
    <xf numFmtId="166" fontId="8" fillId="0" borderId="47" xfId="0" applyNumberFormat="1" applyFont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Border="1" applyAlignment="1" applyProtection="1">
      <alignment horizontal="center" vertical="center" wrapText="1"/>
      <protection locked="0"/>
    </xf>
    <xf numFmtId="166" fontId="4" fillId="0" borderId="0" xfId="0" applyNumberFormat="1" applyFont="1" applyAlignment="1">
      <alignment horizontal="center" vertical="center" wrapText="1"/>
    </xf>
    <xf numFmtId="166" fontId="20" fillId="0" borderId="49" xfId="0" applyNumberFormat="1" applyFont="1" applyBorder="1" applyAlignment="1">
      <alignment horizontal="center" vertical="center" wrapText="1"/>
    </xf>
    <xf numFmtId="166" fontId="20" fillId="0" borderId="32" xfId="0" applyNumberFormat="1" applyFont="1" applyBorder="1" applyAlignment="1">
      <alignment horizontal="center" vertical="center" wrapText="1"/>
    </xf>
    <xf numFmtId="166" fontId="20" fillId="0" borderId="70" xfId="0" applyNumberFormat="1" applyFont="1" applyBorder="1" applyAlignment="1">
      <alignment horizontal="center" vertical="center" wrapText="1"/>
    </xf>
    <xf numFmtId="166" fontId="28" fillId="0" borderId="36" xfId="0" applyNumberFormat="1" applyFont="1" applyBorder="1" applyAlignment="1">
      <alignment horizontal="center" vertical="center" wrapText="1"/>
    </xf>
    <xf numFmtId="166" fontId="29" fillId="0" borderId="7" xfId="0" applyNumberFormat="1" applyFont="1" applyBorder="1" applyAlignment="1">
      <alignment horizontal="left" vertical="center" wrapText="1"/>
    </xf>
    <xf numFmtId="166" fontId="29" fillId="0" borderId="1" xfId="0" applyNumberFormat="1" applyFont="1" applyBorder="1" applyAlignment="1">
      <alignment horizontal="right" vertical="center" wrapText="1"/>
    </xf>
    <xf numFmtId="166" fontId="29" fillId="0" borderId="55" xfId="0" applyNumberFormat="1" applyFont="1" applyBorder="1" applyAlignment="1">
      <alignment horizontal="right" vertical="center" wrapText="1"/>
    </xf>
    <xf numFmtId="166" fontId="28" fillId="0" borderId="34" xfId="0" applyNumberFormat="1" applyFont="1" applyBorder="1" applyAlignment="1">
      <alignment horizontal="center" vertical="center" wrapText="1"/>
    </xf>
    <xf numFmtId="166" fontId="22" fillId="0" borderId="8" xfId="0" applyNumberFormat="1" applyFont="1" applyBorder="1" applyAlignment="1" applyProtection="1">
      <alignment horizontal="left" vertical="center" wrapText="1"/>
      <protection locked="0"/>
    </xf>
    <xf numFmtId="166" fontId="22" fillId="0" borderId="2" xfId="0" applyNumberFormat="1" applyFont="1" applyBorder="1" applyAlignment="1" applyProtection="1">
      <alignment vertical="center" wrapText="1"/>
      <protection locked="0"/>
    </xf>
    <xf numFmtId="166" fontId="22" fillId="0" borderId="50" xfId="0" applyNumberFormat="1" applyFont="1" applyBorder="1" applyAlignment="1" applyProtection="1">
      <alignment vertical="center" wrapText="1"/>
      <protection locked="0"/>
    </xf>
    <xf numFmtId="166" fontId="28" fillId="0" borderId="23" xfId="0" applyNumberFormat="1" applyFont="1" applyBorder="1" applyAlignment="1">
      <alignment horizontal="center" vertical="center" wrapText="1"/>
    </xf>
    <xf numFmtId="166" fontId="0" fillId="0" borderId="7" xfId="0" applyNumberFormat="1" applyBorder="1" applyAlignment="1" applyProtection="1">
      <alignment horizontal="left" vertical="center" wrapText="1"/>
      <protection locked="0"/>
    </xf>
    <xf numFmtId="166" fontId="28" fillId="0" borderId="8" xfId="0" applyNumberFormat="1" applyFont="1" applyBorder="1" applyAlignment="1" applyProtection="1">
      <alignment horizontal="left" vertical="center" wrapText="1"/>
      <protection locked="0"/>
    </xf>
    <xf numFmtId="166" fontId="22" fillId="0" borderId="10" xfId="0" applyNumberFormat="1" applyFont="1" applyBorder="1" applyAlignment="1" applyProtection="1">
      <alignment horizontal="left" vertical="center" wrapText="1" indent="1"/>
      <protection locked="0"/>
    </xf>
    <xf numFmtId="166" fontId="22" fillId="0" borderId="6" xfId="0" applyNumberFormat="1" applyFont="1" applyBorder="1" applyAlignment="1" applyProtection="1">
      <alignment vertical="center" wrapText="1"/>
      <protection locked="0"/>
    </xf>
    <xf numFmtId="166" fontId="22" fillId="0" borderId="71" xfId="0" applyNumberFormat="1" applyFont="1" applyBorder="1" applyAlignment="1" applyProtection="1">
      <alignment vertical="center" wrapText="1"/>
      <protection locked="0"/>
    </xf>
    <xf numFmtId="166" fontId="8" fillId="0" borderId="13" xfId="0" applyNumberFormat="1" applyFont="1" applyBorder="1" applyAlignment="1">
      <alignment horizontal="left" vertical="center" wrapText="1"/>
    </xf>
    <xf numFmtId="166" fontId="20" fillId="0" borderId="14" xfId="0" applyNumberFormat="1" applyFont="1" applyBorder="1" applyAlignment="1">
      <alignment vertical="center" wrapText="1"/>
    </xf>
    <xf numFmtId="166" fontId="20" fillId="0" borderId="47" xfId="0" applyNumberFormat="1" applyFont="1" applyBorder="1" applyAlignment="1">
      <alignment vertical="center" wrapText="1"/>
    </xf>
    <xf numFmtId="166" fontId="28" fillId="0" borderId="25" xfId="0" applyNumberFormat="1" applyFont="1" applyBorder="1" applyAlignment="1">
      <alignment horizontal="center" vertical="center" wrapText="1"/>
    </xf>
    <xf numFmtId="166" fontId="4" fillId="0" borderId="0" xfId="0" applyNumberFormat="1" applyFont="1" applyAlignment="1">
      <alignment vertical="center" wrapText="1"/>
    </xf>
    <xf numFmtId="166" fontId="0" fillId="0" borderId="0" xfId="0" applyNumberFormat="1" applyAlignment="1">
      <alignment horizontal="center" vertical="center" wrapText="1"/>
    </xf>
    <xf numFmtId="166" fontId="8" fillId="0" borderId="17" xfId="0" applyNumberFormat="1" applyFont="1" applyBorder="1" applyAlignment="1" applyProtection="1">
      <alignment horizontal="center" wrapText="1"/>
      <protection locked="0"/>
    </xf>
    <xf numFmtId="166" fontId="20" fillId="0" borderId="36" xfId="0" applyNumberFormat="1" applyFont="1" applyBorder="1" applyAlignment="1">
      <alignment horizontal="center" vertical="center" wrapText="1"/>
    </xf>
    <xf numFmtId="166" fontId="19" fillId="0" borderId="8" xfId="0" applyNumberFormat="1" applyFont="1" applyBorder="1" applyAlignment="1" applyProtection="1">
      <alignment horizontal="left" vertical="center" wrapText="1" indent="1"/>
      <protection locked="0"/>
    </xf>
    <xf numFmtId="166" fontId="19" fillId="0" borderId="2" xfId="0" applyNumberFormat="1" applyFont="1" applyBorder="1" applyAlignment="1" applyProtection="1">
      <alignment vertical="center" wrapText="1"/>
      <protection locked="0"/>
    </xf>
    <xf numFmtId="166" fontId="19" fillId="0" borderId="50" xfId="0" applyNumberFormat="1" applyFont="1" applyBorder="1" applyAlignment="1" applyProtection="1">
      <alignment vertical="center" wrapText="1"/>
      <protection locked="0"/>
    </xf>
    <xf numFmtId="166" fontId="19" fillId="0" borderId="23" xfId="0" applyNumberFormat="1" applyFont="1" applyBorder="1" applyAlignment="1">
      <alignment vertical="center" wrapText="1"/>
    </xf>
    <xf numFmtId="166" fontId="19" fillId="0" borderId="10" xfId="0" applyNumberFormat="1" applyFont="1" applyBorder="1" applyAlignment="1" applyProtection="1">
      <alignment horizontal="left" vertical="center" wrapText="1" indent="1"/>
      <protection locked="0"/>
    </xf>
    <xf numFmtId="166" fontId="19" fillId="0" borderId="6" xfId="0" applyNumberFormat="1" applyFont="1" applyBorder="1" applyAlignment="1" applyProtection="1">
      <alignment vertical="center" wrapText="1"/>
      <protection locked="0"/>
    </xf>
    <xf numFmtId="166" fontId="19" fillId="0" borderId="71" xfId="0" applyNumberFormat="1" applyFont="1" applyBorder="1" applyAlignment="1" applyProtection="1">
      <alignment vertical="center" wrapText="1"/>
      <protection locked="0"/>
    </xf>
    <xf numFmtId="166" fontId="8" fillId="0" borderId="14" xfId="0" applyNumberFormat="1" applyFont="1" applyBorder="1" applyAlignment="1">
      <alignment vertical="center" wrapText="1"/>
    </xf>
    <xf numFmtId="166" fontId="8" fillId="0" borderId="47" xfId="0" applyNumberFormat="1" applyFont="1" applyBorder="1" applyAlignment="1">
      <alignment vertical="center" wrapText="1"/>
    </xf>
    <xf numFmtId="166" fontId="8" fillId="0" borderId="17" xfId="0" applyNumberFormat="1" applyFont="1" applyBorder="1" applyAlignment="1">
      <alignment vertical="center" wrapText="1"/>
    </xf>
    <xf numFmtId="0" fontId="0" fillId="0" borderId="0" xfId="0" applyAlignment="1">
      <alignment horizontal="right"/>
    </xf>
    <xf numFmtId="166" fontId="22" fillId="7" borderId="50" xfId="0" applyNumberFormat="1" applyFont="1" applyFill="1" applyBorder="1" applyAlignment="1" applyProtection="1">
      <alignment vertical="center" wrapText="1"/>
      <protection locked="0"/>
    </xf>
    <xf numFmtId="166" fontId="29" fillId="0" borderId="8" xfId="0" applyNumberFormat="1" applyFont="1" applyBorder="1" applyAlignment="1" applyProtection="1">
      <alignment horizontal="left" vertical="center" wrapText="1"/>
      <protection locked="0"/>
    </xf>
    <xf numFmtId="0" fontId="70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/>
    </xf>
    <xf numFmtId="0" fontId="53" fillId="0" borderId="0" xfId="0" applyFont="1" applyAlignment="1">
      <alignment horizontal="center" vertical="top" wrapText="1"/>
    </xf>
    <xf numFmtId="0" fontId="53" fillId="0" borderId="0" xfId="0" applyFont="1" applyAlignment="1">
      <alignment horizontal="center" vertical="top"/>
    </xf>
    <xf numFmtId="0" fontId="34" fillId="6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3" fillId="6" borderId="0" xfId="0" applyFont="1" applyFill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6" fillId="0" borderId="0" xfId="0" applyFont="1" applyAlignment="1" applyProtection="1">
      <alignment horizontal="center"/>
      <protection locked="0"/>
    </xf>
    <xf numFmtId="0" fontId="52" fillId="0" borderId="0" xfId="7" applyFont="1" applyFill="1" applyAlignment="1" applyProtection="1">
      <alignment horizontal="right"/>
      <protection locked="0"/>
    </xf>
    <xf numFmtId="0" fontId="52" fillId="0" borderId="0" xfId="0" applyFont="1" applyAlignment="1" applyProtection="1">
      <alignment horizontal="right"/>
      <protection locked="0"/>
    </xf>
    <xf numFmtId="166" fontId="7" fillId="0" borderId="0" xfId="7" applyNumberFormat="1" applyFont="1" applyFill="1" applyBorder="1" applyAlignment="1" applyProtection="1">
      <alignment horizontal="center" vertical="center"/>
      <protection locked="0"/>
    </xf>
    <xf numFmtId="166" fontId="35" fillId="0" borderId="31" xfId="7" applyNumberFormat="1" applyFont="1" applyFill="1" applyBorder="1" applyAlignment="1" applyProtection="1">
      <alignment horizontal="left" vertical="center"/>
      <protection locked="0"/>
    </xf>
    <xf numFmtId="166" fontId="35" fillId="0" borderId="31" xfId="7" applyNumberFormat="1" applyFont="1" applyFill="1" applyBorder="1" applyAlignment="1" applyProtection="1">
      <alignment horizontal="left"/>
    </xf>
    <xf numFmtId="0" fontId="28" fillId="0" borderId="0" xfId="7" applyFont="1" applyFill="1" applyAlignment="1" applyProtection="1">
      <alignment horizontal="center"/>
    </xf>
    <xf numFmtId="166" fontId="35" fillId="0" borderId="31" xfId="7" applyNumberFormat="1" applyFont="1" applyFill="1" applyBorder="1" applyAlignment="1" applyProtection="1">
      <alignment horizontal="left" vertical="center"/>
    </xf>
    <xf numFmtId="166" fontId="7" fillId="0" borderId="0" xfId="7" applyNumberFormat="1" applyFont="1" applyFill="1" applyBorder="1" applyAlignment="1" applyProtection="1">
      <alignment horizontal="center" vertical="center"/>
    </xf>
    <xf numFmtId="166" fontId="30" fillId="0" borderId="66" xfId="0" applyNumberFormat="1" applyFont="1" applyFill="1" applyBorder="1" applyAlignment="1" applyProtection="1">
      <alignment horizontal="center" vertical="center" wrapText="1"/>
    </xf>
    <xf numFmtId="166" fontId="30" fillId="0" borderId="64" xfId="0" applyNumberFormat="1" applyFont="1" applyFill="1" applyBorder="1" applyAlignment="1" applyProtection="1">
      <alignment horizontal="center" vertical="center" wrapText="1"/>
    </xf>
    <xf numFmtId="166" fontId="52" fillId="0" borderId="0" xfId="0" applyNumberFormat="1" applyFont="1" applyFill="1" applyAlignment="1" applyProtection="1">
      <alignment horizontal="center" textRotation="180" wrapText="1"/>
    </xf>
    <xf numFmtId="166" fontId="71" fillId="0" borderId="54" xfId="0" applyNumberFormat="1" applyFont="1" applyFill="1" applyBorder="1" applyAlignment="1" applyProtection="1">
      <alignment horizontal="left" vertical="top" wrapText="1"/>
    </xf>
    <xf numFmtId="166" fontId="30" fillId="0" borderId="67" xfId="0" applyNumberFormat="1" applyFont="1" applyFill="1" applyBorder="1" applyAlignment="1" applyProtection="1">
      <alignment horizontal="center" vertical="center" wrapText="1"/>
    </xf>
    <xf numFmtId="166" fontId="30" fillId="0" borderId="68" xfId="0" applyNumberFormat="1" applyFont="1" applyFill="1" applyBorder="1" applyAlignment="1" applyProtection="1">
      <alignment horizontal="center" vertical="center" wrapText="1"/>
    </xf>
    <xf numFmtId="166" fontId="5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1" fillId="0" borderId="34" xfId="7" applyFont="1" applyFill="1" applyBorder="1" applyAlignment="1">
      <alignment horizontal="center" vertical="center" wrapText="1"/>
    </xf>
    <xf numFmtId="0" fontId="31" fillId="0" borderId="35" xfId="7" applyFont="1" applyFill="1" applyBorder="1" applyAlignment="1">
      <alignment horizontal="center" vertical="center" wrapText="1"/>
    </xf>
    <xf numFmtId="0" fontId="31" fillId="0" borderId="11" xfId="7" applyFont="1" applyFill="1" applyBorder="1" applyAlignment="1">
      <alignment horizontal="center" vertical="center" wrapText="1"/>
    </xf>
    <xf numFmtId="0" fontId="31" fillId="0" borderId="10" xfId="7" applyFont="1" applyFill="1" applyBorder="1" applyAlignment="1">
      <alignment horizontal="center" vertical="center" wrapText="1"/>
    </xf>
    <xf numFmtId="0" fontId="31" fillId="0" borderId="4" xfId="7" applyFont="1" applyFill="1" applyBorder="1" applyAlignment="1">
      <alignment horizontal="center" vertical="center" wrapText="1"/>
    </xf>
    <xf numFmtId="0" fontId="31" fillId="0" borderId="6" xfId="7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  <protection locked="0"/>
    </xf>
    <xf numFmtId="166" fontId="7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30" fillId="0" borderId="13" xfId="7" applyFont="1" applyFill="1" applyBorder="1" applyAlignment="1" applyProtection="1">
      <alignment horizontal="left"/>
    </xf>
    <xf numFmtId="0" fontId="30" fillId="0" borderId="14" xfId="7" applyFont="1" applyFill="1" applyBorder="1" applyAlignment="1" applyProtection="1">
      <alignment horizontal="left"/>
    </xf>
    <xf numFmtId="0" fontId="22" fillId="0" borderId="54" xfId="7" applyFont="1" applyFill="1" applyBorder="1" applyAlignment="1">
      <alignment horizontal="justify" vertical="center" wrapText="1"/>
    </xf>
    <xf numFmtId="0" fontId="15" fillId="0" borderId="54" xfId="7" applyFont="1" applyBorder="1" applyAlignment="1">
      <alignment horizontal="left" vertical="top" wrapText="1"/>
    </xf>
    <xf numFmtId="0" fontId="52" fillId="0" borderId="0" xfId="0" applyFont="1" applyAlignment="1" applyProtection="1">
      <alignment horizontal="right" vertical="center" wrapText="1"/>
      <protection locked="0"/>
    </xf>
    <xf numFmtId="166" fontId="23" fillId="0" borderId="0" xfId="0" applyNumberFormat="1" applyFont="1" applyAlignment="1" applyProtection="1">
      <alignment horizontal="center" vertical="center" wrapText="1"/>
      <protection locked="0"/>
    </xf>
    <xf numFmtId="166" fontId="52" fillId="0" borderId="0" xfId="0" applyNumberFormat="1" applyFont="1" applyAlignment="1" applyProtection="1">
      <alignment horizontal="right" vertical="center" wrapText="1"/>
      <protection locked="0"/>
    </xf>
    <xf numFmtId="166" fontId="0" fillId="0" borderId="57" xfId="6" applyNumberFormat="1" applyFont="1" applyFill="1" applyBorder="1" applyAlignment="1" applyProtection="1">
      <alignment horizontal="left" vertical="center" wrapText="1"/>
      <protection locked="0"/>
    </xf>
    <xf numFmtId="166" fontId="17" fillId="0" borderId="73" xfId="6" applyNumberFormat="1" applyFill="1" applyBorder="1" applyAlignment="1" applyProtection="1">
      <alignment horizontal="left" vertical="center" wrapText="1"/>
      <protection locked="0"/>
    </xf>
    <xf numFmtId="166" fontId="17" fillId="0" borderId="58" xfId="6" applyNumberFormat="1" applyFill="1" applyBorder="1" applyAlignment="1" applyProtection="1">
      <alignment horizontal="left" vertical="center" wrapText="1"/>
      <protection locked="0"/>
    </xf>
    <xf numFmtId="166" fontId="17" fillId="0" borderId="74" xfId="6" applyNumberFormat="1" applyFill="1" applyBorder="1" applyAlignment="1" applyProtection="1">
      <alignment horizontal="left" vertical="center" wrapText="1"/>
      <protection locked="0"/>
    </xf>
    <xf numFmtId="166" fontId="31" fillId="0" borderId="41" xfId="6" applyNumberFormat="1" applyFont="1" applyFill="1" applyBorder="1" applyAlignment="1">
      <alignment horizontal="left" vertical="center" wrapText="1"/>
    </xf>
    <xf numFmtId="166" fontId="31" fillId="0" borderId="42" xfId="6" applyNumberFormat="1" applyFont="1" applyFill="1" applyBorder="1" applyAlignment="1">
      <alignment horizontal="left" vertical="center" wrapText="1"/>
    </xf>
    <xf numFmtId="175" fontId="59" fillId="0" borderId="54" xfId="6" applyNumberFormat="1" applyFont="1" applyFill="1" applyBorder="1" applyAlignment="1" applyProtection="1">
      <alignment horizontal="left" vertical="center" wrapText="1"/>
      <protection locked="0"/>
    </xf>
    <xf numFmtId="0" fontId="23" fillId="0" borderId="0" xfId="6" applyFont="1" applyFill="1" applyAlignment="1">
      <alignment horizontal="center" vertical="center"/>
    </xf>
    <xf numFmtId="166" fontId="34" fillId="0" borderId="0" xfId="6" applyNumberFormat="1" applyFont="1" applyFill="1" applyAlignment="1" applyProtection="1">
      <alignment horizontal="left" vertical="center" wrapText="1"/>
      <protection locked="0"/>
    </xf>
    <xf numFmtId="166" fontId="0" fillId="0" borderId="0" xfId="6" applyNumberFormat="1" applyFont="1" applyFill="1" applyAlignment="1" applyProtection="1">
      <alignment horizontal="left" vertical="center" wrapText="1"/>
      <protection locked="0"/>
    </xf>
    <xf numFmtId="166" fontId="17" fillId="0" borderId="0" xfId="6" applyNumberFormat="1" applyFill="1" applyAlignment="1" applyProtection="1">
      <alignment horizontal="left" vertical="center" wrapText="1"/>
      <protection locked="0"/>
    </xf>
    <xf numFmtId="166" fontId="4" fillId="0" borderId="72" xfId="6" applyNumberFormat="1" applyFont="1" applyFill="1" applyBorder="1" applyAlignment="1">
      <alignment horizontal="center" vertical="center"/>
    </xf>
    <xf numFmtId="166" fontId="4" fillId="0" borderId="51" xfId="6" applyNumberFormat="1" applyFont="1" applyFill="1" applyBorder="1" applyAlignment="1">
      <alignment horizontal="center" vertical="center"/>
    </xf>
    <xf numFmtId="166" fontId="4" fillId="0" borderId="63" xfId="6" applyNumberFormat="1" applyFont="1" applyFill="1" applyBorder="1" applyAlignment="1">
      <alignment horizontal="center" vertical="center"/>
    </xf>
    <xf numFmtId="0" fontId="60" fillId="0" borderId="0" xfId="6" applyFont="1" applyFill="1" applyAlignment="1">
      <alignment horizontal="center" vertical="top" textRotation="180"/>
    </xf>
    <xf numFmtId="166" fontId="31" fillId="0" borderId="72" xfId="6" applyNumberFormat="1" applyFont="1" applyFill="1" applyBorder="1" applyAlignment="1">
      <alignment horizontal="center" vertical="center" wrapText="1"/>
    </xf>
    <xf numFmtId="166" fontId="31" fillId="0" borderId="54" xfId="6" applyNumberFormat="1" applyFont="1" applyFill="1" applyBorder="1" applyAlignment="1">
      <alignment horizontal="center" vertical="center" wrapText="1"/>
    </xf>
    <xf numFmtId="0" fontId="17" fillId="0" borderId="59" xfId="6" applyFont="1" applyBorder="1" applyAlignment="1">
      <alignment horizontal="center" vertical="center" wrapText="1"/>
    </xf>
    <xf numFmtId="166" fontId="4" fillId="0" borderId="66" xfId="6" applyNumberFormat="1" applyFont="1" applyFill="1" applyBorder="1" applyAlignment="1">
      <alignment horizontal="center" vertical="center" wrapText="1"/>
    </xf>
    <xf numFmtId="166" fontId="4" fillId="0" borderId="48" xfId="6" applyNumberFormat="1" applyFont="1" applyFill="1" applyBorder="1" applyAlignment="1">
      <alignment horizontal="center" vertical="center"/>
    </xf>
    <xf numFmtId="0" fontId="72" fillId="0" borderId="64" xfId="0" applyFont="1" applyBorder="1" applyAlignment="1">
      <alignment horizontal="center" vertical="center"/>
    </xf>
    <xf numFmtId="0" fontId="23" fillId="0" borderId="0" xfId="6" applyFont="1" applyFill="1" applyAlignment="1" applyProtection="1">
      <alignment horizontal="center" vertical="center"/>
      <protection locked="0"/>
    </xf>
    <xf numFmtId="0" fontId="23" fillId="0" borderId="0" xfId="6" applyFont="1" applyAlignment="1">
      <alignment horizontal="center" vertical="center"/>
    </xf>
    <xf numFmtId="166" fontId="4" fillId="0" borderId="41" xfId="6" applyNumberFormat="1" applyFont="1" applyFill="1" applyBorder="1" applyAlignment="1">
      <alignment horizontal="center" vertical="center" wrapText="1"/>
    </xf>
    <xf numFmtId="0" fontId="17" fillId="0" borderId="42" xfId="6" applyFont="1" applyBorder="1" applyAlignment="1">
      <alignment horizontal="center" vertical="center" wrapText="1"/>
    </xf>
    <xf numFmtId="0" fontId="17" fillId="0" borderId="33" xfId="6" applyFont="1" applyBorder="1" applyAlignment="1">
      <alignment horizontal="center" vertical="center" wrapText="1"/>
    </xf>
    <xf numFmtId="0" fontId="72" fillId="0" borderId="64" xfId="0" applyFont="1" applyBorder="1" applyAlignment="1">
      <alignment horizontal="center" vertical="center" wrapText="1"/>
    </xf>
    <xf numFmtId="175" fontId="7" fillId="0" borderId="0" xfId="6" applyNumberFormat="1" applyFont="1" applyFill="1" applyBorder="1" applyAlignment="1" applyProtection="1">
      <alignment horizontal="center" vertical="center" wrapText="1"/>
      <protection locked="0"/>
    </xf>
    <xf numFmtId="166" fontId="31" fillId="0" borderId="41" xfId="6" applyNumberFormat="1" applyFont="1" applyFill="1" applyBorder="1" applyAlignment="1">
      <alignment horizontal="center" vertical="center" wrapText="1"/>
    </xf>
    <xf numFmtId="166" fontId="31" fillId="0" borderId="42" xfId="6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Alignment="1">
      <alignment horizontal="center" wrapText="1"/>
    </xf>
    <xf numFmtId="0" fontId="52" fillId="0" borderId="0" xfId="0" applyFont="1" applyFill="1" applyAlignment="1">
      <alignment horizontal="right"/>
    </xf>
    <xf numFmtId="0" fontId="34" fillId="0" borderId="0" xfId="7" applyFont="1" applyFill="1" applyAlignment="1" applyProtection="1">
      <alignment horizontal="center"/>
      <protection locked="0"/>
    </xf>
    <xf numFmtId="0" fontId="34" fillId="0" borderId="0" xfId="7" applyFont="1" applyFill="1" applyAlignment="1" applyProtection="1">
      <alignment horizontal="center" vertical="center"/>
      <protection locked="0"/>
    </xf>
    <xf numFmtId="166" fontId="52" fillId="0" borderId="0" xfId="0" applyNumberFormat="1" applyFont="1" applyFill="1" applyBorder="1" applyAlignment="1" applyProtection="1">
      <alignment horizontal="right" textRotation="180" wrapText="1"/>
    </xf>
    <xf numFmtId="166" fontId="23" fillId="0" borderId="0" xfId="0" applyNumberFormat="1" applyFont="1" applyFill="1" applyAlignment="1" applyProtection="1">
      <alignment horizontal="center" vertical="center" wrapText="1"/>
      <protection locked="0"/>
    </xf>
    <xf numFmtId="166" fontId="8" fillId="0" borderId="41" xfId="0" applyNumberFormat="1" applyFont="1" applyFill="1" applyBorder="1" applyAlignment="1" applyProtection="1">
      <alignment horizontal="left" vertical="center" wrapText="1" indent="2"/>
    </xf>
    <xf numFmtId="166" fontId="8" fillId="0" borderId="33" xfId="0" applyNumberFormat="1" applyFont="1" applyFill="1" applyBorder="1" applyAlignment="1" applyProtection="1">
      <alignment horizontal="left" vertical="center" wrapText="1" indent="2"/>
    </xf>
    <xf numFmtId="166" fontId="8" fillId="0" borderId="66" xfId="0" applyNumberFormat="1" applyFont="1" applyFill="1" applyBorder="1" applyAlignment="1" applyProtection="1">
      <alignment horizontal="center" vertical="center"/>
    </xf>
    <xf numFmtId="166" fontId="8" fillId="0" borderId="64" xfId="0" applyNumberFormat="1" applyFont="1" applyFill="1" applyBorder="1" applyAlignment="1" applyProtection="1">
      <alignment horizontal="center" vertical="center"/>
    </xf>
    <xf numFmtId="166" fontId="8" fillId="0" borderId="57" xfId="0" applyNumberFormat="1" applyFont="1" applyFill="1" applyBorder="1" applyAlignment="1" applyProtection="1">
      <alignment horizontal="center" vertical="center"/>
    </xf>
    <xf numFmtId="166" fontId="8" fillId="0" borderId="73" xfId="0" applyNumberFormat="1" applyFont="1" applyFill="1" applyBorder="1" applyAlignment="1" applyProtection="1">
      <alignment horizontal="center" vertical="center"/>
    </xf>
    <xf numFmtId="166" fontId="8" fillId="0" borderId="52" xfId="0" applyNumberFormat="1" applyFont="1" applyFill="1" applyBorder="1" applyAlignment="1" applyProtection="1">
      <alignment horizontal="center" vertical="center"/>
    </xf>
    <xf numFmtId="166" fontId="8" fillId="0" borderId="66" xfId="0" applyNumberFormat="1" applyFont="1" applyFill="1" applyBorder="1" applyAlignment="1" applyProtection="1">
      <alignment horizontal="center" vertical="center" wrapText="1"/>
    </xf>
    <xf numFmtId="166" fontId="8" fillId="0" borderId="64" xfId="0" applyNumberFormat="1" applyFont="1" applyFill="1" applyBorder="1" applyAlignment="1" applyProtection="1">
      <alignment horizontal="center" vertical="center" wrapText="1"/>
    </xf>
    <xf numFmtId="0" fontId="29" fillId="0" borderId="54" xfId="0" applyFont="1" applyFill="1" applyBorder="1" applyAlignment="1">
      <alignment horizontal="justify" vertical="center" wrapText="1"/>
    </xf>
    <xf numFmtId="0" fontId="16" fillId="0" borderId="0" xfId="0" applyFont="1" applyAlignment="1" applyProtection="1">
      <alignment horizontal="center" wrapText="1"/>
      <protection locked="0"/>
    </xf>
    <xf numFmtId="0" fontId="21" fillId="0" borderId="47" xfId="8" applyFont="1" applyFill="1" applyBorder="1" applyAlignment="1" applyProtection="1">
      <alignment horizontal="left" vertical="center" indent="1"/>
    </xf>
    <xf numFmtId="0" fontId="21" fillId="0" borderId="42" xfId="8" applyFont="1" applyFill="1" applyBorder="1" applyAlignment="1" applyProtection="1">
      <alignment horizontal="left" vertical="center" indent="1"/>
    </xf>
    <xf numFmtId="0" fontId="21" fillId="0" borderId="33" xfId="8" applyFont="1" applyFill="1" applyBorder="1" applyAlignment="1" applyProtection="1">
      <alignment horizontal="left" vertical="center" indent="1"/>
    </xf>
    <xf numFmtId="0" fontId="23" fillId="0" borderId="0" xfId="8" applyFont="1" applyFill="1" applyAlignment="1" applyProtection="1">
      <alignment horizontal="center" wrapText="1"/>
    </xf>
    <xf numFmtId="0" fontId="23" fillId="0" borderId="0" xfId="8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52" fillId="0" borderId="0" xfId="0" applyFont="1" applyFill="1" applyBorder="1" applyAlignment="1">
      <alignment horizontal="center" textRotation="180"/>
    </xf>
    <xf numFmtId="0" fontId="18" fillId="0" borderId="54" xfId="0" applyFont="1" applyBorder="1"/>
    <xf numFmtId="0" fontId="35" fillId="0" borderId="0" xfId="0" applyFont="1" applyAlignment="1" applyProtection="1">
      <alignment horizontal="right"/>
    </xf>
    <xf numFmtId="0" fontId="30" fillId="0" borderId="41" xfId="0" applyFont="1" applyBorder="1" applyAlignment="1" applyProtection="1">
      <alignment horizontal="left" vertical="center" indent="2"/>
    </xf>
    <xf numFmtId="0" fontId="30" fillId="0" borderId="40" xfId="0" applyFont="1" applyBorder="1" applyAlignment="1" applyProtection="1">
      <alignment horizontal="left" vertical="center" indent="2"/>
    </xf>
    <xf numFmtId="0" fontId="23" fillId="0" borderId="0" xfId="0" applyFont="1" applyAlignment="1" applyProtection="1">
      <alignment horizontal="center" wrapText="1"/>
      <protection locked="0"/>
    </xf>
    <xf numFmtId="0" fontId="34" fillId="0" borderId="0" xfId="7" applyFont="1" applyFill="1" applyAlignment="1" applyProtection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 applyAlignment="1" applyProtection="1">
      <alignment horizontal="center"/>
      <protection locked="0"/>
    </xf>
  </cellXfs>
  <cellStyles count="10">
    <cellStyle name="Ezres" xfId="1" builtinId="3"/>
    <cellStyle name="Ezres 2" xfId="2"/>
    <cellStyle name="Hiperhivatkozás" xfId="3"/>
    <cellStyle name="Hivatkozás" xfId="4" builtinId="8"/>
    <cellStyle name="Már látott hiperhivatkozás" xfId="5"/>
    <cellStyle name="Normál" xfId="0" builtinId="0"/>
    <cellStyle name="Normál 2" xfId="6"/>
    <cellStyle name="Normál_KVRENMUNKA" xfId="7"/>
    <cellStyle name="Normál_SEGEDLETEK" xfId="8"/>
    <cellStyle name="Százalék 2" xfId="9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lor rgb="FFFF0000"/>
      </font>
    </dxf>
    <dxf>
      <font>
        <color rgb="FFFFC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czak_istvanne/Asztal/Test&#252;leti/2020/m&#225;jus/2020.%20212%20milli&#243;s%20keret%20terh&#233;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V_6.sz.mell."/>
      <sheetName val="KV_7.sz.mell."/>
    </sheetNames>
    <sheetDataSet>
      <sheetData sheetId="0">
        <row r="5">
          <cell r="D5" t="str">
            <v>Forintban!</v>
          </cell>
        </row>
        <row r="6">
          <cell r="B6" t="str">
            <v>2020. Eredeti előirányzat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3"/>
  <sheetViews>
    <sheetView zoomScale="120" zoomScaleNormal="120" workbookViewId="0">
      <selection activeCell="E14" sqref="E14"/>
    </sheetView>
  </sheetViews>
  <sheetFormatPr defaultRowHeight="12.75"/>
  <cols>
    <col min="1" max="1" width="35.33203125" customWidth="1"/>
    <col min="2" max="2" width="83" customWidth="1"/>
    <col min="3" max="3" width="34.5" customWidth="1"/>
  </cols>
  <sheetData>
    <row r="1" spans="1:3">
      <c r="A1" s="651">
        <v>2020</v>
      </c>
    </row>
    <row r="2" spans="1:3" ht="18.75" customHeight="1">
      <c r="A2" s="748" t="s">
        <v>573</v>
      </c>
      <c r="B2" s="748"/>
      <c r="C2" s="748"/>
    </row>
    <row r="3" spans="1:3" ht="15">
      <c r="A3" s="536"/>
      <c r="B3" s="537"/>
      <c r="C3" s="536"/>
    </row>
    <row r="4" spans="1:3" ht="14.25">
      <c r="A4" s="538" t="s">
        <v>596</v>
      </c>
      <c r="B4" s="539" t="s">
        <v>595</v>
      </c>
      <c r="C4" s="538" t="s">
        <v>574</v>
      </c>
    </row>
    <row r="5" spans="1:3">
      <c r="A5" s="540"/>
      <c r="B5" s="540"/>
      <c r="C5" s="540"/>
    </row>
    <row r="6" spans="1:3" ht="18.75">
      <c r="A6" s="749" t="s">
        <v>576</v>
      </c>
      <c r="B6" s="749"/>
      <c r="C6" s="749"/>
    </row>
    <row r="7" spans="1:3">
      <c r="A7" s="540" t="s">
        <v>597</v>
      </c>
      <c r="B7" s="540" t="s">
        <v>598</v>
      </c>
      <c r="C7" s="592" t="str">
        <f ca="1">HYPERLINK(SUBSTITUTE(CELL("address",ALAPADATOK!A1),"'",""),SUBSTITUTE(MID(CELL("address",ALAPADATOK!A1),SEARCH("]",CELL("address",ALAPADATOK!A1),1)+1,LEN(CELL("address",ALAPADATOK!A1))-SEARCH("]",CELL("address",ALAPADATOK!A1),1)),"'",""))</f>
        <v>ALAPADATOK!$A$1</v>
      </c>
    </row>
    <row r="8" spans="1:3">
      <c r="A8" s="540" t="s">
        <v>599</v>
      </c>
      <c r="B8" s="540" t="s">
        <v>676</v>
      </c>
      <c r="C8" s="592" t="str">
        <f ca="1">HYPERLINK(SUBSTITUTE(CELL("address",KV_ÖSSZEFÜGGÉSEK!A1),"'",""),SUBSTITUTE(MID(CELL("address",KV_ÖSSZEFÜGGÉSEK!A1),SEARCH("]",CELL("address",KV_ÖSSZEFÜGGÉSEK!A1),1)+1,LEN(CELL("address",KV_ÖSSZEFÜGGÉSEK!A1))-SEARCH("]",CELL("address",KV_ÖSSZEFÜGGÉSEK!A1),1)),"'",""))</f>
        <v>KV_ÖSSZEFÜGGÉSEK!$A$1</v>
      </c>
    </row>
    <row r="9" spans="1:3">
      <c r="A9" s="540" t="s">
        <v>600</v>
      </c>
      <c r="B9" s="540" t="s">
        <v>601</v>
      </c>
      <c r="C9" s="592" t="str">
        <f ca="1">HYPERLINK(SUBSTITUTE(CELL("address",KV_1.1.sz.mell.!A1),"'",""),SUBSTITUTE(MID(CELL("address",KV_1.1.sz.mell.!A1),SEARCH("]",CELL("address",KV_1.1.sz.mell.!A1),1)+1,LEN(CELL("address",KV_1.1.sz.mell.!A1))-SEARCH("]",CELL("address",KV_1.1.sz.mell.!A1),1)),"'",""))</f>
        <v>KV_1.1.sz.mell.!$A$1</v>
      </c>
    </row>
    <row r="10" spans="1:3">
      <c r="A10" s="540" t="s">
        <v>602</v>
      </c>
      <c r="B10" s="540" t="s">
        <v>604</v>
      </c>
      <c r="C10" s="592" t="str">
        <f ca="1">HYPERLINK(SUBSTITUTE(CELL("address",KV_1.2.sz.mell.!A1),"'",""),SUBSTITUTE(MID(CELL("address",KV_1.2.sz.mell.!A1),SEARCH("]",CELL("address",KV_1.2.sz.mell.!A1),1)+1,LEN(CELL("address",KV_1.2.sz.mell.!A1))-SEARCH("]",CELL("address",KV_1.2.sz.mell.!A1),1)),"'",""))</f>
        <v>KV_1.2.sz.mell.!$A$1</v>
      </c>
    </row>
    <row r="11" spans="1:3">
      <c r="A11" s="540" t="s">
        <v>603</v>
      </c>
      <c r="B11" s="540" t="s">
        <v>605</v>
      </c>
      <c r="C11" s="592" t="str">
        <f ca="1">HYPERLINK(SUBSTITUTE(CELL("address",KV_1.3.sz.mell.!A1),"'",""),SUBSTITUTE(MID(CELL("address",KV_1.3.sz.mell.!A1),SEARCH("]",CELL("address",KV_1.3.sz.mell.!A1),1)+1,LEN(CELL("address",KV_1.3.sz.mell.!A1))-SEARCH("]",CELL("address",KV_1.3.sz.mell.!A1),1)),"'",""))</f>
        <v>KV_1.3.sz.mell.!$A$1</v>
      </c>
    </row>
    <row r="12" spans="1:3">
      <c r="A12" s="540" t="s">
        <v>606</v>
      </c>
      <c r="B12" s="540" t="s">
        <v>607</v>
      </c>
      <c r="C12" s="592" t="str">
        <f ca="1">HYPERLINK(SUBSTITUTE(CELL("address",KV_1.4.sz.mell.!A1),"'",""),SUBSTITUTE(MID(CELL("address",KV_1.4.sz.mell.!A1),SEARCH("]",CELL("address",KV_1.4.sz.mell.!A1),1)+1,LEN(CELL("address",KV_1.4.sz.mell.!A1))-SEARCH("]",CELL("address",KV_1.4.sz.mell.!A1),1)),"'",""))</f>
        <v>KV_1.4.sz.mell.!$A$1</v>
      </c>
    </row>
    <row r="13" spans="1:3">
      <c r="A13" s="540" t="s">
        <v>608</v>
      </c>
      <c r="B13" s="540" t="s">
        <v>609</v>
      </c>
      <c r="C13" s="592" t="str">
        <f ca="1">HYPERLINK(SUBSTITUTE(CELL("address",KV_2.1.sz.mell.!A1),"'",""),SUBSTITUTE(MID(CELL("address",KV_2.1.sz.mell.!A1),SEARCH("]",CELL("address",KV_2.1.sz.mell.!A1),1)+1,LEN(CELL("address",KV_2.1.sz.mell.!A1))-SEARCH("]",CELL("address",KV_2.1.sz.mell.!A1),1)),"'",""))</f>
        <v>KV_2.1.sz.mell.!$A$1</v>
      </c>
    </row>
    <row r="14" spans="1:3">
      <c r="A14" s="540" t="s">
        <v>610</v>
      </c>
      <c r="B14" s="540" t="s">
        <v>611</v>
      </c>
      <c r="C14" s="592" t="str">
        <f ca="1">HYPERLINK(SUBSTITUTE(CELL("address",KV_2.2.sz.mell.!A1),"'",""),SUBSTITUTE(MID(CELL("address",KV_2.2.sz.mell.!A1),SEARCH("]",CELL("address",KV_2.2.sz.mell.!A1),1)+1,LEN(CELL("address",KV_2.2.sz.mell.!A1))-SEARCH("]",CELL("address",KV_2.2.sz.mell.!A1),1)),"'",""))</f>
        <v>KV_2.2.sz.mell.!$A$1</v>
      </c>
    </row>
    <row r="15" spans="1:3">
      <c r="A15" s="540" t="s">
        <v>612</v>
      </c>
      <c r="B15" s="540" t="s">
        <v>613</v>
      </c>
      <c r="C15" s="592" t="str">
        <f ca="1">HYPERLINK(SUBSTITUTE(CELL("address",KV_ELLENŐRZÉS!A1),"'",""),SUBSTITUTE(MID(CELL("address",KV_ELLENŐRZÉS!A1),SEARCH("]",CELL("address",KV_ELLENŐRZÉS!A1),1)+1,LEN(CELL("address",KV_ELLENŐRZÉS!A1))-SEARCH("]",CELL("address",KV_ELLENŐRZÉS!A1),1)),"'",""))</f>
        <v>KV_ELLENŐRZÉS!$A$1</v>
      </c>
    </row>
    <row r="16" spans="1:3">
      <c r="A16" s="540" t="s">
        <v>614</v>
      </c>
      <c r="B16" s="540" t="s">
        <v>677</v>
      </c>
      <c r="C16" s="592" t="str">
        <f ca="1">HYPERLINK(SUBSTITUTE(CELL("address",KV_3.sz.mell.!A1),"'",""),SUBSTITUTE(MID(CELL("address",KV_3.sz.mell.!A1),SEARCH("]",CELL("address",KV_3.sz.mell.!A1),1)+1,LEN(CELL("address",KV_3.sz.mell.!A1))-SEARCH("]",CELL("address",KV_3.sz.mell.!A1),1)),"'",""))</f>
        <v>KV_3.sz.mell.!$A$1</v>
      </c>
    </row>
    <row r="17" spans="1:3">
      <c r="A17" s="540" t="s">
        <v>615</v>
      </c>
      <c r="B17" s="540" t="s">
        <v>616</v>
      </c>
      <c r="C17" s="592" t="str">
        <f ca="1">HYPERLINK(SUBSTITUTE(CELL("address",KV_4.sz.mell.!A1),"'",""),SUBSTITUTE(MID(CELL("address",KV_4.sz.mell.!A1),SEARCH("]",CELL("address",KV_4.sz.mell.!A1),1)+1,LEN(CELL("address",KV_4.sz.mell.!A1))-SEARCH("]",CELL("address",KV_4.sz.mell.!A1),1)),"'",""))</f>
        <v>KV_4.sz.mell.!$A$1</v>
      </c>
    </row>
    <row r="18" spans="1:3">
      <c r="A18" s="540" t="s">
        <v>618</v>
      </c>
      <c r="B18" s="540" t="s">
        <v>617</v>
      </c>
      <c r="C18" s="592" t="str">
        <f ca="1">HYPERLINK(SUBSTITUTE(CELL("address",KV_5.sz.mell.!A1),"'",""),SUBSTITUTE(MID(CELL("address",KV_5.sz.mell.!A1),SEARCH("]",CELL("address",KV_5.sz.mell.!A1),1)+1,LEN(CELL("address",KV_5.sz.mell.!A1))-SEARCH("]",CELL("address",KV_5.sz.mell.!A1),1)),"'",""))</f>
        <v>KV_5.sz.mell.!$A$1</v>
      </c>
    </row>
    <row r="19" spans="1:3">
      <c r="A19" s="540" t="s">
        <v>619</v>
      </c>
      <c r="B19" s="540" t="s">
        <v>620</v>
      </c>
      <c r="C19" s="592" t="e">
        <f ca="1">HYPERLINK(SUBSTITUTE(CELL("address",KV_6.sz.mell.!#REF!),"'",""),SUBSTITUTE(MID(CELL("address",KV_6.sz.mell.!#REF!),SEARCH("]",CELL("address",KV_6.sz.mell.!#REF!),1)+1,LEN(CELL("address",KV_6.sz.mell.!#REF!))-SEARCH("]",CELL("address",KV_6.sz.mell.!#REF!),1)),"'",""))</f>
        <v>#REF!</v>
      </c>
    </row>
    <row r="20" spans="1:3">
      <c r="A20" s="540" t="s">
        <v>621</v>
      </c>
      <c r="B20" s="540" t="s">
        <v>622</v>
      </c>
      <c r="C20" s="592" t="e">
        <f ca="1">HYPERLINK(SUBSTITUTE(CELL("address",KV_7.sz.mell.!#REF!),"'",""),SUBSTITUTE(MID(CELL("address",KV_7.sz.mell.!#REF!),SEARCH("]",CELL("address",KV_7.sz.mell.!#REF!),1)+1,LEN(CELL("address",KV_7.sz.mell.!#REF!))-SEARCH("]",CELL("address",KV_7.sz.mell.!#REF!),1)),"'",""))</f>
        <v>#REF!</v>
      </c>
    </row>
    <row r="21" spans="1:3">
      <c r="A21" s="540" t="s">
        <v>623</v>
      </c>
      <c r="B21" s="540" t="s">
        <v>624</v>
      </c>
      <c r="C21" s="592" t="str">
        <f ca="1">HYPERLINK(SUBSTITUTE(CELL("address",KV_8.sz.mell.!A1),"'",""),SUBSTITUTE(MID(CELL("address",KV_8.sz.mell.!A1),SEARCH("]",CELL("address",KV_8.sz.mell.!A1),1)+1,LEN(CELL("address",KV_8.sz.mell.!A1))-SEARCH("]",CELL("address",KV_8.sz.mell.!A1),1)),"'",""))</f>
        <v>KV_8.sz.mell.!$A$1</v>
      </c>
    </row>
    <row r="22" spans="1:3">
      <c r="A22" s="545" t="s">
        <v>625</v>
      </c>
      <c r="B22" s="540" t="s">
        <v>626</v>
      </c>
      <c r="C22" s="592" t="str">
        <f ca="1">HYPERLINK(SUBSTITUTE(CELL("address",KV_9.1.sz.mell!A1),"'",""),SUBSTITUTE(MID(CELL("address",KV_9.1.sz.mell!A1),SEARCH("]",CELL("address",KV_9.1.sz.mell!A1),1)+1,LEN(CELL("address",KV_9.1.sz.mell!A1))-SEARCH("]",CELL("address",KV_9.1.sz.mell!A1),1)),"'",""))</f>
        <v>KV_9.1.sz.mell!$A$1</v>
      </c>
    </row>
    <row r="23" spans="1:3">
      <c r="A23" s="546" t="s">
        <v>627</v>
      </c>
      <c r="B23" s="540" t="s">
        <v>628</v>
      </c>
      <c r="C23" s="592" t="str">
        <f ca="1">HYPERLINK(SUBSTITUTE(CELL("address",KV_9.1.1.sz.mell!A1),"'",""),SUBSTITUTE(MID(CELL("address",KV_9.1.1.sz.mell!A1),SEARCH("]",CELL("address",KV_9.1.1.sz.mell!A1),1)+1,LEN(CELL("address",KV_9.1.1.sz.mell!A1))-SEARCH("]",CELL("address",KV_9.1.1.sz.mell!A1),1)),"'",""))</f>
        <v>KV_9.1.1.sz.mell!$A$1</v>
      </c>
    </row>
    <row r="24" spans="1:3">
      <c r="A24" s="540" t="s">
        <v>629</v>
      </c>
      <c r="B24" s="540" t="s">
        <v>630</v>
      </c>
      <c r="C24" s="592" t="str">
        <f ca="1">HYPERLINK(SUBSTITUTE(CELL("address",KV_9.1.2.sz.mell.!A1),"'",""),SUBSTITUTE(MID(CELL("address",KV_9.1.2.sz.mell.!A1),SEARCH("]",CELL("address",KV_9.1.2.sz.mell.!A1),1)+1,LEN(CELL("address",KV_9.1.2.sz.mell.!A1))-SEARCH("]",CELL("address",KV_9.1.2.sz.mell.!A1),1)),"'",""))</f>
        <v>KV_9.1.2.sz.mell.!$A$1</v>
      </c>
    </row>
    <row r="25" spans="1:3">
      <c r="A25" s="540" t="s">
        <v>631</v>
      </c>
      <c r="B25" s="540" t="s">
        <v>632</v>
      </c>
      <c r="C25" s="592" t="str">
        <f ca="1">HYPERLINK(SUBSTITUTE(CELL("address",KV_9.1.3.sz.mell!A1),"'",""),SUBSTITUTE(MID(CELL("address",KV_9.1.3.sz.mell!A1),SEARCH("]",CELL("address",KV_9.1.3.sz.mell!A1),1)+1,LEN(CELL("address",KV_9.1.3.sz.mell!A1))-SEARCH("]",CELL("address",KV_9.1.3.sz.mell!A1),1)),"'",""))</f>
        <v>KV_9.1.3.sz.mell!$A$1</v>
      </c>
    </row>
    <row r="26" spans="1:3">
      <c r="A26" s="540" t="s">
        <v>633</v>
      </c>
      <c r="B26" s="540" t="s">
        <v>634</v>
      </c>
      <c r="C26" s="592" t="str">
        <f ca="1">HYPERLINK(SUBSTITUTE(CELL("address",KV_9.2.sz.mell!A1),"'",""),SUBSTITUTE(MID(CELL("address",KV_9.2.sz.mell!A1),SEARCH("]",CELL("address",KV_9.2.sz.mell!A1),1)+1,LEN(CELL("address",KV_9.2.sz.mell!A1))-SEARCH("]",CELL("address",KV_9.2.sz.mell!A1),1)),"'",""))</f>
        <v>KV_9.2.sz.mell!$A$1</v>
      </c>
    </row>
    <row r="27" spans="1:3">
      <c r="A27" s="540" t="s">
        <v>635</v>
      </c>
      <c r="B27" s="540" t="str">
        <f ca="1">CONCATENATE(ALAPADATOK!B13)</f>
        <v>Dabas-Sári Óvoda</v>
      </c>
      <c r="C27" s="592" t="str">
        <f ca="1">HYPERLINK(SUBSTITUTE(CELL("address",KV_9.3.sz.mell!A1),"'",""),SUBSTITUTE(MID(CELL("address",KV_9.3.sz.mell!A1),SEARCH("]",CELL("address",KV_9.3.sz.mell!A1),1)+1,LEN(CELL("address",KV_9.3.sz.mell!A1))-SEARCH("]",CELL("address",KV_9.3.sz.mell!A1),1)),"'",""))</f>
        <v>KV_9.3.sz.mell!$A$1</v>
      </c>
    </row>
    <row r="28" spans="1:3">
      <c r="A28" s="540" t="s">
        <v>636</v>
      </c>
      <c r="B28" s="540" t="str">
        <f ca="1">CONCATENATE(ALAPADATOK!B15)</f>
        <v>Dabasi Egyesített Óvodák</v>
      </c>
      <c r="C28" s="592" t="str">
        <f ca="1">HYPERLINK(SUBSTITUTE(CELL("address",KV_9.4.sz.mell!A1),"'",""),SUBSTITUTE(MID(CELL("address",KV_9.4.sz.mell!A1),SEARCH("]",CELL("address",KV_9.4.sz.mell!A1),1)+1,LEN(CELL("address",KV_9.4.sz.mell!A1))-SEARCH("]",CELL("address",KV_9.4.sz.mell!A1),1)),"'",""))</f>
        <v>KV_9.4.sz.mell!$A$1</v>
      </c>
    </row>
    <row r="29" spans="1:3">
      <c r="A29" s="540" t="s">
        <v>642</v>
      </c>
      <c r="B29" s="540" t="str">
        <f ca="1">CONCATENATE(ALAPADATOK!B17)</f>
        <v>Dr. Halász Géza Szakorvosi Rendelőintézet</v>
      </c>
      <c r="C29" s="592" t="str">
        <f ca="1">HYPERLINK(SUBSTITUTE(CELL("address",KV_9.5.sz.mell!A1),"'",""),SUBSTITUTE(MID(CELL("address",KV_9.5.sz.mell!A1),SEARCH("]",CELL("address",KV_9.5.sz.mell!A1),1)+1,LEN(CELL("address",KV_9.5.sz.mell!A1))-SEARCH("]",CELL("address",KV_9.5.sz.mell!A1),1)),"'",""))</f>
        <v>KV_9.5.sz.mell!$A$1</v>
      </c>
    </row>
    <row r="30" spans="1:3">
      <c r="A30" s="540" t="s">
        <v>643</v>
      </c>
      <c r="B30" s="540" t="str">
        <f ca="1">CONCATENATE(ALAPADATOK!B19)</f>
        <v>Dabasi Intézményfenntartó Központ</v>
      </c>
      <c r="C30" s="592" t="str">
        <f ca="1">HYPERLINK(SUBSTITUTE(CELL("address",KV_9.6.sz.mell!A1),"'",""),SUBSTITUTE(MID(CELL("address",KV_9.6.sz.mell!A1),SEARCH("]",CELL("address",KV_9.6.sz.mell!A1),1)+1,LEN(CELL("address",KV_9.6.sz.mell!A1))-SEARCH("]",CELL("address",KV_9.6.sz.mell!A1),1)),"'",""))</f>
        <v>KV_9.6.sz.mell!$A$1</v>
      </c>
    </row>
    <row r="31" spans="1:3">
      <c r="A31" s="540" t="s">
        <v>644</v>
      </c>
      <c r="B31" s="540" t="str">
        <f ca="1">CONCATENATE(ALAPADATOK!B21)</f>
        <v>Kossuth Művelődési Központ és Halász Boldizsár Város Könyvtár</v>
      </c>
      <c r="C31" s="592" t="str">
        <f ca="1">HYPERLINK(SUBSTITUTE(CELL("address",KV_9.7.sz.mell!A1),"'",""),SUBSTITUTE(MID(CELL("address",KV_9.7.sz.mell!A1),SEARCH("]",CELL("address",KV_9.7.sz.mell!A1),1)+1,LEN(CELL("address",KV_9.7.sz.mell!A1))-SEARCH("]",CELL("address",KV_9.7.sz.mell!A1),1)),"'",""))</f>
        <v>KV_9.7.sz.mell!$A$1</v>
      </c>
    </row>
    <row r="32" spans="1:3">
      <c r="A32" s="540" t="s">
        <v>645</v>
      </c>
      <c r="B32" s="540" t="str">
        <f ca="1">CONCATENATE(ALAPADATOK!B23)</f>
        <v>6 kvi név</v>
      </c>
      <c r="C32" s="592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3" spans="1:3">
      <c r="A33" s="540" t="s">
        <v>646</v>
      </c>
      <c r="B33" s="540" t="str">
        <f ca="1">CONCATENATE(ALAPADATOK!B25)</f>
        <v>7 kvi név</v>
      </c>
      <c r="C33" s="592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4" spans="1:3">
      <c r="A34" s="540" t="s">
        <v>647</v>
      </c>
      <c r="B34" s="540" t="str">
        <f ca="1">CONCATENATE(ALAPADATOK!B27)</f>
        <v>8 kvi név</v>
      </c>
      <c r="C34" s="592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5" spans="1:3">
      <c r="A35" s="540" t="s">
        <v>648</v>
      </c>
      <c r="B35" s="540" t="str">
        <f ca="1">CONCATENATE(ALAPADATOK!B29)</f>
        <v>9 kvi név</v>
      </c>
      <c r="C35" s="592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6" spans="1:3">
      <c r="A36" s="540" t="s">
        <v>649</v>
      </c>
      <c r="B36" s="540" t="str">
        <f ca="1">CONCATENATE(ALAPADATOK!B31)</f>
        <v>10 kvi név</v>
      </c>
      <c r="C36" s="592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7" spans="1:3">
      <c r="A37" s="540" t="s">
        <v>650</v>
      </c>
      <c r="B37" s="540" t="s">
        <v>658</v>
      </c>
      <c r="C37" s="592" t="str">
        <f ca="1">HYPERLINK(SUBSTITUTE(CELL("address",KV_10.sz.mell!A1),"'",""),SUBSTITUTE(MID(CELL("address",KV_10.sz.mell!A1),SEARCH("]",CELL("address",KV_10.sz.mell!A1),1)+1,LEN(CELL("address",KV_10.sz.mell!A1))-SEARCH("]",CELL("address",KV_10.sz.mell!A1),1)),"'",""))</f>
        <v>KV_10.sz.mell!$A$1</v>
      </c>
    </row>
    <row r="38" spans="1:3">
      <c r="A38" s="540" t="s">
        <v>651</v>
      </c>
      <c r="B38" s="540" t="str">
        <f ca="1">KV_1.sz.tájékoztató_t.!A3</f>
        <v>Tájékoztató a 2018. évi tény, 2019. évi várható és 2020. évi terv adatokról</v>
      </c>
      <c r="C38" s="592" t="str">
        <f ca="1">HYPERLINK(SUBSTITUTE(CELL("address",KV_1.sz.tájékoztató_t.!A1),"'",""),SUBSTITUTE(MID(CELL("address",KV_1.sz.tájékoztató_t.!A1),SEARCH("]",CELL("address",KV_1.sz.tájékoztató_t.!A1),1)+1,LEN(CELL("address",KV_1.sz.tájékoztató_t.!A1))-SEARCH("]",CELL("address",KV_1.sz.tájékoztató_t.!A1),1)),"'",""))</f>
        <v>KV_1.sz.tájékoztató_t.!$A$1</v>
      </c>
    </row>
    <row r="39" spans="1:3" ht="25.5">
      <c r="A39" s="540" t="s">
        <v>652</v>
      </c>
      <c r="B39" s="593" t="s">
        <v>4</v>
      </c>
      <c r="C39" s="592" t="str">
        <f ca="1">HYPERLINK(SUBSTITUTE(CELL("address",KV_2.sz.tájékoztató_t.!A1),"'",""),SUBSTITUTE(MID(CELL("address",KV_2.sz.tájékoztató_t.!A1),SEARCH("]",CELL("address",KV_2.sz.tájékoztató_t.!A1),1)+1,LEN(CELL("address",KV_2.sz.tájékoztató_t.!A1))-SEARCH("]",CELL("address",KV_2.sz.tájékoztató_t.!A1),1)),"'",""))</f>
        <v>KV_2.sz.tájékoztató_t.!$A$1</v>
      </c>
    </row>
    <row r="40" spans="1:3">
      <c r="A40" s="540" t="s">
        <v>653</v>
      </c>
      <c r="B40" s="540" t="s">
        <v>659</v>
      </c>
      <c r="C40" s="592" t="str">
        <f ca="1">HYPERLINK(SUBSTITUTE(CELL("address",KV_3.sz.tájékoztató_t.!A1),"'",""),SUBSTITUTE(MID(CELL("address",KV_3.sz.tájékoztató_t.!A1),SEARCH("]",CELL("address",KV_3.sz.tájékoztató_t.!A1),1)+1,LEN(CELL("address",KV_3.sz.tájékoztató_t.!A1))-SEARCH("]",CELL("address",KV_3.sz.tájékoztató_t.!A1),1)),"'",""))</f>
        <v>KV_3.sz.tájékoztató_t.!$A$1</v>
      </c>
    </row>
    <row r="41" spans="1:3">
      <c r="A41" s="540" t="s">
        <v>654</v>
      </c>
      <c r="B41" s="540" t="str">
        <f ca="1">KV_4.sz.tájékoztató_t.!A2</f>
        <v>Előirányzat-felhasználási terv
2020. évre</v>
      </c>
      <c r="C41" s="592" t="str">
        <f ca="1">HYPERLINK(SUBSTITUTE(CELL("address",KV_4.sz.tájékoztató_t.!A1),"'",""),SUBSTITUTE(MID(CELL("address",KV_4.sz.tájékoztató_t.!A1),SEARCH("]",CELL("address",KV_4.sz.tájékoztató_t.!A1),1)+1,LEN(CELL("address",KV_4.sz.tájékoztató_t.!A1))-SEARCH("]",CELL("address",KV_4.sz.tájékoztató_t.!A1),1)),"'",""))</f>
        <v>KV_4.sz.tájékoztató_t.!$A$1</v>
      </c>
    </row>
    <row r="42" spans="1:3">
      <c r="A42" s="540" t="s">
        <v>655</v>
      </c>
      <c r="B42" s="540" t="str">
        <f ca="1">KV_5.sz.tájékoztató_t!B1</f>
        <v>A 2020. évi általános működés és ágazati feladatok támogatásának alakulása jogcímenként</v>
      </c>
      <c r="C42" s="592" t="str">
        <f ca="1">HYPERLINK(SUBSTITUTE(CELL("address",KV_5.sz.tájékoztató_t!A1),"'",""),SUBSTITUTE(MID(CELL("address",KV_5.sz.tájékoztató_t!A1),SEARCH("]",CELL("address",KV_5.sz.tájékoztató_t!A1),1)+1,LEN(CELL("address",KV_5.sz.tájékoztató_t!A1))-SEARCH("]",CELL("address",KV_5.sz.tájékoztató_t!A1),1)),"'",""))</f>
        <v>KV_5.sz.tájékoztató_t!$A$1</v>
      </c>
    </row>
    <row r="43" spans="1:3">
      <c r="A43" s="540" t="s">
        <v>656</v>
      </c>
      <c r="B43" s="540" t="str">
        <f ca="1">KV_6.sz.tájékoztató_t.!A2</f>
        <v>K I M U T A T Á S
a 2020. évben céljelleggel juttatott támogatásokról</v>
      </c>
      <c r="C43" s="592" t="str">
        <f ca="1">HYPERLINK(SUBSTITUTE(CELL("address",KV_6.sz.tájékoztató_t.!A1),"'",""),SUBSTITUTE(MID(CELL("address",KV_6.sz.tájékoztató_t.!A1),SEARCH("]",CELL("address",KV_6.sz.tájékoztató_t.!A1),1)+1,LEN(CELL("address",KV_6.sz.tájékoztató_t.!A1))-SEARCH("]",CELL("address",KV_6.sz.tájékoztató_t.!A1),1)),"'",""))</f>
        <v>KV_6.sz.tájékoztató_t.!$A$1</v>
      </c>
    </row>
    <row r="44" spans="1:3">
      <c r="A44" s="540" t="s">
        <v>657</v>
      </c>
      <c r="B44" s="540" t="str">
        <f ca="1">LOWER(KV_7.sz.tájékoztató_t.!A3)</f>
        <v>2020. évi költségvetési évet követő 3 év tervezett</v>
      </c>
      <c r="C44" s="592" t="str">
        <f ca="1">HYPERLINK(SUBSTITUTE(CELL("address",KV_7.sz.tájékoztató_t.!A1),"'",""),SUBSTITUTE(MID(CELL("address",KV_7.sz.tájékoztató_t.!A1),SEARCH("]",CELL("address",KV_7.sz.tájékoztató_t.!A1),1)+1,LEN(CELL("address",KV_7.sz.tájékoztató_t.!A1))-SEARCH("]",CELL("address",KV_7.sz.tájékoztató_t.!A1),1)),"'",""))</f>
        <v>KV_7.sz.tájékoztató_t.!$A$1</v>
      </c>
    </row>
    <row r="45" spans="1:3">
      <c r="A45" s="540"/>
      <c r="B45" s="540"/>
      <c r="C45" s="592"/>
    </row>
    <row r="46" spans="1:3" ht="18.75">
      <c r="A46" s="749"/>
      <c r="B46" s="749"/>
      <c r="C46" s="749"/>
    </row>
    <row r="47" spans="1:3">
      <c r="A47" s="540"/>
      <c r="B47" s="540"/>
      <c r="C47" s="540"/>
    </row>
    <row r="48" spans="1:3">
      <c r="A48" s="540"/>
      <c r="B48" s="540"/>
      <c r="C48" s="540"/>
    </row>
    <row r="49" spans="1:3">
      <c r="A49" s="540"/>
      <c r="B49" s="540"/>
      <c r="C49" s="540"/>
    </row>
    <row r="50" spans="1:3">
      <c r="A50" s="540"/>
      <c r="B50" s="540"/>
      <c r="C50" s="540"/>
    </row>
    <row r="51" spans="1:3">
      <c r="A51" s="540"/>
      <c r="B51" s="540"/>
      <c r="C51" s="540"/>
    </row>
    <row r="52" spans="1:3">
      <c r="A52" s="540"/>
      <c r="B52" s="540"/>
      <c r="C52" s="540"/>
    </row>
    <row r="53" spans="1:3">
      <c r="A53" s="540"/>
      <c r="B53" s="540"/>
      <c r="C53" s="540"/>
    </row>
    <row r="54" spans="1:3">
      <c r="A54" s="540"/>
      <c r="B54" s="540"/>
      <c r="C54" s="540"/>
    </row>
    <row r="55" spans="1:3">
      <c r="A55" s="540"/>
      <c r="B55" s="540"/>
      <c r="C55" s="540"/>
    </row>
    <row r="56" spans="1:3">
      <c r="A56" s="540"/>
      <c r="B56" s="540"/>
      <c r="C56" s="540"/>
    </row>
    <row r="57" spans="1:3">
      <c r="A57" s="540"/>
      <c r="B57" s="540"/>
      <c r="C57" s="540"/>
    </row>
    <row r="58" spans="1:3">
      <c r="A58" s="540"/>
      <c r="B58" s="540"/>
      <c r="C58" s="540"/>
    </row>
    <row r="59" spans="1:3">
      <c r="A59" s="540"/>
      <c r="B59" s="540"/>
      <c r="C59" s="540"/>
    </row>
    <row r="60" spans="1:3">
      <c r="A60" s="540"/>
      <c r="B60" s="540"/>
      <c r="C60" s="540"/>
    </row>
    <row r="61" spans="1:3" ht="33.75" customHeight="1">
      <c r="A61" s="750"/>
      <c r="B61" s="751"/>
      <c r="C61" s="751"/>
    </row>
    <row r="62" spans="1:3">
      <c r="A62" s="540"/>
      <c r="B62" s="540"/>
      <c r="C62" s="540"/>
    </row>
    <row r="63" spans="1:3">
      <c r="A63" s="540"/>
      <c r="B63" s="540"/>
      <c r="C63" s="540"/>
    </row>
    <row r="64" spans="1:3">
      <c r="A64" s="540"/>
      <c r="B64" s="540"/>
      <c r="C64" s="540"/>
    </row>
    <row r="65" spans="1:3">
      <c r="A65" s="540"/>
      <c r="B65" s="540"/>
      <c r="C65" s="540"/>
    </row>
    <row r="66" spans="1:3">
      <c r="A66" s="540"/>
      <c r="B66" s="540"/>
      <c r="C66" s="540"/>
    </row>
    <row r="67" spans="1:3">
      <c r="A67" s="540"/>
      <c r="B67" s="540"/>
      <c r="C67" s="540"/>
    </row>
    <row r="68" spans="1:3">
      <c r="A68" s="540"/>
      <c r="B68" s="540"/>
      <c r="C68" s="540"/>
    </row>
    <row r="69" spans="1:3">
      <c r="A69" s="540"/>
      <c r="B69" s="540"/>
      <c r="C69" s="540"/>
    </row>
    <row r="70" spans="1:3">
      <c r="A70" s="540"/>
      <c r="B70" s="540"/>
      <c r="C70" s="540"/>
    </row>
    <row r="71" spans="1:3">
      <c r="A71" s="540"/>
      <c r="B71" s="540"/>
      <c r="C71" s="540"/>
    </row>
    <row r="72" spans="1:3">
      <c r="A72" s="540"/>
      <c r="B72" s="540"/>
      <c r="C72" s="540"/>
    </row>
    <row r="73" spans="1:3">
      <c r="A73" s="540"/>
      <c r="B73" s="540"/>
      <c r="C73" s="540"/>
    </row>
    <row r="74" spans="1:3">
      <c r="A74" s="540"/>
      <c r="B74" s="540"/>
      <c r="C74" s="540"/>
    </row>
    <row r="75" spans="1:3">
      <c r="A75" s="540"/>
      <c r="B75" s="540"/>
      <c r="C75" s="540"/>
    </row>
    <row r="76" spans="1:3">
      <c r="A76" s="540"/>
      <c r="B76" s="540"/>
      <c r="C76" s="540"/>
    </row>
    <row r="77" spans="1:3">
      <c r="A77" s="540"/>
      <c r="B77" s="540"/>
      <c r="C77" s="540"/>
    </row>
    <row r="78" spans="1:3">
      <c r="A78" s="540"/>
      <c r="B78" s="540"/>
      <c r="C78" s="540"/>
    </row>
    <row r="79" spans="1:3">
      <c r="A79" s="540"/>
      <c r="B79" s="540"/>
      <c r="C79" s="540"/>
    </row>
    <row r="81" spans="1:3" ht="18.75">
      <c r="A81" s="749"/>
      <c r="B81" s="749"/>
      <c r="C81" s="749"/>
    </row>
    <row r="103" spans="1:3" ht="18.75">
      <c r="A103" s="749"/>
      <c r="B103" s="749"/>
      <c r="C103" s="749"/>
    </row>
  </sheetData>
  <sheetProtection sheet="1"/>
  <mergeCells count="6">
    <mergeCell ref="A2:C2"/>
    <mergeCell ref="A6:C6"/>
    <mergeCell ref="A46:C46"/>
    <mergeCell ref="A61:C61"/>
    <mergeCell ref="A81:C81"/>
    <mergeCell ref="A103:C103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4"/>
  <sheetViews>
    <sheetView zoomScale="120" zoomScaleNormal="120" workbookViewId="0">
      <selection activeCell="K17" sqref="K17"/>
    </sheetView>
  </sheetViews>
  <sheetFormatPr defaultRowHeight="12.75"/>
  <cols>
    <col min="1" max="1" width="33.5" customWidth="1"/>
    <col min="2" max="2" width="18.83203125" customWidth="1"/>
    <col min="3" max="3" width="1.83203125" bestFit="1" customWidth="1"/>
    <col min="4" max="4" width="6" bestFit="1" customWidth="1"/>
    <col min="5" max="5" width="1.83203125" bestFit="1" customWidth="1"/>
    <col min="6" max="6" width="11" customWidth="1"/>
    <col min="11" max="11" width="12.33203125" customWidth="1"/>
    <col min="13" max="16" width="0" hidden="1" customWidth="1"/>
  </cols>
  <sheetData>
    <row r="1" spans="1:16" ht="18.75">
      <c r="A1" s="757" t="s">
        <v>575</v>
      </c>
      <c r="B1" s="757"/>
      <c r="C1" s="757"/>
      <c r="D1" s="757"/>
      <c r="E1" s="757"/>
      <c r="F1" s="757"/>
      <c r="G1" s="757"/>
      <c r="H1" s="757"/>
      <c r="I1" s="757"/>
      <c r="J1" s="757"/>
      <c r="K1" s="598"/>
      <c r="L1" s="598"/>
    </row>
    <row r="2" spans="1:16">
      <c r="A2" s="598"/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</row>
    <row r="3" spans="1:16" ht="15.75">
      <c r="A3" s="754" t="s">
        <v>682</v>
      </c>
      <c r="B3" s="754"/>
      <c r="C3" s="754"/>
      <c r="D3" s="754"/>
      <c r="E3" s="754"/>
      <c r="F3" s="754"/>
      <c r="G3" s="754"/>
      <c r="H3" s="754"/>
      <c r="I3" s="754"/>
      <c r="J3" s="754"/>
      <c r="K3" s="598"/>
      <c r="L3" s="598"/>
    </row>
    <row r="4" spans="1:16">
      <c r="A4" s="598"/>
      <c r="B4" s="598"/>
      <c r="C4" s="598"/>
      <c r="D4" s="598"/>
      <c r="E4" s="598"/>
      <c r="F4" s="598"/>
      <c r="G4" s="598"/>
      <c r="H4" s="598"/>
      <c r="I4" s="598"/>
      <c r="J4" s="598"/>
      <c r="K4" s="598"/>
      <c r="L4" s="598"/>
    </row>
    <row r="5" spans="1:16">
      <c r="A5" s="598"/>
      <c r="B5" s="598"/>
      <c r="C5" s="598"/>
      <c r="D5" s="598"/>
      <c r="E5" s="598"/>
      <c r="F5" s="598"/>
      <c r="G5" s="598"/>
      <c r="H5" s="598"/>
      <c r="I5" s="598"/>
      <c r="J5" s="598"/>
      <c r="K5" s="598"/>
      <c r="L5" s="598"/>
    </row>
    <row r="6" spans="1:16" ht="15">
      <c r="A6" s="669" t="s">
        <v>661</v>
      </c>
      <c r="B6" s="598"/>
      <c r="C6" s="598"/>
      <c r="D6" s="598"/>
      <c r="E6" s="598"/>
      <c r="F6" s="598"/>
      <c r="G6" s="598"/>
      <c r="H6" s="598"/>
      <c r="I6" s="598"/>
      <c r="J6" s="598"/>
      <c r="K6" s="598"/>
      <c r="L6" s="598"/>
    </row>
    <row r="7" spans="1:16">
      <c r="A7" s="648" t="s">
        <v>640</v>
      </c>
      <c r="B7" s="667">
        <v>5</v>
      </c>
      <c r="C7" s="134" t="s">
        <v>637</v>
      </c>
      <c r="D7" s="134">
        <f ca="1">TARTALOMJEGYZÉK!A1</f>
        <v>2020</v>
      </c>
      <c r="E7" s="134" t="s">
        <v>638</v>
      </c>
      <c r="F7" s="667" t="s">
        <v>762</v>
      </c>
      <c r="G7" s="134" t="s">
        <v>639</v>
      </c>
      <c r="H7" s="134" t="s">
        <v>641</v>
      </c>
      <c r="I7" s="134"/>
      <c r="J7" s="134"/>
      <c r="K7" s="134"/>
      <c r="L7" s="598"/>
    </row>
    <row r="8" spans="1:16">
      <c r="A8" s="670"/>
      <c r="B8" s="668"/>
      <c r="C8" s="598"/>
      <c r="D8" s="598"/>
      <c r="E8" s="598"/>
      <c r="F8" s="668"/>
      <c r="G8" s="598"/>
      <c r="H8" s="598"/>
      <c r="I8" s="598"/>
      <c r="J8" s="598"/>
      <c r="K8" s="598"/>
      <c r="L8" s="598"/>
    </row>
    <row r="9" spans="1:16">
      <c r="A9" s="670"/>
      <c r="B9" s="668"/>
      <c r="C9" s="598"/>
      <c r="D9" s="598"/>
      <c r="E9" s="598"/>
      <c r="F9" s="668"/>
      <c r="G9" s="598"/>
      <c r="H9" s="598"/>
      <c r="I9" s="598"/>
      <c r="J9" s="598"/>
      <c r="K9" s="598"/>
      <c r="L9" s="598"/>
    </row>
    <row r="10" spans="1:16" ht="13.5" thickBot="1">
      <c r="A10" s="598"/>
      <c r="B10" s="598"/>
      <c r="C10" s="598"/>
      <c r="D10" s="598"/>
      <c r="E10" s="598"/>
      <c r="F10" s="598"/>
      <c r="G10" s="598"/>
      <c r="H10" s="598"/>
      <c r="I10" s="598"/>
      <c r="J10" s="598"/>
      <c r="K10" s="624"/>
      <c r="L10" s="598"/>
    </row>
    <row r="11" spans="1:16" ht="17.25" thickTop="1" thickBot="1">
      <c r="A11" s="754" t="s">
        <v>683</v>
      </c>
      <c r="B11" s="755"/>
      <c r="C11" s="755"/>
      <c r="D11" s="755"/>
      <c r="E11" s="755"/>
      <c r="F11" s="755"/>
      <c r="G11" s="755"/>
      <c r="H11" s="756"/>
      <c r="I11" s="756"/>
      <c r="J11" s="756"/>
      <c r="K11" s="671"/>
      <c r="L11" s="598"/>
      <c r="M11" s="625" t="s">
        <v>25</v>
      </c>
      <c r="N11">
        <f>IF($K$11="Nem","",2)</f>
        <v>2</v>
      </c>
      <c r="O11" t="s">
        <v>666</v>
      </c>
      <c r="P11" t="str">
        <f>CONCATENATE(M11,N11,O11)</f>
        <v>9.2.</v>
      </c>
    </row>
    <row r="12" spans="1:16" ht="13.5" thickTop="1">
      <c r="A12" s="598"/>
      <c r="B12" s="598"/>
      <c r="C12" s="598"/>
      <c r="D12" s="598"/>
      <c r="E12" s="598"/>
      <c r="F12" s="598"/>
      <c r="G12" s="598"/>
      <c r="H12" s="598"/>
      <c r="I12" s="598"/>
      <c r="J12" s="598"/>
      <c r="K12" s="598"/>
      <c r="L12" s="598"/>
    </row>
    <row r="13" spans="1:16" ht="14.25">
      <c r="A13" s="672" t="s">
        <v>577</v>
      </c>
      <c r="B13" s="752" t="s">
        <v>684</v>
      </c>
      <c r="C13" s="753"/>
      <c r="D13" s="753"/>
      <c r="E13" s="753"/>
      <c r="F13" s="753"/>
      <c r="G13" s="753"/>
      <c r="H13" s="753"/>
      <c r="I13" s="753"/>
      <c r="J13" s="753"/>
      <c r="K13" s="598"/>
      <c r="L13" s="598"/>
      <c r="M13" s="625" t="s">
        <v>25</v>
      </c>
      <c r="N13">
        <f>IF(K11="Nem",2,3)</f>
        <v>3</v>
      </c>
      <c r="O13" t="s">
        <v>666</v>
      </c>
      <c r="P13" t="str">
        <f>CONCATENATE(M13,N13,O13)</f>
        <v>9.3.</v>
      </c>
    </row>
    <row r="14" spans="1:16" ht="14.25">
      <c r="A14" s="598"/>
      <c r="B14" s="599"/>
      <c r="C14" s="598"/>
      <c r="D14" s="598"/>
      <c r="E14" s="598"/>
      <c r="F14" s="598"/>
      <c r="G14" s="598"/>
      <c r="H14" s="598"/>
      <c r="I14" s="598"/>
      <c r="J14" s="598"/>
      <c r="K14" s="598"/>
      <c r="L14" s="598"/>
    </row>
    <row r="15" spans="1:16" ht="14.25">
      <c r="A15" s="672" t="s">
        <v>578</v>
      </c>
      <c r="B15" s="752" t="s">
        <v>685</v>
      </c>
      <c r="C15" s="753"/>
      <c r="D15" s="753"/>
      <c r="E15" s="753"/>
      <c r="F15" s="753"/>
      <c r="G15" s="753"/>
      <c r="H15" s="753"/>
      <c r="I15" s="753"/>
      <c r="J15" s="753"/>
      <c r="K15" s="598"/>
      <c r="L15" s="598"/>
      <c r="M15" s="625" t="s">
        <v>25</v>
      </c>
      <c r="N15">
        <f>N13+1</f>
        <v>4</v>
      </c>
      <c r="O15" t="s">
        <v>666</v>
      </c>
      <c r="P15" t="str">
        <f>CONCATENATE(M15,N15,O15)</f>
        <v>9.4.</v>
      </c>
    </row>
    <row r="16" spans="1:16" ht="14.25">
      <c r="A16" s="598"/>
      <c r="B16" s="599"/>
      <c r="C16" s="598"/>
      <c r="D16" s="598"/>
      <c r="E16" s="598"/>
      <c r="F16" s="598"/>
      <c r="G16" s="598"/>
      <c r="H16" s="598"/>
      <c r="I16" s="598"/>
      <c r="J16" s="598"/>
      <c r="K16" s="598"/>
      <c r="L16" s="598"/>
    </row>
    <row r="17" spans="1:16" ht="14.25">
      <c r="A17" s="672" t="s">
        <v>579</v>
      </c>
      <c r="B17" s="752" t="s">
        <v>686</v>
      </c>
      <c r="C17" s="753"/>
      <c r="D17" s="753"/>
      <c r="E17" s="753"/>
      <c r="F17" s="753"/>
      <c r="G17" s="753"/>
      <c r="H17" s="753"/>
      <c r="I17" s="753"/>
      <c r="J17" s="753"/>
      <c r="K17" s="598"/>
      <c r="L17" s="598"/>
      <c r="M17" s="625" t="s">
        <v>25</v>
      </c>
      <c r="N17">
        <f>N15+1</f>
        <v>5</v>
      </c>
      <c r="O17" t="s">
        <v>666</v>
      </c>
      <c r="P17" t="str">
        <f>CONCATENATE(M17,N17,O17)</f>
        <v>9.5.</v>
      </c>
    </row>
    <row r="18" spans="1:16" ht="14.25">
      <c r="A18" s="598"/>
      <c r="B18" s="599"/>
      <c r="C18" s="598"/>
      <c r="D18" s="598"/>
      <c r="E18" s="598"/>
      <c r="F18" s="598"/>
      <c r="G18" s="598"/>
      <c r="H18" s="598"/>
      <c r="I18" s="598"/>
      <c r="J18" s="598"/>
      <c r="K18" s="598"/>
      <c r="L18" s="598"/>
    </row>
    <row r="19" spans="1:16" ht="14.25">
      <c r="A19" s="672" t="s">
        <v>580</v>
      </c>
      <c r="B19" s="752" t="s">
        <v>687</v>
      </c>
      <c r="C19" s="753"/>
      <c r="D19" s="753"/>
      <c r="E19" s="753"/>
      <c r="F19" s="753"/>
      <c r="G19" s="753"/>
      <c r="H19" s="753"/>
      <c r="I19" s="753"/>
      <c r="J19" s="753"/>
      <c r="K19" s="598"/>
      <c r="L19" s="598"/>
      <c r="M19" s="625" t="s">
        <v>25</v>
      </c>
      <c r="N19">
        <f>N17+1</f>
        <v>6</v>
      </c>
      <c r="O19" t="s">
        <v>666</v>
      </c>
      <c r="P19" t="str">
        <f>CONCATENATE(M19,N19,O19)</f>
        <v>9.6.</v>
      </c>
    </row>
    <row r="20" spans="1:16" ht="14.25">
      <c r="A20" s="598"/>
      <c r="B20" s="599"/>
      <c r="C20" s="598"/>
      <c r="D20" s="598"/>
      <c r="E20" s="598"/>
      <c r="F20" s="598"/>
      <c r="G20" s="598"/>
      <c r="H20" s="598"/>
      <c r="I20" s="598"/>
      <c r="J20" s="598"/>
      <c r="K20" s="598"/>
      <c r="L20" s="598"/>
    </row>
    <row r="21" spans="1:16" ht="14.25">
      <c r="A21" s="672" t="s">
        <v>581</v>
      </c>
      <c r="B21" s="752" t="s">
        <v>712</v>
      </c>
      <c r="C21" s="753"/>
      <c r="D21" s="753"/>
      <c r="E21" s="753"/>
      <c r="F21" s="753"/>
      <c r="G21" s="753"/>
      <c r="H21" s="753"/>
      <c r="I21" s="753"/>
      <c r="J21" s="753"/>
      <c r="K21" s="598"/>
      <c r="L21" s="598"/>
      <c r="M21" s="625" t="s">
        <v>25</v>
      </c>
      <c r="N21">
        <f>N19+1</f>
        <v>7</v>
      </c>
      <c r="O21" t="s">
        <v>666</v>
      </c>
      <c r="P21" t="str">
        <f>CONCATENATE(M21,N21,O21)</f>
        <v>9.7.</v>
      </c>
    </row>
    <row r="22" spans="1:16" ht="14.25">
      <c r="A22" s="598"/>
      <c r="B22" s="599"/>
      <c r="C22" s="598"/>
      <c r="D22" s="598"/>
      <c r="E22" s="598"/>
      <c r="F22" s="598"/>
      <c r="G22" s="598"/>
      <c r="H22" s="598"/>
      <c r="I22" s="598"/>
      <c r="J22" s="598"/>
      <c r="K22" s="598"/>
      <c r="L22" s="598"/>
    </row>
    <row r="23" spans="1:16" ht="14.25">
      <c r="A23" s="672" t="s">
        <v>582</v>
      </c>
      <c r="B23" s="752" t="s">
        <v>586</v>
      </c>
      <c r="C23" s="753"/>
      <c r="D23" s="753"/>
      <c r="E23" s="753"/>
      <c r="F23" s="753"/>
      <c r="G23" s="753"/>
      <c r="H23" s="753"/>
      <c r="I23" s="753"/>
      <c r="J23" s="753"/>
      <c r="K23" s="598"/>
      <c r="L23" s="598"/>
      <c r="M23" s="625" t="s">
        <v>25</v>
      </c>
      <c r="N23">
        <f>N21+1</f>
        <v>8</v>
      </c>
      <c r="O23" t="s">
        <v>666</v>
      </c>
      <c r="P23" t="str">
        <f>CONCATENATE(M23,N23,O23)</f>
        <v>9.8.</v>
      </c>
    </row>
    <row r="24" spans="1:16" ht="14.25">
      <c r="A24" s="598"/>
      <c r="B24" s="599"/>
      <c r="C24" s="598"/>
      <c r="D24" s="598"/>
      <c r="E24" s="598"/>
      <c r="F24" s="598"/>
      <c r="G24" s="598"/>
      <c r="H24" s="598"/>
      <c r="I24" s="598"/>
      <c r="J24" s="598"/>
      <c r="K24" s="598"/>
      <c r="L24" s="598"/>
    </row>
    <row r="25" spans="1:16" ht="14.25">
      <c r="A25" s="672" t="s">
        <v>583</v>
      </c>
      <c r="B25" s="752" t="s">
        <v>587</v>
      </c>
      <c r="C25" s="753"/>
      <c r="D25" s="753"/>
      <c r="E25" s="753"/>
      <c r="F25" s="753"/>
      <c r="G25" s="753"/>
      <c r="H25" s="753"/>
      <c r="I25" s="753"/>
      <c r="J25" s="753"/>
      <c r="K25" s="598"/>
      <c r="L25" s="598"/>
      <c r="M25" s="625" t="s">
        <v>25</v>
      </c>
      <c r="N25">
        <f>N23+1</f>
        <v>9</v>
      </c>
      <c r="O25" t="s">
        <v>666</v>
      </c>
      <c r="P25" t="str">
        <f>CONCATENATE(M25,N25,O25)</f>
        <v>9.9.</v>
      </c>
    </row>
    <row r="26" spans="1:16" ht="14.25">
      <c r="A26" s="598"/>
      <c r="B26" s="599"/>
      <c r="C26" s="598"/>
      <c r="D26" s="598"/>
      <c r="E26" s="598"/>
      <c r="F26" s="598"/>
      <c r="G26" s="598"/>
      <c r="H26" s="598"/>
      <c r="I26" s="598"/>
      <c r="J26" s="598"/>
      <c r="K26" s="598"/>
      <c r="L26" s="598"/>
    </row>
    <row r="27" spans="1:16" ht="14.25">
      <c r="A27" s="672" t="s">
        <v>584</v>
      </c>
      <c r="B27" s="752" t="s">
        <v>588</v>
      </c>
      <c r="C27" s="753"/>
      <c r="D27" s="753"/>
      <c r="E27" s="753"/>
      <c r="F27" s="753"/>
      <c r="G27" s="753"/>
      <c r="H27" s="753"/>
      <c r="I27" s="753"/>
      <c r="J27" s="753"/>
      <c r="K27" s="598"/>
      <c r="L27" s="598"/>
      <c r="M27" s="625" t="s">
        <v>25</v>
      </c>
      <c r="N27">
        <f>N25+1</f>
        <v>10</v>
      </c>
      <c r="O27" t="s">
        <v>666</v>
      </c>
      <c r="P27" t="str">
        <f>CONCATENATE(M27,N27,O27)</f>
        <v>9.10.</v>
      </c>
    </row>
    <row r="28" spans="1:16" ht="14.25">
      <c r="A28" s="598"/>
      <c r="B28" s="599"/>
      <c r="C28" s="598"/>
      <c r="D28" s="598"/>
      <c r="E28" s="598"/>
      <c r="F28" s="598"/>
      <c r="G28" s="598"/>
      <c r="H28" s="598"/>
      <c r="I28" s="598"/>
      <c r="J28" s="598"/>
      <c r="K28" s="598"/>
      <c r="L28" s="598"/>
    </row>
    <row r="29" spans="1:16" ht="14.25">
      <c r="A29" s="672" t="s">
        <v>584</v>
      </c>
      <c r="B29" s="752" t="s">
        <v>589</v>
      </c>
      <c r="C29" s="753"/>
      <c r="D29" s="753"/>
      <c r="E29" s="753"/>
      <c r="F29" s="753"/>
      <c r="G29" s="753"/>
      <c r="H29" s="753"/>
      <c r="I29" s="753"/>
      <c r="J29" s="753"/>
      <c r="K29" s="598"/>
      <c r="L29" s="598"/>
      <c r="M29" s="625" t="s">
        <v>25</v>
      </c>
      <c r="N29">
        <f>N27+1</f>
        <v>11</v>
      </c>
      <c r="O29" t="s">
        <v>666</v>
      </c>
      <c r="P29" t="str">
        <f>CONCATENATE(M29,N29,O29)</f>
        <v>9.11.</v>
      </c>
    </row>
    <row r="30" spans="1:16" ht="14.25">
      <c r="A30" s="598"/>
      <c r="B30" s="599"/>
      <c r="C30" s="598"/>
      <c r="D30" s="598"/>
      <c r="E30" s="598"/>
      <c r="F30" s="598"/>
      <c r="G30" s="598"/>
      <c r="H30" s="598"/>
      <c r="I30" s="598"/>
      <c r="J30" s="598"/>
      <c r="K30" s="598"/>
      <c r="L30" s="598"/>
    </row>
    <row r="31" spans="1:16" ht="14.25">
      <c r="A31" s="672" t="s">
        <v>585</v>
      </c>
      <c r="B31" s="752" t="s">
        <v>590</v>
      </c>
      <c r="C31" s="753"/>
      <c r="D31" s="753"/>
      <c r="E31" s="753"/>
      <c r="F31" s="753"/>
      <c r="G31" s="753"/>
      <c r="H31" s="753"/>
      <c r="I31" s="753"/>
      <c r="J31" s="753"/>
      <c r="K31" s="598"/>
      <c r="L31" s="598"/>
      <c r="M31" s="625" t="s">
        <v>25</v>
      </c>
      <c r="N31">
        <f>N29+1</f>
        <v>12</v>
      </c>
      <c r="O31" t="s">
        <v>666</v>
      </c>
      <c r="P31" t="str">
        <f>CONCATENATE(M31,N31,O31)</f>
        <v>9.12.</v>
      </c>
    </row>
    <row r="32" spans="1:16">
      <c r="A32" s="598"/>
      <c r="B32" s="598"/>
      <c r="C32" s="598"/>
      <c r="D32" s="598"/>
      <c r="E32" s="598"/>
      <c r="F32" s="598"/>
      <c r="G32" s="598"/>
      <c r="H32" s="598"/>
      <c r="I32" s="598"/>
      <c r="J32" s="598"/>
      <c r="K32" s="598"/>
      <c r="L32" s="598"/>
    </row>
    <row r="33" spans="1:12" ht="14.25">
      <c r="A33" s="672"/>
      <c r="B33" s="598"/>
      <c r="C33" s="598"/>
      <c r="D33" s="598"/>
      <c r="E33" s="598"/>
      <c r="F33" s="598"/>
      <c r="G33" s="598"/>
      <c r="H33" s="598"/>
      <c r="I33" s="598"/>
      <c r="J33" s="598"/>
      <c r="K33" s="598"/>
      <c r="L33" s="598"/>
    </row>
    <row r="34" spans="1:12">
      <c r="A34" s="598"/>
      <c r="B34" s="598"/>
      <c r="C34" s="598"/>
      <c r="D34" s="598"/>
      <c r="E34" s="598"/>
      <c r="F34" s="598"/>
      <c r="G34" s="598"/>
      <c r="H34" s="598"/>
      <c r="I34" s="598"/>
      <c r="J34" s="598"/>
      <c r="K34" s="598"/>
      <c r="L34" s="598"/>
    </row>
  </sheetData>
  <sheetProtection sheet="1"/>
  <mergeCells count="13">
    <mergeCell ref="A3:J3"/>
    <mergeCell ref="A1:J1"/>
    <mergeCell ref="B21:J21"/>
    <mergeCell ref="B23:J23"/>
    <mergeCell ref="B25:J25"/>
    <mergeCell ref="B27:J27"/>
    <mergeCell ref="B31:J31"/>
    <mergeCell ref="B13:J13"/>
    <mergeCell ref="B15:J15"/>
    <mergeCell ref="B17:J17"/>
    <mergeCell ref="B19:J19"/>
    <mergeCell ref="A11:J11"/>
    <mergeCell ref="B29:J29"/>
  </mergeCells>
  <phoneticPr fontId="29" type="noConversion"/>
  <conditionalFormatting sqref="A11:J11">
    <cfRule type="expression" dxfId="5" priority="1" stopIfTrue="1">
      <formula>$K$11="Nem"</formula>
    </cfRule>
  </conditionalFormatting>
  <dataValidations count="2">
    <dataValidation type="list" allowBlank="1" showInputMessage="1" showErrorMessage="1" sqref="A6">
      <formula1>",Előterjesztéskor,Jóváhagyás után"</formula1>
    </dataValidation>
    <dataValidation type="list" allowBlank="1" showInputMessage="1" showErrorMessage="1" sqref="K11">
      <formula1>"Igen,Nem"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B16"/>
  <sheetViews>
    <sheetView zoomScale="120" zoomScaleNormal="120" workbookViewId="0">
      <selection activeCell="H21" sqref="H21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 ht="15.75">
      <c r="A2" s="577" t="s">
        <v>146</v>
      </c>
    </row>
    <row r="4" spans="1:2">
      <c r="A4" s="110"/>
      <c r="B4" s="110"/>
    </row>
    <row r="5" spans="1:2" s="121" customFormat="1" ht="15.75">
      <c r="A5" s="67" t="str">
        <f ca="1">CONCATENATE(ALAPADATOK!D7,". évi előirányzat BEVÉTELEK")</f>
        <v>2020. évi előirányzat BEVÉTELEK</v>
      </c>
      <c r="B5" s="120"/>
    </row>
    <row r="6" spans="1:2">
      <c r="A6" s="110"/>
      <c r="B6" s="110"/>
    </row>
    <row r="7" spans="1:2">
      <c r="A7" s="110" t="s">
        <v>536</v>
      </c>
      <c r="B7" s="110" t="s">
        <v>479</v>
      </c>
    </row>
    <row r="8" spans="1:2">
      <c r="A8" s="110" t="s">
        <v>537</v>
      </c>
      <c r="B8" s="110" t="s">
        <v>480</v>
      </c>
    </row>
    <row r="9" spans="1:2">
      <c r="A9" s="110" t="s">
        <v>538</v>
      </c>
      <c r="B9" s="110" t="s">
        <v>481</v>
      </c>
    </row>
    <row r="10" spans="1:2">
      <c r="A10" s="110"/>
      <c r="B10" s="110"/>
    </row>
    <row r="11" spans="1:2">
      <c r="A11" s="110"/>
      <c r="B11" s="110"/>
    </row>
    <row r="12" spans="1:2" s="121" customFormat="1" ht="15.75">
      <c r="A12" s="67" t="str">
        <f ca="1">+CONCATENATE(LEFT(A5,4),". évi előirányzat KIADÁSOK")</f>
        <v>2020. évi előirányzat KIADÁSOK</v>
      </c>
      <c r="B12" s="120"/>
    </row>
    <row r="13" spans="1:2">
      <c r="A13" s="110"/>
      <c r="B13" s="110"/>
    </row>
    <row r="14" spans="1:2">
      <c r="A14" s="110" t="s">
        <v>539</v>
      </c>
      <c r="B14" s="110" t="s">
        <v>482</v>
      </c>
    </row>
    <row r="15" spans="1:2">
      <c r="A15" s="110" t="s">
        <v>540</v>
      </c>
      <c r="B15" s="110" t="s">
        <v>483</v>
      </c>
    </row>
    <row r="16" spans="1:2">
      <c r="A16" s="110" t="s">
        <v>541</v>
      </c>
      <c r="B16" s="110" t="s">
        <v>484</v>
      </c>
    </row>
  </sheetData>
  <sheetProtection sheet="1"/>
  <phoneticPr fontId="29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Munka2">
    <tabColor rgb="FF92D050"/>
  </sheetPr>
  <dimension ref="A1:I164"/>
  <sheetViews>
    <sheetView tabSelected="1" zoomScale="120" zoomScaleNormal="120" zoomScaleSheetLayoutView="97" workbookViewId="0">
      <selection activeCell="E14" sqref="E14"/>
    </sheetView>
  </sheetViews>
  <sheetFormatPr defaultRowHeight="15.75"/>
  <cols>
    <col min="1" max="1" width="9.5" style="339" customWidth="1"/>
    <col min="2" max="2" width="82.33203125" style="339" customWidth="1"/>
    <col min="3" max="5" width="21.6640625" style="340" customWidth="1"/>
    <col min="6" max="16384" width="9.33203125" style="370"/>
  </cols>
  <sheetData>
    <row r="1" spans="1:5" ht="18.75" customHeight="1">
      <c r="A1" s="578"/>
      <c r="B1" s="758" t="str">
        <f ca="1">CONCATENATE("1.1. melléklet ",ALAPADATOK!A7," ",ALAPADATOK!B7," ",ALAPADATOK!C7," ",ALAPADATOK!D7," ",ALAPADATOK!E7," ",ALAPADATOK!F7," ",ALAPADATOK!G7," ",ALAPADATOK!H7)</f>
        <v>1.1. melléklet a 5 / 2020 ( (II.18.) ) önkormányzati rendelethez</v>
      </c>
      <c r="C1" s="759"/>
      <c r="D1" s="370"/>
      <c r="E1" s="370"/>
    </row>
    <row r="2" spans="1:5" ht="21.95" customHeight="1">
      <c r="A2" s="579"/>
      <c r="B2" s="580" t="str">
        <f ca="1">CONCATENATE(ALAPADATOK!A3)</f>
        <v>DABAS VÁROS ÖNKORMÁNYZATA</v>
      </c>
      <c r="C2" s="581"/>
      <c r="D2" s="581"/>
      <c r="E2" s="581"/>
    </row>
    <row r="3" spans="1:5" ht="21.95" customHeight="1">
      <c r="A3" s="581"/>
      <c r="B3" s="580" t="str">
        <f ca="1">CONCATENATE(ALAPADATOK!D7,". ÉVI KÖLTSÉGVETÉS")</f>
        <v>2020. ÉVI KÖLTSÉGVETÉS</v>
      </c>
      <c r="C3" s="581"/>
      <c r="D3" s="581"/>
      <c r="E3" s="581"/>
    </row>
    <row r="4" spans="1:5" ht="21.95" customHeight="1">
      <c r="A4" s="581"/>
      <c r="B4" s="580" t="s">
        <v>569</v>
      </c>
      <c r="C4" s="581"/>
      <c r="D4" s="581"/>
      <c r="E4" s="581"/>
    </row>
    <row r="5" spans="1:5" ht="21.95" customHeight="1">
      <c r="A5" s="578"/>
      <c r="B5" s="578"/>
      <c r="C5" s="582"/>
      <c r="D5" s="582"/>
      <c r="E5" s="582"/>
    </row>
    <row r="6" spans="1:5" ht="15.2" customHeight="1">
      <c r="A6" s="760" t="s">
        <v>14</v>
      </c>
      <c r="B6" s="760"/>
      <c r="C6" s="760"/>
      <c r="D6" s="370"/>
      <c r="E6" s="370"/>
    </row>
    <row r="7" spans="1:5" ht="15.2" customHeight="1" thickBot="1">
      <c r="A7" s="761" t="s">
        <v>147</v>
      </c>
      <c r="B7" s="761"/>
      <c r="C7" s="531"/>
      <c r="D7" s="531"/>
      <c r="E7" s="531" t="s">
        <v>555</v>
      </c>
    </row>
    <row r="8" spans="1:5" ht="24" customHeight="1" thickBot="1">
      <c r="A8" s="583" t="s">
        <v>66</v>
      </c>
      <c r="B8" s="584" t="s">
        <v>16</v>
      </c>
      <c r="C8" s="585" t="str">
        <f ca="1">+CONCATENATE(LEFT(KV_ÖSSZEFÜGGÉSEK!A5,4),". évi előirányzat")</f>
        <v>2020. évi előirányzat</v>
      </c>
      <c r="D8" s="585" t="s">
        <v>780</v>
      </c>
      <c r="E8" s="585" t="s">
        <v>781</v>
      </c>
    </row>
    <row r="9" spans="1:5" s="371" customFormat="1" ht="12" customHeight="1" thickBot="1">
      <c r="A9" s="516"/>
      <c r="B9" s="517" t="s">
        <v>485</v>
      </c>
      <c r="C9" s="518" t="s">
        <v>486</v>
      </c>
      <c r="D9" s="518" t="s">
        <v>486</v>
      </c>
      <c r="E9" s="518" t="s">
        <v>486</v>
      </c>
    </row>
    <row r="10" spans="1:5" s="372" customFormat="1" ht="12" customHeight="1" thickBot="1">
      <c r="A10" s="20" t="s">
        <v>17</v>
      </c>
      <c r="B10" s="21" t="s">
        <v>246</v>
      </c>
      <c r="C10" s="255">
        <f>+C11+C12+C13+C14+C15+C16</f>
        <v>958789393</v>
      </c>
      <c r="D10" s="255">
        <f>+D11+D12+D13+D14+D15+D16</f>
        <v>0</v>
      </c>
      <c r="E10" s="255">
        <f>+E11+E12+E13+E14+E15+E16</f>
        <v>958789393</v>
      </c>
    </row>
    <row r="11" spans="1:5" s="372" customFormat="1" ht="12" customHeight="1">
      <c r="A11" s="15" t="s">
        <v>95</v>
      </c>
      <c r="B11" s="373" t="s">
        <v>247</v>
      </c>
      <c r="C11" s="258">
        <v>131352375</v>
      </c>
      <c r="D11" s="258"/>
      <c r="E11" s="258">
        <v>131352375</v>
      </c>
    </row>
    <row r="12" spans="1:5" s="372" customFormat="1" ht="12" customHeight="1">
      <c r="A12" s="14" t="s">
        <v>96</v>
      </c>
      <c r="B12" s="374" t="s">
        <v>248</v>
      </c>
      <c r="C12" s="257">
        <v>554386750</v>
      </c>
      <c r="D12" s="257"/>
      <c r="E12" s="257">
        <v>554386750</v>
      </c>
    </row>
    <row r="13" spans="1:5" s="372" customFormat="1" ht="12" customHeight="1">
      <c r="A13" s="14" t="s">
        <v>97</v>
      </c>
      <c r="B13" s="374" t="s">
        <v>542</v>
      </c>
      <c r="C13" s="257">
        <v>251590614</v>
      </c>
      <c r="D13" s="257"/>
      <c r="E13" s="257">
        <v>251590614</v>
      </c>
    </row>
    <row r="14" spans="1:5" s="372" customFormat="1" ht="12" customHeight="1">
      <c r="A14" s="14" t="s">
        <v>98</v>
      </c>
      <c r="B14" s="374" t="s">
        <v>250</v>
      </c>
      <c r="C14" s="257">
        <v>21459654</v>
      </c>
      <c r="D14" s="257"/>
      <c r="E14" s="257">
        <v>21459654</v>
      </c>
    </row>
    <row r="15" spans="1:5" s="372" customFormat="1" ht="12" customHeight="1">
      <c r="A15" s="14" t="s">
        <v>143</v>
      </c>
      <c r="B15" s="251" t="s">
        <v>424</v>
      </c>
      <c r="C15" s="257"/>
      <c r="D15" s="257"/>
      <c r="E15" s="257"/>
    </row>
    <row r="16" spans="1:5" s="372" customFormat="1" ht="12" customHeight="1" thickBot="1">
      <c r="A16" s="16" t="s">
        <v>99</v>
      </c>
      <c r="B16" s="252" t="s">
        <v>425</v>
      </c>
      <c r="C16" s="257"/>
      <c r="D16" s="257"/>
      <c r="E16" s="257"/>
    </row>
    <row r="17" spans="1:5" s="372" customFormat="1" ht="12" customHeight="1" thickBot="1">
      <c r="A17" s="20" t="s">
        <v>18</v>
      </c>
      <c r="B17" s="250" t="s">
        <v>251</v>
      </c>
      <c r="C17" s="255">
        <f>+C18+C19+C20+C21+C22</f>
        <v>1043040000</v>
      </c>
      <c r="D17" s="255">
        <f>+D18+D19+D20+D21+D22</f>
        <v>0</v>
      </c>
      <c r="E17" s="255">
        <f>+E18+E19+E20+E21+E22</f>
        <v>1043040000</v>
      </c>
    </row>
    <row r="18" spans="1:5" s="372" customFormat="1" ht="12" customHeight="1">
      <c r="A18" s="15" t="s">
        <v>101</v>
      </c>
      <c r="B18" s="373" t="s">
        <v>252</v>
      </c>
      <c r="C18" s="258"/>
      <c r="D18" s="258"/>
      <c r="E18" s="258"/>
    </row>
    <row r="19" spans="1:5" s="372" customFormat="1" ht="12" customHeight="1">
      <c r="A19" s="14" t="s">
        <v>102</v>
      </c>
      <c r="B19" s="374" t="s">
        <v>253</v>
      </c>
      <c r="C19" s="257"/>
      <c r="D19" s="257"/>
      <c r="E19" s="257"/>
    </row>
    <row r="20" spans="1:5" s="372" customFormat="1" ht="12" customHeight="1">
      <c r="A20" s="14" t="s">
        <v>103</v>
      </c>
      <c r="B20" s="374" t="s">
        <v>414</v>
      </c>
      <c r="C20" s="257"/>
      <c r="D20" s="257"/>
      <c r="E20" s="257"/>
    </row>
    <row r="21" spans="1:5" s="372" customFormat="1" ht="12" customHeight="1">
      <c r="A21" s="14" t="s">
        <v>104</v>
      </c>
      <c r="B21" s="374" t="s">
        <v>415</v>
      </c>
      <c r="C21" s="257"/>
      <c r="D21" s="257"/>
      <c r="E21" s="257"/>
    </row>
    <row r="22" spans="1:5" s="372" customFormat="1" ht="12" customHeight="1">
      <c r="A22" s="14" t="s">
        <v>105</v>
      </c>
      <c r="B22" s="374" t="s">
        <v>564</v>
      </c>
      <c r="C22" s="257">
        <v>1043040000</v>
      </c>
      <c r="D22" s="257"/>
      <c r="E22" s="257">
        <v>1043040000</v>
      </c>
    </row>
    <row r="23" spans="1:5" s="372" customFormat="1" ht="12" customHeight="1" thickBot="1">
      <c r="A23" s="16" t="s">
        <v>114</v>
      </c>
      <c r="B23" s="252" t="s">
        <v>255</v>
      </c>
      <c r="C23" s="259"/>
      <c r="D23" s="259"/>
      <c r="E23" s="259"/>
    </row>
    <row r="24" spans="1:5" s="372" customFormat="1" ht="12" customHeight="1" thickBot="1">
      <c r="A24" s="20" t="s">
        <v>19</v>
      </c>
      <c r="B24" s="21" t="s">
        <v>256</v>
      </c>
      <c r="C24" s="255">
        <f>+C25+C26+C27+C28+C29</f>
        <v>410952958</v>
      </c>
      <c r="D24" s="255">
        <f>SUM(D25:D29)</f>
        <v>-201999560</v>
      </c>
      <c r="E24" s="255">
        <f>SUM(E25:E29)</f>
        <v>208953398</v>
      </c>
    </row>
    <row r="25" spans="1:5" s="372" customFormat="1" ht="12" customHeight="1">
      <c r="A25" s="15" t="s">
        <v>84</v>
      </c>
      <c r="B25" s="373" t="s">
        <v>257</v>
      </c>
      <c r="C25" s="258"/>
      <c r="D25" s="258"/>
      <c r="E25" s="258"/>
    </row>
    <row r="26" spans="1:5" s="372" customFormat="1" ht="12" customHeight="1">
      <c r="A26" s="14" t="s">
        <v>85</v>
      </c>
      <c r="B26" s="374" t="s">
        <v>258</v>
      </c>
      <c r="C26" s="257"/>
      <c r="D26" s="257"/>
      <c r="E26" s="257"/>
    </row>
    <row r="27" spans="1:5" s="372" customFormat="1" ht="12" customHeight="1">
      <c r="A27" s="14" t="s">
        <v>86</v>
      </c>
      <c r="B27" s="374" t="s">
        <v>416</v>
      </c>
      <c r="C27" s="257"/>
      <c r="D27" s="257"/>
      <c r="E27" s="257"/>
    </row>
    <row r="28" spans="1:5" s="372" customFormat="1" ht="12" customHeight="1">
      <c r="A28" s="14" t="s">
        <v>87</v>
      </c>
      <c r="B28" s="374" t="s">
        <v>417</v>
      </c>
      <c r="C28" s="257"/>
      <c r="D28" s="257"/>
      <c r="E28" s="257"/>
    </row>
    <row r="29" spans="1:5" s="372" customFormat="1" ht="12" customHeight="1">
      <c r="A29" s="14" t="s">
        <v>166</v>
      </c>
      <c r="B29" s="374" t="s">
        <v>259</v>
      </c>
      <c r="C29" s="257">
        <v>410952958</v>
      </c>
      <c r="D29" s="257">
        <v>-201999560</v>
      </c>
      <c r="E29" s="257">
        <f>C29+D29</f>
        <v>208953398</v>
      </c>
    </row>
    <row r="30" spans="1:5" s="509" customFormat="1" ht="12" customHeight="1" thickBot="1">
      <c r="A30" s="519" t="s">
        <v>167</v>
      </c>
      <c r="B30" s="507" t="s">
        <v>559</v>
      </c>
      <c r="C30" s="508"/>
      <c r="D30" s="508"/>
      <c r="E30" s="508"/>
    </row>
    <row r="31" spans="1:5" s="372" customFormat="1" ht="12" customHeight="1" thickBot="1">
      <c r="A31" s="20" t="s">
        <v>168</v>
      </c>
      <c r="B31" s="21" t="s">
        <v>543</v>
      </c>
      <c r="C31" s="261">
        <f>SUM(C32:C38)</f>
        <v>1363000000</v>
      </c>
      <c r="D31" s="261">
        <f>SUM(D32:D38)</f>
        <v>-96000000</v>
      </c>
      <c r="E31" s="261">
        <f>SUM(E32:E38)</f>
        <v>1267000000</v>
      </c>
    </row>
    <row r="32" spans="1:5" s="372" customFormat="1" ht="12" customHeight="1">
      <c r="A32" s="15" t="s">
        <v>262</v>
      </c>
      <c r="B32" s="373" t="s">
        <v>547</v>
      </c>
      <c r="C32" s="258">
        <v>95000000</v>
      </c>
      <c r="D32" s="258"/>
      <c r="E32" s="258">
        <v>95000000</v>
      </c>
    </row>
    <row r="33" spans="1:5" s="372" customFormat="1" ht="12" customHeight="1">
      <c r="A33" s="14" t="s">
        <v>263</v>
      </c>
      <c r="B33" s="374" t="s">
        <v>548</v>
      </c>
      <c r="C33" s="257">
        <v>6000000</v>
      </c>
      <c r="D33" s="257">
        <v>-6000000</v>
      </c>
      <c r="E33" s="257">
        <v>0</v>
      </c>
    </row>
    <row r="34" spans="1:5" s="372" customFormat="1" ht="12" customHeight="1">
      <c r="A34" s="14" t="s">
        <v>264</v>
      </c>
      <c r="B34" s="374" t="s">
        <v>549</v>
      </c>
      <c r="C34" s="257">
        <v>1100000000</v>
      </c>
      <c r="D34" s="257"/>
      <c r="E34" s="257">
        <v>1100000000</v>
      </c>
    </row>
    <row r="35" spans="1:5" s="372" customFormat="1" ht="12" customHeight="1">
      <c r="A35" s="14" t="s">
        <v>265</v>
      </c>
      <c r="B35" s="374" t="s">
        <v>550</v>
      </c>
      <c r="C35" s="257">
        <v>2000000</v>
      </c>
      <c r="D35" s="257"/>
      <c r="E35" s="257">
        <v>2000000</v>
      </c>
    </row>
    <row r="36" spans="1:5" s="372" customFormat="1" ht="12" customHeight="1">
      <c r="A36" s="14" t="s">
        <v>544</v>
      </c>
      <c r="B36" s="374" t="s">
        <v>266</v>
      </c>
      <c r="C36" s="257">
        <v>90000000</v>
      </c>
      <c r="D36" s="257">
        <v>-90000000</v>
      </c>
      <c r="E36" s="257">
        <v>0</v>
      </c>
    </row>
    <row r="37" spans="1:5" s="372" customFormat="1" ht="12" customHeight="1">
      <c r="A37" s="14" t="s">
        <v>545</v>
      </c>
      <c r="B37" s="374" t="s">
        <v>664</v>
      </c>
      <c r="C37" s="257"/>
      <c r="D37" s="257"/>
      <c r="E37" s="257"/>
    </row>
    <row r="38" spans="1:5" s="372" customFormat="1" ht="12" customHeight="1" thickBot="1">
      <c r="A38" s="16" t="s">
        <v>546</v>
      </c>
      <c r="B38" s="623" t="s">
        <v>665</v>
      </c>
      <c r="C38" s="259">
        <v>70000000</v>
      </c>
      <c r="D38" s="259"/>
      <c r="E38" s="259">
        <v>70000000</v>
      </c>
    </row>
    <row r="39" spans="1:5" s="372" customFormat="1" ht="12" customHeight="1" thickBot="1">
      <c r="A39" s="20" t="s">
        <v>21</v>
      </c>
      <c r="B39" s="21" t="s">
        <v>426</v>
      </c>
      <c r="C39" s="255">
        <f>SUM(C40:C50)</f>
        <v>305391567</v>
      </c>
      <c r="D39" s="255">
        <f>SUM(D40:D50)</f>
        <v>0</v>
      </c>
      <c r="E39" s="255">
        <f>SUM(E40:E50)</f>
        <v>305391567</v>
      </c>
    </row>
    <row r="40" spans="1:5" s="372" customFormat="1" ht="12" customHeight="1">
      <c r="A40" s="15" t="s">
        <v>88</v>
      </c>
      <c r="B40" s="373" t="s">
        <v>269</v>
      </c>
      <c r="C40" s="258"/>
      <c r="D40" s="258"/>
      <c r="E40" s="258"/>
    </row>
    <row r="41" spans="1:5" s="372" customFormat="1" ht="12" customHeight="1">
      <c r="A41" s="14" t="s">
        <v>89</v>
      </c>
      <c r="B41" s="374" t="s">
        <v>270</v>
      </c>
      <c r="C41" s="257">
        <v>159288181</v>
      </c>
      <c r="D41" s="257"/>
      <c r="E41" s="257">
        <v>159288181</v>
      </c>
    </row>
    <row r="42" spans="1:5" s="372" customFormat="1" ht="12" customHeight="1">
      <c r="A42" s="14" t="s">
        <v>90</v>
      </c>
      <c r="B42" s="374" t="s">
        <v>271</v>
      </c>
      <c r="C42" s="257">
        <v>23874016</v>
      </c>
      <c r="D42" s="257"/>
      <c r="E42" s="257">
        <v>23874016</v>
      </c>
    </row>
    <row r="43" spans="1:5" s="372" customFormat="1" ht="12" customHeight="1">
      <c r="A43" s="14" t="s">
        <v>170</v>
      </c>
      <c r="B43" s="374" t="s">
        <v>272</v>
      </c>
      <c r="C43" s="257"/>
      <c r="D43" s="257"/>
      <c r="E43" s="257"/>
    </row>
    <row r="44" spans="1:5" s="372" customFormat="1" ht="12" customHeight="1">
      <c r="A44" s="14" t="s">
        <v>171</v>
      </c>
      <c r="B44" s="374" t="s">
        <v>273</v>
      </c>
      <c r="C44" s="257">
        <v>70427218</v>
      </c>
      <c r="D44" s="257"/>
      <c r="E44" s="257">
        <v>70427218</v>
      </c>
    </row>
    <row r="45" spans="1:5" s="372" customFormat="1" ht="12" customHeight="1">
      <c r="A45" s="14" t="s">
        <v>172</v>
      </c>
      <c r="B45" s="374" t="s">
        <v>274</v>
      </c>
      <c r="C45" s="257">
        <v>51082152</v>
      </c>
      <c r="D45" s="257"/>
      <c r="E45" s="257">
        <v>51082152</v>
      </c>
    </row>
    <row r="46" spans="1:5" s="372" customFormat="1" ht="12" customHeight="1">
      <c r="A46" s="14" t="s">
        <v>173</v>
      </c>
      <c r="B46" s="374" t="s">
        <v>275</v>
      </c>
      <c r="C46" s="257"/>
      <c r="D46" s="257"/>
      <c r="E46" s="257"/>
    </row>
    <row r="47" spans="1:5" s="372" customFormat="1" ht="12" customHeight="1">
      <c r="A47" s="14" t="s">
        <v>174</v>
      </c>
      <c r="B47" s="374" t="s">
        <v>551</v>
      </c>
      <c r="C47" s="257"/>
      <c r="D47" s="257"/>
      <c r="E47" s="257"/>
    </row>
    <row r="48" spans="1:5" s="372" customFormat="1" ht="12" customHeight="1">
      <c r="A48" s="14" t="s">
        <v>267</v>
      </c>
      <c r="B48" s="374" t="s">
        <v>277</v>
      </c>
      <c r="C48" s="260"/>
      <c r="D48" s="260"/>
      <c r="E48" s="260"/>
    </row>
    <row r="49" spans="1:5" s="372" customFormat="1" ht="12" customHeight="1">
      <c r="A49" s="16" t="s">
        <v>268</v>
      </c>
      <c r="B49" s="375" t="s">
        <v>428</v>
      </c>
      <c r="C49" s="361"/>
      <c r="D49" s="361"/>
      <c r="E49" s="361"/>
    </row>
    <row r="50" spans="1:5" s="372" customFormat="1" ht="12" customHeight="1" thickBot="1">
      <c r="A50" s="16" t="s">
        <v>427</v>
      </c>
      <c r="B50" s="252" t="s">
        <v>278</v>
      </c>
      <c r="C50" s="361">
        <v>720000</v>
      </c>
      <c r="D50" s="361"/>
      <c r="E50" s="361">
        <v>720000</v>
      </c>
    </row>
    <row r="51" spans="1:5" s="372" customFormat="1" ht="12" customHeight="1" thickBot="1">
      <c r="A51" s="20" t="s">
        <v>22</v>
      </c>
      <c r="B51" s="21" t="s">
        <v>279</v>
      </c>
      <c r="C51" s="255">
        <f>SUM(C52:C56)</f>
        <v>40000000</v>
      </c>
      <c r="D51" s="255">
        <f>SUM(D52:D56)</f>
        <v>0</v>
      </c>
      <c r="E51" s="255">
        <f>SUM(E52:E56)</f>
        <v>40000000</v>
      </c>
    </row>
    <row r="52" spans="1:5" s="372" customFormat="1" ht="12" customHeight="1">
      <c r="A52" s="15" t="s">
        <v>91</v>
      </c>
      <c r="B52" s="373" t="s">
        <v>283</v>
      </c>
      <c r="C52" s="417"/>
      <c r="D52" s="417"/>
      <c r="E52" s="417"/>
    </row>
    <row r="53" spans="1:5" s="372" customFormat="1" ht="12" customHeight="1">
      <c r="A53" s="14" t="s">
        <v>92</v>
      </c>
      <c r="B53" s="374" t="s">
        <v>284</v>
      </c>
      <c r="C53" s="260">
        <v>40000000</v>
      </c>
      <c r="D53" s="260"/>
      <c r="E53" s="260">
        <v>40000000</v>
      </c>
    </row>
    <row r="54" spans="1:5" s="372" customFormat="1" ht="12" customHeight="1">
      <c r="A54" s="14" t="s">
        <v>280</v>
      </c>
      <c r="B54" s="374" t="s">
        <v>285</v>
      </c>
      <c r="C54" s="260"/>
      <c r="D54" s="260"/>
      <c r="E54" s="260"/>
    </row>
    <row r="55" spans="1:5" s="372" customFormat="1" ht="12" customHeight="1">
      <c r="A55" s="14" t="s">
        <v>281</v>
      </c>
      <c r="B55" s="374" t="s">
        <v>286</v>
      </c>
      <c r="C55" s="260"/>
      <c r="D55" s="260"/>
      <c r="E55" s="260"/>
    </row>
    <row r="56" spans="1:5" s="372" customFormat="1" ht="12" customHeight="1" thickBot="1">
      <c r="A56" s="16" t="s">
        <v>282</v>
      </c>
      <c r="B56" s="252" t="s">
        <v>287</v>
      </c>
      <c r="C56" s="361"/>
      <c r="D56" s="361"/>
      <c r="E56" s="361"/>
    </row>
    <row r="57" spans="1:5" s="372" customFormat="1" ht="12" customHeight="1" thickBot="1">
      <c r="A57" s="20" t="s">
        <v>175</v>
      </c>
      <c r="B57" s="21" t="s">
        <v>288</v>
      </c>
      <c r="C57" s="255">
        <f>SUM(C58:C60)</f>
        <v>0</v>
      </c>
      <c r="D57" s="255">
        <f>SUM(D58:D60)</f>
        <v>0</v>
      </c>
      <c r="E57" s="255">
        <f>SUM(E58:E60)</f>
        <v>0</v>
      </c>
    </row>
    <row r="58" spans="1:5" s="372" customFormat="1" ht="12" customHeight="1">
      <c r="A58" s="15" t="s">
        <v>93</v>
      </c>
      <c r="B58" s="373" t="s">
        <v>289</v>
      </c>
      <c r="C58" s="258"/>
      <c r="D58" s="258"/>
      <c r="E58" s="258"/>
    </row>
    <row r="59" spans="1:5" s="372" customFormat="1" ht="12" customHeight="1">
      <c r="A59" s="14" t="s">
        <v>94</v>
      </c>
      <c r="B59" s="374" t="s">
        <v>418</v>
      </c>
      <c r="C59" s="257"/>
      <c r="D59" s="257"/>
      <c r="E59" s="257"/>
    </row>
    <row r="60" spans="1:5" s="372" customFormat="1" ht="12" customHeight="1">
      <c r="A60" s="14" t="s">
        <v>292</v>
      </c>
      <c r="B60" s="374" t="s">
        <v>290</v>
      </c>
      <c r="C60" s="257"/>
      <c r="D60" s="257"/>
      <c r="E60" s="257"/>
    </row>
    <row r="61" spans="1:5" s="372" customFormat="1" ht="12" customHeight="1" thickBot="1">
      <c r="A61" s="16" t="s">
        <v>293</v>
      </c>
      <c r="B61" s="252" t="s">
        <v>291</v>
      </c>
      <c r="C61" s="259"/>
      <c r="D61" s="259"/>
      <c r="E61" s="259"/>
    </row>
    <row r="62" spans="1:5" s="372" customFormat="1" ht="12" customHeight="1" thickBot="1">
      <c r="A62" s="20" t="s">
        <v>24</v>
      </c>
      <c r="B62" s="250" t="s">
        <v>294</v>
      </c>
      <c r="C62" s="255">
        <f>SUM(C63:C65)</f>
        <v>0</v>
      </c>
      <c r="D62" s="255">
        <f>SUM(D63:D65)</f>
        <v>0</v>
      </c>
      <c r="E62" s="255">
        <f>SUM(E63:E65)</f>
        <v>0</v>
      </c>
    </row>
    <row r="63" spans="1:5" s="372" customFormat="1" ht="12" customHeight="1">
      <c r="A63" s="15" t="s">
        <v>176</v>
      </c>
      <c r="B63" s="373" t="s">
        <v>296</v>
      </c>
      <c r="C63" s="260"/>
      <c r="D63" s="260"/>
      <c r="E63" s="260"/>
    </row>
    <row r="64" spans="1:5" s="372" customFormat="1" ht="12" customHeight="1">
      <c r="A64" s="14" t="s">
        <v>177</v>
      </c>
      <c r="B64" s="374" t="s">
        <v>419</v>
      </c>
      <c r="C64" s="260"/>
      <c r="D64" s="260"/>
      <c r="E64" s="260"/>
    </row>
    <row r="65" spans="1:5" s="372" customFormat="1" ht="12" customHeight="1">
      <c r="A65" s="14" t="s">
        <v>225</v>
      </c>
      <c r="B65" s="374" t="s">
        <v>297</v>
      </c>
      <c r="C65" s="260"/>
      <c r="D65" s="260"/>
      <c r="E65" s="260"/>
    </row>
    <row r="66" spans="1:5" s="372" customFormat="1" ht="12" customHeight="1" thickBot="1">
      <c r="A66" s="16" t="s">
        <v>295</v>
      </c>
      <c r="B66" s="252" t="s">
        <v>298</v>
      </c>
      <c r="C66" s="260"/>
      <c r="D66" s="260"/>
      <c r="E66" s="260"/>
    </row>
    <row r="67" spans="1:5" s="372" customFormat="1" ht="12" customHeight="1" thickBot="1">
      <c r="A67" s="439" t="s">
        <v>468</v>
      </c>
      <c r="B67" s="21" t="s">
        <v>299</v>
      </c>
      <c r="C67" s="261">
        <f>+C10+C17+C24+C31+C39+C51+C57+C62</f>
        <v>4121173918</v>
      </c>
      <c r="D67" s="261">
        <f>+D10+D17+D24+D31+D39+D51+D57+D62</f>
        <v>-297999560</v>
      </c>
      <c r="E67" s="261">
        <f>+E10+E17+E24+E31+E39+E51+E57+E62</f>
        <v>3823174358</v>
      </c>
    </row>
    <row r="68" spans="1:5" s="372" customFormat="1" ht="12" customHeight="1" thickBot="1">
      <c r="A68" s="420" t="s">
        <v>300</v>
      </c>
      <c r="B68" s="250" t="s">
        <v>301</v>
      </c>
      <c r="C68" s="255">
        <f>SUM(C69:C71)</f>
        <v>0</v>
      </c>
      <c r="D68" s="255">
        <f>SUM(D69:D71)</f>
        <v>0</v>
      </c>
      <c r="E68" s="255">
        <f>SUM(E69:E71)</f>
        <v>0</v>
      </c>
    </row>
    <row r="69" spans="1:5" s="372" customFormat="1" ht="12" customHeight="1">
      <c r="A69" s="15" t="s">
        <v>329</v>
      </c>
      <c r="B69" s="373" t="s">
        <v>302</v>
      </c>
      <c r="C69" s="260"/>
      <c r="D69" s="260"/>
      <c r="E69" s="260"/>
    </row>
    <row r="70" spans="1:5" s="372" customFormat="1" ht="12" customHeight="1">
      <c r="A70" s="14" t="s">
        <v>338</v>
      </c>
      <c r="B70" s="374" t="s">
        <v>303</v>
      </c>
      <c r="C70" s="260"/>
      <c r="D70" s="260"/>
      <c r="E70" s="260"/>
    </row>
    <row r="71" spans="1:5" s="372" customFormat="1" ht="12" customHeight="1" thickBot="1">
      <c r="A71" s="16" t="s">
        <v>339</v>
      </c>
      <c r="B71" s="433" t="s">
        <v>560</v>
      </c>
      <c r="C71" s="260"/>
      <c r="D71" s="260"/>
      <c r="E71" s="260"/>
    </row>
    <row r="72" spans="1:5" s="372" customFormat="1" ht="12" customHeight="1" thickBot="1">
      <c r="A72" s="420" t="s">
        <v>305</v>
      </c>
      <c r="B72" s="250" t="s">
        <v>306</v>
      </c>
      <c r="C72" s="255">
        <f>SUM(C73:C76)</f>
        <v>0</v>
      </c>
      <c r="D72" s="255">
        <f>SUM(D73:D76)</f>
        <v>0</v>
      </c>
      <c r="E72" s="255">
        <f>SUM(E73:E76)</f>
        <v>0</v>
      </c>
    </row>
    <row r="73" spans="1:5" s="372" customFormat="1" ht="12" customHeight="1">
      <c r="A73" s="15" t="s">
        <v>144</v>
      </c>
      <c r="B73" s="373" t="s">
        <v>307</v>
      </c>
      <c r="C73" s="260"/>
      <c r="D73" s="260"/>
      <c r="E73" s="260"/>
    </row>
    <row r="74" spans="1:5" s="372" customFormat="1" ht="12" customHeight="1">
      <c r="A74" s="14" t="s">
        <v>145</v>
      </c>
      <c r="B74" s="374" t="s">
        <v>561</v>
      </c>
      <c r="C74" s="260"/>
      <c r="D74" s="260"/>
      <c r="E74" s="260"/>
    </row>
    <row r="75" spans="1:5" s="372" customFormat="1" ht="12" customHeight="1" thickBot="1">
      <c r="A75" s="16" t="s">
        <v>330</v>
      </c>
      <c r="B75" s="375" t="s">
        <v>308</v>
      </c>
      <c r="C75" s="361"/>
      <c r="D75" s="361"/>
      <c r="E75" s="361"/>
    </row>
    <row r="76" spans="1:5" s="372" customFormat="1" ht="12" customHeight="1" thickBot="1">
      <c r="A76" s="521" t="s">
        <v>331</v>
      </c>
      <c r="B76" s="522" t="s">
        <v>562</v>
      </c>
      <c r="C76" s="523"/>
      <c r="D76" s="523"/>
      <c r="E76" s="523"/>
    </row>
    <row r="77" spans="1:5" s="372" customFormat="1" ht="12" customHeight="1" thickBot="1">
      <c r="A77" s="420" t="s">
        <v>309</v>
      </c>
      <c r="B77" s="250" t="s">
        <v>310</v>
      </c>
      <c r="C77" s="255">
        <f>SUM(C78:C79)</f>
        <v>336700000</v>
      </c>
      <c r="D77" s="255">
        <f>SUM(D78:D79)</f>
        <v>396373531</v>
      </c>
      <c r="E77" s="255">
        <f>SUM(E78:E79)</f>
        <v>733073531</v>
      </c>
    </row>
    <row r="78" spans="1:5" s="372" customFormat="1" ht="12" customHeight="1" thickBot="1">
      <c r="A78" s="13" t="s">
        <v>332</v>
      </c>
      <c r="B78" s="520" t="s">
        <v>311</v>
      </c>
      <c r="C78" s="361">
        <v>336700000</v>
      </c>
      <c r="D78" s="361">
        <v>396373531</v>
      </c>
      <c r="E78" s="361">
        <f>C78+D78</f>
        <v>733073531</v>
      </c>
    </row>
    <row r="79" spans="1:5" s="372" customFormat="1" ht="12" customHeight="1" thickBot="1">
      <c r="A79" s="521" t="s">
        <v>333</v>
      </c>
      <c r="B79" s="522" t="s">
        <v>312</v>
      </c>
      <c r="C79" s="523"/>
      <c r="D79" s="523"/>
      <c r="E79" s="523"/>
    </row>
    <row r="80" spans="1:5" s="372" customFormat="1" ht="12" customHeight="1" thickBot="1">
      <c r="A80" s="420" t="s">
        <v>313</v>
      </c>
      <c r="B80" s="250" t="s">
        <v>314</v>
      </c>
      <c r="C80" s="255">
        <f>SUM(C81:C83)</f>
        <v>0</v>
      </c>
      <c r="D80" s="255">
        <f>SUM(D81:D83)</f>
        <v>0</v>
      </c>
      <c r="E80" s="255">
        <f>SUM(E81:E83)</f>
        <v>0</v>
      </c>
    </row>
    <row r="81" spans="1:5" s="372" customFormat="1" ht="12" customHeight="1">
      <c r="A81" s="15" t="s">
        <v>334</v>
      </c>
      <c r="B81" s="373" t="s">
        <v>315</v>
      </c>
      <c r="C81" s="260"/>
      <c r="D81" s="260"/>
      <c r="E81" s="260"/>
    </row>
    <row r="82" spans="1:5" s="372" customFormat="1" ht="12" customHeight="1">
      <c r="A82" s="14" t="s">
        <v>335</v>
      </c>
      <c r="B82" s="374" t="s">
        <v>316</v>
      </c>
      <c r="C82" s="260"/>
      <c r="D82" s="260"/>
      <c r="E82" s="260"/>
    </row>
    <row r="83" spans="1:5" s="372" customFormat="1" ht="12" customHeight="1" thickBot="1">
      <c r="A83" s="18" t="s">
        <v>336</v>
      </c>
      <c r="B83" s="524" t="s">
        <v>563</v>
      </c>
      <c r="C83" s="525"/>
      <c r="D83" s="525"/>
      <c r="E83" s="525"/>
    </row>
    <row r="84" spans="1:5" s="372" customFormat="1" ht="12" customHeight="1" thickBot="1">
      <c r="A84" s="420" t="s">
        <v>317</v>
      </c>
      <c r="B84" s="250" t="s">
        <v>337</v>
      </c>
      <c r="C84" s="255">
        <f>SUM(C85:C88)</f>
        <v>0</v>
      </c>
      <c r="D84" s="255">
        <f>SUM(D85:D88)</f>
        <v>0</v>
      </c>
      <c r="E84" s="255">
        <f>SUM(E85:E88)</f>
        <v>0</v>
      </c>
    </row>
    <row r="85" spans="1:5" s="372" customFormat="1" ht="12" customHeight="1">
      <c r="A85" s="377" t="s">
        <v>318</v>
      </c>
      <c r="B85" s="373" t="s">
        <v>319</v>
      </c>
      <c r="C85" s="260"/>
      <c r="D85" s="260"/>
      <c r="E85" s="260"/>
    </row>
    <row r="86" spans="1:5" s="372" customFormat="1" ht="12" customHeight="1">
      <c r="A86" s="378" t="s">
        <v>320</v>
      </c>
      <c r="B86" s="374" t="s">
        <v>321</v>
      </c>
      <c r="C86" s="260"/>
      <c r="D86" s="260"/>
      <c r="E86" s="260"/>
    </row>
    <row r="87" spans="1:5" s="372" customFormat="1" ht="12" customHeight="1">
      <c r="A87" s="378" t="s">
        <v>322</v>
      </c>
      <c r="B87" s="374" t="s">
        <v>323</v>
      </c>
      <c r="C87" s="260"/>
      <c r="D87" s="260"/>
      <c r="E87" s="260"/>
    </row>
    <row r="88" spans="1:5" s="372" customFormat="1" ht="12" customHeight="1" thickBot="1">
      <c r="A88" s="379" t="s">
        <v>324</v>
      </c>
      <c r="B88" s="252" t="s">
        <v>325</v>
      </c>
      <c r="C88" s="260"/>
      <c r="D88" s="260"/>
      <c r="E88" s="260"/>
    </row>
    <row r="89" spans="1:5" s="372" customFormat="1" ht="12" customHeight="1" thickBot="1">
      <c r="A89" s="420" t="s">
        <v>326</v>
      </c>
      <c r="B89" s="250" t="s">
        <v>467</v>
      </c>
      <c r="C89" s="418"/>
      <c r="D89" s="418"/>
      <c r="E89" s="418"/>
    </row>
    <row r="90" spans="1:5" s="372" customFormat="1" ht="13.5" customHeight="1" thickBot="1">
      <c r="A90" s="420" t="s">
        <v>328</v>
      </c>
      <c r="B90" s="250" t="s">
        <v>327</v>
      </c>
      <c r="C90" s="418"/>
      <c r="D90" s="418"/>
      <c r="E90" s="418"/>
    </row>
    <row r="91" spans="1:5" s="372" customFormat="1" ht="15.75" customHeight="1" thickBot="1">
      <c r="A91" s="420" t="s">
        <v>340</v>
      </c>
      <c r="B91" s="380" t="s">
        <v>470</v>
      </c>
      <c r="C91" s="261">
        <f>+C68+C72+C77+C80+C84+C90+C89</f>
        <v>336700000</v>
      </c>
      <c r="D91" s="261">
        <f>+D68+D72+D77+D80+D84+D90+D89</f>
        <v>396373531</v>
      </c>
      <c r="E91" s="261">
        <f>+E68+E72+E77+E80+E84+E90+E89</f>
        <v>733073531</v>
      </c>
    </row>
    <row r="92" spans="1:5" s="372" customFormat="1" ht="16.5" customHeight="1" thickBot="1">
      <c r="A92" s="421" t="s">
        <v>469</v>
      </c>
      <c r="B92" s="381" t="s">
        <v>471</v>
      </c>
      <c r="C92" s="261">
        <f>+C67+C91</f>
        <v>4457873918</v>
      </c>
      <c r="D92" s="261">
        <f>+D67+D91</f>
        <v>98373971</v>
      </c>
      <c r="E92" s="261">
        <f>+E67+E91</f>
        <v>4556247889</v>
      </c>
    </row>
    <row r="93" spans="1:5" s="372" customFormat="1" ht="11.1" customHeight="1">
      <c r="A93" s="5"/>
      <c r="B93" s="6"/>
      <c r="C93" s="262"/>
      <c r="D93" s="262"/>
      <c r="E93" s="262"/>
    </row>
    <row r="94" spans="1:5" ht="16.5" customHeight="1">
      <c r="A94" s="765" t="s">
        <v>46</v>
      </c>
      <c r="B94" s="765"/>
      <c r="C94" s="765"/>
      <c r="D94" s="370"/>
      <c r="E94" s="370"/>
    </row>
    <row r="95" spans="1:5" s="382" customFormat="1" ht="16.5" customHeight="1" thickBot="1">
      <c r="A95" s="762" t="s">
        <v>148</v>
      </c>
      <c r="B95" s="762"/>
      <c r="C95" s="532"/>
      <c r="D95" s="532"/>
      <c r="E95" s="532" t="str">
        <f>E7</f>
        <v>Forintban!</v>
      </c>
    </row>
    <row r="96" spans="1:5" ht="30" customHeight="1" thickBot="1">
      <c r="A96" s="513" t="s">
        <v>66</v>
      </c>
      <c r="B96" s="514" t="s">
        <v>47</v>
      </c>
      <c r="C96" s="515" t="str">
        <f ca="1">+C8</f>
        <v>2020. évi előirányzat</v>
      </c>
      <c r="D96" s="515" t="str">
        <f>+D8</f>
        <v>Módosítás 04.30.</v>
      </c>
      <c r="E96" s="515" t="str">
        <f>+E8</f>
        <v>Módosított előirányzat</v>
      </c>
    </row>
    <row r="97" spans="1:5" s="371" customFormat="1" ht="12" customHeight="1" thickBot="1">
      <c r="A97" s="513"/>
      <c r="B97" s="514" t="s">
        <v>485</v>
      </c>
      <c r="C97" s="515" t="s">
        <v>486</v>
      </c>
      <c r="D97" s="515" t="s">
        <v>486</v>
      </c>
      <c r="E97" s="515" t="s">
        <v>486</v>
      </c>
    </row>
    <row r="98" spans="1:5" ht="12" customHeight="1" thickBot="1">
      <c r="A98" s="22" t="s">
        <v>17</v>
      </c>
      <c r="B98" s="26" t="s">
        <v>429</v>
      </c>
      <c r="C98" s="254">
        <f>C99+C100+C101+C102+C103+C116</f>
        <v>3438969099</v>
      </c>
      <c r="D98" s="254">
        <f>D99+D100+D101+D102+D103+D116</f>
        <v>288150023</v>
      </c>
      <c r="E98" s="254">
        <f>E99+E100+E101+E102+E103+E116</f>
        <v>3727119122</v>
      </c>
    </row>
    <row r="99" spans="1:5" ht="12" customHeight="1" thickBot="1">
      <c r="A99" s="17" t="s">
        <v>95</v>
      </c>
      <c r="B99" s="10" t="s">
        <v>48</v>
      </c>
      <c r="C99" s="256">
        <v>1337603099</v>
      </c>
      <c r="D99" s="256">
        <v>3522895</v>
      </c>
      <c r="E99" s="256">
        <f>C99+D99</f>
        <v>1341125994</v>
      </c>
    </row>
    <row r="100" spans="1:5" ht="12" customHeight="1" thickBot="1">
      <c r="A100" s="14" t="s">
        <v>96</v>
      </c>
      <c r="B100" s="8" t="s">
        <v>178</v>
      </c>
      <c r="C100" s="257">
        <v>248892910</v>
      </c>
      <c r="D100" s="257">
        <v>610456</v>
      </c>
      <c r="E100" s="256">
        <f>C100+D100</f>
        <v>249503366</v>
      </c>
    </row>
    <row r="101" spans="1:5" ht="12" customHeight="1" thickBot="1">
      <c r="A101" s="14" t="s">
        <v>97</v>
      </c>
      <c r="B101" s="8" t="s">
        <v>135</v>
      </c>
      <c r="C101" s="259">
        <v>1343397634</v>
      </c>
      <c r="D101" s="259">
        <v>23671245</v>
      </c>
      <c r="E101" s="256">
        <f>C101+D101</f>
        <v>1367068879</v>
      </c>
    </row>
    <row r="102" spans="1:5" ht="12" customHeight="1" thickBot="1">
      <c r="A102" s="14" t="s">
        <v>98</v>
      </c>
      <c r="B102" s="11" t="s">
        <v>179</v>
      </c>
      <c r="C102" s="259">
        <v>61500000</v>
      </c>
      <c r="D102" s="259"/>
      <c r="E102" s="256">
        <f>C102+D102</f>
        <v>61500000</v>
      </c>
    </row>
    <row r="103" spans="1:5" ht="12" customHeight="1">
      <c r="A103" s="14" t="s">
        <v>109</v>
      </c>
      <c r="B103" s="19" t="s">
        <v>180</v>
      </c>
      <c r="C103" s="259">
        <v>298432456</v>
      </c>
      <c r="D103" s="259">
        <v>549200</v>
      </c>
      <c r="E103" s="256">
        <f>C103+D103</f>
        <v>298981656</v>
      </c>
    </row>
    <row r="104" spans="1:5" ht="12" customHeight="1">
      <c r="A104" s="14" t="s">
        <v>99</v>
      </c>
      <c r="B104" s="8" t="s">
        <v>434</v>
      </c>
      <c r="C104" s="259"/>
      <c r="D104" s="259"/>
      <c r="E104" s="259"/>
    </row>
    <row r="105" spans="1:5" ht="12" customHeight="1">
      <c r="A105" s="14" t="s">
        <v>100</v>
      </c>
      <c r="B105" s="118" t="s">
        <v>433</v>
      </c>
      <c r="C105" s="259"/>
      <c r="D105" s="259"/>
      <c r="E105" s="259"/>
    </row>
    <row r="106" spans="1:5" ht="12" customHeight="1">
      <c r="A106" s="14" t="s">
        <v>110</v>
      </c>
      <c r="B106" s="118" t="s">
        <v>432</v>
      </c>
      <c r="C106" s="259"/>
      <c r="D106" s="259"/>
      <c r="E106" s="259"/>
    </row>
    <row r="107" spans="1:5" ht="12" customHeight="1">
      <c r="A107" s="14" t="s">
        <v>111</v>
      </c>
      <c r="B107" s="116" t="s">
        <v>343</v>
      </c>
      <c r="C107" s="259"/>
      <c r="D107" s="259"/>
      <c r="E107" s="259"/>
    </row>
    <row r="108" spans="1:5" ht="12" customHeight="1">
      <c r="A108" s="14" t="s">
        <v>112</v>
      </c>
      <c r="B108" s="117" t="s">
        <v>344</v>
      </c>
      <c r="C108" s="259"/>
      <c r="D108" s="259"/>
      <c r="E108" s="259"/>
    </row>
    <row r="109" spans="1:5" ht="12" customHeight="1">
      <c r="A109" s="14" t="s">
        <v>113</v>
      </c>
      <c r="B109" s="117" t="s">
        <v>345</v>
      </c>
      <c r="C109" s="259"/>
      <c r="D109" s="259"/>
      <c r="E109" s="259"/>
    </row>
    <row r="110" spans="1:5" ht="12" customHeight="1">
      <c r="A110" s="14" t="s">
        <v>115</v>
      </c>
      <c r="B110" s="116" t="s">
        <v>346</v>
      </c>
      <c r="C110" s="259"/>
      <c r="D110" s="259"/>
      <c r="E110" s="259"/>
    </row>
    <row r="111" spans="1:5" ht="12" customHeight="1">
      <c r="A111" s="14" t="s">
        <v>181</v>
      </c>
      <c r="B111" s="116" t="s">
        <v>347</v>
      </c>
      <c r="C111" s="259"/>
      <c r="D111" s="259"/>
      <c r="E111" s="259"/>
    </row>
    <row r="112" spans="1:5" ht="12" customHeight="1">
      <c r="A112" s="14" t="s">
        <v>341</v>
      </c>
      <c r="B112" s="117" t="s">
        <v>348</v>
      </c>
      <c r="C112" s="259"/>
      <c r="D112" s="259"/>
      <c r="E112" s="259"/>
    </row>
    <row r="113" spans="1:5" ht="12" customHeight="1">
      <c r="A113" s="13" t="s">
        <v>342</v>
      </c>
      <c r="B113" s="118" t="s">
        <v>349</v>
      </c>
      <c r="C113" s="259"/>
      <c r="D113" s="259"/>
      <c r="E113" s="259"/>
    </row>
    <row r="114" spans="1:5" ht="12" customHeight="1">
      <c r="A114" s="14" t="s">
        <v>430</v>
      </c>
      <c r="B114" s="118" t="s">
        <v>350</v>
      </c>
      <c r="C114" s="259"/>
      <c r="D114" s="259"/>
      <c r="E114" s="259"/>
    </row>
    <row r="115" spans="1:5" ht="12" customHeight="1">
      <c r="A115" s="16" t="s">
        <v>431</v>
      </c>
      <c r="B115" s="118" t="s">
        <v>351</v>
      </c>
      <c r="C115" s="259"/>
      <c r="D115" s="259"/>
      <c r="E115" s="259"/>
    </row>
    <row r="116" spans="1:5" ht="12" customHeight="1">
      <c r="A116" s="14" t="s">
        <v>435</v>
      </c>
      <c r="B116" s="11" t="s">
        <v>49</v>
      </c>
      <c r="C116" s="257">
        <v>149143000</v>
      </c>
      <c r="D116" s="257">
        <f>D117+D118</f>
        <v>259796227</v>
      </c>
      <c r="E116" s="257">
        <f>C116+D116</f>
        <v>408939227</v>
      </c>
    </row>
    <row r="117" spans="1:5" ht="12" customHeight="1">
      <c r="A117" s="14" t="s">
        <v>436</v>
      </c>
      <c r="B117" s="8" t="s">
        <v>438</v>
      </c>
      <c r="C117" s="257">
        <v>40000000</v>
      </c>
      <c r="D117" s="257">
        <v>-186120</v>
      </c>
      <c r="E117" s="257">
        <f>C117+D117</f>
        <v>39813880</v>
      </c>
    </row>
    <row r="118" spans="1:5" ht="12" customHeight="1" thickBot="1">
      <c r="A118" s="18" t="s">
        <v>437</v>
      </c>
      <c r="B118" s="437" t="s">
        <v>439</v>
      </c>
      <c r="C118" s="263">
        <v>109143000</v>
      </c>
      <c r="D118" s="263">
        <v>259982347</v>
      </c>
      <c r="E118" s="257">
        <f>C118+D118</f>
        <v>369125347</v>
      </c>
    </row>
    <row r="119" spans="1:5" ht="12" customHeight="1" thickBot="1">
      <c r="A119" s="434" t="s">
        <v>18</v>
      </c>
      <c r="B119" s="435" t="s">
        <v>352</v>
      </c>
      <c r="C119" s="436">
        <f>+C120+C122+C124</f>
        <v>1018904819</v>
      </c>
      <c r="D119" s="436">
        <f>+D120+D122+D124</f>
        <v>-228127627</v>
      </c>
      <c r="E119" s="436">
        <f>+E120+E122+E124</f>
        <v>790777192</v>
      </c>
    </row>
    <row r="120" spans="1:5" ht="12" customHeight="1">
      <c r="A120" s="15" t="s">
        <v>101</v>
      </c>
      <c r="B120" s="8" t="s">
        <v>224</v>
      </c>
      <c r="C120" s="258">
        <v>628847207</v>
      </c>
      <c r="D120" s="258">
        <v>-237830016</v>
      </c>
      <c r="E120" s="258">
        <f>C120+D120</f>
        <v>391017191</v>
      </c>
    </row>
    <row r="121" spans="1:5" ht="12" customHeight="1">
      <c r="A121" s="15" t="s">
        <v>102</v>
      </c>
      <c r="B121" s="12" t="s">
        <v>356</v>
      </c>
      <c r="C121" s="258"/>
      <c r="D121" s="258"/>
      <c r="E121" s="258">
        <f>C121+D121</f>
        <v>0</v>
      </c>
    </row>
    <row r="122" spans="1:5" ht="12" customHeight="1">
      <c r="A122" s="15" t="s">
        <v>103</v>
      </c>
      <c r="B122" s="12" t="s">
        <v>182</v>
      </c>
      <c r="C122" s="257">
        <v>262557612</v>
      </c>
      <c r="D122" s="257">
        <v>9702389</v>
      </c>
      <c r="E122" s="258">
        <f>C122+D122</f>
        <v>272260001</v>
      </c>
    </row>
    <row r="123" spans="1:5" ht="12" customHeight="1">
      <c r="A123" s="15" t="s">
        <v>104</v>
      </c>
      <c r="B123" s="12" t="s">
        <v>357</v>
      </c>
      <c r="C123" s="222"/>
      <c r="D123" s="222"/>
      <c r="E123" s="258">
        <f>C123+D123</f>
        <v>0</v>
      </c>
    </row>
    <row r="124" spans="1:5" ht="12" customHeight="1">
      <c r="A124" s="15" t="s">
        <v>105</v>
      </c>
      <c r="B124" s="252" t="s">
        <v>565</v>
      </c>
      <c r="C124" s="222">
        <v>127500000</v>
      </c>
      <c r="D124" s="222"/>
      <c r="E124" s="258">
        <f>C124+D124</f>
        <v>127500000</v>
      </c>
    </row>
    <row r="125" spans="1:5" ht="12" customHeight="1">
      <c r="A125" s="15" t="s">
        <v>114</v>
      </c>
      <c r="B125" s="251" t="s">
        <v>420</v>
      </c>
      <c r="C125" s="222"/>
      <c r="D125" s="222"/>
      <c r="E125" s="222"/>
    </row>
    <row r="126" spans="1:5" ht="12" customHeight="1">
      <c r="A126" s="15" t="s">
        <v>116</v>
      </c>
      <c r="B126" s="369" t="s">
        <v>362</v>
      </c>
      <c r="C126" s="222"/>
      <c r="D126" s="222"/>
      <c r="E126" s="222"/>
    </row>
    <row r="127" spans="1:5">
      <c r="A127" s="15" t="s">
        <v>183</v>
      </c>
      <c r="B127" s="117" t="s">
        <v>345</v>
      </c>
      <c r="C127" s="222"/>
      <c r="D127" s="222"/>
      <c r="E127" s="222"/>
    </row>
    <row r="128" spans="1:5" ht="12" customHeight="1">
      <c r="A128" s="15" t="s">
        <v>184</v>
      </c>
      <c r="B128" s="117" t="s">
        <v>361</v>
      </c>
      <c r="C128" s="222"/>
      <c r="D128" s="222"/>
      <c r="E128" s="222"/>
    </row>
    <row r="129" spans="1:5" ht="12" customHeight="1">
      <c r="A129" s="15" t="s">
        <v>185</v>
      </c>
      <c r="B129" s="117" t="s">
        <v>360</v>
      </c>
      <c r="C129" s="222"/>
      <c r="D129" s="222"/>
      <c r="E129" s="222"/>
    </row>
    <row r="130" spans="1:5" ht="12" customHeight="1">
      <c r="A130" s="15" t="s">
        <v>353</v>
      </c>
      <c r="B130" s="117" t="s">
        <v>348</v>
      </c>
      <c r="C130" s="222"/>
      <c r="D130" s="222"/>
      <c r="E130" s="222"/>
    </row>
    <row r="131" spans="1:5" ht="12" customHeight="1">
      <c r="A131" s="15" t="s">
        <v>354</v>
      </c>
      <c r="B131" s="117" t="s">
        <v>359</v>
      </c>
      <c r="C131" s="222"/>
      <c r="D131" s="222"/>
      <c r="E131" s="222"/>
    </row>
    <row r="132" spans="1:5" ht="16.5" thickBot="1">
      <c r="A132" s="13" t="s">
        <v>355</v>
      </c>
      <c r="B132" s="117" t="s">
        <v>358</v>
      </c>
      <c r="C132" s="224"/>
      <c r="D132" s="224"/>
      <c r="E132" s="224"/>
    </row>
    <row r="133" spans="1:5" ht="12" customHeight="1" thickBot="1">
      <c r="A133" s="20" t="s">
        <v>19</v>
      </c>
      <c r="B133" s="98" t="s">
        <v>440</v>
      </c>
      <c r="C133" s="255">
        <f>+C98+C119</f>
        <v>4457873918</v>
      </c>
      <c r="D133" s="255">
        <f>+D98+D119</f>
        <v>60022396</v>
      </c>
      <c r="E133" s="255">
        <f>+E98+E119</f>
        <v>4517896314</v>
      </c>
    </row>
    <row r="134" spans="1:5" ht="12" customHeight="1" thickBot="1">
      <c r="A134" s="20" t="s">
        <v>20</v>
      </c>
      <c r="B134" s="98" t="s">
        <v>441</v>
      </c>
      <c r="C134" s="255">
        <f>+C135+C136+C137</f>
        <v>0</v>
      </c>
      <c r="D134" s="255">
        <f>+D135+D136+D137</f>
        <v>0</v>
      </c>
      <c r="E134" s="255">
        <f>+E135+E136+E137</f>
        <v>0</v>
      </c>
    </row>
    <row r="135" spans="1:5" ht="12" customHeight="1">
      <c r="A135" s="15" t="s">
        <v>262</v>
      </c>
      <c r="B135" s="12" t="s">
        <v>448</v>
      </c>
      <c r="C135" s="222"/>
      <c r="D135" s="222"/>
      <c r="E135" s="222"/>
    </row>
    <row r="136" spans="1:5" ht="12" customHeight="1">
      <c r="A136" s="15" t="s">
        <v>263</v>
      </c>
      <c r="B136" s="12" t="s">
        <v>449</v>
      </c>
      <c r="C136" s="222"/>
      <c r="D136" s="222"/>
      <c r="E136" s="222"/>
    </row>
    <row r="137" spans="1:5" ht="12" customHeight="1" thickBot="1">
      <c r="A137" s="13" t="s">
        <v>264</v>
      </c>
      <c r="B137" s="12" t="s">
        <v>450</v>
      </c>
      <c r="C137" s="222"/>
      <c r="D137" s="222"/>
      <c r="E137" s="222"/>
    </row>
    <row r="138" spans="1:5" ht="12" customHeight="1" thickBot="1">
      <c r="A138" s="20" t="s">
        <v>21</v>
      </c>
      <c r="B138" s="98" t="s">
        <v>442</v>
      </c>
      <c r="C138" s="255">
        <f>SUM(C139:C144)</f>
        <v>0</v>
      </c>
      <c r="D138" s="255">
        <f>SUM(D139:D144)</f>
        <v>0</v>
      </c>
      <c r="E138" s="255">
        <f>SUM(E139:E144)</f>
        <v>0</v>
      </c>
    </row>
    <row r="139" spans="1:5" ht="12" customHeight="1">
      <c r="A139" s="15" t="s">
        <v>88</v>
      </c>
      <c r="B139" s="9" t="s">
        <v>451</v>
      </c>
      <c r="C139" s="222"/>
      <c r="D139" s="222"/>
      <c r="E139" s="222"/>
    </row>
    <row r="140" spans="1:5" ht="12" customHeight="1">
      <c r="A140" s="15" t="s">
        <v>89</v>
      </c>
      <c r="B140" s="9" t="s">
        <v>443</v>
      </c>
      <c r="C140" s="222"/>
      <c r="D140" s="222"/>
      <c r="E140" s="222"/>
    </row>
    <row r="141" spans="1:5" ht="12" customHeight="1">
      <c r="A141" s="15" t="s">
        <v>90</v>
      </c>
      <c r="B141" s="9" t="s">
        <v>444</v>
      </c>
      <c r="C141" s="222"/>
      <c r="D141" s="222"/>
      <c r="E141" s="222"/>
    </row>
    <row r="142" spans="1:5" ht="12" customHeight="1">
      <c r="A142" s="15" t="s">
        <v>170</v>
      </c>
      <c r="B142" s="9" t="s">
        <v>445</v>
      </c>
      <c r="C142" s="222"/>
      <c r="D142" s="222"/>
      <c r="E142" s="222"/>
    </row>
    <row r="143" spans="1:5" ht="12" customHeight="1">
      <c r="A143" s="13" t="s">
        <v>171</v>
      </c>
      <c r="B143" s="7" t="s">
        <v>446</v>
      </c>
      <c r="C143" s="224"/>
      <c r="D143" s="224"/>
      <c r="E143" s="224"/>
    </row>
    <row r="144" spans="1:5" ht="12" customHeight="1" thickBot="1">
      <c r="A144" s="18" t="s">
        <v>172</v>
      </c>
      <c r="B144" s="666" t="s">
        <v>447</v>
      </c>
      <c r="C144" s="444"/>
      <c r="D144" s="444"/>
      <c r="E144" s="444"/>
    </row>
    <row r="145" spans="1:9" ht="12" customHeight="1" thickBot="1">
      <c r="A145" s="20" t="s">
        <v>22</v>
      </c>
      <c r="B145" s="98" t="s">
        <v>455</v>
      </c>
      <c r="C145" s="261">
        <f>+C146+C147+C148+C149</f>
        <v>0</v>
      </c>
      <c r="D145" s="261">
        <f>+D146+D147+D148+D149</f>
        <v>38351575</v>
      </c>
      <c r="E145" s="261">
        <f>+E146+E147+E148+E149</f>
        <v>38351575</v>
      </c>
    </row>
    <row r="146" spans="1:9" ht="12" customHeight="1">
      <c r="A146" s="15" t="s">
        <v>91</v>
      </c>
      <c r="B146" s="9" t="s">
        <v>363</v>
      </c>
      <c r="C146" s="222"/>
      <c r="D146" s="222">
        <v>38351575</v>
      </c>
      <c r="E146" s="222">
        <f>C146+D146</f>
        <v>38351575</v>
      </c>
    </row>
    <row r="147" spans="1:9" ht="12" customHeight="1">
      <c r="A147" s="15" t="s">
        <v>92</v>
      </c>
      <c r="B147" s="9" t="s">
        <v>364</v>
      </c>
      <c r="C147" s="222"/>
      <c r="D147" s="222"/>
      <c r="E147" s="222"/>
    </row>
    <row r="148" spans="1:9" ht="12" customHeight="1" thickBot="1">
      <c r="A148" s="13" t="s">
        <v>280</v>
      </c>
      <c r="B148" s="7" t="s">
        <v>456</v>
      </c>
      <c r="C148" s="224"/>
      <c r="D148" s="224"/>
      <c r="E148" s="224"/>
    </row>
    <row r="149" spans="1:9" ht="12" customHeight="1" thickBot="1">
      <c r="A149" s="521" t="s">
        <v>281</v>
      </c>
      <c r="B149" s="526" t="s">
        <v>382</v>
      </c>
      <c r="C149" s="527"/>
      <c r="D149" s="527"/>
      <c r="E149" s="527"/>
    </row>
    <row r="150" spans="1:9" ht="12" customHeight="1" thickBot="1">
      <c r="A150" s="20" t="s">
        <v>23</v>
      </c>
      <c r="B150" s="98" t="s">
        <v>457</v>
      </c>
      <c r="C150" s="264">
        <f>SUM(C151:C155)</f>
        <v>0</v>
      </c>
      <c r="D150" s="264">
        <f>SUM(D151:D155)</f>
        <v>0</v>
      </c>
      <c r="E150" s="264">
        <f>SUM(E151:E155)</f>
        <v>0</v>
      </c>
    </row>
    <row r="151" spans="1:9" ht="12" customHeight="1">
      <c r="A151" s="15" t="s">
        <v>93</v>
      </c>
      <c r="B151" s="9" t="s">
        <v>452</v>
      </c>
      <c r="C151" s="222"/>
      <c r="D151" s="222"/>
      <c r="E151" s="222"/>
    </row>
    <row r="152" spans="1:9" ht="12" customHeight="1">
      <c r="A152" s="15" t="s">
        <v>94</v>
      </c>
      <c r="B152" s="9" t="s">
        <v>459</v>
      </c>
      <c r="C152" s="222"/>
      <c r="D152" s="222"/>
      <c r="E152" s="222"/>
    </row>
    <row r="153" spans="1:9" ht="12" customHeight="1">
      <c r="A153" s="15" t="s">
        <v>292</v>
      </c>
      <c r="B153" s="9" t="s">
        <v>454</v>
      </c>
      <c r="C153" s="222"/>
      <c r="D153" s="222"/>
      <c r="E153" s="222"/>
    </row>
    <row r="154" spans="1:9" ht="12" customHeight="1">
      <c r="A154" s="15" t="s">
        <v>293</v>
      </c>
      <c r="B154" s="9" t="s">
        <v>510</v>
      </c>
      <c r="C154" s="222"/>
      <c r="D154" s="222"/>
      <c r="E154" s="222"/>
    </row>
    <row r="155" spans="1:9" ht="12" customHeight="1" thickBot="1">
      <c r="A155" s="15" t="s">
        <v>458</v>
      </c>
      <c r="B155" s="9" t="s">
        <v>461</v>
      </c>
      <c r="C155" s="222"/>
      <c r="D155" s="222"/>
      <c r="E155" s="222"/>
    </row>
    <row r="156" spans="1:9" ht="12" customHeight="1" thickBot="1">
      <c r="A156" s="20" t="s">
        <v>24</v>
      </c>
      <c r="B156" s="98" t="s">
        <v>462</v>
      </c>
      <c r="C156" s="438"/>
      <c r="D156" s="438"/>
      <c r="E156" s="438"/>
    </row>
    <row r="157" spans="1:9" ht="12" customHeight="1" thickBot="1">
      <c r="A157" s="20" t="s">
        <v>25</v>
      </c>
      <c r="B157" s="98" t="s">
        <v>463</v>
      </c>
      <c r="C157" s="438"/>
      <c r="D157" s="438"/>
      <c r="E157" s="438"/>
    </row>
    <row r="158" spans="1:9" ht="15.2" customHeight="1" thickBot="1">
      <c r="A158" s="20" t="s">
        <v>26</v>
      </c>
      <c r="B158" s="98" t="s">
        <v>465</v>
      </c>
      <c r="C158" s="528">
        <f>+C134+C138+C145+C150+C156+C157</f>
        <v>0</v>
      </c>
      <c r="D158" s="528">
        <f>+D134+D138+D145+D150+D156+D157</f>
        <v>38351575</v>
      </c>
      <c r="E158" s="528">
        <f>+E134+E138+E145+E150+E156+E157</f>
        <v>38351575</v>
      </c>
      <c r="F158" s="384"/>
      <c r="G158" s="385"/>
      <c r="H158" s="385"/>
      <c r="I158" s="385"/>
    </row>
    <row r="159" spans="1:9" s="372" customFormat="1" ht="17.25" customHeight="1" thickBot="1">
      <c r="A159" s="253" t="s">
        <v>27</v>
      </c>
      <c r="B159" s="529" t="s">
        <v>464</v>
      </c>
      <c r="C159" s="528">
        <f>+C133+C158</f>
        <v>4457873918</v>
      </c>
      <c r="D159" s="528">
        <f>+D133+D158</f>
        <v>98373971</v>
      </c>
      <c r="E159" s="528">
        <f>+E133+E158</f>
        <v>4556247889</v>
      </c>
    </row>
    <row r="160" spans="1:9" ht="15.95" customHeight="1">
      <c r="A160" s="586"/>
      <c r="B160" s="586"/>
      <c r="C160" s="587">
        <f>C92-C159</f>
        <v>0</v>
      </c>
      <c r="D160" s="587">
        <f>D92-D159</f>
        <v>0</v>
      </c>
      <c r="E160" s="587">
        <f>E92-E159</f>
        <v>0</v>
      </c>
    </row>
    <row r="161" spans="1:5">
      <c r="A161" s="763" t="s">
        <v>365</v>
      </c>
      <c r="B161" s="763"/>
      <c r="C161" s="763"/>
      <c r="D161" s="370"/>
      <c r="E161" s="370"/>
    </row>
    <row r="162" spans="1:5" ht="15.2" customHeight="1" thickBot="1">
      <c r="A162" s="764" t="s">
        <v>149</v>
      </c>
      <c r="B162" s="764"/>
      <c r="C162" s="533">
        <f>C95</f>
        <v>0</v>
      </c>
      <c r="D162" s="533">
        <f>D95</f>
        <v>0</v>
      </c>
      <c r="E162" s="533" t="str">
        <f>E95</f>
        <v>Forintban!</v>
      </c>
    </row>
    <row r="163" spans="1:5" ht="13.5" customHeight="1" thickBot="1">
      <c r="A163" s="20">
        <v>1</v>
      </c>
      <c r="B163" s="25" t="s">
        <v>466</v>
      </c>
      <c r="C163" s="255">
        <f>+C67-C133</f>
        <v>-336700000</v>
      </c>
      <c r="D163" s="255">
        <f>+D67-D133</f>
        <v>-358021956</v>
      </c>
      <c r="E163" s="255">
        <f>+E67-E133</f>
        <v>-694721956</v>
      </c>
    </row>
    <row r="164" spans="1:5" ht="27.75" customHeight="1" thickBot="1">
      <c r="A164" s="20" t="s">
        <v>18</v>
      </c>
      <c r="B164" s="25" t="s">
        <v>472</v>
      </c>
      <c r="C164" s="255">
        <f>+C91-C158</f>
        <v>336700000</v>
      </c>
      <c r="D164" s="255">
        <f>+D91-D158</f>
        <v>358021956</v>
      </c>
      <c r="E164" s="255">
        <f>+E91-E158</f>
        <v>694721956</v>
      </c>
    </row>
  </sheetData>
  <mergeCells count="7">
    <mergeCell ref="B1:C1"/>
    <mergeCell ref="A6:C6"/>
    <mergeCell ref="A7:B7"/>
    <mergeCell ref="A95:B95"/>
    <mergeCell ref="A161:C161"/>
    <mergeCell ref="A162:B162"/>
    <mergeCell ref="A94:C94"/>
  </mergeCells>
  <phoneticPr fontId="0" type="noConversion"/>
  <printOptions horizontalCentered="1"/>
  <pageMargins left="0.6692913385826772" right="0.6692913385826772" top="0.86614173228346458" bottom="0.86614173228346458" header="0" footer="0"/>
  <pageSetup paperSize="9" scale="62" fitToHeight="2" orientation="portrait" horizontalDpi="360" verticalDpi="360" r:id="rId1"/>
  <headerFooter alignWithMargins="0"/>
  <rowBreaks count="2" manualBreakCount="2">
    <brk id="67" max="4" man="1"/>
    <brk id="144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94" zoomScale="120" zoomScaleNormal="120" zoomScaleSheetLayoutView="100" workbookViewId="0">
      <selection activeCell="C159" sqref="C159"/>
    </sheetView>
  </sheetViews>
  <sheetFormatPr defaultRowHeight="15.75"/>
  <cols>
    <col min="1" max="1" width="9.5" style="339" customWidth="1"/>
    <col min="2" max="2" width="99.33203125" style="339" customWidth="1"/>
    <col min="3" max="3" width="21.6640625" style="340" customWidth="1"/>
    <col min="4" max="4" width="9" style="370" customWidth="1"/>
    <col min="5" max="16384" width="9.33203125" style="370"/>
  </cols>
  <sheetData>
    <row r="1" spans="1:3" ht="18.75" customHeight="1">
      <c r="A1" s="578"/>
      <c r="B1" s="758" t="str">
        <f ca="1">CONCATENATE("1.2. melléklet ",ALAPADATOK!A7," ",ALAPADATOK!B7," ",ALAPADATOK!C7," ",ALAPADATOK!D7," ",ALAPADATOK!E7," ",ALAPADATOK!F7," ",ALAPADATOK!G7," ",ALAPADATOK!H7)</f>
        <v>1.2. melléklet a 5 / 2020 ( (II.18.) ) önkormányzati rendelethez</v>
      </c>
      <c r="C1" s="759"/>
    </row>
    <row r="2" spans="1:3" ht="21.95" customHeight="1">
      <c r="A2" s="579"/>
      <c r="B2" s="580" t="str">
        <f ca="1">CONCATENATE(ALAPADATOK!A3)</f>
        <v>DABAS VÁROS ÖNKORMÁNYZATA</v>
      </c>
      <c r="C2" s="581"/>
    </row>
    <row r="3" spans="1:3" ht="21.95" customHeight="1">
      <c r="A3" s="581"/>
      <c r="B3" s="580" t="str">
        <f ca="1">KV_1.1.sz.mell.!B3</f>
        <v>2020. ÉVI KÖLTSÉGVETÉS</v>
      </c>
      <c r="C3" s="581"/>
    </row>
    <row r="4" spans="1:3" ht="21.95" customHeight="1">
      <c r="A4" s="581"/>
      <c r="B4" s="580" t="s">
        <v>570</v>
      </c>
      <c r="C4" s="581"/>
    </row>
    <row r="5" spans="1:3" ht="21.95" customHeight="1">
      <c r="A5" s="578"/>
      <c r="B5" s="578"/>
      <c r="C5" s="582"/>
    </row>
    <row r="6" spans="1:3" ht="15.2" customHeight="1">
      <c r="A6" s="760" t="s">
        <v>14</v>
      </c>
      <c r="B6" s="760"/>
      <c r="C6" s="760"/>
    </row>
    <row r="7" spans="1:3" ht="15.2" customHeight="1" thickBot="1">
      <c r="A7" s="761" t="s">
        <v>147</v>
      </c>
      <c r="B7" s="761"/>
      <c r="C7" s="531" t="str">
        <f ca="1">CONCATENATE(KV_1.1.sz.mell.!C7)</f>
        <v/>
      </c>
    </row>
    <row r="8" spans="1:3" ht="24" customHeight="1" thickBot="1">
      <c r="A8" s="583" t="s">
        <v>66</v>
      </c>
      <c r="B8" s="584" t="s">
        <v>16</v>
      </c>
      <c r="C8" s="585" t="str">
        <f ca="1">+CONCATENATE(LEFT(KV_ÖSSZEFÜGGÉSEK!A5,4),". évi előirányzat")</f>
        <v>2020. évi előirányzat</v>
      </c>
    </row>
    <row r="9" spans="1:3" s="371" customFormat="1" ht="12" customHeight="1" thickBot="1">
      <c r="A9" s="516"/>
      <c r="B9" s="517" t="s">
        <v>485</v>
      </c>
      <c r="C9" s="518" t="s">
        <v>486</v>
      </c>
    </row>
    <row r="10" spans="1:3" s="372" customFormat="1" ht="12" customHeight="1" thickBot="1">
      <c r="A10" s="20" t="s">
        <v>17</v>
      </c>
      <c r="B10" s="21" t="s">
        <v>246</v>
      </c>
      <c r="C10" s="255">
        <f>+C11+C12+C13+C14+C15+C16</f>
        <v>958789393</v>
      </c>
    </row>
    <row r="11" spans="1:3" s="372" customFormat="1" ht="12" customHeight="1">
      <c r="A11" s="15" t="s">
        <v>95</v>
      </c>
      <c r="B11" s="373" t="s">
        <v>247</v>
      </c>
      <c r="C11" s="258">
        <v>131352375</v>
      </c>
    </row>
    <row r="12" spans="1:3" s="372" customFormat="1" ht="12" customHeight="1">
      <c r="A12" s="14" t="s">
        <v>96</v>
      </c>
      <c r="B12" s="374" t="s">
        <v>248</v>
      </c>
      <c r="C12" s="257">
        <v>554386750</v>
      </c>
    </row>
    <row r="13" spans="1:3" s="372" customFormat="1" ht="12" customHeight="1">
      <c r="A13" s="14" t="s">
        <v>97</v>
      </c>
      <c r="B13" s="374" t="s">
        <v>542</v>
      </c>
      <c r="C13" s="257">
        <v>251590614</v>
      </c>
    </row>
    <row r="14" spans="1:3" s="372" customFormat="1" ht="12" customHeight="1">
      <c r="A14" s="14" t="s">
        <v>98</v>
      </c>
      <c r="B14" s="374" t="s">
        <v>250</v>
      </c>
      <c r="C14" s="257">
        <v>21459654</v>
      </c>
    </row>
    <row r="15" spans="1:3" s="372" customFormat="1" ht="12" customHeight="1">
      <c r="A15" s="14" t="s">
        <v>143</v>
      </c>
      <c r="B15" s="251" t="s">
        <v>424</v>
      </c>
      <c r="C15" s="257"/>
    </row>
    <row r="16" spans="1:3" s="372" customFormat="1" ht="12" customHeight="1" thickBot="1">
      <c r="A16" s="16" t="s">
        <v>99</v>
      </c>
      <c r="B16" s="252" t="s">
        <v>425</v>
      </c>
      <c r="C16" s="257"/>
    </row>
    <row r="17" spans="1:3" s="372" customFormat="1" ht="12" customHeight="1" thickBot="1">
      <c r="A17" s="20" t="s">
        <v>18</v>
      </c>
      <c r="B17" s="250" t="s">
        <v>251</v>
      </c>
      <c r="C17" s="255">
        <f>+C18+C19+C20+C21+C22</f>
        <v>0</v>
      </c>
    </row>
    <row r="18" spans="1:3" s="372" customFormat="1" ht="12" customHeight="1">
      <c r="A18" s="15" t="s">
        <v>101</v>
      </c>
      <c r="B18" s="373" t="s">
        <v>252</v>
      </c>
      <c r="C18" s="258"/>
    </row>
    <row r="19" spans="1:3" s="372" customFormat="1" ht="12" customHeight="1">
      <c r="A19" s="14" t="s">
        <v>102</v>
      </c>
      <c r="B19" s="374" t="s">
        <v>253</v>
      </c>
      <c r="C19" s="257"/>
    </row>
    <row r="20" spans="1:3" s="372" customFormat="1" ht="12" customHeight="1">
      <c r="A20" s="14" t="s">
        <v>103</v>
      </c>
      <c r="B20" s="374" t="s">
        <v>414</v>
      </c>
      <c r="C20" s="257"/>
    </row>
    <row r="21" spans="1:3" s="372" customFormat="1" ht="12" customHeight="1">
      <c r="A21" s="14" t="s">
        <v>104</v>
      </c>
      <c r="B21" s="374" t="s">
        <v>415</v>
      </c>
      <c r="C21" s="257"/>
    </row>
    <row r="22" spans="1:3" s="372" customFormat="1" ht="12" customHeight="1">
      <c r="A22" s="14" t="s">
        <v>105</v>
      </c>
      <c r="B22" s="374" t="s">
        <v>564</v>
      </c>
      <c r="C22" s="257"/>
    </row>
    <row r="23" spans="1:3" s="372" customFormat="1" ht="12" customHeight="1" thickBot="1">
      <c r="A23" s="16" t="s">
        <v>114</v>
      </c>
      <c r="B23" s="252" t="s">
        <v>255</v>
      </c>
      <c r="C23" s="259"/>
    </row>
    <row r="24" spans="1:3" s="372" customFormat="1" ht="12" customHeight="1" thickBot="1">
      <c r="A24" s="20" t="s">
        <v>19</v>
      </c>
      <c r="B24" s="21" t="s">
        <v>256</v>
      </c>
      <c r="C24" s="255">
        <f>+C25+C26+C27+C28+C29</f>
        <v>387952958</v>
      </c>
    </row>
    <row r="25" spans="1:3" s="372" customFormat="1" ht="12" customHeight="1">
      <c r="A25" s="15" t="s">
        <v>84</v>
      </c>
      <c r="B25" s="373" t="s">
        <v>257</v>
      </c>
      <c r="C25" s="258"/>
    </row>
    <row r="26" spans="1:3" s="372" customFormat="1" ht="12" customHeight="1">
      <c r="A26" s="14" t="s">
        <v>85</v>
      </c>
      <c r="B26" s="374" t="s">
        <v>258</v>
      </c>
      <c r="C26" s="257"/>
    </row>
    <row r="27" spans="1:3" s="372" customFormat="1" ht="12" customHeight="1">
      <c r="A27" s="14" t="s">
        <v>86</v>
      </c>
      <c r="B27" s="374" t="s">
        <v>416</v>
      </c>
      <c r="C27" s="257"/>
    </row>
    <row r="28" spans="1:3" s="372" customFormat="1" ht="12" customHeight="1">
      <c r="A28" s="14" t="s">
        <v>87</v>
      </c>
      <c r="B28" s="374" t="s">
        <v>417</v>
      </c>
      <c r="C28" s="257"/>
    </row>
    <row r="29" spans="1:3" s="372" customFormat="1" ht="12" customHeight="1">
      <c r="A29" s="14" t="s">
        <v>166</v>
      </c>
      <c r="B29" s="374" t="s">
        <v>259</v>
      </c>
      <c r="C29" s="257">
        <v>387952958</v>
      </c>
    </row>
    <row r="30" spans="1:3" s="509" customFormat="1" ht="12" customHeight="1" thickBot="1">
      <c r="A30" s="519" t="s">
        <v>167</v>
      </c>
      <c r="B30" s="507" t="s">
        <v>559</v>
      </c>
      <c r="C30" s="508"/>
    </row>
    <row r="31" spans="1:3" s="372" customFormat="1" ht="12" customHeight="1" thickBot="1">
      <c r="A31" s="20" t="s">
        <v>168</v>
      </c>
      <c r="B31" s="21" t="s">
        <v>543</v>
      </c>
      <c r="C31" s="261">
        <f>SUM(C32:C38)</f>
        <v>430811944</v>
      </c>
    </row>
    <row r="32" spans="1:3" s="372" customFormat="1" ht="12" customHeight="1">
      <c r="A32" s="15" t="s">
        <v>262</v>
      </c>
      <c r="B32" s="373" t="str">
        <f ca="1">KV_1.1.sz.mell.!B32</f>
        <v>Építményadó</v>
      </c>
      <c r="C32" s="258"/>
    </row>
    <row r="33" spans="1:3" s="372" customFormat="1" ht="12" customHeight="1">
      <c r="A33" s="14" t="s">
        <v>263</v>
      </c>
      <c r="B33" s="373" t="str">
        <f ca="1">KV_1.1.sz.mell.!B33</f>
        <v>Idegenforgalmi adó</v>
      </c>
      <c r="C33" s="257"/>
    </row>
    <row r="34" spans="1:3" s="372" customFormat="1" ht="12" customHeight="1">
      <c r="A34" s="14" t="s">
        <v>264</v>
      </c>
      <c r="B34" s="373" t="str">
        <f ca="1">KV_1.1.sz.mell.!B34</f>
        <v>Iparűzési adó</v>
      </c>
      <c r="C34" s="257">
        <v>340811944</v>
      </c>
    </row>
    <row r="35" spans="1:3" s="372" customFormat="1" ht="12" customHeight="1">
      <c r="A35" s="14" t="s">
        <v>265</v>
      </c>
      <c r="B35" s="373" t="str">
        <f ca="1">KV_1.1.sz.mell.!B35</f>
        <v>Talajterhelési díj</v>
      </c>
      <c r="C35" s="257"/>
    </row>
    <row r="36" spans="1:3" s="372" customFormat="1" ht="12" customHeight="1">
      <c r="A36" s="14" t="s">
        <v>544</v>
      </c>
      <c r="B36" s="373" t="str">
        <f ca="1">KV_1.1.sz.mell.!B36</f>
        <v>Gépjárműadó</v>
      </c>
      <c r="C36" s="257">
        <v>90000000</v>
      </c>
    </row>
    <row r="37" spans="1:3" s="372" customFormat="1" ht="12" customHeight="1">
      <c r="A37" s="14" t="s">
        <v>545</v>
      </c>
      <c r="B37" s="373" t="str">
        <f ca="1">KV_1.1.sz.mell.!B37</f>
        <v>Telekadó</v>
      </c>
      <c r="C37" s="257"/>
    </row>
    <row r="38" spans="1:3" s="372" customFormat="1" ht="12" customHeight="1" thickBot="1">
      <c r="A38" s="16" t="s">
        <v>546</v>
      </c>
      <c r="B38" s="373" t="str">
        <f ca="1">KV_1.1.sz.mell.!B38</f>
        <v>Kommunális adó</v>
      </c>
      <c r="C38" s="259"/>
    </row>
    <row r="39" spans="1:3" s="372" customFormat="1" ht="12" customHeight="1" thickBot="1">
      <c r="A39" s="20" t="s">
        <v>21</v>
      </c>
      <c r="B39" s="21" t="s">
        <v>426</v>
      </c>
      <c r="C39" s="255">
        <f>SUM(C40:C50)</f>
        <v>222101567</v>
      </c>
    </row>
    <row r="40" spans="1:3" s="372" customFormat="1" ht="12" customHeight="1">
      <c r="A40" s="15" t="s">
        <v>88</v>
      </c>
      <c r="B40" s="373" t="s">
        <v>269</v>
      </c>
      <c r="C40" s="258"/>
    </row>
    <row r="41" spans="1:3" s="372" customFormat="1" ht="12" customHeight="1">
      <c r="A41" s="14" t="s">
        <v>89</v>
      </c>
      <c r="B41" s="374" t="s">
        <v>270</v>
      </c>
      <c r="C41" s="257">
        <v>96238181</v>
      </c>
    </row>
    <row r="42" spans="1:3" s="372" customFormat="1" ht="12" customHeight="1">
      <c r="A42" s="14" t="s">
        <v>90</v>
      </c>
      <c r="B42" s="374" t="s">
        <v>271</v>
      </c>
      <c r="C42" s="257">
        <v>14000000</v>
      </c>
    </row>
    <row r="43" spans="1:3" s="372" customFormat="1" ht="12" customHeight="1">
      <c r="A43" s="14" t="s">
        <v>170</v>
      </c>
      <c r="B43" s="374" t="s">
        <v>272</v>
      </c>
      <c r="C43" s="257"/>
    </row>
    <row r="44" spans="1:3" s="372" customFormat="1" ht="12" customHeight="1">
      <c r="A44" s="14" t="s">
        <v>171</v>
      </c>
      <c r="B44" s="374" t="s">
        <v>273</v>
      </c>
      <c r="C44" s="257">
        <v>70427218</v>
      </c>
    </row>
    <row r="45" spans="1:3" s="372" customFormat="1" ht="12" customHeight="1">
      <c r="A45" s="14" t="s">
        <v>172</v>
      </c>
      <c r="B45" s="374" t="s">
        <v>274</v>
      </c>
      <c r="C45" s="257">
        <v>41436168</v>
      </c>
    </row>
    <row r="46" spans="1:3" s="372" customFormat="1" ht="12" customHeight="1">
      <c r="A46" s="14" t="s">
        <v>173</v>
      </c>
      <c r="B46" s="374" t="s">
        <v>275</v>
      </c>
      <c r="C46" s="257"/>
    </row>
    <row r="47" spans="1:3" s="372" customFormat="1" ht="12" customHeight="1">
      <c r="A47" s="14" t="s">
        <v>174</v>
      </c>
      <c r="B47" s="374" t="s">
        <v>551</v>
      </c>
      <c r="C47" s="257"/>
    </row>
    <row r="48" spans="1:3" s="372" customFormat="1" ht="12" customHeight="1">
      <c r="A48" s="14" t="s">
        <v>267</v>
      </c>
      <c r="B48" s="374" t="s">
        <v>277</v>
      </c>
      <c r="C48" s="260"/>
    </row>
    <row r="49" spans="1:3" s="372" customFormat="1" ht="12" customHeight="1">
      <c r="A49" s="16" t="s">
        <v>268</v>
      </c>
      <c r="B49" s="375" t="s">
        <v>428</v>
      </c>
      <c r="C49" s="361"/>
    </row>
    <row r="50" spans="1:3" s="372" customFormat="1" ht="12" customHeight="1" thickBot="1">
      <c r="A50" s="16" t="s">
        <v>427</v>
      </c>
      <c r="B50" s="252" t="s">
        <v>278</v>
      </c>
      <c r="C50" s="361"/>
    </row>
    <row r="51" spans="1:3" s="372" customFormat="1" ht="12" customHeight="1" thickBot="1">
      <c r="A51" s="20" t="s">
        <v>22</v>
      </c>
      <c r="B51" s="21" t="s">
        <v>279</v>
      </c>
      <c r="C51" s="255">
        <f>SUM(C52:C56)</f>
        <v>0</v>
      </c>
    </row>
    <row r="52" spans="1:3" s="372" customFormat="1" ht="12" customHeight="1">
      <c r="A52" s="15" t="s">
        <v>91</v>
      </c>
      <c r="B52" s="373" t="s">
        <v>283</v>
      </c>
      <c r="C52" s="417"/>
    </row>
    <row r="53" spans="1:3" s="372" customFormat="1" ht="12" customHeight="1">
      <c r="A53" s="14" t="s">
        <v>92</v>
      </c>
      <c r="B53" s="374" t="s">
        <v>284</v>
      </c>
      <c r="C53" s="260"/>
    </row>
    <row r="54" spans="1:3" s="372" customFormat="1" ht="12" customHeight="1">
      <c r="A54" s="14" t="s">
        <v>280</v>
      </c>
      <c r="B54" s="374" t="s">
        <v>285</v>
      </c>
      <c r="C54" s="260"/>
    </row>
    <row r="55" spans="1:3" s="372" customFormat="1" ht="12" customHeight="1">
      <c r="A55" s="14" t="s">
        <v>281</v>
      </c>
      <c r="B55" s="374" t="s">
        <v>286</v>
      </c>
      <c r="C55" s="260"/>
    </row>
    <row r="56" spans="1:3" s="372" customFormat="1" ht="12" customHeight="1" thickBot="1">
      <c r="A56" s="16" t="s">
        <v>282</v>
      </c>
      <c r="B56" s="252" t="s">
        <v>287</v>
      </c>
      <c r="C56" s="361"/>
    </row>
    <row r="57" spans="1:3" s="372" customFormat="1" ht="12" customHeight="1" thickBot="1">
      <c r="A57" s="20" t="s">
        <v>175</v>
      </c>
      <c r="B57" s="21" t="s">
        <v>288</v>
      </c>
      <c r="C57" s="255">
        <f>SUM(C58:C60)</f>
        <v>0</v>
      </c>
    </row>
    <row r="58" spans="1:3" s="372" customFormat="1" ht="12" customHeight="1">
      <c r="A58" s="15" t="s">
        <v>93</v>
      </c>
      <c r="B58" s="373" t="s">
        <v>289</v>
      </c>
      <c r="C58" s="258"/>
    </row>
    <row r="59" spans="1:3" s="372" customFormat="1" ht="12" customHeight="1">
      <c r="A59" s="14" t="s">
        <v>94</v>
      </c>
      <c r="B59" s="374" t="s">
        <v>418</v>
      </c>
      <c r="C59" s="257"/>
    </row>
    <row r="60" spans="1:3" s="372" customFormat="1" ht="12" customHeight="1">
      <c r="A60" s="14" t="s">
        <v>292</v>
      </c>
      <c r="B60" s="374" t="s">
        <v>290</v>
      </c>
      <c r="C60" s="257"/>
    </row>
    <row r="61" spans="1:3" s="372" customFormat="1" ht="12" customHeight="1" thickBot="1">
      <c r="A61" s="16" t="s">
        <v>293</v>
      </c>
      <c r="B61" s="252" t="s">
        <v>291</v>
      </c>
      <c r="C61" s="259"/>
    </row>
    <row r="62" spans="1:3" s="372" customFormat="1" ht="12" customHeight="1" thickBot="1">
      <c r="A62" s="20" t="s">
        <v>24</v>
      </c>
      <c r="B62" s="250" t="s">
        <v>294</v>
      </c>
      <c r="C62" s="255">
        <f>SUM(C63:C65)</f>
        <v>0</v>
      </c>
    </row>
    <row r="63" spans="1:3" s="372" customFormat="1" ht="12" customHeight="1">
      <c r="A63" s="15" t="s">
        <v>176</v>
      </c>
      <c r="B63" s="373" t="s">
        <v>296</v>
      </c>
      <c r="C63" s="260"/>
    </row>
    <row r="64" spans="1:3" s="372" customFormat="1" ht="12" customHeight="1">
      <c r="A64" s="14" t="s">
        <v>177</v>
      </c>
      <c r="B64" s="374" t="s">
        <v>419</v>
      </c>
      <c r="C64" s="260"/>
    </row>
    <row r="65" spans="1:3" s="372" customFormat="1" ht="12" customHeight="1">
      <c r="A65" s="14" t="s">
        <v>225</v>
      </c>
      <c r="B65" s="374" t="s">
        <v>297</v>
      </c>
      <c r="C65" s="260"/>
    </row>
    <row r="66" spans="1:3" s="372" customFormat="1" ht="12" customHeight="1" thickBot="1">
      <c r="A66" s="16" t="s">
        <v>295</v>
      </c>
      <c r="B66" s="252" t="s">
        <v>298</v>
      </c>
      <c r="C66" s="260"/>
    </row>
    <row r="67" spans="1:3" s="372" customFormat="1" ht="12" customHeight="1" thickBot="1">
      <c r="A67" s="439" t="s">
        <v>468</v>
      </c>
      <c r="B67" s="21" t="s">
        <v>299</v>
      </c>
      <c r="C67" s="261">
        <f>+C10+C17+C24+C31+C39+C51+C57+C62</f>
        <v>1999655862</v>
      </c>
    </row>
    <row r="68" spans="1:3" s="372" customFormat="1" ht="12" customHeight="1" thickBot="1">
      <c r="A68" s="420" t="s">
        <v>300</v>
      </c>
      <c r="B68" s="250" t="s">
        <v>301</v>
      </c>
      <c r="C68" s="255">
        <f>SUM(C69:C71)</f>
        <v>0</v>
      </c>
    </row>
    <row r="69" spans="1:3" s="372" customFormat="1" ht="12" customHeight="1">
      <c r="A69" s="15" t="s">
        <v>329</v>
      </c>
      <c r="B69" s="373" t="s">
        <v>302</v>
      </c>
      <c r="C69" s="260"/>
    </row>
    <row r="70" spans="1:3" s="372" customFormat="1" ht="12" customHeight="1">
      <c r="A70" s="14" t="s">
        <v>338</v>
      </c>
      <c r="B70" s="374" t="s">
        <v>303</v>
      </c>
      <c r="C70" s="260"/>
    </row>
    <row r="71" spans="1:3" s="372" customFormat="1" ht="12" customHeight="1" thickBot="1">
      <c r="A71" s="16" t="s">
        <v>339</v>
      </c>
      <c r="B71" s="433" t="s">
        <v>560</v>
      </c>
      <c r="C71" s="260"/>
    </row>
    <row r="72" spans="1:3" s="372" customFormat="1" ht="12" customHeight="1" thickBot="1">
      <c r="A72" s="420" t="s">
        <v>305</v>
      </c>
      <c r="B72" s="250" t="s">
        <v>306</v>
      </c>
      <c r="C72" s="255">
        <f>SUM(C73:C76)</f>
        <v>0</v>
      </c>
    </row>
    <row r="73" spans="1:3" s="372" customFormat="1" ht="12" customHeight="1">
      <c r="A73" s="15" t="s">
        <v>144</v>
      </c>
      <c r="B73" s="373" t="s">
        <v>307</v>
      </c>
      <c r="C73" s="260"/>
    </row>
    <row r="74" spans="1:3" s="372" customFormat="1" ht="12" customHeight="1">
      <c r="A74" s="14" t="s">
        <v>145</v>
      </c>
      <c r="B74" s="374" t="s">
        <v>561</v>
      </c>
      <c r="C74" s="260"/>
    </row>
    <row r="75" spans="1:3" s="372" customFormat="1" ht="12" customHeight="1" thickBot="1">
      <c r="A75" s="16" t="s">
        <v>330</v>
      </c>
      <c r="B75" s="375" t="s">
        <v>308</v>
      </c>
      <c r="C75" s="361"/>
    </row>
    <row r="76" spans="1:3" s="372" customFormat="1" ht="12" customHeight="1" thickBot="1">
      <c r="A76" s="521" t="s">
        <v>331</v>
      </c>
      <c r="B76" s="522" t="s">
        <v>562</v>
      </c>
      <c r="C76" s="523"/>
    </row>
    <row r="77" spans="1:3" s="372" customFormat="1" ht="12" customHeight="1" thickBot="1">
      <c r="A77" s="420" t="s">
        <v>309</v>
      </c>
      <c r="B77" s="250" t="s">
        <v>310</v>
      </c>
      <c r="C77" s="255">
        <f>SUM(C78:C79)</f>
        <v>336700000</v>
      </c>
    </row>
    <row r="78" spans="1:3" s="372" customFormat="1" ht="12" customHeight="1" thickBot="1">
      <c r="A78" s="13" t="s">
        <v>332</v>
      </c>
      <c r="B78" s="520" t="s">
        <v>311</v>
      </c>
      <c r="C78" s="361">
        <v>336700000</v>
      </c>
    </row>
    <row r="79" spans="1:3" s="372" customFormat="1" ht="12" customHeight="1" thickBot="1">
      <c r="A79" s="521" t="s">
        <v>333</v>
      </c>
      <c r="B79" s="522" t="s">
        <v>312</v>
      </c>
      <c r="C79" s="523"/>
    </row>
    <row r="80" spans="1:3" s="372" customFormat="1" ht="12" customHeight="1" thickBot="1">
      <c r="A80" s="420" t="s">
        <v>313</v>
      </c>
      <c r="B80" s="250" t="s">
        <v>314</v>
      </c>
      <c r="C80" s="255">
        <f>SUM(C81:C83)</f>
        <v>0</v>
      </c>
    </row>
    <row r="81" spans="1:3" s="372" customFormat="1" ht="12" customHeight="1">
      <c r="A81" s="15" t="s">
        <v>334</v>
      </c>
      <c r="B81" s="373" t="s">
        <v>315</v>
      </c>
      <c r="C81" s="260"/>
    </row>
    <row r="82" spans="1:3" s="372" customFormat="1" ht="12" customHeight="1">
      <c r="A82" s="14" t="s">
        <v>335</v>
      </c>
      <c r="B82" s="374" t="s">
        <v>316</v>
      </c>
      <c r="C82" s="260"/>
    </row>
    <row r="83" spans="1:3" s="372" customFormat="1" ht="12" customHeight="1" thickBot="1">
      <c r="A83" s="18" t="s">
        <v>336</v>
      </c>
      <c r="B83" s="524" t="s">
        <v>563</v>
      </c>
      <c r="C83" s="525"/>
    </row>
    <row r="84" spans="1:3" s="372" customFormat="1" ht="12" customHeight="1" thickBot="1">
      <c r="A84" s="420" t="s">
        <v>317</v>
      </c>
      <c r="B84" s="250" t="s">
        <v>337</v>
      </c>
      <c r="C84" s="255">
        <f>SUM(C85:C88)</f>
        <v>0</v>
      </c>
    </row>
    <row r="85" spans="1:3" s="372" customFormat="1" ht="12" customHeight="1">
      <c r="A85" s="377" t="s">
        <v>318</v>
      </c>
      <c r="B85" s="373" t="s">
        <v>319</v>
      </c>
      <c r="C85" s="260"/>
    </row>
    <row r="86" spans="1:3" s="372" customFormat="1" ht="12" customHeight="1">
      <c r="A86" s="378" t="s">
        <v>320</v>
      </c>
      <c r="B86" s="374" t="s">
        <v>321</v>
      </c>
      <c r="C86" s="260"/>
    </row>
    <row r="87" spans="1:3" s="372" customFormat="1" ht="12" customHeight="1">
      <c r="A87" s="378" t="s">
        <v>322</v>
      </c>
      <c r="B87" s="374" t="s">
        <v>323</v>
      </c>
      <c r="C87" s="260"/>
    </row>
    <row r="88" spans="1:3" s="372" customFormat="1" ht="12" customHeight="1" thickBot="1">
      <c r="A88" s="379" t="s">
        <v>324</v>
      </c>
      <c r="B88" s="252" t="s">
        <v>325</v>
      </c>
      <c r="C88" s="260"/>
    </row>
    <row r="89" spans="1:3" s="372" customFormat="1" ht="12" customHeight="1" thickBot="1">
      <c r="A89" s="420" t="s">
        <v>326</v>
      </c>
      <c r="B89" s="250" t="s">
        <v>467</v>
      </c>
      <c r="C89" s="418"/>
    </row>
    <row r="90" spans="1:3" s="372" customFormat="1" ht="13.5" customHeight="1" thickBot="1">
      <c r="A90" s="420" t="s">
        <v>328</v>
      </c>
      <c r="B90" s="250" t="s">
        <v>327</v>
      </c>
      <c r="C90" s="418"/>
    </row>
    <row r="91" spans="1:3" s="372" customFormat="1" ht="15.75" customHeight="1" thickBot="1">
      <c r="A91" s="420" t="s">
        <v>340</v>
      </c>
      <c r="B91" s="380" t="s">
        <v>470</v>
      </c>
      <c r="C91" s="261">
        <f>+C68+C72+C77+C80+C84+C90+C89</f>
        <v>336700000</v>
      </c>
    </row>
    <row r="92" spans="1:3" s="372" customFormat="1" ht="16.5" customHeight="1" thickBot="1">
      <c r="A92" s="421" t="s">
        <v>469</v>
      </c>
      <c r="B92" s="381" t="s">
        <v>471</v>
      </c>
      <c r="C92" s="261">
        <f>+C67+C91</f>
        <v>2336355862</v>
      </c>
    </row>
    <row r="93" spans="1:3" s="372" customFormat="1" ht="11.1" customHeight="1">
      <c r="A93" s="5"/>
      <c r="B93" s="6"/>
      <c r="C93" s="262"/>
    </row>
    <row r="94" spans="1:3" ht="16.5" customHeight="1">
      <c r="A94" s="765" t="s">
        <v>46</v>
      </c>
      <c r="B94" s="765"/>
      <c r="C94" s="765"/>
    </row>
    <row r="95" spans="1:3" s="382" customFormat="1" ht="16.5" customHeight="1" thickBot="1">
      <c r="A95" s="762" t="s">
        <v>148</v>
      </c>
      <c r="B95" s="762"/>
      <c r="C95" s="532" t="str">
        <f ca="1">C7</f>
        <v/>
      </c>
    </row>
    <row r="96" spans="1:3" ht="30" customHeight="1" thickBot="1">
      <c r="A96" s="513" t="s">
        <v>66</v>
      </c>
      <c r="B96" s="514" t="s">
        <v>47</v>
      </c>
      <c r="C96" s="515" t="str">
        <f ca="1">+C8</f>
        <v>2020. évi előirányzat</v>
      </c>
    </row>
    <row r="97" spans="1:3" s="371" customFormat="1" ht="12" customHeight="1" thickBot="1">
      <c r="A97" s="513"/>
      <c r="B97" s="514" t="s">
        <v>485</v>
      </c>
      <c r="C97" s="515" t="s">
        <v>486</v>
      </c>
    </row>
    <row r="98" spans="1:3" ht="12" customHeight="1" thickBot="1">
      <c r="A98" s="22" t="s">
        <v>17</v>
      </c>
      <c r="B98" s="26" t="s">
        <v>429</v>
      </c>
      <c r="C98" s="254">
        <f>C99+C100+C101+C102+C103+C116</f>
        <v>1577751546</v>
      </c>
    </row>
    <row r="99" spans="1:3" ht="12" customHeight="1">
      <c r="A99" s="17" t="s">
        <v>95</v>
      </c>
      <c r="B99" s="10" t="s">
        <v>48</v>
      </c>
      <c r="C99" s="256">
        <v>650875701</v>
      </c>
    </row>
    <row r="100" spans="1:3" ht="12" customHeight="1">
      <c r="A100" s="14" t="s">
        <v>96</v>
      </c>
      <c r="B100" s="8" t="s">
        <v>178</v>
      </c>
      <c r="C100" s="257">
        <v>120701423</v>
      </c>
    </row>
    <row r="101" spans="1:3" ht="12" customHeight="1">
      <c r="A101" s="14" t="s">
        <v>97</v>
      </c>
      <c r="B101" s="8" t="s">
        <v>135</v>
      </c>
      <c r="C101" s="259">
        <v>515268966</v>
      </c>
    </row>
    <row r="102" spans="1:3" ht="12" customHeight="1">
      <c r="A102" s="14" t="s">
        <v>98</v>
      </c>
      <c r="B102" s="11" t="s">
        <v>179</v>
      </c>
      <c r="C102" s="259">
        <v>61500000</v>
      </c>
    </row>
    <row r="103" spans="1:3" ht="12" customHeight="1">
      <c r="A103" s="14" t="s">
        <v>109</v>
      </c>
      <c r="B103" s="19" t="s">
        <v>180</v>
      </c>
      <c r="C103" s="259">
        <v>229405456</v>
      </c>
    </row>
    <row r="104" spans="1:3" ht="12" customHeight="1">
      <c r="A104" s="14" t="s">
        <v>99</v>
      </c>
      <c r="B104" s="8" t="s">
        <v>434</v>
      </c>
      <c r="C104" s="259"/>
    </row>
    <row r="105" spans="1:3" ht="12" customHeight="1">
      <c r="A105" s="14" t="s">
        <v>100</v>
      </c>
      <c r="B105" s="118" t="s">
        <v>433</v>
      </c>
      <c r="C105" s="259"/>
    </row>
    <row r="106" spans="1:3" ht="12" customHeight="1">
      <c r="A106" s="14" t="s">
        <v>110</v>
      </c>
      <c r="B106" s="118" t="s">
        <v>432</v>
      </c>
      <c r="C106" s="259"/>
    </row>
    <row r="107" spans="1:3" ht="12" customHeight="1">
      <c r="A107" s="14" t="s">
        <v>111</v>
      </c>
      <c r="B107" s="116" t="s">
        <v>343</v>
      </c>
      <c r="C107" s="259"/>
    </row>
    <row r="108" spans="1:3" ht="12" customHeight="1">
      <c r="A108" s="14" t="s">
        <v>112</v>
      </c>
      <c r="B108" s="117" t="s">
        <v>344</v>
      </c>
      <c r="C108" s="259"/>
    </row>
    <row r="109" spans="1:3" ht="12" customHeight="1">
      <c r="A109" s="14" t="s">
        <v>113</v>
      </c>
      <c r="B109" s="117" t="s">
        <v>345</v>
      </c>
      <c r="C109" s="259"/>
    </row>
    <row r="110" spans="1:3" ht="12" customHeight="1">
      <c r="A110" s="14" t="s">
        <v>115</v>
      </c>
      <c r="B110" s="116" t="s">
        <v>346</v>
      </c>
      <c r="C110" s="259"/>
    </row>
    <row r="111" spans="1:3" ht="12" customHeight="1">
      <c r="A111" s="14" t="s">
        <v>181</v>
      </c>
      <c r="B111" s="116" t="s">
        <v>347</v>
      </c>
      <c r="C111" s="259"/>
    </row>
    <row r="112" spans="1:3" ht="12" customHeight="1">
      <c r="A112" s="14" t="s">
        <v>341</v>
      </c>
      <c r="B112" s="117" t="s">
        <v>348</v>
      </c>
      <c r="C112" s="259"/>
    </row>
    <row r="113" spans="1:3" ht="12" customHeight="1">
      <c r="A113" s="13" t="s">
        <v>342</v>
      </c>
      <c r="B113" s="118" t="s">
        <v>349</v>
      </c>
      <c r="C113" s="259"/>
    </row>
    <row r="114" spans="1:3" ht="12" customHeight="1">
      <c r="A114" s="14" t="s">
        <v>430</v>
      </c>
      <c r="B114" s="118" t="s">
        <v>350</v>
      </c>
      <c r="C114" s="259"/>
    </row>
    <row r="115" spans="1:3" ht="12" customHeight="1">
      <c r="A115" s="16" t="s">
        <v>431</v>
      </c>
      <c r="B115" s="118" t="s">
        <v>351</v>
      </c>
      <c r="C115" s="259"/>
    </row>
    <row r="116" spans="1:3" ht="12" customHeight="1">
      <c r="A116" s="14" t="s">
        <v>435</v>
      </c>
      <c r="B116" s="11" t="s">
        <v>49</v>
      </c>
      <c r="C116" s="257"/>
    </row>
    <row r="117" spans="1:3" ht="12" customHeight="1">
      <c r="A117" s="14" t="s">
        <v>436</v>
      </c>
      <c r="B117" s="8" t="s">
        <v>438</v>
      </c>
      <c r="C117" s="257"/>
    </row>
    <row r="118" spans="1:3" ht="12" customHeight="1" thickBot="1">
      <c r="A118" s="18" t="s">
        <v>437</v>
      </c>
      <c r="B118" s="437" t="s">
        <v>439</v>
      </c>
      <c r="C118" s="263"/>
    </row>
    <row r="119" spans="1:3" ht="12" customHeight="1" thickBot="1">
      <c r="A119" s="434" t="s">
        <v>18</v>
      </c>
      <c r="B119" s="435" t="s">
        <v>352</v>
      </c>
      <c r="C119" s="436">
        <f>+C120+C122+C124</f>
        <v>758604316</v>
      </c>
    </row>
    <row r="120" spans="1:3" ht="12" customHeight="1">
      <c r="A120" s="15" t="s">
        <v>101</v>
      </c>
      <c r="B120" s="8" t="s">
        <v>224</v>
      </c>
      <c r="C120" s="258">
        <v>368546704</v>
      </c>
    </row>
    <row r="121" spans="1:3" ht="12" customHeight="1">
      <c r="A121" s="15" t="s">
        <v>102</v>
      </c>
      <c r="B121" s="12" t="s">
        <v>356</v>
      </c>
      <c r="C121" s="258"/>
    </row>
    <row r="122" spans="1:3" ht="12" customHeight="1">
      <c r="A122" s="15" t="s">
        <v>103</v>
      </c>
      <c r="B122" s="12" t="s">
        <v>182</v>
      </c>
      <c r="C122" s="257">
        <v>262557612</v>
      </c>
    </row>
    <row r="123" spans="1:3" ht="12" customHeight="1">
      <c r="A123" s="15" t="s">
        <v>104</v>
      </c>
      <c r="B123" s="12" t="s">
        <v>357</v>
      </c>
      <c r="C123" s="222"/>
    </row>
    <row r="124" spans="1:3" ht="12" customHeight="1">
      <c r="A124" s="15" t="s">
        <v>105</v>
      </c>
      <c r="B124" s="252" t="s">
        <v>565</v>
      </c>
      <c r="C124" s="222">
        <v>127500000</v>
      </c>
    </row>
    <row r="125" spans="1:3" ht="12" customHeight="1">
      <c r="A125" s="15" t="s">
        <v>114</v>
      </c>
      <c r="B125" s="251" t="s">
        <v>420</v>
      </c>
      <c r="C125" s="222"/>
    </row>
    <row r="126" spans="1:3" ht="12" customHeight="1">
      <c r="A126" s="15" t="s">
        <v>116</v>
      </c>
      <c r="B126" s="369" t="s">
        <v>362</v>
      </c>
      <c r="C126" s="222"/>
    </row>
    <row r="127" spans="1:3">
      <c r="A127" s="15" t="s">
        <v>183</v>
      </c>
      <c r="B127" s="117" t="s">
        <v>345</v>
      </c>
      <c r="C127" s="222"/>
    </row>
    <row r="128" spans="1:3" ht="12" customHeight="1">
      <c r="A128" s="15" t="s">
        <v>184</v>
      </c>
      <c r="B128" s="117" t="s">
        <v>361</v>
      </c>
      <c r="C128" s="222"/>
    </row>
    <row r="129" spans="1:3" ht="12" customHeight="1">
      <c r="A129" s="15" t="s">
        <v>185</v>
      </c>
      <c r="B129" s="117" t="s">
        <v>360</v>
      </c>
      <c r="C129" s="222"/>
    </row>
    <row r="130" spans="1:3" ht="12" customHeight="1">
      <c r="A130" s="15" t="s">
        <v>353</v>
      </c>
      <c r="B130" s="117" t="s">
        <v>348</v>
      </c>
      <c r="C130" s="222"/>
    </row>
    <row r="131" spans="1:3" ht="12" customHeight="1">
      <c r="A131" s="15" t="s">
        <v>354</v>
      </c>
      <c r="B131" s="117" t="s">
        <v>359</v>
      </c>
      <c r="C131" s="222"/>
    </row>
    <row r="132" spans="1:3" ht="16.5" thickBot="1">
      <c r="A132" s="13" t="s">
        <v>355</v>
      </c>
      <c r="B132" s="117" t="s">
        <v>358</v>
      </c>
      <c r="C132" s="224"/>
    </row>
    <row r="133" spans="1:3" ht="12" customHeight="1" thickBot="1">
      <c r="A133" s="20" t="s">
        <v>19</v>
      </c>
      <c r="B133" s="98" t="s">
        <v>440</v>
      </c>
      <c r="C133" s="255">
        <f>+C98+C119</f>
        <v>2336355862</v>
      </c>
    </row>
    <row r="134" spans="1:3" ht="12" customHeight="1" thickBot="1">
      <c r="A134" s="20" t="s">
        <v>20</v>
      </c>
      <c r="B134" s="98" t="s">
        <v>441</v>
      </c>
      <c r="C134" s="255">
        <f>+C135+C136+C137</f>
        <v>0</v>
      </c>
    </row>
    <row r="135" spans="1:3" ht="12" customHeight="1">
      <c r="A135" s="15" t="s">
        <v>262</v>
      </c>
      <c r="B135" s="12" t="s">
        <v>448</v>
      </c>
      <c r="C135" s="222"/>
    </row>
    <row r="136" spans="1:3" ht="12" customHeight="1">
      <c r="A136" s="15" t="s">
        <v>263</v>
      </c>
      <c r="B136" s="12" t="s">
        <v>449</v>
      </c>
      <c r="C136" s="222"/>
    </row>
    <row r="137" spans="1:3" ht="12" customHeight="1" thickBot="1">
      <c r="A137" s="13" t="s">
        <v>264</v>
      </c>
      <c r="B137" s="12" t="s">
        <v>450</v>
      </c>
      <c r="C137" s="222"/>
    </row>
    <row r="138" spans="1:3" ht="12" customHeight="1" thickBot="1">
      <c r="A138" s="20" t="s">
        <v>21</v>
      </c>
      <c r="B138" s="98" t="s">
        <v>442</v>
      </c>
      <c r="C138" s="255">
        <f>SUM(C139:C144)</f>
        <v>0</v>
      </c>
    </row>
    <row r="139" spans="1:3" ht="12" customHeight="1">
      <c r="A139" s="15" t="s">
        <v>88</v>
      </c>
      <c r="B139" s="9" t="s">
        <v>451</v>
      </c>
      <c r="C139" s="222"/>
    </row>
    <row r="140" spans="1:3" ht="12" customHeight="1">
      <c r="A140" s="15" t="s">
        <v>89</v>
      </c>
      <c r="B140" s="9" t="s">
        <v>443</v>
      </c>
      <c r="C140" s="222"/>
    </row>
    <row r="141" spans="1:3" ht="12" customHeight="1">
      <c r="A141" s="15" t="s">
        <v>90</v>
      </c>
      <c r="B141" s="9" t="s">
        <v>444</v>
      </c>
      <c r="C141" s="222"/>
    </row>
    <row r="142" spans="1:3" ht="12" customHeight="1">
      <c r="A142" s="15" t="s">
        <v>170</v>
      </c>
      <c r="B142" s="9" t="s">
        <v>445</v>
      </c>
      <c r="C142" s="222"/>
    </row>
    <row r="143" spans="1:3" ht="12" customHeight="1">
      <c r="A143" s="13" t="s">
        <v>171</v>
      </c>
      <c r="B143" s="7" t="s">
        <v>446</v>
      </c>
      <c r="C143" s="224"/>
    </row>
    <row r="144" spans="1:3" ht="12" customHeight="1" thickBot="1">
      <c r="A144" s="18" t="s">
        <v>172</v>
      </c>
      <c r="B144" s="666" t="s">
        <v>447</v>
      </c>
      <c r="C144" s="444"/>
    </row>
    <row r="145" spans="1:9" ht="12" customHeight="1" thickBot="1">
      <c r="A145" s="20" t="s">
        <v>22</v>
      </c>
      <c r="B145" s="98" t="s">
        <v>455</v>
      </c>
      <c r="C145" s="261">
        <f>+C146+C147+C148+C149</f>
        <v>0</v>
      </c>
    </row>
    <row r="146" spans="1:9" ht="12" customHeight="1">
      <c r="A146" s="15" t="s">
        <v>91</v>
      </c>
      <c r="B146" s="9" t="s">
        <v>363</v>
      </c>
      <c r="C146" s="222"/>
    </row>
    <row r="147" spans="1:9" ht="12" customHeight="1">
      <c r="A147" s="15" t="s">
        <v>92</v>
      </c>
      <c r="B147" s="9" t="s">
        <v>364</v>
      </c>
      <c r="C147" s="222"/>
    </row>
    <row r="148" spans="1:9" ht="12" customHeight="1" thickBot="1">
      <c r="A148" s="13" t="s">
        <v>280</v>
      </c>
      <c r="B148" s="7" t="s">
        <v>456</v>
      </c>
      <c r="C148" s="224"/>
    </row>
    <row r="149" spans="1:9" ht="12" customHeight="1" thickBot="1">
      <c r="A149" s="521" t="s">
        <v>281</v>
      </c>
      <c r="B149" s="526" t="s">
        <v>382</v>
      </c>
      <c r="C149" s="527"/>
    </row>
    <row r="150" spans="1:9" ht="12" customHeight="1" thickBot="1">
      <c r="A150" s="20" t="s">
        <v>23</v>
      </c>
      <c r="B150" s="98" t="s">
        <v>457</v>
      </c>
      <c r="C150" s="264">
        <f>SUM(C151:C155)</f>
        <v>0</v>
      </c>
    </row>
    <row r="151" spans="1:9" ht="12" customHeight="1">
      <c r="A151" s="15" t="s">
        <v>93</v>
      </c>
      <c r="B151" s="9" t="s">
        <v>452</v>
      </c>
      <c r="C151" s="222"/>
    </row>
    <row r="152" spans="1:9" ht="12" customHeight="1">
      <c r="A152" s="15" t="s">
        <v>94</v>
      </c>
      <c r="B152" s="9" t="s">
        <v>459</v>
      </c>
      <c r="C152" s="222"/>
    </row>
    <row r="153" spans="1:9" ht="12" customHeight="1">
      <c r="A153" s="15" t="s">
        <v>292</v>
      </c>
      <c r="B153" s="9" t="s">
        <v>454</v>
      </c>
      <c r="C153" s="222"/>
    </row>
    <row r="154" spans="1:9" ht="12" customHeight="1">
      <c r="A154" s="15" t="s">
        <v>293</v>
      </c>
      <c r="B154" s="9" t="s">
        <v>510</v>
      </c>
      <c r="C154" s="222"/>
    </row>
    <row r="155" spans="1:9" ht="12" customHeight="1" thickBot="1">
      <c r="A155" s="15" t="s">
        <v>458</v>
      </c>
      <c r="B155" s="9" t="s">
        <v>461</v>
      </c>
      <c r="C155" s="222"/>
    </row>
    <row r="156" spans="1:9" ht="12" customHeight="1" thickBot="1">
      <c r="A156" s="20" t="s">
        <v>24</v>
      </c>
      <c r="B156" s="98" t="s">
        <v>462</v>
      </c>
      <c r="C156" s="438"/>
    </row>
    <row r="157" spans="1:9" ht="12" customHeight="1" thickBot="1">
      <c r="A157" s="20" t="s">
        <v>25</v>
      </c>
      <c r="B157" s="98" t="s">
        <v>463</v>
      </c>
      <c r="C157" s="438"/>
    </row>
    <row r="158" spans="1:9" ht="15.2" customHeight="1" thickBot="1">
      <c r="A158" s="20" t="s">
        <v>26</v>
      </c>
      <c r="B158" s="98" t="s">
        <v>465</v>
      </c>
      <c r="C158" s="528">
        <f>+C134+C138+C145+C150+C156+C157</f>
        <v>0</v>
      </c>
      <c r="F158" s="384"/>
      <c r="G158" s="385"/>
      <c r="H158" s="385"/>
      <c r="I158" s="385"/>
    </row>
    <row r="159" spans="1:9" s="372" customFormat="1" ht="17.25" customHeight="1" thickBot="1">
      <c r="A159" s="253" t="s">
        <v>27</v>
      </c>
      <c r="B159" s="529" t="s">
        <v>464</v>
      </c>
      <c r="C159" s="528">
        <f>+C133+C158</f>
        <v>2336355862</v>
      </c>
    </row>
    <row r="160" spans="1:9" ht="15.95" customHeight="1">
      <c r="A160" s="530"/>
      <c r="B160" s="530"/>
      <c r="C160" s="587">
        <f>C92-C159</f>
        <v>0</v>
      </c>
    </row>
    <row r="161" spans="1:4">
      <c r="A161" s="763" t="s">
        <v>365</v>
      </c>
      <c r="B161" s="763"/>
      <c r="C161" s="763"/>
    </row>
    <row r="162" spans="1:4" ht="15.2" customHeight="1" thickBot="1">
      <c r="A162" s="764" t="s">
        <v>149</v>
      </c>
      <c r="B162" s="764"/>
      <c r="C162" s="533" t="str">
        <f ca="1">C95</f>
        <v/>
      </c>
    </row>
    <row r="163" spans="1:4" ht="13.5" customHeight="1" thickBot="1">
      <c r="A163" s="20">
        <v>1</v>
      </c>
      <c r="B163" s="25" t="s">
        <v>466</v>
      </c>
      <c r="C163" s="255">
        <f>+C67-C133</f>
        <v>-336700000</v>
      </c>
      <c r="D163" s="386"/>
    </row>
    <row r="164" spans="1:4" ht="27.75" customHeight="1" thickBot="1">
      <c r="A164" s="20" t="s">
        <v>18</v>
      </c>
      <c r="B164" s="25" t="s">
        <v>472</v>
      </c>
      <c r="C164" s="255">
        <f>+C91-C158</f>
        <v>336700000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zoomScale="120" zoomScaleNormal="120" zoomScaleSheetLayoutView="100" workbookViewId="0">
      <selection activeCell="C35" sqref="C35"/>
    </sheetView>
  </sheetViews>
  <sheetFormatPr defaultRowHeight="15.75"/>
  <cols>
    <col min="1" max="1" width="9.5" style="339" customWidth="1"/>
    <col min="2" max="2" width="99.33203125" style="339" customWidth="1"/>
    <col min="3" max="3" width="21.6640625" style="340" customWidth="1"/>
    <col min="4" max="4" width="9" style="370" customWidth="1"/>
    <col min="5" max="16384" width="9.33203125" style="370"/>
  </cols>
  <sheetData>
    <row r="1" spans="1:3" ht="18.75" customHeight="1">
      <c r="A1" s="578"/>
      <c r="B1" s="758" t="str">
        <f ca="1">CONCATENATE("1.3. melléklet ",ALAPADATOK!A7," ",ALAPADATOK!B7," ",ALAPADATOK!C7," ",ALAPADATOK!D7," ",ALAPADATOK!E7," ",ALAPADATOK!F7," ",ALAPADATOK!G7," ",ALAPADATOK!H7)</f>
        <v>1.3. melléklet a 5 / 2020 ( (II.18.) ) önkormányzati rendelethez</v>
      </c>
      <c r="C1" s="759"/>
    </row>
    <row r="2" spans="1:3" ht="21.95" customHeight="1">
      <c r="A2" s="579"/>
      <c r="B2" s="580" t="str">
        <f ca="1">CONCATENATE(ALAPADATOK!A3)</f>
        <v>DABAS VÁROS ÖNKORMÁNYZATA</v>
      </c>
      <c r="C2" s="581"/>
    </row>
    <row r="3" spans="1:3" ht="21.95" customHeight="1">
      <c r="A3" s="581"/>
      <c r="B3" s="580" t="str">
        <f ca="1">KV_1.2.sz.mell.!B3</f>
        <v>2020. ÉVI KÖLTSÉGVETÉS</v>
      </c>
      <c r="C3" s="581"/>
    </row>
    <row r="4" spans="1:3" ht="21.95" customHeight="1">
      <c r="A4" s="581"/>
      <c r="B4" s="580" t="s">
        <v>571</v>
      </c>
      <c r="C4" s="581"/>
    </row>
    <row r="5" spans="1:3" ht="21.95" customHeight="1">
      <c r="A5" s="578"/>
      <c r="B5" s="578"/>
      <c r="C5" s="582"/>
    </row>
    <row r="6" spans="1:3" ht="15.2" customHeight="1">
      <c r="A6" s="760" t="s">
        <v>14</v>
      </c>
      <c r="B6" s="760"/>
      <c r="C6" s="760"/>
    </row>
    <row r="7" spans="1:3" ht="15.2" customHeight="1" thickBot="1">
      <c r="A7" s="761" t="s">
        <v>147</v>
      </c>
      <c r="B7" s="761"/>
      <c r="C7" s="531" t="str">
        <f ca="1">CONCATENATE(KV_1.1.sz.mell.!C7)</f>
        <v/>
      </c>
    </row>
    <row r="8" spans="1:3" ht="24" customHeight="1" thickBot="1">
      <c r="A8" s="583" t="s">
        <v>66</v>
      </c>
      <c r="B8" s="584" t="s">
        <v>16</v>
      </c>
      <c r="C8" s="585" t="str">
        <f ca="1">+CONCATENATE(LEFT(KV_ÖSSZEFÜGGÉSEK!A5,4),". évi előirányzat")</f>
        <v>2020. évi előirányzat</v>
      </c>
    </row>
    <row r="9" spans="1:3" s="371" customFormat="1" ht="12" customHeight="1" thickBot="1">
      <c r="A9" s="516"/>
      <c r="B9" s="517" t="s">
        <v>485</v>
      </c>
      <c r="C9" s="518" t="s">
        <v>486</v>
      </c>
    </row>
    <row r="10" spans="1:3" s="372" customFormat="1" ht="12" customHeight="1" thickBot="1">
      <c r="A10" s="20" t="s">
        <v>17</v>
      </c>
      <c r="B10" s="21" t="s">
        <v>246</v>
      </c>
      <c r="C10" s="255">
        <f>+C11+C12+C13+C14+C15+C16</f>
        <v>0</v>
      </c>
    </row>
    <row r="11" spans="1:3" s="372" customFormat="1" ht="12" customHeight="1">
      <c r="A11" s="15" t="s">
        <v>95</v>
      </c>
      <c r="B11" s="373" t="s">
        <v>247</v>
      </c>
      <c r="C11" s="258"/>
    </row>
    <row r="12" spans="1:3" s="372" customFormat="1" ht="12" customHeight="1">
      <c r="A12" s="14" t="s">
        <v>96</v>
      </c>
      <c r="B12" s="374" t="s">
        <v>248</v>
      </c>
      <c r="C12" s="257"/>
    </row>
    <row r="13" spans="1:3" s="372" customFormat="1" ht="12" customHeight="1">
      <c r="A13" s="14" t="s">
        <v>97</v>
      </c>
      <c r="B13" s="374" t="s">
        <v>542</v>
      </c>
      <c r="C13" s="257"/>
    </row>
    <row r="14" spans="1:3" s="372" customFormat="1" ht="12" customHeight="1">
      <c r="A14" s="14" t="s">
        <v>98</v>
      </c>
      <c r="B14" s="374" t="s">
        <v>250</v>
      </c>
      <c r="C14" s="257"/>
    </row>
    <row r="15" spans="1:3" s="372" customFormat="1" ht="12" customHeight="1">
      <c r="A15" s="14" t="s">
        <v>143</v>
      </c>
      <c r="B15" s="251" t="s">
        <v>424</v>
      </c>
      <c r="C15" s="257"/>
    </row>
    <row r="16" spans="1:3" s="372" customFormat="1" ht="12" customHeight="1" thickBot="1">
      <c r="A16" s="16" t="s">
        <v>99</v>
      </c>
      <c r="B16" s="252" t="s">
        <v>425</v>
      </c>
      <c r="C16" s="257"/>
    </row>
    <row r="17" spans="1:3" s="372" customFormat="1" ht="12" customHeight="1" thickBot="1">
      <c r="A17" s="20" t="s">
        <v>18</v>
      </c>
      <c r="B17" s="250" t="s">
        <v>251</v>
      </c>
      <c r="C17" s="255">
        <f>+C18+C19+C20+C21+C22</f>
        <v>1043040000</v>
      </c>
    </row>
    <row r="18" spans="1:3" s="372" customFormat="1" ht="12" customHeight="1">
      <c r="A18" s="15" t="s">
        <v>101</v>
      </c>
      <c r="B18" s="373" t="s">
        <v>252</v>
      </c>
      <c r="C18" s="258"/>
    </row>
    <row r="19" spans="1:3" s="372" customFormat="1" ht="12" customHeight="1">
      <c r="A19" s="14" t="s">
        <v>102</v>
      </c>
      <c r="B19" s="374" t="s">
        <v>253</v>
      </c>
      <c r="C19" s="257"/>
    </row>
    <row r="20" spans="1:3" s="372" customFormat="1" ht="12" customHeight="1">
      <c r="A20" s="14" t="s">
        <v>103</v>
      </c>
      <c r="B20" s="374" t="s">
        <v>414</v>
      </c>
      <c r="C20" s="257"/>
    </row>
    <row r="21" spans="1:3" s="372" customFormat="1" ht="12" customHeight="1">
      <c r="A21" s="14" t="s">
        <v>104</v>
      </c>
      <c r="B21" s="374" t="s">
        <v>415</v>
      </c>
      <c r="C21" s="257"/>
    </row>
    <row r="22" spans="1:3" s="372" customFormat="1" ht="12" customHeight="1">
      <c r="A22" s="14" t="s">
        <v>105</v>
      </c>
      <c r="B22" s="374" t="s">
        <v>564</v>
      </c>
      <c r="C22" s="257">
        <v>1043040000</v>
      </c>
    </row>
    <row r="23" spans="1:3" s="372" customFormat="1" ht="12" customHeight="1" thickBot="1">
      <c r="A23" s="16" t="s">
        <v>114</v>
      </c>
      <c r="B23" s="252" t="s">
        <v>255</v>
      </c>
      <c r="C23" s="259"/>
    </row>
    <row r="24" spans="1:3" s="372" customFormat="1" ht="12" customHeight="1" thickBot="1">
      <c r="A24" s="20" t="s">
        <v>19</v>
      </c>
      <c r="B24" s="21" t="s">
        <v>256</v>
      </c>
      <c r="C24" s="255">
        <f>+C25+C26+C27+C28+C29</f>
        <v>23000000</v>
      </c>
    </row>
    <row r="25" spans="1:3" s="372" customFormat="1" ht="12" customHeight="1">
      <c r="A25" s="15" t="s">
        <v>84</v>
      </c>
      <c r="B25" s="373" t="s">
        <v>257</v>
      </c>
      <c r="C25" s="258"/>
    </row>
    <row r="26" spans="1:3" s="372" customFormat="1" ht="12" customHeight="1">
      <c r="A26" s="14" t="s">
        <v>85</v>
      </c>
      <c r="B26" s="374" t="s">
        <v>258</v>
      </c>
      <c r="C26" s="257"/>
    </row>
    <row r="27" spans="1:3" s="372" customFormat="1" ht="12" customHeight="1">
      <c r="A27" s="14" t="s">
        <v>86</v>
      </c>
      <c r="B27" s="374" t="s">
        <v>416</v>
      </c>
      <c r="C27" s="257"/>
    </row>
    <row r="28" spans="1:3" s="372" customFormat="1" ht="12" customHeight="1">
      <c r="A28" s="14" t="s">
        <v>87</v>
      </c>
      <c r="B28" s="374" t="s">
        <v>417</v>
      </c>
      <c r="C28" s="257"/>
    </row>
    <row r="29" spans="1:3" s="372" customFormat="1" ht="12" customHeight="1">
      <c r="A29" s="14" t="s">
        <v>166</v>
      </c>
      <c r="B29" s="374" t="s">
        <v>259</v>
      </c>
      <c r="C29" s="257">
        <v>23000000</v>
      </c>
    </row>
    <row r="30" spans="1:3" s="509" customFormat="1" ht="12" customHeight="1" thickBot="1">
      <c r="A30" s="519" t="s">
        <v>167</v>
      </c>
      <c r="B30" s="507" t="s">
        <v>559</v>
      </c>
      <c r="C30" s="508"/>
    </row>
    <row r="31" spans="1:3" s="372" customFormat="1" ht="12" customHeight="1" thickBot="1">
      <c r="A31" s="20" t="s">
        <v>168</v>
      </c>
      <c r="B31" s="21" t="s">
        <v>543</v>
      </c>
      <c r="C31" s="261">
        <f>SUM(C32:C38)</f>
        <v>650104066</v>
      </c>
    </row>
    <row r="32" spans="1:3" s="372" customFormat="1" ht="12" customHeight="1">
      <c r="A32" s="15" t="s">
        <v>262</v>
      </c>
      <c r="B32" s="373" t="str">
        <f ca="1">KV_1.1.sz.mell.!B32</f>
        <v>Építményadó</v>
      </c>
      <c r="C32" s="258">
        <v>95000000</v>
      </c>
    </row>
    <row r="33" spans="1:3" s="372" customFormat="1" ht="12" customHeight="1">
      <c r="A33" s="14" t="s">
        <v>263</v>
      </c>
      <c r="B33" s="373" t="str">
        <f ca="1">KV_1.1.sz.mell.!B33</f>
        <v>Idegenforgalmi adó</v>
      </c>
      <c r="C33" s="257">
        <v>6000000</v>
      </c>
    </row>
    <row r="34" spans="1:3" s="372" customFormat="1" ht="12" customHeight="1">
      <c r="A34" s="14" t="s">
        <v>264</v>
      </c>
      <c r="B34" s="373" t="str">
        <f ca="1">KV_1.1.sz.mell.!B34</f>
        <v>Iparűzési adó</v>
      </c>
      <c r="C34" s="257">
        <v>477104066</v>
      </c>
    </row>
    <row r="35" spans="1:3" s="372" customFormat="1" ht="12" customHeight="1">
      <c r="A35" s="14" t="s">
        <v>265</v>
      </c>
      <c r="B35" s="373" t="str">
        <f ca="1">KV_1.1.sz.mell.!B35</f>
        <v>Talajterhelési díj</v>
      </c>
      <c r="C35" s="257">
        <v>2000000</v>
      </c>
    </row>
    <row r="36" spans="1:3" s="372" customFormat="1" ht="12" customHeight="1">
      <c r="A36" s="14" t="s">
        <v>544</v>
      </c>
      <c r="B36" s="373" t="str">
        <f ca="1">KV_1.1.sz.mell.!B36</f>
        <v>Gépjárműadó</v>
      </c>
      <c r="C36" s="257"/>
    </row>
    <row r="37" spans="1:3" s="372" customFormat="1" ht="12" customHeight="1">
      <c r="A37" s="14" t="s">
        <v>545</v>
      </c>
      <c r="B37" s="373" t="str">
        <f ca="1">KV_1.1.sz.mell.!B37</f>
        <v>Telekadó</v>
      </c>
      <c r="C37" s="257"/>
    </row>
    <row r="38" spans="1:3" s="372" customFormat="1" ht="12" customHeight="1" thickBot="1">
      <c r="A38" s="16" t="s">
        <v>546</v>
      </c>
      <c r="B38" s="373" t="str">
        <f ca="1">KV_1.1.sz.mell.!B38</f>
        <v>Kommunális adó</v>
      </c>
      <c r="C38" s="259">
        <v>70000000</v>
      </c>
    </row>
    <row r="39" spans="1:3" s="372" customFormat="1" ht="12" customHeight="1" thickBot="1">
      <c r="A39" s="20" t="s">
        <v>21</v>
      </c>
      <c r="B39" s="21" t="s">
        <v>426</v>
      </c>
      <c r="C39" s="255">
        <f>SUM(C40:C50)</f>
        <v>73290000</v>
      </c>
    </row>
    <row r="40" spans="1:3" s="372" customFormat="1" ht="12" customHeight="1">
      <c r="A40" s="15" t="s">
        <v>88</v>
      </c>
      <c r="B40" s="373" t="s">
        <v>269</v>
      </c>
      <c r="C40" s="258"/>
    </row>
    <row r="41" spans="1:3" s="372" customFormat="1" ht="12" customHeight="1">
      <c r="A41" s="14" t="s">
        <v>89</v>
      </c>
      <c r="B41" s="374" t="s">
        <v>270</v>
      </c>
      <c r="C41" s="257">
        <v>63050000</v>
      </c>
    </row>
    <row r="42" spans="1:3" s="372" customFormat="1" ht="12" customHeight="1">
      <c r="A42" s="14" t="s">
        <v>90</v>
      </c>
      <c r="B42" s="374" t="s">
        <v>271</v>
      </c>
      <c r="C42" s="257">
        <v>2000000</v>
      </c>
    </row>
    <row r="43" spans="1:3" s="372" customFormat="1" ht="12" customHeight="1">
      <c r="A43" s="14" t="s">
        <v>170</v>
      </c>
      <c r="B43" s="374" t="s">
        <v>272</v>
      </c>
      <c r="C43" s="257"/>
    </row>
    <row r="44" spans="1:3" s="372" customFormat="1" ht="12" customHeight="1">
      <c r="A44" s="14" t="s">
        <v>171</v>
      </c>
      <c r="B44" s="374" t="s">
        <v>273</v>
      </c>
      <c r="C44" s="257"/>
    </row>
    <row r="45" spans="1:3" s="372" customFormat="1" ht="12" customHeight="1">
      <c r="A45" s="14" t="s">
        <v>172</v>
      </c>
      <c r="B45" s="374" t="s">
        <v>274</v>
      </c>
      <c r="C45" s="257">
        <v>7520000</v>
      </c>
    </row>
    <row r="46" spans="1:3" s="372" customFormat="1" ht="12" customHeight="1">
      <c r="A46" s="14" t="s">
        <v>173</v>
      </c>
      <c r="B46" s="374" t="s">
        <v>275</v>
      </c>
      <c r="C46" s="257"/>
    </row>
    <row r="47" spans="1:3" s="372" customFormat="1" ht="12" customHeight="1">
      <c r="A47" s="14" t="s">
        <v>174</v>
      </c>
      <c r="B47" s="374" t="s">
        <v>551</v>
      </c>
      <c r="C47" s="257"/>
    </row>
    <row r="48" spans="1:3" s="372" customFormat="1" ht="12" customHeight="1">
      <c r="A48" s="14" t="s">
        <v>267</v>
      </c>
      <c r="B48" s="374" t="s">
        <v>277</v>
      </c>
      <c r="C48" s="260"/>
    </row>
    <row r="49" spans="1:3" s="372" customFormat="1" ht="12" customHeight="1">
      <c r="A49" s="16" t="s">
        <v>268</v>
      </c>
      <c r="B49" s="375" t="s">
        <v>428</v>
      </c>
      <c r="C49" s="361"/>
    </row>
    <row r="50" spans="1:3" s="372" customFormat="1" ht="12" customHeight="1" thickBot="1">
      <c r="A50" s="16" t="s">
        <v>427</v>
      </c>
      <c r="B50" s="252" t="s">
        <v>278</v>
      </c>
      <c r="C50" s="361">
        <v>720000</v>
      </c>
    </row>
    <row r="51" spans="1:3" s="372" customFormat="1" ht="12" customHeight="1" thickBot="1">
      <c r="A51" s="20" t="s">
        <v>22</v>
      </c>
      <c r="B51" s="21" t="s">
        <v>279</v>
      </c>
      <c r="C51" s="255">
        <f>SUM(C52:C56)</f>
        <v>40000000</v>
      </c>
    </row>
    <row r="52" spans="1:3" s="372" customFormat="1" ht="12" customHeight="1">
      <c r="A52" s="15" t="s">
        <v>91</v>
      </c>
      <c r="B52" s="373" t="s">
        <v>283</v>
      </c>
      <c r="C52" s="417"/>
    </row>
    <row r="53" spans="1:3" s="372" customFormat="1" ht="12" customHeight="1">
      <c r="A53" s="14" t="s">
        <v>92</v>
      </c>
      <c r="B53" s="374" t="s">
        <v>284</v>
      </c>
      <c r="C53" s="260">
        <v>40000000</v>
      </c>
    </row>
    <row r="54" spans="1:3" s="372" customFormat="1" ht="12" customHeight="1">
      <c r="A54" s="14" t="s">
        <v>280</v>
      </c>
      <c r="B54" s="374" t="s">
        <v>285</v>
      </c>
      <c r="C54" s="260"/>
    </row>
    <row r="55" spans="1:3" s="372" customFormat="1" ht="12" customHeight="1">
      <c r="A55" s="14" t="s">
        <v>281</v>
      </c>
      <c r="B55" s="374" t="s">
        <v>286</v>
      </c>
      <c r="C55" s="260"/>
    </row>
    <row r="56" spans="1:3" s="372" customFormat="1" ht="12" customHeight="1" thickBot="1">
      <c r="A56" s="16" t="s">
        <v>282</v>
      </c>
      <c r="B56" s="252" t="s">
        <v>287</v>
      </c>
      <c r="C56" s="361"/>
    </row>
    <row r="57" spans="1:3" s="372" customFormat="1" ht="12" customHeight="1" thickBot="1">
      <c r="A57" s="20" t="s">
        <v>175</v>
      </c>
      <c r="B57" s="21" t="s">
        <v>288</v>
      </c>
      <c r="C57" s="255">
        <f>SUM(C58:C60)</f>
        <v>0</v>
      </c>
    </row>
    <row r="58" spans="1:3" s="372" customFormat="1" ht="12" customHeight="1">
      <c r="A58" s="15" t="s">
        <v>93</v>
      </c>
      <c r="B58" s="373" t="s">
        <v>289</v>
      </c>
      <c r="C58" s="258"/>
    </row>
    <row r="59" spans="1:3" s="372" customFormat="1" ht="12" customHeight="1">
      <c r="A59" s="14" t="s">
        <v>94</v>
      </c>
      <c r="B59" s="374" t="s">
        <v>418</v>
      </c>
      <c r="C59" s="257"/>
    </row>
    <row r="60" spans="1:3" s="372" customFormat="1" ht="12" customHeight="1">
      <c r="A60" s="14" t="s">
        <v>292</v>
      </c>
      <c r="B60" s="374" t="s">
        <v>290</v>
      </c>
      <c r="C60" s="257"/>
    </row>
    <row r="61" spans="1:3" s="372" customFormat="1" ht="12" customHeight="1" thickBot="1">
      <c r="A61" s="16" t="s">
        <v>293</v>
      </c>
      <c r="B61" s="252" t="s">
        <v>291</v>
      </c>
      <c r="C61" s="259"/>
    </row>
    <row r="62" spans="1:3" s="372" customFormat="1" ht="12" customHeight="1" thickBot="1">
      <c r="A62" s="20" t="s">
        <v>24</v>
      </c>
      <c r="B62" s="250" t="s">
        <v>294</v>
      </c>
      <c r="C62" s="255">
        <f>SUM(C63:C65)</f>
        <v>0</v>
      </c>
    </row>
    <row r="63" spans="1:3" s="372" customFormat="1" ht="12" customHeight="1">
      <c r="A63" s="15" t="s">
        <v>176</v>
      </c>
      <c r="B63" s="373" t="s">
        <v>296</v>
      </c>
      <c r="C63" s="260"/>
    </row>
    <row r="64" spans="1:3" s="372" customFormat="1" ht="12" customHeight="1">
      <c r="A64" s="14" t="s">
        <v>177</v>
      </c>
      <c r="B64" s="374" t="s">
        <v>419</v>
      </c>
      <c r="C64" s="260"/>
    </row>
    <row r="65" spans="1:3" s="372" customFormat="1" ht="12" customHeight="1">
      <c r="A65" s="14" t="s">
        <v>225</v>
      </c>
      <c r="B65" s="374" t="s">
        <v>297</v>
      </c>
      <c r="C65" s="260"/>
    </row>
    <row r="66" spans="1:3" s="372" customFormat="1" ht="12" customHeight="1" thickBot="1">
      <c r="A66" s="16" t="s">
        <v>295</v>
      </c>
      <c r="B66" s="252" t="s">
        <v>298</v>
      </c>
      <c r="C66" s="260"/>
    </row>
    <row r="67" spans="1:3" s="372" customFormat="1" ht="12" customHeight="1" thickBot="1">
      <c r="A67" s="439" t="s">
        <v>468</v>
      </c>
      <c r="B67" s="21" t="s">
        <v>299</v>
      </c>
      <c r="C67" s="261">
        <f>+C10+C17+C24+C31+C39+C51+C57+C62</f>
        <v>1829434066</v>
      </c>
    </row>
    <row r="68" spans="1:3" s="372" customFormat="1" ht="12" customHeight="1" thickBot="1">
      <c r="A68" s="420" t="s">
        <v>300</v>
      </c>
      <c r="B68" s="250" t="s">
        <v>301</v>
      </c>
      <c r="C68" s="255">
        <f>SUM(C69:C71)</f>
        <v>0</v>
      </c>
    </row>
    <row r="69" spans="1:3" s="372" customFormat="1" ht="12" customHeight="1">
      <c r="A69" s="15" t="s">
        <v>329</v>
      </c>
      <c r="B69" s="373" t="s">
        <v>302</v>
      </c>
      <c r="C69" s="260"/>
    </row>
    <row r="70" spans="1:3" s="372" customFormat="1" ht="12" customHeight="1">
      <c r="A70" s="14" t="s">
        <v>338</v>
      </c>
      <c r="B70" s="374" t="s">
        <v>303</v>
      </c>
      <c r="C70" s="260"/>
    </row>
    <row r="71" spans="1:3" s="372" customFormat="1" ht="12" customHeight="1" thickBot="1">
      <c r="A71" s="16" t="s">
        <v>339</v>
      </c>
      <c r="B71" s="433" t="s">
        <v>560</v>
      </c>
      <c r="C71" s="260"/>
    </row>
    <row r="72" spans="1:3" s="372" customFormat="1" ht="12" customHeight="1" thickBot="1">
      <c r="A72" s="420" t="s">
        <v>305</v>
      </c>
      <c r="B72" s="250" t="s">
        <v>306</v>
      </c>
      <c r="C72" s="255">
        <f>SUM(C73:C76)</f>
        <v>0</v>
      </c>
    </row>
    <row r="73" spans="1:3" s="372" customFormat="1" ht="12" customHeight="1">
      <c r="A73" s="15" t="s">
        <v>144</v>
      </c>
      <c r="B73" s="373" t="s">
        <v>307</v>
      </c>
      <c r="C73" s="260"/>
    </row>
    <row r="74" spans="1:3" s="372" customFormat="1" ht="12" customHeight="1">
      <c r="A74" s="14" t="s">
        <v>145</v>
      </c>
      <c r="B74" s="374" t="s">
        <v>561</v>
      </c>
      <c r="C74" s="260"/>
    </row>
    <row r="75" spans="1:3" s="372" customFormat="1" ht="12" customHeight="1" thickBot="1">
      <c r="A75" s="16" t="s">
        <v>330</v>
      </c>
      <c r="B75" s="375" t="s">
        <v>308</v>
      </c>
      <c r="C75" s="361"/>
    </row>
    <row r="76" spans="1:3" s="372" customFormat="1" ht="12" customHeight="1" thickBot="1">
      <c r="A76" s="521" t="s">
        <v>331</v>
      </c>
      <c r="B76" s="522" t="s">
        <v>562</v>
      </c>
      <c r="C76" s="523"/>
    </row>
    <row r="77" spans="1:3" s="372" customFormat="1" ht="12" customHeight="1" thickBot="1">
      <c r="A77" s="420" t="s">
        <v>309</v>
      </c>
      <c r="B77" s="250" t="s">
        <v>310</v>
      </c>
      <c r="C77" s="255">
        <f>SUM(C78:C79)</f>
        <v>0</v>
      </c>
    </row>
    <row r="78" spans="1:3" s="372" customFormat="1" ht="12" customHeight="1" thickBot="1">
      <c r="A78" s="13" t="s">
        <v>332</v>
      </c>
      <c r="B78" s="520" t="s">
        <v>311</v>
      </c>
      <c r="C78" s="361"/>
    </row>
    <row r="79" spans="1:3" s="372" customFormat="1" ht="12" customHeight="1" thickBot="1">
      <c r="A79" s="521" t="s">
        <v>333</v>
      </c>
      <c r="B79" s="522" t="s">
        <v>312</v>
      </c>
      <c r="C79" s="523"/>
    </row>
    <row r="80" spans="1:3" s="372" customFormat="1" ht="12" customHeight="1" thickBot="1">
      <c r="A80" s="420" t="s">
        <v>313</v>
      </c>
      <c r="B80" s="250" t="s">
        <v>314</v>
      </c>
      <c r="C80" s="255">
        <f>SUM(C81:C83)</f>
        <v>0</v>
      </c>
    </row>
    <row r="81" spans="1:3" s="372" customFormat="1" ht="12" customHeight="1">
      <c r="A81" s="15" t="s">
        <v>334</v>
      </c>
      <c r="B81" s="373" t="s">
        <v>315</v>
      </c>
      <c r="C81" s="260"/>
    </row>
    <row r="82" spans="1:3" s="372" customFormat="1" ht="12" customHeight="1">
      <c r="A82" s="14" t="s">
        <v>335</v>
      </c>
      <c r="B82" s="374" t="s">
        <v>316</v>
      </c>
      <c r="C82" s="260"/>
    </row>
    <row r="83" spans="1:3" s="372" customFormat="1" ht="12" customHeight="1" thickBot="1">
      <c r="A83" s="18" t="s">
        <v>336</v>
      </c>
      <c r="B83" s="524" t="s">
        <v>563</v>
      </c>
      <c r="C83" s="525"/>
    </row>
    <row r="84" spans="1:3" s="372" customFormat="1" ht="12" customHeight="1" thickBot="1">
      <c r="A84" s="420" t="s">
        <v>317</v>
      </c>
      <c r="B84" s="250" t="s">
        <v>337</v>
      </c>
      <c r="C84" s="255">
        <f>SUM(C85:C88)</f>
        <v>0</v>
      </c>
    </row>
    <row r="85" spans="1:3" s="372" customFormat="1" ht="12" customHeight="1">
      <c r="A85" s="377" t="s">
        <v>318</v>
      </c>
      <c r="B85" s="373" t="s">
        <v>319</v>
      </c>
      <c r="C85" s="260"/>
    </row>
    <row r="86" spans="1:3" s="372" customFormat="1" ht="12" customHeight="1">
      <c r="A86" s="378" t="s">
        <v>320</v>
      </c>
      <c r="B86" s="374" t="s">
        <v>321</v>
      </c>
      <c r="C86" s="260"/>
    </row>
    <row r="87" spans="1:3" s="372" customFormat="1" ht="12" customHeight="1">
      <c r="A87" s="378" t="s">
        <v>322</v>
      </c>
      <c r="B87" s="374" t="s">
        <v>323</v>
      </c>
      <c r="C87" s="260"/>
    </row>
    <row r="88" spans="1:3" s="372" customFormat="1" ht="12" customHeight="1" thickBot="1">
      <c r="A88" s="379" t="s">
        <v>324</v>
      </c>
      <c r="B88" s="252" t="s">
        <v>325</v>
      </c>
      <c r="C88" s="260"/>
    </row>
    <row r="89" spans="1:3" s="372" customFormat="1" ht="12" customHeight="1" thickBot="1">
      <c r="A89" s="420" t="s">
        <v>326</v>
      </c>
      <c r="B89" s="250" t="s">
        <v>467</v>
      </c>
      <c r="C89" s="418"/>
    </row>
    <row r="90" spans="1:3" s="372" customFormat="1" ht="13.5" customHeight="1" thickBot="1">
      <c r="A90" s="420" t="s">
        <v>328</v>
      </c>
      <c r="B90" s="250" t="s">
        <v>327</v>
      </c>
      <c r="C90" s="418"/>
    </row>
    <row r="91" spans="1:3" s="372" customFormat="1" ht="15.75" customHeight="1" thickBot="1">
      <c r="A91" s="420" t="s">
        <v>340</v>
      </c>
      <c r="B91" s="380" t="s">
        <v>470</v>
      </c>
      <c r="C91" s="261">
        <f>+C68+C72+C77+C80+C84+C90+C89</f>
        <v>0</v>
      </c>
    </row>
    <row r="92" spans="1:3" s="372" customFormat="1" ht="16.5" customHeight="1" thickBot="1">
      <c r="A92" s="421" t="s">
        <v>469</v>
      </c>
      <c r="B92" s="381" t="s">
        <v>471</v>
      </c>
      <c r="C92" s="261">
        <f>+C67+C91</f>
        <v>1829434066</v>
      </c>
    </row>
    <row r="93" spans="1:3" s="372" customFormat="1" ht="11.1" customHeight="1">
      <c r="A93" s="5"/>
      <c r="B93" s="6"/>
      <c r="C93" s="262"/>
    </row>
    <row r="94" spans="1:3" ht="16.5" customHeight="1">
      <c r="A94" s="765" t="s">
        <v>46</v>
      </c>
      <c r="B94" s="765"/>
      <c r="C94" s="765"/>
    </row>
    <row r="95" spans="1:3" s="382" customFormat="1" ht="16.5" customHeight="1" thickBot="1">
      <c r="A95" s="762" t="s">
        <v>148</v>
      </c>
      <c r="B95" s="762"/>
      <c r="C95" s="532" t="str">
        <f ca="1">C7</f>
        <v/>
      </c>
    </row>
    <row r="96" spans="1:3" ht="30" customHeight="1" thickBot="1">
      <c r="A96" s="513" t="s">
        <v>66</v>
      </c>
      <c r="B96" s="514" t="s">
        <v>47</v>
      </c>
      <c r="C96" s="515" t="str">
        <f ca="1">+C8</f>
        <v>2020. évi előirányzat</v>
      </c>
    </row>
    <row r="97" spans="1:3" s="371" customFormat="1" ht="12" customHeight="1" thickBot="1">
      <c r="A97" s="513"/>
      <c r="B97" s="514" t="s">
        <v>485</v>
      </c>
      <c r="C97" s="515" t="s">
        <v>486</v>
      </c>
    </row>
    <row r="98" spans="1:3" ht="12" customHeight="1" thickBot="1">
      <c r="A98" s="22" t="s">
        <v>17</v>
      </c>
      <c r="B98" s="26" t="s">
        <v>429</v>
      </c>
      <c r="C98" s="254">
        <f>C99+C100+C101+C102+C103+C116</f>
        <v>1568133563</v>
      </c>
    </row>
    <row r="99" spans="1:3" ht="12" customHeight="1">
      <c r="A99" s="17" t="s">
        <v>95</v>
      </c>
      <c r="B99" s="10" t="s">
        <v>48</v>
      </c>
      <c r="C99" s="256">
        <v>504685480</v>
      </c>
    </row>
    <row r="100" spans="1:3" ht="12" customHeight="1">
      <c r="A100" s="14" t="s">
        <v>96</v>
      </c>
      <c r="B100" s="8" t="s">
        <v>178</v>
      </c>
      <c r="C100" s="257">
        <v>95534637</v>
      </c>
    </row>
    <row r="101" spans="1:3" ht="12" customHeight="1">
      <c r="A101" s="14" t="s">
        <v>97</v>
      </c>
      <c r="B101" s="8" t="s">
        <v>135</v>
      </c>
      <c r="C101" s="259">
        <v>754743446</v>
      </c>
    </row>
    <row r="102" spans="1:3" ht="12" customHeight="1">
      <c r="A102" s="14" t="s">
        <v>98</v>
      </c>
      <c r="B102" s="11" t="s">
        <v>179</v>
      </c>
      <c r="C102" s="259"/>
    </row>
    <row r="103" spans="1:3" ht="12" customHeight="1">
      <c r="A103" s="14" t="s">
        <v>109</v>
      </c>
      <c r="B103" s="19" t="s">
        <v>180</v>
      </c>
      <c r="C103" s="259">
        <v>64027000</v>
      </c>
    </row>
    <row r="104" spans="1:3" ht="12" customHeight="1">
      <c r="A104" s="14" t="s">
        <v>99</v>
      </c>
      <c r="B104" s="8" t="s">
        <v>434</v>
      </c>
      <c r="C104" s="259"/>
    </row>
    <row r="105" spans="1:3" ht="12" customHeight="1">
      <c r="A105" s="14" t="s">
        <v>100</v>
      </c>
      <c r="B105" s="118" t="s">
        <v>433</v>
      </c>
      <c r="C105" s="259"/>
    </row>
    <row r="106" spans="1:3" ht="12" customHeight="1">
      <c r="A106" s="14" t="s">
        <v>110</v>
      </c>
      <c r="B106" s="118" t="s">
        <v>432</v>
      </c>
      <c r="C106" s="259"/>
    </row>
    <row r="107" spans="1:3" ht="12" customHeight="1">
      <c r="A107" s="14" t="s">
        <v>111</v>
      </c>
      <c r="B107" s="116" t="s">
        <v>343</v>
      </c>
      <c r="C107" s="259"/>
    </row>
    <row r="108" spans="1:3" ht="12" customHeight="1">
      <c r="A108" s="14" t="s">
        <v>112</v>
      </c>
      <c r="B108" s="117" t="s">
        <v>344</v>
      </c>
      <c r="C108" s="259"/>
    </row>
    <row r="109" spans="1:3" ht="12" customHeight="1">
      <c r="A109" s="14" t="s">
        <v>113</v>
      </c>
      <c r="B109" s="117" t="s">
        <v>345</v>
      </c>
      <c r="C109" s="259"/>
    </row>
    <row r="110" spans="1:3" ht="12" customHeight="1">
      <c r="A110" s="14" t="s">
        <v>115</v>
      </c>
      <c r="B110" s="116" t="s">
        <v>346</v>
      </c>
      <c r="C110" s="259"/>
    </row>
    <row r="111" spans="1:3" ht="12" customHeight="1">
      <c r="A111" s="14" t="s">
        <v>181</v>
      </c>
      <c r="B111" s="116" t="s">
        <v>347</v>
      </c>
      <c r="C111" s="259"/>
    </row>
    <row r="112" spans="1:3" ht="12" customHeight="1">
      <c r="A112" s="14" t="s">
        <v>341</v>
      </c>
      <c r="B112" s="117" t="s">
        <v>348</v>
      </c>
      <c r="C112" s="259"/>
    </row>
    <row r="113" spans="1:3" ht="12" customHeight="1">
      <c r="A113" s="13" t="s">
        <v>342</v>
      </c>
      <c r="B113" s="118" t="s">
        <v>349</v>
      </c>
      <c r="C113" s="259"/>
    </row>
    <row r="114" spans="1:3" ht="12" customHeight="1">
      <c r="A114" s="14" t="s">
        <v>430</v>
      </c>
      <c r="B114" s="118" t="s">
        <v>350</v>
      </c>
      <c r="C114" s="259"/>
    </row>
    <row r="115" spans="1:3" ht="12" customHeight="1">
      <c r="A115" s="16" t="s">
        <v>431</v>
      </c>
      <c r="B115" s="118" t="s">
        <v>351</v>
      </c>
      <c r="C115" s="259"/>
    </row>
    <row r="116" spans="1:3" ht="12" customHeight="1">
      <c r="A116" s="14" t="s">
        <v>435</v>
      </c>
      <c r="B116" s="11" t="s">
        <v>49</v>
      </c>
      <c r="C116" s="257">
        <v>149143000</v>
      </c>
    </row>
    <row r="117" spans="1:3" ht="12" customHeight="1">
      <c r="A117" s="14" t="s">
        <v>436</v>
      </c>
      <c r="B117" s="8" t="s">
        <v>438</v>
      </c>
      <c r="C117" s="257"/>
    </row>
    <row r="118" spans="1:3" ht="12" customHeight="1" thickBot="1">
      <c r="A118" s="18" t="s">
        <v>437</v>
      </c>
      <c r="B118" s="437" t="s">
        <v>439</v>
      </c>
      <c r="C118" s="263"/>
    </row>
    <row r="119" spans="1:3" ht="12" customHeight="1" thickBot="1">
      <c r="A119" s="434" t="s">
        <v>18</v>
      </c>
      <c r="B119" s="435" t="s">
        <v>352</v>
      </c>
      <c r="C119" s="436">
        <f>+C120+C122+C124</f>
        <v>261300503</v>
      </c>
    </row>
    <row r="120" spans="1:3" ht="12" customHeight="1">
      <c r="A120" s="15" t="s">
        <v>101</v>
      </c>
      <c r="B120" s="8" t="s">
        <v>224</v>
      </c>
      <c r="C120" s="258">
        <v>256300503</v>
      </c>
    </row>
    <row r="121" spans="1:3" ht="12" customHeight="1">
      <c r="A121" s="15" t="s">
        <v>102</v>
      </c>
      <c r="B121" s="12" t="s">
        <v>356</v>
      </c>
      <c r="C121" s="258"/>
    </row>
    <row r="122" spans="1:3" ht="12" customHeight="1">
      <c r="A122" s="15" t="s">
        <v>103</v>
      </c>
      <c r="B122" s="12" t="s">
        <v>182</v>
      </c>
      <c r="C122" s="257"/>
    </row>
    <row r="123" spans="1:3" ht="12" customHeight="1">
      <c r="A123" s="15" t="s">
        <v>104</v>
      </c>
      <c r="B123" s="12" t="s">
        <v>357</v>
      </c>
      <c r="C123" s="222"/>
    </row>
    <row r="124" spans="1:3" ht="12" customHeight="1">
      <c r="A124" s="15" t="s">
        <v>105</v>
      </c>
      <c r="B124" s="252" t="s">
        <v>565</v>
      </c>
      <c r="C124" s="222">
        <v>5000000</v>
      </c>
    </row>
    <row r="125" spans="1:3" ht="12" customHeight="1">
      <c r="A125" s="15" t="s">
        <v>114</v>
      </c>
      <c r="B125" s="251" t="s">
        <v>420</v>
      </c>
      <c r="C125" s="222"/>
    </row>
    <row r="126" spans="1:3" ht="12" customHeight="1">
      <c r="A126" s="15" t="s">
        <v>116</v>
      </c>
      <c r="B126" s="369" t="s">
        <v>362</v>
      </c>
      <c r="C126" s="222"/>
    </row>
    <row r="127" spans="1:3">
      <c r="A127" s="15" t="s">
        <v>183</v>
      </c>
      <c r="B127" s="117" t="s">
        <v>345</v>
      </c>
      <c r="C127" s="222"/>
    </row>
    <row r="128" spans="1:3" ht="12" customHeight="1">
      <c r="A128" s="15" t="s">
        <v>184</v>
      </c>
      <c r="B128" s="117" t="s">
        <v>361</v>
      </c>
      <c r="C128" s="222"/>
    </row>
    <row r="129" spans="1:3" ht="12" customHeight="1">
      <c r="A129" s="15" t="s">
        <v>185</v>
      </c>
      <c r="B129" s="117" t="s">
        <v>360</v>
      </c>
      <c r="C129" s="222"/>
    </row>
    <row r="130" spans="1:3" ht="12" customHeight="1">
      <c r="A130" s="15" t="s">
        <v>353</v>
      </c>
      <c r="B130" s="117" t="s">
        <v>348</v>
      </c>
      <c r="C130" s="222"/>
    </row>
    <row r="131" spans="1:3" ht="12" customHeight="1">
      <c r="A131" s="15" t="s">
        <v>354</v>
      </c>
      <c r="B131" s="117" t="s">
        <v>359</v>
      </c>
      <c r="C131" s="222"/>
    </row>
    <row r="132" spans="1:3" ht="16.5" thickBot="1">
      <c r="A132" s="13" t="s">
        <v>355</v>
      </c>
      <c r="B132" s="117" t="s">
        <v>358</v>
      </c>
      <c r="C132" s="224"/>
    </row>
    <row r="133" spans="1:3" ht="12" customHeight="1" thickBot="1">
      <c r="A133" s="20" t="s">
        <v>19</v>
      </c>
      <c r="B133" s="98" t="s">
        <v>440</v>
      </c>
      <c r="C133" s="255">
        <f>+C98+C119</f>
        <v>1829434066</v>
      </c>
    </row>
    <row r="134" spans="1:3" ht="12" customHeight="1" thickBot="1">
      <c r="A134" s="20" t="s">
        <v>20</v>
      </c>
      <c r="B134" s="98" t="s">
        <v>441</v>
      </c>
      <c r="C134" s="255">
        <f>+C135+C136+C137</f>
        <v>0</v>
      </c>
    </row>
    <row r="135" spans="1:3" ht="12" customHeight="1">
      <c r="A135" s="15" t="s">
        <v>262</v>
      </c>
      <c r="B135" s="12" t="s">
        <v>448</v>
      </c>
      <c r="C135" s="222"/>
    </row>
    <row r="136" spans="1:3" ht="12" customHeight="1">
      <c r="A136" s="15" t="s">
        <v>263</v>
      </c>
      <c r="B136" s="12" t="s">
        <v>449</v>
      </c>
      <c r="C136" s="222"/>
    </row>
    <row r="137" spans="1:3" ht="12" customHeight="1" thickBot="1">
      <c r="A137" s="13" t="s">
        <v>264</v>
      </c>
      <c r="B137" s="12" t="s">
        <v>450</v>
      </c>
      <c r="C137" s="222"/>
    </row>
    <row r="138" spans="1:3" ht="12" customHeight="1" thickBot="1">
      <c r="A138" s="20" t="s">
        <v>21</v>
      </c>
      <c r="B138" s="98" t="s">
        <v>442</v>
      </c>
      <c r="C138" s="255">
        <f>SUM(C139:C144)</f>
        <v>0</v>
      </c>
    </row>
    <row r="139" spans="1:3" ht="12" customHeight="1">
      <c r="A139" s="15" t="s">
        <v>88</v>
      </c>
      <c r="B139" s="9" t="s">
        <v>451</v>
      </c>
      <c r="C139" s="222"/>
    </row>
    <row r="140" spans="1:3" ht="12" customHeight="1">
      <c r="A140" s="15" t="s">
        <v>89</v>
      </c>
      <c r="B140" s="9" t="s">
        <v>443</v>
      </c>
      <c r="C140" s="222"/>
    </row>
    <row r="141" spans="1:3" ht="12" customHeight="1">
      <c r="A141" s="15" t="s">
        <v>90</v>
      </c>
      <c r="B141" s="9" t="s">
        <v>444</v>
      </c>
      <c r="C141" s="222"/>
    </row>
    <row r="142" spans="1:3" ht="12" customHeight="1">
      <c r="A142" s="15" t="s">
        <v>170</v>
      </c>
      <c r="B142" s="9" t="s">
        <v>445</v>
      </c>
      <c r="C142" s="222"/>
    </row>
    <row r="143" spans="1:3" ht="12" customHeight="1">
      <c r="A143" s="13" t="s">
        <v>171</v>
      </c>
      <c r="B143" s="7" t="s">
        <v>446</v>
      </c>
      <c r="C143" s="224"/>
    </row>
    <row r="144" spans="1:3" ht="12" customHeight="1" thickBot="1">
      <c r="A144" s="18" t="s">
        <v>172</v>
      </c>
      <c r="B144" s="666" t="s">
        <v>447</v>
      </c>
      <c r="C144" s="444"/>
    </row>
    <row r="145" spans="1:9" ht="12" customHeight="1" thickBot="1">
      <c r="A145" s="20" t="s">
        <v>22</v>
      </c>
      <c r="B145" s="98" t="s">
        <v>455</v>
      </c>
      <c r="C145" s="261">
        <f>+C146+C147+C148+C149</f>
        <v>0</v>
      </c>
    </row>
    <row r="146" spans="1:9" ht="12" customHeight="1">
      <c r="A146" s="15" t="s">
        <v>91</v>
      </c>
      <c r="B146" s="9" t="s">
        <v>363</v>
      </c>
      <c r="C146" s="222"/>
    </row>
    <row r="147" spans="1:9" ht="12" customHeight="1">
      <c r="A147" s="15" t="s">
        <v>92</v>
      </c>
      <c r="B147" s="9" t="s">
        <v>364</v>
      </c>
      <c r="C147" s="222"/>
    </row>
    <row r="148" spans="1:9" ht="12" customHeight="1" thickBot="1">
      <c r="A148" s="13" t="s">
        <v>280</v>
      </c>
      <c r="B148" s="7" t="s">
        <v>456</v>
      </c>
      <c r="C148" s="224"/>
    </row>
    <row r="149" spans="1:9" ht="12" customHeight="1" thickBot="1">
      <c r="A149" s="521" t="s">
        <v>281</v>
      </c>
      <c r="B149" s="526" t="s">
        <v>382</v>
      </c>
      <c r="C149" s="527"/>
    </row>
    <row r="150" spans="1:9" ht="12" customHeight="1" thickBot="1">
      <c r="A150" s="20" t="s">
        <v>23</v>
      </c>
      <c r="B150" s="98" t="s">
        <v>457</v>
      </c>
      <c r="C150" s="264">
        <f>SUM(C151:C155)</f>
        <v>0</v>
      </c>
    </row>
    <row r="151" spans="1:9" ht="12" customHeight="1">
      <c r="A151" s="15" t="s">
        <v>93</v>
      </c>
      <c r="B151" s="9" t="s">
        <v>452</v>
      </c>
      <c r="C151" s="222"/>
    </row>
    <row r="152" spans="1:9" ht="12" customHeight="1">
      <c r="A152" s="15" t="s">
        <v>94</v>
      </c>
      <c r="B152" s="9" t="s">
        <v>459</v>
      </c>
      <c r="C152" s="222"/>
    </row>
    <row r="153" spans="1:9" ht="12" customHeight="1">
      <c r="A153" s="15" t="s">
        <v>292</v>
      </c>
      <c r="B153" s="9" t="s">
        <v>454</v>
      </c>
      <c r="C153" s="222"/>
    </row>
    <row r="154" spans="1:9" ht="12" customHeight="1">
      <c r="A154" s="15" t="s">
        <v>293</v>
      </c>
      <c r="B154" s="9" t="s">
        <v>510</v>
      </c>
      <c r="C154" s="222"/>
    </row>
    <row r="155" spans="1:9" ht="12" customHeight="1" thickBot="1">
      <c r="A155" s="15" t="s">
        <v>458</v>
      </c>
      <c r="B155" s="9" t="s">
        <v>461</v>
      </c>
      <c r="C155" s="222"/>
    </row>
    <row r="156" spans="1:9" ht="12" customHeight="1" thickBot="1">
      <c r="A156" s="20" t="s">
        <v>24</v>
      </c>
      <c r="B156" s="98" t="s">
        <v>462</v>
      </c>
      <c r="C156" s="438"/>
    </row>
    <row r="157" spans="1:9" ht="12" customHeight="1" thickBot="1">
      <c r="A157" s="20" t="s">
        <v>25</v>
      </c>
      <c r="B157" s="98" t="s">
        <v>463</v>
      </c>
      <c r="C157" s="438"/>
    </row>
    <row r="158" spans="1:9" ht="15.2" customHeight="1" thickBot="1">
      <c r="A158" s="20" t="s">
        <v>26</v>
      </c>
      <c r="B158" s="98" t="s">
        <v>465</v>
      </c>
      <c r="C158" s="528">
        <f>+C134+C138+C145+C150+C156+C157</f>
        <v>0</v>
      </c>
      <c r="F158" s="384"/>
      <c r="G158" s="385"/>
      <c r="H158" s="385"/>
      <c r="I158" s="385"/>
    </row>
    <row r="159" spans="1:9" s="372" customFormat="1" ht="17.25" customHeight="1" thickBot="1">
      <c r="A159" s="253" t="s">
        <v>27</v>
      </c>
      <c r="B159" s="529" t="s">
        <v>464</v>
      </c>
      <c r="C159" s="528">
        <f>+C133+C158</f>
        <v>1829434066</v>
      </c>
    </row>
    <row r="160" spans="1:9" ht="15.95" customHeight="1">
      <c r="A160" s="530"/>
      <c r="B160" s="530"/>
      <c r="C160" s="587">
        <f>C92-C159</f>
        <v>0</v>
      </c>
    </row>
    <row r="161" spans="1:4">
      <c r="A161" s="763" t="s">
        <v>365</v>
      </c>
      <c r="B161" s="763"/>
      <c r="C161" s="763"/>
    </row>
    <row r="162" spans="1:4" ht="15.2" customHeight="1" thickBot="1">
      <c r="A162" s="764" t="s">
        <v>149</v>
      </c>
      <c r="B162" s="764"/>
      <c r="C162" s="533" t="str">
        <f ca="1">C95</f>
        <v/>
      </c>
    </row>
    <row r="163" spans="1:4" ht="13.5" customHeight="1" thickBot="1">
      <c r="A163" s="20">
        <v>1</v>
      </c>
      <c r="B163" s="25" t="s">
        <v>466</v>
      </c>
      <c r="C163" s="255">
        <f>+C67-C133</f>
        <v>0</v>
      </c>
      <c r="D163" s="386"/>
    </row>
    <row r="164" spans="1:4" ht="27.75" customHeight="1" thickBot="1">
      <c r="A164" s="20" t="s">
        <v>18</v>
      </c>
      <c r="B164" s="25" t="s">
        <v>472</v>
      </c>
      <c r="C164" s="255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zoomScale="120" zoomScaleNormal="120" zoomScaleSheetLayoutView="100" workbookViewId="0">
      <selection activeCell="B33" sqref="B33"/>
    </sheetView>
  </sheetViews>
  <sheetFormatPr defaultRowHeight="15.75"/>
  <cols>
    <col min="1" max="1" width="9.5" style="339" customWidth="1"/>
    <col min="2" max="2" width="99.33203125" style="339" customWidth="1"/>
    <col min="3" max="3" width="21.6640625" style="340" customWidth="1"/>
    <col min="4" max="4" width="9" style="370" customWidth="1"/>
    <col min="5" max="16384" width="9.33203125" style="370"/>
  </cols>
  <sheetData>
    <row r="1" spans="1:3" ht="18.75" customHeight="1">
      <c r="A1" s="578"/>
      <c r="B1" s="758" t="str">
        <f ca="1">CONCATENATE("1.4. melléklet ",ALAPADATOK!A7," ",ALAPADATOK!B7," ",ALAPADATOK!C7," ",ALAPADATOK!D7," ",ALAPADATOK!E7," ",ALAPADATOK!F7," ",ALAPADATOK!G7," ",ALAPADATOK!H7)</f>
        <v>1.4. melléklet a 5 / 2020 ( (II.18.) ) önkormányzati rendelethez</v>
      </c>
      <c r="C1" s="759"/>
    </row>
    <row r="2" spans="1:3" ht="21.95" customHeight="1">
      <c r="A2" s="579"/>
      <c r="B2" s="580" t="str">
        <f ca="1">CONCATENATE(ALAPADATOK!A3)</f>
        <v>DABAS VÁROS ÖNKORMÁNYZATA</v>
      </c>
      <c r="C2" s="581"/>
    </row>
    <row r="3" spans="1:3" ht="21.95" customHeight="1">
      <c r="A3" s="581"/>
      <c r="B3" s="580" t="str">
        <f ca="1">KV_1.3.sz.mell.!B3</f>
        <v>2020. ÉVI KÖLTSÉGVETÉS</v>
      </c>
      <c r="C3" s="581"/>
    </row>
    <row r="4" spans="1:3" ht="21.95" customHeight="1">
      <c r="A4" s="581"/>
      <c r="B4" s="580" t="s">
        <v>572</v>
      </c>
      <c r="C4" s="581"/>
    </row>
    <row r="5" spans="1:3" ht="21.95" customHeight="1">
      <c r="A5" s="578"/>
      <c r="B5" s="578"/>
      <c r="C5" s="582"/>
    </row>
    <row r="6" spans="1:3" ht="15.2" customHeight="1">
      <c r="A6" s="760" t="s">
        <v>14</v>
      </c>
      <c r="B6" s="760"/>
      <c r="C6" s="760"/>
    </row>
    <row r="7" spans="1:3" ht="15.2" customHeight="1" thickBot="1">
      <c r="A7" s="761" t="s">
        <v>147</v>
      </c>
      <c r="B7" s="761"/>
      <c r="C7" s="531" t="str">
        <f ca="1">CONCATENATE(KV_1.1.sz.mell.!C7)</f>
        <v/>
      </c>
    </row>
    <row r="8" spans="1:3" ht="24" customHeight="1" thickBot="1">
      <c r="A8" s="583" t="s">
        <v>66</v>
      </c>
      <c r="B8" s="584" t="s">
        <v>16</v>
      </c>
      <c r="C8" s="585" t="str">
        <f ca="1">+CONCATENATE(LEFT(KV_ÖSSZEFÜGGÉSEK!A5,4),". évi előirányzat")</f>
        <v>2020. évi előirányzat</v>
      </c>
    </row>
    <row r="9" spans="1:3" s="371" customFormat="1" ht="12" customHeight="1" thickBot="1">
      <c r="A9" s="516"/>
      <c r="B9" s="517" t="s">
        <v>485</v>
      </c>
      <c r="C9" s="518" t="s">
        <v>486</v>
      </c>
    </row>
    <row r="10" spans="1:3" s="372" customFormat="1" ht="12" customHeight="1" thickBot="1">
      <c r="A10" s="20" t="s">
        <v>17</v>
      </c>
      <c r="B10" s="21" t="s">
        <v>246</v>
      </c>
      <c r="C10" s="255">
        <f>+C11+C12+C13+C14+C15+C16</f>
        <v>0</v>
      </c>
    </row>
    <row r="11" spans="1:3" s="372" customFormat="1" ht="12" customHeight="1">
      <c r="A11" s="15" t="s">
        <v>95</v>
      </c>
      <c r="B11" s="373" t="s">
        <v>247</v>
      </c>
      <c r="C11" s="258"/>
    </row>
    <row r="12" spans="1:3" s="372" customFormat="1" ht="12" customHeight="1">
      <c r="A12" s="14" t="s">
        <v>96</v>
      </c>
      <c r="B12" s="374" t="s">
        <v>248</v>
      </c>
      <c r="C12" s="257"/>
    </row>
    <row r="13" spans="1:3" s="372" customFormat="1" ht="12" customHeight="1">
      <c r="A13" s="14" t="s">
        <v>97</v>
      </c>
      <c r="B13" s="374" t="s">
        <v>542</v>
      </c>
      <c r="C13" s="257"/>
    </row>
    <row r="14" spans="1:3" s="372" customFormat="1" ht="12" customHeight="1">
      <c r="A14" s="14" t="s">
        <v>98</v>
      </c>
      <c r="B14" s="374" t="s">
        <v>250</v>
      </c>
      <c r="C14" s="257"/>
    </row>
    <row r="15" spans="1:3" s="372" customFormat="1" ht="12" customHeight="1">
      <c r="A15" s="14" t="s">
        <v>143</v>
      </c>
      <c r="B15" s="251" t="s">
        <v>424</v>
      </c>
      <c r="C15" s="257"/>
    </row>
    <row r="16" spans="1:3" s="372" customFormat="1" ht="12" customHeight="1" thickBot="1">
      <c r="A16" s="16" t="s">
        <v>99</v>
      </c>
      <c r="B16" s="252" t="s">
        <v>425</v>
      </c>
      <c r="C16" s="257"/>
    </row>
    <row r="17" spans="1:3" s="372" customFormat="1" ht="12" customHeight="1" thickBot="1">
      <c r="A17" s="20" t="s">
        <v>18</v>
      </c>
      <c r="B17" s="250" t="s">
        <v>251</v>
      </c>
      <c r="C17" s="255">
        <f>+C18+C19+C20+C21+C22</f>
        <v>0</v>
      </c>
    </row>
    <row r="18" spans="1:3" s="372" customFormat="1" ht="12" customHeight="1">
      <c r="A18" s="15" t="s">
        <v>101</v>
      </c>
      <c r="B18" s="373" t="s">
        <v>252</v>
      </c>
      <c r="C18" s="258"/>
    </row>
    <row r="19" spans="1:3" s="372" customFormat="1" ht="12" customHeight="1">
      <c r="A19" s="14" t="s">
        <v>102</v>
      </c>
      <c r="B19" s="374" t="s">
        <v>253</v>
      </c>
      <c r="C19" s="257"/>
    </row>
    <row r="20" spans="1:3" s="372" customFormat="1" ht="12" customHeight="1">
      <c r="A20" s="14" t="s">
        <v>103</v>
      </c>
      <c r="B20" s="374" t="s">
        <v>414</v>
      </c>
      <c r="C20" s="257"/>
    </row>
    <row r="21" spans="1:3" s="372" customFormat="1" ht="12" customHeight="1">
      <c r="A21" s="14" t="s">
        <v>104</v>
      </c>
      <c r="B21" s="374" t="s">
        <v>415</v>
      </c>
      <c r="C21" s="257"/>
    </row>
    <row r="22" spans="1:3" s="372" customFormat="1" ht="12" customHeight="1">
      <c r="A22" s="14" t="s">
        <v>105</v>
      </c>
      <c r="B22" s="374" t="s">
        <v>564</v>
      </c>
      <c r="C22" s="257"/>
    </row>
    <row r="23" spans="1:3" s="372" customFormat="1" ht="12" customHeight="1" thickBot="1">
      <c r="A23" s="16" t="s">
        <v>114</v>
      </c>
      <c r="B23" s="252" t="s">
        <v>255</v>
      </c>
      <c r="C23" s="259"/>
    </row>
    <row r="24" spans="1:3" s="372" customFormat="1" ht="12" customHeight="1" thickBot="1">
      <c r="A24" s="20" t="s">
        <v>19</v>
      </c>
      <c r="B24" s="21" t="s">
        <v>256</v>
      </c>
      <c r="C24" s="255">
        <f>+C25+C26+C27+C28+C29</f>
        <v>0</v>
      </c>
    </row>
    <row r="25" spans="1:3" s="372" customFormat="1" ht="12" customHeight="1">
      <c r="A25" s="15" t="s">
        <v>84</v>
      </c>
      <c r="B25" s="373" t="s">
        <v>257</v>
      </c>
      <c r="C25" s="258"/>
    </row>
    <row r="26" spans="1:3" s="372" customFormat="1" ht="12" customHeight="1">
      <c r="A26" s="14" t="s">
        <v>85</v>
      </c>
      <c r="B26" s="374" t="s">
        <v>258</v>
      </c>
      <c r="C26" s="257"/>
    </row>
    <row r="27" spans="1:3" s="372" customFormat="1" ht="12" customHeight="1">
      <c r="A27" s="14" t="s">
        <v>86</v>
      </c>
      <c r="B27" s="374" t="s">
        <v>416</v>
      </c>
      <c r="C27" s="257"/>
    </row>
    <row r="28" spans="1:3" s="372" customFormat="1" ht="12" customHeight="1">
      <c r="A28" s="14" t="s">
        <v>87</v>
      </c>
      <c r="B28" s="374" t="s">
        <v>417</v>
      </c>
      <c r="C28" s="257"/>
    </row>
    <row r="29" spans="1:3" s="372" customFormat="1" ht="12" customHeight="1">
      <c r="A29" s="14" t="s">
        <v>166</v>
      </c>
      <c r="B29" s="374" t="s">
        <v>259</v>
      </c>
      <c r="C29" s="257"/>
    </row>
    <row r="30" spans="1:3" s="509" customFormat="1" ht="12" customHeight="1" thickBot="1">
      <c r="A30" s="519" t="s">
        <v>167</v>
      </c>
      <c r="B30" s="507" t="s">
        <v>559</v>
      </c>
      <c r="C30" s="508"/>
    </row>
    <row r="31" spans="1:3" s="372" customFormat="1" ht="12" customHeight="1" thickBot="1">
      <c r="A31" s="20" t="s">
        <v>168</v>
      </c>
      <c r="B31" s="21" t="s">
        <v>543</v>
      </c>
      <c r="C31" s="261">
        <f>SUM(C32:C38)</f>
        <v>282083990</v>
      </c>
    </row>
    <row r="32" spans="1:3" s="372" customFormat="1" ht="12" customHeight="1">
      <c r="A32" s="15" t="s">
        <v>262</v>
      </c>
      <c r="B32" s="373" t="str">
        <f ca="1">KV_1.1.sz.mell.!B32</f>
        <v>Építményadó</v>
      </c>
      <c r="C32" s="258"/>
    </row>
    <row r="33" spans="1:3" s="372" customFormat="1" ht="12" customHeight="1">
      <c r="A33" s="14" t="s">
        <v>263</v>
      </c>
      <c r="B33" s="373" t="str">
        <f ca="1">KV_1.1.sz.mell.!B33</f>
        <v>Idegenforgalmi adó</v>
      </c>
      <c r="C33" s="257"/>
    </row>
    <row r="34" spans="1:3" s="372" customFormat="1" ht="12" customHeight="1">
      <c r="A34" s="14" t="s">
        <v>264</v>
      </c>
      <c r="B34" s="373" t="str">
        <f ca="1">KV_1.1.sz.mell.!B34</f>
        <v>Iparűzési adó</v>
      </c>
      <c r="C34" s="257">
        <v>282083990</v>
      </c>
    </row>
    <row r="35" spans="1:3" s="372" customFormat="1" ht="12" customHeight="1">
      <c r="A35" s="14" t="s">
        <v>265</v>
      </c>
      <c r="B35" s="373" t="str">
        <f ca="1">KV_1.1.sz.mell.!B35</f>
        <v>Talajterhelési díj</v>
      </c>
      <c r="C35" s="257"/>
    </row>
    <row r="36" spans="1:3" s="372" customFormat="1" ht="12" customHeight="1">
      <c r="A36" s="14" t="s">
        <v>544</v>
      </c>
      <c r="B36" s="373" t="str">
        <f ca="1">KV_1.1.sz.mell.!B36</f>
        <v>Gépjárműadó</v>
      </c>
      <c r="C36" s="257"/>
    </row>
    <row r="37" spans="1:3" s="372" customFormat="1" ht="12" customHeight="1">
      <c r="A37" s="14" t="s">
        <v>545</v>
      </c>
      <c r="B37" s="373" t="str">
        <f ca="1">KV_1.1.sz.mell.!B37</f>
        <v>Telekadó</v>
      </c>
      <c r="C37" s="257"/>
    </row>
    <row r="38" spans="1:3" s="372" customFormat="1" ht="12" customHeight="1" thickBot="1">
      <c r="A38" s="16" t="s">
        <v>546</v>
      </c>
      <c r="B38" s="373" t="str">
        <f ca="1">KV_1.1.sz.mell.!B38</f>
        <v>Kommunális adó</v>
      </c>
      <c r="C38" s="259"/>
    </row>
    <row r="39" spans="1:3" s="372" customFormat="1" ht="12" customHeight="1" thickBot="1">
      <c r="A39" s="20" t="s">
        <v>21</v>
      </c>
      <c r="B39" s="21" t="s">
        <v>426</v>
      </c>
      <c r="C39" s="255">
        <f>SUM(C40:C50)</f>
        <v>10000000</v>
      </c>
    </row>
    <row r="40" spans="1:3" s="372" customFormat="1" ht="12" customHeight="1">
      <c r="A40" s="15" t="s">
        <v>88</v>
      </c>
      <c r="B40" s="373" t="s">
        <v>269</v>
      </c>
      <c r="C40" s="258"/>
    </row>
    <row r="41" spans="1:3" s="372" customFormat="1" ht="12" customHeight="1">
      <c r="A41" s="14" t="s">
        <v>89</v>
      </c>
      <c r="B41" s="374" t="s">
        <v>270</v>
      </c>
      <c r="C41" s="257"/>
    </row>
    <row r="42" spans="1:3" s="372" customFormat="1" ht="12" customHeight="1">
      <c r="A42" s="14" t="s">
        <v>90</v>
      </c>
      <c r="B42" s="374" t="s">
        <v>271</v>
      </c>
      <c r="C42" s="257">
        <v>7874016</v>
      </c>
    </row>
    <row r="43" spans="1:3" s="372" customFormat="1" ht="12" customHeight="1">
      <c r="A43" s="14" t="s">
        <v>170</v>
      </c>
      <c r="B43" s="374" t="s">
        <v>272</v>
      </c>
      <c r="C43" s="257"/>
    </row>
    <row r="44" spans="1:3" s="372" customFormat="1" ht="12" customHeight="1">
      <c r="A44" s="14" t="s">
        <v>171</v>
      </c>
      <c r="B44" s="374" t="s">
        <v>273</v>
      </c>
      <c r="C44" s="257"/>
    </row>
    <row r="45" spans="1:3" s="372" customFormat="1" ht="12" customHeight="1">
      <c r="A45" s="14" t="s">
        <v>172</v>
      </c>
      <c r="B45" s="374" t="s">
        <v>274</v>
      </c>
      <c r="C45" s="257">
        <v>2125984</v>
      </c>
    </row>
    <row r="46" spans="1:3" s="372" customFormat="1" ht="12" customHeight="1">
      <c r="A46" s="14" t="s">
        <v>173</v>
      </c>
      <c r="B46" s="374" t="s">
        <v>275</v>
      </c>
      <c r="C46" s="257"/>
    </row>
    <row r="47" spans="1:3" s="372" customFormat="1" ht="12" customHeight="1">
      <c r="A47" s="14" t="s">
        <v>174</v>
      </c>
      <c r="B47" s="374" t="s">
        <v>551</v>
      </c>
      <c r="C47" s="257"/>
    </row>
    <row r="48" spans="1:3" s="372" customFormat="1" ht="12" customHeight="1">
      <c r="A48" s="14" t="s">
        <v>267</v>
      </c>
      <c r="B48" s="374" t="s">
        <v>277</v>
      </c>
      <c r="C48" s="260"/>
    </row>
    <row r="49" spans="1:3" s="372" customFormat="1" ht="12" customHeight="1">
      <c r="A49" s="16" t="s">
        <v>268</v>
      </c>
      <c r="B49" s="375" t="s">
        <v>428</v>
      </c>
      <c r="C49" s="361"/>
    </row>
    <row r="50" spans="1:3" s="372" customFormat="1" ht="12" customHeight="1" thickBot="1">
      <c r="A50" s="16" t="s">
        <v>427</v>
      </c>
      <c r="B50" s="252" t="s">
        <v>278</v>
      </c>
      <c r="C50" s="361"/>
    </row>
    <row r="51" spans="1:3" s="372" customFormat="1" ht="12" customHeight="1" thickBot="1">
      <c r="A51" s="20" t="s">
        <v>22</v>
      </c>
      <c r="B51" s="21" t="s">
        <v>279</v>
      </c>
      <c r="C51" s="255">
        <f>SUM(C52:C56)</f>
        <v>0</v>
      </c>
    </row>
    <row r="52" spans="1:3" s="372" customFormat="1" ht="12" customHeight="1">
      <c r="A52" s="15" t="s">
        <v>91</v>
      </c>
      <c r="B52" s="373" t="s">
        <v>283</v>
      </c>
      <c r="C52" s="417"/>
    </row>
    <row r="53" spans="1:3" s="372" customFormat="1" ht="12" customHeight="1">
      <c r="A53" s="14" t="s">
        <v>92</v>
      </c>
      <c r="B53" s="374" t="s">
        <v>284</v>
      </c>
      <c r="C53" s="260"/>
    </row>
    <row r="54" spans="1:3" s="372" customFormat="1" ht="12" customHeight="1">
      <c r="A54" s="14" t="s">
        <v>280</v>
      </c>
      <c r="B54" s="374" t="s">
        <v>285</v>
      </c>
      <c r="C54" s="260"/>
    </row>
    <row r="55" spans="1:3" s="372" customFormat="1" ht="12" customHeight="1">
      <c r="A55" s="14" t="s">
        <v>281</v>
      </c>
      <c r="B55" s="374" t="s">
        <v>286</v>
      </c>
      <c r="C55" s="260"/>
    </row>
    <row r="56" spans="1:3" s="372" customFormat="1" ht="12" customHeight="1" thickBot="1">
      <c r="A56" s="16" t="s">
        <v>282</v>
      </c>
      <c r="B56" s="252" t="s">
        <v>287</v>
      </c>
      <c r="C56" s="361"/>
    </row>
    <row r="57" spans="1:3" s="372" customFormat="1" ht="12" customHeight="1" thickBot="1">
      <c r="A57" s="20" t="s">
        <v>175</v>
      </c>
      <c r="B57" s="21" t="s">
        <v>288</v>
      </c>
      <c r="C57" s="255">
        <f>SUM(C58:C60)</f>
        <v>0</v>
      </c>
    </row>
    <row r="58" spans="1:3" s="372" customFormat="1" ht="12" customHeight="1">
      <c r="A58" s="15" t="s">
        <v>93</v>
      </c>
      <c r="B58" s="373" t="s">
        <v>289</v>
      </c>
      <c r="C58" s="258"/>
    </row>
    <row r="59" spans="1:3" s="372" customFormat="1" ht="12" customHeight="1">
      <c r="A59" s="14" t="s">
        <v>94</v>
      </c>
      <c r="B59" s="374" t="s">
        <v>418</v>
      </c>
      <c r="C59" s="257"/>
    </row>
    <row r="60" spans="1:3" s="372" customFormat="1" ht="12" customHeight="1">
      <c r="A60" s="14" t="s">
        <v>292</v>
      </c>
      <c r="B60" s="374" t="s">
        <v>290</v>
      </c>
      <c r="C60" s="257"/>
    </row>
    <row r="61" spans="1:3" s="372" customFormat="1" ht="12" customHeight="1" thickBot="1">
      <c r="A61" s="16" t="s">
        <v>293</v>
      </c>
      <c r="B61" s="252" t="s">
        <v>291</v>
      </c>
      <c r="C61" s="259"/>
    </row>
    <row r="62" spans="1:3" s="372" customFormat="1" ht="12" customHeight="1" thickBot="1">
      <c r="A62" s="20" t="s">
        <v>24</v>
      </c>
      <c r="B62" s="250" t="s">
        <v>294</v>
      </c>
      <c r="C62" s="255">
        <f>SUM(C63:C65)</f>
        <v>0</v>
      </c>
    </row>
    <row r="63" spans="1:3" s="372" customFormat="1" ht="12" customHeight="1">
      <c r="A63" s="15" t="s">
        <v>176</v>
      </c>
      <c r="B63" s="373" t="s">
        <v>296</v>
      </c>
      <c r="C63" s="260"/>
    </row>
    <row r="64" spans="1:3" s="372" customFormat="1" ht="12" customHeight="1">
      <c r="A64" s="14" t="s">
        <v>177</v>
      </c>
      <c r="B64" s="374" t="s">
        <v>419</v>
      </c>
      <c r="C64" s="260"/>
    </row>
    <row r="65" spans="1:3" s="372" customFormat="1" ht="12" customHeight="1">
      <c r="A65" s="14" t="s">
        <v>225</v>
      </c>
      <c r="B65" s="374" t="s">
        <v>297</v>
      </c>
      <c r="C65" s="260"/>
    </row>
    <row r="66" spans="1:3" s="372" customFormat="1" ht="12" customHeight="1" thickBot="1">
      <c r="A66" s="16" t="s">
        <v>295</v>
      </c>
      <c r="B66" s="252" t="s">
        <v>298</v>
      </c>
      <c r="C66" s="260"/>
    </row>
    <row r="67" spans="1:3" s="372" customFormat="1" ht="12" customHeight="1" thickBot="1">
      <c r="A67" s="439" t="s">
        <v>468</v>
      </c>
      <c r="B67" s="21" t="s">
        <v>299</v>
      </c>
      <c r="C67" s="261">
        <f>+C10+C17+C24+C31+C39+C51+C57+C62</f>
        <v>292083990</v>
      </c>
    </row>
    <row r="68" spans="1:3" s="372" customFormat="1" ht="12" customHeight="1" thickBot="1">
      <c r="A68" s="420" t="s">
        <v>300</v>
      </c>
      <c r="B68" s="250" t="s">
        <v>301</v>
      </c>
      <c r="C68" s="255">
        <f>SUM(C69:C71)</f>
        <v>0</v>
      </c>
    </row>
    <row r="69" spans="1:3" s="372" customFormat="1" ht="12" customHeight="1">
      <c r="A69" s="15" t="s">
        <v>329</v>
      </c>
      <c r="B69" s="373" t="s">
        <v>302</v>
      </c>
      <c r="C69" s="260"/>
    </row>
    <row r="70" spans="1:3" s="372" customFormat="1" ht="12" customHeight="1">
      <c r="A70" s="14" t="s">
        <v>338</v>
      </c>
      <c r="B70" s="374" t="s">
        <v>303</v>
      </c>
      <c r="C70" s="260"/>
    </row>
    <row r="71" spans="1:3" s="372" customFormat="1" ht="12" customHeight="1" thickBot="1">
      <c r="A71" s="16" t="s">
        <v>339</v>
      </c>
      <c r="B71" s="433" t="s">
        <v>560</v>
      </c>
      <c r="C71" s="260"/>
    </row>
    <row r="72" spans="1:3" s="372" customFormat="1" ht="12" customHeight="1" thickBot="1">
      <c r="A72" s="420" t="s">
        <v>305</v>
      </c>
      <c r="B72" s="250" t="s">
        <v>306</v>
      </c>
      <c r="C72" s="255">
        <f>SUM(C73:C76)</f>
        <v>0</v>
      </c>
    </row>
    <row r="73" spans="1:3" s="372" customFormat="1" ht="12" customHeight="1">
      <c r="A73" s="15" t="s">
        <v>144</v>
      </c>
      <c r="B73" s="373" t="s">
        <v>307</v>
      </c>
      <c r="C73" s="260"/>
    </row>
    <row r="74" spans="1:3" s="372" customFormat="1" ht="12" customHeight="1">
      <c r="A74" s="14" t="s">
        <v>145</v>
      </c>
      <c r="B74" s="374" t="s">
        <v>561</v>
      </c>
      <c r="C74" s="260"/>
    </row>
    <row r="75" spans="1:3" s="372" customFormat="1" ht="12" customHeight="1" thickBot="1">
      <c r="A75" s="16" t="s">
        <v>330</v>
      </c>
      <c r="B75" s="375" t="s">
        <v>308</v>
      </c>
      <c r="C75" s="361"/>
    </row>
    <row r="76" spans="1:3" s="372" customFormat="1" ht="12" customHeight="1" thickBot="1">
      <c r="A76" s="521" t="s">
        <v>331</v>
      </c>
      <c r="B76" s="522" t="s">
        <v>562</v>
      </c>
      <c r="C76" s="523"/>
    </row>
    <row r="77" spans="1:3" s="372" customFormat="1" ht="12" customHeight="1" thickBot="1">
      <c r="A77" s="420" t="s">
        <v>309</v>
      </c>
      <c r="B77" s="250" t="s">
        <v>310</v>
      </c>
      <c r="C77" s="255">
        <f>SUM(C78:C79)</f>
        <v>0</v>
      </c>
    </row>
    <row r="78" spans="1:3" s="372" customFormat="1" ht="12" customHeight="1" thickBot="1">
      <c r="A78" s="13" t="s">
        <v>332</v>
      </c>
      <c r="B78" s="520" t="s">
        <v>311</v>
      </c>
      <c r="C78" s="361"/>
    </row>
    <row r="79" spans="1:3" s="372" customFormat="1" ht="12" customHeight="1" thickBot="1">
      <c r="A79" s="521" t="s">
        <v>333</v>
      </c>
      <c r="B79" s="522" t="s">
        <v>312</v>
      </c>
      <c r="C79" s="523"/>
    </row>
    <row r="80" spans="1:3" s="372" customFormat="1" ht="12" customHeight="1" thickBot="1">
      <c r="A80" s="420" t="s">
        <v>313</v>
      </c>
      <c r="B80" s="250" t="s">
        <v>314</v>
      </c>
      <c r="C80" s="255">
        <f>SUM(C81:C83)</f>
        <v>0</v>
      </c>
    </row>
    <row r="81" spans="1:3" s="372" customFormat="1" ht="12" customHeight="1">
      <c r="A81" s="15" t="s">
        <v>334</v>
      </c>
      <c r="B81" s="373" t="s">
        <v>315</v>
      </c>
      <c r="C81" s="260"/>
    </row>
    <row r="82" spans="1:3" s="372" customFormat="1" ht="12" customHeight="1">
      <c r="A82" s="14" t="s">
        <v>335</v>
      </c>
      <c r="B82" s="374" t="s">
        <v>316</v>
      </c>
      <c r="C82" s="260"/>
    </row>
    <row r="83" spans="1:3" s="372" customFormat="1" ht="12" customHeight="1" thickBot="1">
      <c r="A83" s="18" t="s">
        <v>336</v>
      </c>
      <c r="B83" s="524" t="s">
        <v>563</v>
      </c>
      <c r="C83" s="525"/>
    </row>
    <row r="84" spans="1:3" s="372" customFormat="1" ht="12" customHeight="1" thickBot="1">
      <c r="A84" s="420" t="s">
        <v>317</v>
      </c>
      <c r="B84" s="250" t="s">
        <v>337</v>
      </c>
      <c r="C84" s="255">
        <f>SUM(C85:C88)</f>
        <v>0</v>
      </c>
    </row>
    <row r="85" spans="1:3" s="372" customFormat="1" ht="12" customHeight="1">
      <c r="A85" s="377" t="s">
        <v>318</v>
      </c>
      <c r="B85" s="373" t="s">
        <v>319</v>
      </c>
      <c r="C85" s="260"/>
    </row>
    <row r="86" spans="1:3" s="372" customFormat="1" ht="12" customHeight="1">
      <c r="A86" s="378" t="s">
        <v>320</v>
      </c>
      <c r="B86" s="374" t="s">
        <v>321</v>
      </c>
      <c r="C86" s="260"/>
    </row>
    <row r="87" spans="1:3" s="372" customFormat="1" ht="12" customHeight="1">
      <c r="A87" s="378" t="s">
        <v>322</v>
      </c>
      <c r="B87" s="374" t="s">
        <v>323</v>
      </c>
      <c r="C87" s="260"/>
    </row>
    <row r="88" spans="1:3" s="372" customFormat="1" ht="12" customHeight="1" thickBot="1">
      <c r="A88" s="379" t="s">
        <v>324</v>
      </c>
      <c r="B88" s="252" t="s">
        <v>325</v>
      </c>
      <c r="C88" s="260"/>
    </row>
    <row r="89" spans="1:3" s="372" customFormat="1" ht="12" customHeight="1" thickBot="1">
      <c r="A89" s="420" t="s">
        <v>326</v>
      </c>
      <c r="B89" s="250" t="s">
        <v>467</v>
      </c>
      <c r="C89" s="418"/>
    </row>
    <row r="90" spans="1:3" s="372" customFormat="1" ht="13.5" customHeight="1" thickBot="1">
      <c r="A90" s="420" t="s">
        <v>328</v>
      </c>
      <c r="B90" s="250" t="s">
        <v>327</v>
      </c>
      <c r="C90" s="418"/>
    </row>
    <row r="91" spans="1:3" s="372" customFormat="1" ht="15.75" customHeight="1" thickBot="1">
      <c r="A91" s="420" t="s">
        <v>340</v>
      </c>
      <c r="B91" s="380" t="s">
        <v>470</v>
      </c>
      <c r="C91" s="261">
        <f>+C68+C72+C77+C80+C84+C90+C89</f>
        <v>0</v>
      </c>
    </row>
    <row r="92" spans="1:3" s="372" customFormat="1" ht="16.5" customHeight="1" thickBot="1">
      <c r="A92" s="421" t="s">
        <v>469</v>
      </c>
      <c r="B92" s="381" t="s">
        <v>471</v>
      </c>
      <c r="C92" s="261">
        <f>+C67+C91</f>
        <v>292083990</v>
      </c>
    </row>
    <row r="93" spans="1:3" s="372" customFormat="1" ht="11.1" customHeight="1">
      <c r="A93" s="5"/>
      <c r="B93" s="6"/>
      <c r="C93" s="262"/>
    </row>
    <row r="94" spans="1:3" ht="16.5" customHeight="1">
      <c r="A94" s="765" t="s">
        <v>46</v>
      </c>
      <c r="B94" s="765"/>
      <c r="C94" s="765"/>
    </row>
    <row r="95" spans="1:3" s="382" customFormat="1" ht="16.5" customHeight="1" thickBot="1">
      <c r="A95" s="762" t="s">
        <v>148</v>
      </c>
      <c r="B95" s="762"/>
      <c r="C95" s="532" t="str">
        <f ca="1">C7</f>
        <v/>
      </c>
    </row>
    <row r="96" spans="1:3" ht="30" customHeight="1" thickBot="1">
      <c r="A96" s="513" t="s">
        <v>66</v>
      </c>
      <c r="B96" s="514" t="s">
        <v>47</v>
      </c>
      <c r="C96" s="515" t="str">
        <f ca="1">+C8</f>
        <v>2020. évi előirányzat</v>
      </c>
    </row>
    <row r="97" spans="1:3" s="371" customFormat="1" ht="12" customHeight="1" thickBot="1">
      <c r="A97" s="513"/>
      <c r="B97" s="514" t="s">
        <v>485</v>
      </c>
      <c r="C97" s="515" t="s">
        <v>486</v>
      </c>
    </row>
    <row r="98" spans="1:3" ht="12" customHeight="1" thickBot="1">
      <c r="A98" s="22" t="s">
        <v>17</v>
      </c>
      <c r="B98" s="26" t="s">
        <v>429</v>
      </c>
      <c r="C98" s="254">
        <f>C99+C100+C101+C102+C103+C116</f>
        <v>288083990</v>
      </c>
    </row>
    <row r="99" spans="1:3" ht="12" customHeight="1">
      <c r="A99" s="17" t="s">
        <v>95</v>
      </c>
      <c r="B99" s="10" t="s">
        <v>48</v>
      </c>
      <c r="C99" s="256">
        <v>182041918</v>
      </c>
    </row>
    <row r="100" spans="1:3" ht="12" customHeight="1">
      <c r="A100" s="14" t="s">
        <v>96</v>
      </c>
      <c r="B100" s="8" t="s">
        <v>178</v>
      </c>
      <c r="C100" s="257">
        <v>32656850</v>
      </c>
    </row>
    <row r="101" spans="1:3" ht="12" customHeight="1">
      <c r="A101" s="14" t="s">
        <v>97</v>
      </c>
      <c r="B101" s="8" t="s">
        <v>135</v>
      </c>
      <c r="C101" s="259">
        <v>73385222</v>
      </c>
    </row>
    <row r="102" spans="1:3" ht="12" customHeight="1">
      <c r="A102" s="14" t="s">
        <v>98</v>
      </c>
      <c r="B102" s="11" t="s">
        <v>179</v>
      </c>
      <c r="C102" s="259"/>
    </row>
    <row r="103" spans="1:3" ht="12" customHeight="1">
      <c r="A103" s="14" t="s">
        <v>109</v>
      </c>
      <c r="B103" s="19" t="s">
        <v>180</v>
      </c>
      <c r="C103" s="259"/>
    </row>
    <row r="104" spans="1:3" ht="12" customHeight="1">
      <c r="A104" s="14" t="s">
        <v>99</v>
      </c>
      <c r="B104" s="8" t="s">
        <v>434</v>
      </c>
      <c r="C104" s="259"/>
    </row>
    <row r="105" spans="1:3" ht="12" customHeight="1">
      <c r="A105" s="14" t="s">
        <v>100</v>
      </c>
      <c r="B105" s="118" t="s">
        <v>433</v>
      </c>
      <c r="C105" s="259"/>
    </row>
    <row r="106" spans="1:3" ht="12" customHeight="1">
      <c r="A106" s="14" t="s">
        <v>110</v>
      </c>
      <c r="B106" s="118" t="s">
        <v>432</v>
      </c>
      <c r="C106" s="259"/>
    </row>
    <row r="107" spans="1:3" ht="12" customHeight="1">
      <c r="A107" s="14" t="s">
        <v>111</v>
      </c>
      <c r="B107" s="116" t="s">
        <v>343</v>
      </c>
      <c r="C107" s="259"/>
    </row>
    <row r="108" spans="1:3" ht="12" customHeight="1">
      <c r="A108" s="14" t="s">
        <v>112</v>
      </c>
      <c r="B108" s="117" t="s">
        <v>344</v>
      </c>
      <c r="C108" s="259"/>
    </row>
    <row r="109" spans="1:3" ht="12" customHeight="1">
      <c r="A109" s="14" t="s">
        <v>113</v>
      </c>
      <c r="B109" s="117" t="s">
        <v>345</v>
      </c>
      <c r="C109" s="259"/>
    </row>
    <row r="110" spans="1:3" ht="12" customHeight="1">
      <c r="A110" s="14" t="s">
        <v>115</v>
      </c>
      <c r="B110" s="116" t="s">
        <v>346</v>
      </c>
      <c r="C110" s="259"/>
    </row>
    <row r="111" spans="1:3" ht="12" customHeight="1">
      <c r="A111" s="14" t="s">
        <v>181</v>
      </c>
      <c r="B111" s="116" t="s">
        <v>347</v>
      </c>
      <c r="C111" s="259"/>
    </row>
    <row r="112" spans="1:3" ht="12" customHeight="1">
      <c r="A112" s="14" t="s">
        <v>341</v>
      </c>
      <c r="B112" s="117" t="s">
        <v>348</v>
      </c>
      <c r="C112" s="259"/>
    </row>
    <row r="113" spans="1:3" ht="12" customHeight="1">
      <c r="A113" s="13" t="s">
        <v>342</v>
      </c>
      <c r="B113" s="118" t="s">
        <v>349</v>
      </c>
      <c r="C113" s="259"/>
    </row>
    <row r="114" spans="1:3" ht="12" customHeight="1">
      <c r="A114" s="14" t="s">
        <v>430</v>
      </c>
      <c r="B114" s="118" t="s">
        <v>350</v>
      </c>
      <c r="C114" s="259"/>
    </row>
    <row r="115" spans="1:3" ht="12" customHeight="1">
      <c r="A115" s="16" t="s">
        <v>431</v>
      </c>
      <c r="B115" s="118" t="s">
        <v>351</v>
      </c>
      <c r="C115" s="259"/>
    </row>
    <row r="116" spans="1:3" ht="12" customHeight="1">
      <c r="A116" s="14" t="s">
        <v>435</v>
      </c>
      <c r="B116" s="11" t="s">
        <v>49</v>
      </c>
      <c r="C116" s="257"/>
    </row>
    <row r="117" spans="1:3" ht="12" customHeight="1">
      <c r="A117" s="14" t="s">
        <v>436</v>
      </c>
      <c r="B117" s="8" t="s">
        <v>438</v>
      </c>
      <c r="C117" s="257"/>
    </row>
    <row r="118" spans="1:3" ht="12" customHeight="1" thickBot="1">
      <c r="A118" s="18" t="s">
        <v>437</v>
      </c>
      <c r="B118" s="437" t="s">
        <v>439</v>
      </c>
      <c r="C118" s="263"/>
    </row>
    <row r="119" spans="1:3" ht="12" customHeight="1" thickBot="1">
      <c r="A119" s="434" t="s">
        <v>18</v>
      </c>
      <c r="B119" s="435" t="s">
        <v>352</v>
      </c>
      <c r="C119" s="436">
        <f>+C120+C122+C124</f>
        <v>4000000</v>
      </c>
    </row>
    <row r="120" spans="1:3" ht="12" customHeight="1">
      <c r="A120" s="15" t="s">
        <v>101</v>
      </c>
      <c r="B120" s="8" t="s">
        <v>224</v>
      </c>
      <c r="C120" s="258">
        <v>4000000</v>
      </c>
    </row>
    <row r="121" spans="1:3" ht="12" customHeight="1">
      <c r="A121" s="15" t="s">
        <v>102</v>
      </c>
      <c r="B121" s="12" t="s">
        <v>356</v>
      </c>
      <c r="C121" s="258"/>
    </row>
    <row r="122" spans="1:3" ht="12" customHeight="1">
      <c r="A122" s="15" t="s">
        <v>103</v>
      </c>
      <c r="B122" s="12" t="s">
        <v>182</v>
      </c>
      <c r="C122" s="257"/>
    </row>
    <row r="123" spans="1:3" ht="12" customHeight="1">
      <c r="A123" s="15" t="s">
        <v>104</v>
      </c>
      <c r="B123" s="12" t="s">
        <v>357</v>
      </c>
      <c r="C123" s="222"/>
    </row>
    <row r="124" spans="1:3" ht="12" customHeight="1">
      <c r="A124" s="15" t="s">
        <v>105</v>
      </c>
      <c r="B124" s="252" t="s">
        <v>565</v>
      </c>
      <c r="C124" s="222"/>
    </row>
    <row r="125" spans="1:3" ht="12" customHeight="1">
      <c r="A125" s="15" t="s">
        <v>114</v>
      </c>
      <c r="B125" s="251" t="s">
        <v>420</v>
      </c>
      <c r="C125" s="222"/>
    </row>
    <row r="126" spans="1:3" ht="12" customHeight="1">
      <c r="A126" s="15" t="s">
        <v>116</v>
      </c>
      <c r="B126" s="369" t="s">
        <v>362</v>
      </c>
      <c r="C126" s="222"/>
    </row>
    <row r="127" spans="1:3">
      <c r="A127" s="15" t="s">
        <v>183</v>
      </c>
      <c r="B127" s="117" t="s">
        <v>345</v>
      </c>
      <c r="C127" s="222"/>
    </row>
    <row r="128" spans="1:3" ht="12" customHeight="1">
      <c r="A128" s="15" t="s">
        <v>184</v>
      </c>
      <c r="B128" s="117" t="s">
        <v>361</v>
      </c>
      <c r="C128" s="222"/>
    </row>
    <row r="129" spans="1:3" ht="12" customHeight="1">
      <c r="A129" s="15" t="s">
        <v>185</v>
      </c>
      <c r="B129" s="117" t="s">
        <v>360</v>
      </c>
      <c r="C129" s="222"/>
    </row>
    <row r="130" spans="1:3" ht="12" customHeight="1">
      <c r="A130" s="15" t="s">
        <v>353</v>
      </c>
      <c r="B130" s="117" t="s">
        <v>348</v>
      </c>
      <c r="C130" s="222"/>
    </row>
    <row r="131" spans="1:3" ht="12" customHeight="1">
      <c r="A131" s="15" t="s">
        <v>354</v>
      </c>
      <c r="B131" s="117" t="s">
        <v>359</v>
      </c>
      <c r="C131" s="222"/>
    </row>
    <row r="132" spans="1:3" ht="16.5" thickBot="1">
      <c r="A132" s="13" t="s">
        <v>355</v>
      </c>
      <c r="B132" s="117" t="s">
        <v>358</v>
      </c>
      <c r="C132" s="224"/>
    </row>
    <row r="133" spans="1:3" ht="12" customHeight="1" thickBot="1">
      <c r="A133" s="20" t="s">
        <v>19</v>
      </c>
      <c r="B133" s="98" t="s">
        <v>440</v>
      </c>
      <c r="C133" s="255">
        <f>+C98+C119</f>
        <v>292083990</v>
      </c>
    </row>
    <row r="134" spans="1:3" ht="12" customHeight="1" thickBot="1">
      <c r="A134" s="20" t="s">
        <v>20</v>
      </c>
      <c r="B134" s="98" t="s">
        <v>441</v>
      </c>
      <c r="C134" s="255">
        <f>+C135+C136+C137</f>
        <v>0</v>
      </c>
    </row>
    <row r="135" spans="1:3" ht="12" customHeight="1">
      <c r="A135" s="15" t="s">
        <v>262</v>
      </c>
      <c r="B135" s="12" t="s">
        <v>448</v>
      </c>
      <c r="C135" s="222"/>
    </row>
    <row r="136" spans="1:3" ht="12" customHeight="1">
      <c r="A136" s="15" t="s">
        <v>263</v>
      </c>
      <c r="B136" s="12" t="s">
        <v>449</v>
      </c>
      <c r="C136" s="222"/>
    </row>
    <row r="137" spans="1:3" ht="12" customHeight="1" thickBot="1">
      <c r="A137" s="13" t="s">
        <v>264</v>
      </c>
      <c r="B137" s="12" t="s">
        <v>450</v>
      </c>
      <c r="C137" s="222"/>
    </row>
    <row r="138" spans="1:3" ht="12" customHeight="1" thickBot="1">
      <c r="A138" s="20" t="s">
        <v>21</v>
      </c>
      <c r="B138" s="98" t="s">
        <v>442</v>
      </c>
      <c r="C138" s="255">
        <f>SUM(C139:C144)</f>
        <v>0</v>
      </c>
    </row>
    <row r="139" spans="1:3" ht="12" customHeight="1">
      <c r="A139" s="15" t="s">
        <v>88</v>
      </c>
      <c r="B139" s="9" t="s">
        <v>451</v>
      </c>
      <c r="C139" s="222"/>
    </row>
    <row r="140" spans="1:3" ht="12" customHeight="1">
      <c r="A140" s="15" t="s">
        <v>89</v>
      </c>
      <c r="B140" s="9" t="s">
        <v>443</v>
      </c>
      <c r="C140" s="222"/>
    </row>
    <row r="141" spans="1:3" ht="12" customHeight="1">
      <c r="A141" s="15" t="s">
        <v>90</v>
      </c>
      <c r="B141" s="9" t="s">
        <v>444</v>
      </c>
      <c r="C141" s="222"/>
    </row>
    <row r="142" spans="1:3" ht="12" customHeight="1">
      <c r="A142" s="15" t="s">
        <v>170</v>
      </c>
      <c r="B142" s="9" t="s">
        <v>445</v>
      </c>
      <c r="C142" s="222"/>
    </row>
    <row r="143" spans="1:3" ht="12" customHeight="1">
      <c r="A143" s="13" t="s">
        <v>171</v>
      </c>
      <c r="B143" s="7" t="s">
        <v>446</v>
      </c>
      <c r="C143" s="224"/>
    </row>
    <row r="144" spans="1:3" ht="12" customHeight="1" thickBot="1">
      <c r="A144" s="18" t="s">
        <v>172</v>
      </c>
      <c r="B144" s="666" t="s">
        <v>447</v>
      </c>
      <c r="C144" s="444"/>
    </row>
    <row r="145" spans="1:9" ht="12" customHeight="1" thickBot="1">
      <c r="A145" s="20" t="s">
        <v>22</v>
      </c>
      <c r="B145" s="98" t="s">
        <v>455</v>
      </c>
      <c r="C145" s="261">
        <f>+C146+C147+C148+C149</f>
        <v>0</v>
      </c>
    </row>
    <row r="146" spans="1:9" ht="12" customHeight="1">
      <c r="A146" s="15" t="s">
        <v>91</v>
      </c>
      <c r="B146" s="9" t="s">
        <v>363</v>
      </c>
      <c r="C146" s="222"/>
    </row>
    <row r="147" spans="1:9" ht="12" customHeight="1">
      <c r="A147" s="15" t="s">
        <v>92</v>
      </c>
      <c r="B147" s="9" t="s">
        <v>364</v>
      </c>
      <c r="C147" s="222"/>
    </row>
    <row r="148" spans="1:9" ht="12" customHeight="1" thickBot="1">
      <c r="A148" s="13" t="s">
        <v>280</v>
      </c>
      <c r="B148" s="7" t="s">
        <v>456</v>
      </c>
      <c r="C148" s="224"/>
    </row>
    <row r="149" spans="1:9" ht="12" customHeight="1" thickBot="1">
      <c r="A149" s="521" t="s">
        <v>281</v>
      </c>
      <c r="B149" s="526" t="s">
        <v>382</v>
      </c>
      <c r="C149" s="527"/>
    </row>
    <row r="150" spans="1:9" ht="12" customHeight="1" thickBot="1">
      <c r="A150" s="20" t="s">
        <v>23</v>
      </c>
      <c r="B150" s="98" t="s">
        <v>457</v>
      </c>
      <c r="C150" s="264">
        <f>SUM(C151:C155)</f>
        <v>0</v>
      </c>
    </row>
    <row r="151" spans="1:9" ht="12" customHeight="1">
      <c r="A151" s="15" t="s">
        <v>93</v>
      </c>
      <c r="B151" s="9" t="s">
        <v>452</v>
      </c>
      <c r="C151" s="222"/>
    </row>
    <row r="152" spans="1:9" ht="12" customHeight="1">
      <c r="A152" s="15" t="s">
        <v>94</v>
      </c>
      <c r="B152" s="9" t="s">
        <v>459</v>
      </c>
      <c r="C152" s="222"/>
    </row>
    <row r="153" spans="1:9" ht="12" customHeight="1">
      <c r="A153" s="15" t="s">
        <v>292</v>
      </c>
      <c r="B153" s="9" t="s">
        <v>454</v>
      </c>
      <c r="C153" s="222"/>
    </row>
    <row r="154" spans="1:9" ht="12" customHeight="1">
      <c r="A154" s="15" t="s">
        <v>293</v>
      </c>
      <c r="B154" s="9" t="s">
        <v>510</v>
      </c>
      <c r="C154" s="222"/>
    </row>
    <row r="155" spans="1:9" ht="12" customHeight="1" thickBot="1">
      <c r="A155" s="15" t="s">
        <v>458</v>
      </c>
      <c r="B155" s="9" t="s">
        <v>461</v>
      </c>
      <c r="C155" s="222"/>
    </row>
    <row r="156" spans="1:9" ht="12" customHeight="1" thickBot="1">
      <c r="A156" s="20" t="s">
        <v>24</v>
      </c>
      <c r="B156" s="98" t="s">
        <v>462</v>
      </c>
      <c r="C156" s="438"/>
    </row>
    <row r="157" spans="1:9" ht="12" customHeight="1" thickBot="1">
      <c r="A157" s="20" t="s">
        <v>25</v>
      </c>
      <c r="B157" s="98" t="s">
        <v>463</v>
      </c>
      <c r="C157" s="438"/>
    </row>
    <row r="158" spans="1:9" ht="15.2" customHeight="1" thickBot="1">
      <c r="A158" s="20" t="s">
        <v>26</v>
      </c>
      <c r="B158" s="98" t="s">
        <v>465</v>
      </c>
      <c r="C158" s="528">
        <f>+C134+C138+C145+C150+C156+C157</f>
        <v>0</v>
      </c>
      <c r="F158" s="384"/>
      <c r="G158" s="385"/>
      <c r="H158" s="385"/>
      <c r="I158" s="385"/>
    </row>
    <row r="159" spans="1:9" s="372" customFormat="1" ht="17.25" customHeight="1" thickBot="1">
      <c r="A159" s="253" t="s">
        <v>27</v>
      </c>
      <c r="B159" s="529" t="s">
        <v>464</v>
      </c>
      <c r="C159" s="528">
        <f>+C133+C158</f>
        <v>292083990</v>
      </c>
    </row>
    <row r="160" spans="1:9" ht="15.95" customHeight="1">
      <c r="A160" s="530"/>
      <c r="B160" s="530"/>
      <c r="C160" s="587">
        <f>C92-C159</f>
        <v>0</v>
      </c>
    </row>
    <row r="161" spans="1:4">
      <c r="A161" s="763" t="s">
        <v>365</v>
      </c>
      <c r="B161" s="763"/>
      <c r="C161" s="763"/>
    </row>
    <row r="162" spans="1:4" ht="15.2" customHeight="1" thickBot="1">
      <c r="A162" s="764" t="s">
        <v>149</v>
      </c>
      <c r="B162" s="764"/>
      <c r="C162" s="533" t="str">
        <f ca="1">C95</f>
        <v/>
      </c>
    </row>
    <row r="163" spans="1:4" ht="13.5" customHeight="1" thickBot="1">
      <c r="A163" s="20">
        <v>1</v>
      </c>
      <c r="B163" s="25" t="s">
        <v>466</v>
      </c>
      <c r="C163" s="255">
        <f>+C67-C133</f>
        <v>0</v>
      </c>
      <c r="D163" s="386"/>
    </row>
    <row r="164" spans="1:4" ht="27.75" customHeight="1" thickBot="1">
      <c r="A164" s="20" t="s">
        <v>18</v>
      </c>
      <c r="B164" s="25" t="s">
        <v>472</v>
      </c>
      <c r="C164" s="255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="120" zoomScaleNormal="120" zoomScaleSheetLayoutView="100" workbookViewId="0">
      <selection activeCell="F37" sqref="F37"/>
    </sheetView>
  </sheetViews>
  <sheetFormatPr defaultRowHeight="12.75"/>
  <cols>
    <col min="1" max="1" width="6.83203125" style="46" customWidth="1"/>
    <col min="2" max="2" width="55.1640625" style="158" customWidth="1"/>
    <col min="3" max="3" width="16.33203125" style="46" customWidth="1"/>
    <col min="4" max="4" width="55.1640625" style="46" customWidth="1"/>
    <col min="5" max="5" width="16.33203125" style="46" customWidth="1"/>
    <col min="6" max="6" width="4.83203125" style="46" customWidth="1"/>
    <col min="7" max="16384" width="9.33203125" style="46"/>
  </cols>
  <sheetData>
    <row r="1" spans="1:6" ht="39.75" customHeight="1">
      <c r="B1" s="277" t="s">
        <v>153</v>
      </c>
      <c r="C1" s="278"/>
      <c r="D1" s="278"/>
      <c r="E1" s="278"/>
      <c r="F1" s="768" t="str">
        <f ca="1">CONCATENATE("2.1. melléklet ",ALAPADATOK!A7," ",ALAPADATOK!B7," ",ALAPADATOK!C7," ",ALAPADATOK!D7," ",ALAPADATOK!E7," ",ALAPADATOK!F7," ",ALAPADATOK!G7," ",ALAPADATOK!H7)</f>
        <v>2.1. melléklet a 5 / 2020 ( (II.18.) ) önkormányzati rendelethez</v>
      </c>
    </row>
    <row r="2" spans="1:6" ht="13.5" thickBot="1">
      <c r="E2" s="535" t="str">
        <f ca="1">CONCATENATE(KV_1.1.sz.mell.!C7)</f>
        <v/>
      </c>
      <c r="F2" s="768"/>
    </row>
    <row r="3" spans="1:6" ht="18" customHeight="1" thickBot="1">
      <c r="A3" s="766" t="s">
        <v>66</v>
      </c>
      <c r="B3" s="279" t="s">
        <v>55</v>
      </c>
      <c r="C3" s="280"/>
      <c r="D3" s="279" t="s">
        <v>56</v>
      </c>
      <c r="E3" s="281"/>
      <c r="F3" s="768"/>
    </row>
    <row r="4" spans="1:6" s="282" customFormat="1" ht="35.25" customHeight="1" thickBot="1">
      <c r="A4" s="767"/>
      <c r="B4" s="159" t="s">
        <v>60</v>
      </c>
      <c r="C4" s="160" t="str">
        <f ca="1">+KV_1.1.sz.mell.!C8</f>
        <v>2020. évi előirányzat</v>
      </c>
      <c r="D4" s="159" t="s">
        <v>60</v>
      </c>
      <c r="E4" s="45" t="str">
        <f ca="1">+C4</f>
        <v>2020. évi előirányzat</v>
      </c>
      <c r="F4" s="768"/>
    </row>
    <row r="5" spans="1:6" s="287" customFormat="1" ht="12" customHeight="1" thickBot="1">
      <c r="A5" s="283"/>
      <c r="B5" s="284" t="s">
        <v>485</v>
      </c>
      <c r="C5" s="285" t="s">
        <v>486</v>
      </c>
      <c r="D5" s="284" t="s">
        <v>487</v>
      </c>
      <c r="E5" s="286" t="s">
        <v>489</v>
      </c>
      <c r="F5" s="768"/>
    </row>
    <row r="6" spans="1:6" ht="12.95" customHeight="1">
      <c r="A6" s="288" t="s">
        <v>17</v>
      </c>
      <c r="B6" s="289" t="s">
        <v>366</v>
      </c>
      <c r="C6" s="266">
        <v>958789393</v>
      </c>
      <c r="D6" s="289" t="s">
        <v>61</v>
      </c>
      <c r="E6" s="272">
        <v>1337603099</v>
      </c>
      <c r="F6" s="768"/>
    </row>
    <row r="7" spans="1:6" ht="12.95" customHeight="1">
      <c r="A7" s="290" t="s">
        <v>18</v>
      </c>
      <c r="B7" s="291" t="s">
        <v>367</v>
      </c>
      <c r="C7" s="267">
        <v>1043040000</v>
      </c>
      <c r="D7" s="291" t="s">
        <v>178</v>
      </c>
      <c r="E7" s="273">
        <v>248892910</v>
      </c>
      <c r="F7" s="768"/>
    </row>
    <row r="8" spans="1:6" ht="12.95" customHeight="1">
      <c r="A8" s="290" t="s">
        <v>19</v>
      </c>
      <c r="B8" s="291" t="s">
        <v>387</v>
      </c>
      <c r="C8" s="267"/>
      <c r="D8" s="291" t="s">
        <v>228</v>
      </c>
      <c r="E8" s="273">
        <v>1343397634</v>
      </c>
      <c r="F8" s="768"/>
    </row>
    <row r="9" spans="1:6" ht="12.95" customHeight="1">
      <c r="A9" s="290" t="s">
        <v>20</v>
      </c>
      <c r="B9" s="291" t="s">
        <v>169</v>
      </c>
      <c r="C9" s="267">
        <v>1363000000</v>
      </c>
      <c r="D9" s="291" t="s">
        <v>179</v>
      </c>
      <c r="E9" s="273">
        <v>61500000</v>
      </c>
      <c r="F9" s="768"/>
    </row>
    <row r="10" spans="1:6" ht="12.95" customHeight="1">
      <c r="A10" s="290" t="s">
        <v>21</v>
      </c>
      <c r="B10" s="292" t="s">
        <v>413</v>
      </c>
      <c r="C10" s="267">
        <v>305391567</v>
      </c>
      <c r="D10" s="291" t="s">
        <v>180</v>
      </c>
      <c r="E10" s="273">
        <v>298432456</v>
      </c>
      <c r="F10" s="768"/>
    </row>
    <row r="11" spans="1:6" ht="12.95" customHeight="1">
      <c r="A11" s="290" t="s">
        <v>22</v>
      </c>
      <c r="B11" s="291" t="s">
        <v>368</v>
      </c>
      <c r="C11" s="268"/>
      <c r="D11" s="291" t="s">
        <v>49</v>
      </c>
      <c r="E11" s="273">
        <v>149143000</v>
      </c>
      <c r="F11" s="768"/>
    </row>
    <row r="12" spans="1:6" ht="12.95" customHeight="1">
      <c r="A12" s="290" t="s">
        <v>23</v>
      </c>
      <c r="B12" s="291" t="s">
        <v>473</v>
      </c>
      <c r="C12" s="267"/>
      <c r="D12" s="39"/>
      <c r="E12" s="273"/>
      <c r="F12" s="768"/>
    </row>
    <row r="13" spans="1:6" ht="12.95" customHeight="1">
      <c r="A13" s="290" t="s">
        <v>24</v>
      </c>
      <c r="B13" s="39"/>
      <c r="C13" s="267"/>
      <c r="D13" s="39"/>
      <c r="E13" s="273"/>
      <c r="F13" s="768"/>
    </row>
    <row r="14" spans="1:6" ht="12.95" customHeight="1">
      <c r="A14" s="290" t="s">
        <v>25</v>
      </c>
      <c r="B14" s="387"/>
      <c r="C14" s="268"/>
      <c r="D14" s="39"/>
      <c r="E14" s="273"/>
      <c r="F14" s="768"/>
    </row>
    <row r="15" spans="1:6" ht="12.95" customHeight="1">
      <c r="A15" s="290" t="s">
        <v>26</v>
      </c>
      <c r="B15" s="39"/>
      <c r="C15" s="267"/>
      <c r="D15" s="39"/>
      <c r="E15" s="273"/>
      <c r="F15" s="768"/>
    </row>
    <row r="16" spans="1:6" ht="12.95" customHeight="1">
      <c r="A16" s="290" t="s">
        <v>27</v>
      </c>
      <c r="B16" s="39"/>
      <c r="C16" s="267"/>
      <c r="D16" s="39"/>
      <c r="E16" s="273"/>
      <c r="F16" s="768"/>
    </row>
    <row r="17" spans="1:6" ht="12.95" customHeight="1" thickBot="1">
      <c r="A17" s="290" t="s">
        <v>28</v>
      </c>
      <c r="B17" s="47"/>
      <c r="C17" s="269"/>
      <c r="D17" s="39"/>
      <c r="E17" s="274"/>
      <c r="F17" s="768"/>
    </row>
    <row r="18" spans="1:6" ht="15.95" customHeight="1" thickBot="1">
      <c r="A18" s="293" t="s">
        <v>29</v>
      </c>
      <c r="B18" s="100" t="s">
        <v>474</v>
      </c>
      <c r="C18" s="270">
        <f>C6+C7+C9+C10+C11+C13+C14+C15+C16+C17</f>
        <v>3670220960</v>
      </c>
      <c r="D18" s="100" t="s">
        <v>373</v>
      </c>
      <c r="E18" s="275">
        <f>SUM(E6:E17)</f>
        <v>3438969099</v>
      </c>
      <c r="F18" s="768"/>
    </row>
    <row r="19" spans="1:6" ht="12.95" customHeight="1">
      <c r="A19" s="294" t="s">
        <v>30</v>
      </c>
      <c r="B19" s="295" t="s">
        <v>370</v>
      </c>
      <c r="C19" s="440">
        <f>+C20+C21+C22+C23</f>
        <v>0</v>
      </c>
      <c r="D19" s="296" t="s">
        <v>186</v>
      </c>
      <c r="E19" s="276"/>
      <c r="F19" s="768"/>
    </row>
    <row r="20" spans="1:6" ht="12.95" customHeight="1">
      <c r="A20" s="297" t="s">
        <v>31</v>
      </c>
      <c r="B20" s="296" t="s">
        <v>222</v>
      </c>
      <c r="C20" s="59"/>
      <c r="D20" s="296" t="s">
        <v>372</v>
      </c>
      <c r="E20" s="60"/>
      <c r="F20" s="768"/>
    </row>
    <row r="21" spans="1:6" ht="12.95" customHeight="1">
      <c r="A21" s="297" t="s">
        <v>32</v>
      </c>
      <c r="B21" s="296" t="s">
        <v>223</v>
      </c>
      <c r="C21" s="59"/>
      <c r="D21" s="296" t="s">
        <v>151</v>
      </c>
      <c r="E21" s="60"/>
      <c r="F21" s="768"/>
    </row>
    <row r="22" spans="1:6" ht="12.95" customHeight="1">
      <c r="A22" s="297" t="s">
        <v>33</v>
      </c>
      <c r="B22" s="296" t="s">
        <v>227</v>
      </c>
      <c r="C22" s="59"/>
      <c r="D22" s="296" t="s">
        <v>152</v>
      </c>
      <c r="E22" s="60"/>
      <c r="F22" s="768"/>
    </row>
    <row r="23" spans="1:6" ht="12.95" customHeight="1">
      <c r="A23" s="297" t="s">
        <v>34</v>
      </c>
      <c r="B23" s="304" t="s">
        <v>233</v>
      </c>
      <c r="C23" s="59"/>
      <c r="D23" s="295" t="s">
        <v>229</v>
      </c>
      <c r="E23" s="60"/>
      <c r="F23" s="768"/>
    </row>
    <row r="24" spans="1:6" ht="12.95" customHeight="1">
      <c r="A24" s="297" t="s">
        <v>35</v>
      </c>
      <c r="B24" s="296" t="s">
        <v>371</v>
      </c>
      <c r="C24" s="298">
        <f>+C25+C26</f>
        <v>0</v>
      </c>
      <c r="D24" s="296" t="s">
        <v>187</v>
      </c>
      <c r="E24" s="60"/>
      <c r="F24" s="768"/>
    </row>
    <row r="25" spans="1:6" ht="12.95" customHeight="1">
      <c r="A25" s="294" t="s">
        <v>36</v>
      </c>
      <c r="B25" s="295" t="s">
        <v>369</v>
      </c>
      <c r="C25" s="271"/>
      <c r="D25" s="289" t="s">
        <v>456</v>
      </c>
      <c r="E25" s="276"/>
      <c r="F25" s="768"/>
    </row>
    <row r="26" spans="1:6" ht="12.95" customHeight="1">
      <c r="A26" s="297" t="s">
        <v>37</v>
      </c>
      <c r="B26" s="304" t="s">
        <v>663</v>
      </c>
      <c r="C26" s="59"/>
      <c r="D26" s="291" t="s">
        <v>462</v>
      </c>
      <c r="E26" s="60"/>
      <c r="F26" s="768"/>
    </row>
    <row r="27" spans="1:6" ht="12.95" customHeight="1">
      <c r="A27" s="290" t="s">
        <v>38</v>
      </c>
      <c r="B27" s="296" t="s">
        <v>467</v>
      </c>
      <c r="C27" s="59"/>
      <c r="D27" s="291" t="s">
        <v>463</v>
      </c>
      <c r="E27" s="60"/>
      <c r="F27" s="768"/>
    </row>
    <row r="28" spans="1:6" ht="12.95" customHeight="1" thickBot="1">
      <c r="A28" s="351" t="s">
        <v>39</v>
      </c>
      <c r="B28" s="295" t="s">
        <v>327</v>
      </c>
      <c r="C28" s="271"/>
      <c r="D28" s="389"/>
      <c r="E28" s="276"/>
      <c r="F28" s="768"/>
    </row>
    <row r="29" spans="1:6" ht="15.95" customHeight="1" thickBot="1">
      <c r="A29" s="293" t="s">
        <v>40</v>
      </c>
      <c r="B29" s="100" t="s">
        <v>475</v>
      </c>
      <c r="C29" s="270">
        <f>+C19+C24+C27+C28</f>
        <v>0</v>
      </c>
      <c r="D29" s="100" t="s">
        <v>477</v>
      </c>
      <c r="E29" s="275">
        <f>SUM(E19:E28)</f>
        <v>0</v>
      </c>
      <c r="F29" s="768"/>
    </row>
    <row r="30" spans="1:6" ht="13.5" thickBot="1">
      <c r="A30" s="293" t="s">
        <v>41</v>
      </c>
      <c r="B30" s="299" t="s">
        <v>476</v>
      </c>
      <c r="C30" s="300">
        <f>+C18+C29</f>
        <v>3670220960</v>
      </c>
      <c r="D30" s="299" t="s">
        <v>478</v>
      </c>
      <c r="E30" s="300">
        <f>+E18+E29</f>
        <v>3438969099</v>
      </c>
      <c r="F30" s="768"/>
    </row>
    <row r="31" spans="1:6" ht="13.5" thickBot="1">
      <c r="A31" s="293" t="s">
        <v>42</v>
      </c>
      <c r="B31" s="299" t="s">
        <v>164</v>
      </c>
      <c r="C31" s="300" t="str">
        <f>IF(C18-E18&lt;0,E18-C18,"-")</f>
        <v>-</v>
      </c>
      <c r="D31" s="299" t="s">
        <v>165</v>
      </c>
      <c r="E31" s="300">
        <f>IF(C18-E18&gt;0,C18-E18,"-")</f>
        <v>231251861</v>
      </c>
      <c r="F31" s="768"/>
    </row>
    <row r="32" spans="1:6" ht="13.5" thickBot="1">
      <c r="A32" s="293" t="s">
        <v>43</v>
      </c>
      <c r="B32" s="299" t="s">
        <v>557</v>
      </c>
      <c r="C32" s="300" t="str">
        <f>IF(C30-E30&lt;0,E30-C30,"-")</f>
        <v>-</v>
      </c>
      <c r="D32" s="299" t="s">
        <v>558</v>
      </c>
      <c r="E32" s="300">
        <f>IF(C30-E30&gt;0,C30-E30,"-")</f>
        <v>231251861</v>
      </c>
      <c r="F32" s="768"/>
    </row>
    <row r="33" spans="1:5" ht="15.75">
      <c r="A33" s="769" t="str">
        <f>IF(C32&lt;&gt;"-","Nem lehet bruttó hiány, mert az Mötv. 111. § (4) bekezédse szerint A költségvetési rendeletben működési hiány nem tervezhető.","")</f>
        <v/>
      </c>
      <c r="B33" s="769"/>
      <c r="C33" s="769"/>
      <c r="D33" s="769"/>
      <c r="E33" s="769"/>
    </row>
  </sheetData>
  <sheetProtection sheet="1"/>
  <mergeCells count="3">
    <mergeCell ref="A3:A4"/>
    <mergeCell ref="F1:F32"/>
    <mergeCell ref="A33:E33"/>
  </mergeCells>
  <phoneticPr fontId="0" type="noConversion"/>
  <conditionalFormatting sqref="C32">
    <cfRule type="cellIs" dxfId="4" priority="1" stopIfTrue="1" operator="notEqual">
      <formula>"-"</formula>
    </cfRule>
  </conditionalFormatting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="120" zoomScaleNormal="120" zoomScaleSheetLayoutView="115" workbookViewId="0">
      <selection activeCell="E7" sqref="E7"/>
    </sheetView>
  </sheetViews>
  <sheetFormatPr defaultRowHeight="12.75"/>
  <cols>
    <col min="1" max="1" width="6.83203125" style="46" customWidth="1"/>
    <col min="2" max="2" width="55.1640625" style="158" customWidth="1"/>
    <col min="3" max="3" width="16.33203125" style="46" customWidth="1"/>
    <col min="4" max="4" width="55.1640625" style="46" customWidth="1"/>
    <col min="5" max="5" width="16.33203125" style="46" customWidth="1"/>
    <col min="6" max="6" width="4.83203125" style="46" customWidth="1"/>
    <col min="7" max="16384" width="9.33203125" style="46"/>
  </cols>
  <sheetData>
    <row r="1" spans="1:6" ht="31.5">
      <c r="B1" s="277" t="s">
        <v>154</v>
      </c>
      <c r="C1" s="278"/>
      <c r="D1" s="278"/>
      <c r="E1" s="278"/>
      <c r="F1" s="768" t="str">
        <f ca="1">CONCATENATE("2.2. melléklet ",ALAPADATOK!A7," ",ALAPADATOK!B7," ",ALAPADATOK!C7," ",ALAPADATOK!D7," ",ALAPADATOK!E7," ",ALAPADATOK!F7," ",ALAPADATOK!G7," ",ALAPADATOK!H7)</f>
        <v>2.2. melléklet a 5 / 2020 ( (II.18.) ) önkormányzati rendelethez</v>
      </c>
    </row>
    <row r="2" spans="1:6" ht="13.5" thickBot="1">
      <c r="E2" s="534" t="str">
        <f ca="1">CONCATENATE(KV_1.1.sz.mell.!C7)</f>
        <v/>
      </c>
      <c r="F2" s="768"/>
    </row>
    <row r="3" spans="1:6" ht="13.5" thickBot="1">
      <c r="A3" s="770" t="s">
        <v>66</v>
      </c>
      <c r="B3" s="279" t="s">
        <v>55</v>
      </c>
      <c r="C3" s="280"/>
      <c r="D3" s="279" t="s">
        <v>56</v>
      </c>
      <c r="E3" s="281"/>
      <c r="F3" s="768"/>
    </row>
    <row r="4" spans="1:6" s="282" customFormat="1" ht="24.75" thickBot="1">
      <c r="A4" s="771"/>
      <c r="B4" s="159" t="s">
        <v>60</v>
      </c>
      <c r="C4" s="160" t="str">
        <f ca="1">+KV_2.1.sz.mell.!C4</f>
        <v>2020. évi előirányzat</v>
      </c>
      <c r="D4" s="159" t="s">
        <v>60</v>
      </c>
      <c r="E4" s="45" t="str">
        <f ca="1">+KV_2.1.sz.mell.!C4</f>
        <v>2020. évi előirányzat</v>
      </c>
      <c r="F4" s="768"/>
    </row>
    <row r="5" spans="1:6" s="282" customFormat="1" ht="13.5" thickBot="1">
      <c r="A5" s="283"/>
      <c r="B5" s="284" t="s">
        <v>485</v>
      </c>
      <c r="C5" s="285" t="s">
        <v>486</v>
      </c>
      <c r="D5" s="284" t="s">
        <v>487</v>
      </c>
      <c r="E5" s="286" t="s">
        <v>489</v>
      </c>
      <c r="F5" s="768"/>
    </row>
    <row r="6" spans="1:6" ht="12.95" customHeight="1">
      <c r="A6" s="288" t="s">
        <v>17</v>
      </c>
      <c r="B6" s="289" t="s">
        <v>374</v>
      </c>
      <c r="C6" s="266">
        <v>410952958</v>
      </c>
      <c r="D6" s="289" t="s">
        <v>224</v>
      </c>
      <c r="E6" s="272">
        <v>628847207</v>
      </c>
      <c r="F6" s="768"/>
    </row>
    <row r="7" spans="1:6">
      <c r="A7" s="290" t="s">
        <v>18</v>
      </c>
      <c r="B7" s="291" t="s">
        <v>375</v>
      </c>
      <c r="C7" s="267"/>
      <c r="D7" s="291" t="s">
        <v>380</v>
      </c>
      <c r="E7" s="273"/>
      <c r="F7" s="768"/>
    </row>
    <row r="8" spans="1:6" ht="12.95" customHeight="1">
      <c r="A8" s="290" t="s">
        <v>19</v>
      </c>
      <c r="B8" s="291" t="s">
        <v>10</v>
      </c>
      <c r="C8" s="267">
        <v>40000000</v>
      </c>
      <c r="D8" s="291" t="s">
        <v>182</v>
      </c>
      <c r="E8" s="273">
        <v>262557612</v>
      </c>
      <c r="F8" s="768"/>
    </row>
    <row r="9" spans="1:6" ht="12.95" customHeight="1">
      <c r="A9" s="290" t="s">
        <v>20</v>
      </c>
      <c r="B9" s="291" t="s">
        <v>376</v>
      </c>
      <c r="C9" s="267"/>
      <c r="D9" s="291" t="s">
        <v>381</v>
      </c>
      <c r="E9" s="273"/>
      <c r="F9" s="768"/>
    </row>
    <row r="10" spans="1:6" ht="12.75" customHeight="1">
      <c r="A10" s="290" t="s">
        <v>21</v>
      </c>
      <c r="B10" s="291" t="s">
        <v>377</v>
      </c>
      <c r="C10" s="267"/>
      <c r="D10" s="291" t="s">
        <v>226</v>
      </c>
      <c r="E10" s="273">
        <v>127500000</v>
      </c>
      <c r="F10" s="768"/>
    </row>
    <row r="11" spans="1:6" ht="12.95" customHeight="1">
      <c r="A11" s="290" t="s">
        <v>22</v>
      </c>
      <c r="B11" s="291" t="s">
        <v>378</v>
      </c>
      <c r="C11" s="268"/>
      <c r="D11" s="390"/>
      <c r="E11" s="273"/>
      <c r="F11" s="768"/>
    </row>
    <row r="12" spans="1:6" ht="12.95" customHeight="1">
      <c r="A12" s="290" t="s">
        <v>23</v>
      </c>
      <c r="B12" s="39"/>
      <c r="C12" s="267"/>
      <c r="D12" s="390"/>
      <c r="E12" s="273"/>
      <c r="F12" s="768"/>
    </row>
    <row r="13" spans="1:6" ht="12.95" customHeight="1">
      <c r="A13" s="290" t="s">
        <v>24</v>
      </c>
      <c r="B13" s="39"/>
      <c r="C13" s="267"/>
      <c r="D13" s="391"/>
      <c r="E13" s="273"/>
      <c r="F13" s="768"/>
    </row>
    <row r="14" spans="1:6" ht="12.95" customHeight="1">
      <c r="A14" s="290" t="s">
        <v>25</v>
      </c>
      <c r="B14" s="388"/>
      <c r="C14" s="268"/>
      <c r="D14" s="390"/>
      <c r="E14" s="273"/>
      <c r="F14" s="768"/>
    </row>
    <row r="15" spans="1:6">
      <c r="A15" s="290" t="s">
        <v>26</v>
      </c>
      <c r="B15" s="39"/>
      <c r="C15" s="268"/>
      <c r="D15" s="390"/>
      <c r="E15" s="273"/>
      <c r="F15" s="768"/>
    </row>
    <row r="16" spans="1:6" ht="12.95" customHeight="1" thickBot="1">
      <c r="A16" s="351" t="s">
        <v>27</v>
      </c>
      <c r="B16" s="389"/>
      <c r="C16" s="353"/>
      <c r="D16" s="352" t="s">
        <v>49</v>
      </c>
      <c r="E16" s="317"/>
      <c r="F16" s="768"/>
    </row>
    <row r="17" spans="1:6" ht="15.95" customHeight="1" thickBot="1">
      <c r="A17" s="293" t="s">
        <v>28</v>
      </c>
      <c r="B17" s="100" t="s">
        <v>388</v>
      </c>
      <c r="C17" s="270">
        <f>+C6+C8+C9+C11+C12+C13+C14+C15+C16</f>
        <v>450952958</v>
      </c>
      <c r="D17" s="100" t="s">
        <v>389</v>
      </c>
      <c r="E17" s="275">
        <f>+E6+E8+E10+E11+E12+E13+E14+E15+E16</f>
        <v>1018904819</v>
      </c>
      <c r="F17" s="768"/>
    </row>
    <row r="18" spans="1:6" ht="12.95" customHeight="1">
      <c r="A18" s="288" t="s">
        <v>29</v>
      </c>
      <c r="B18" s="303" t="s">
        <v>241</v>
      </c>
      <c r="C18" s="310">
        <f>SUM(C19:C23)</f>
        <v>336700000</v>
      </c>
      <c r="D18" s="296" t="s">
        <v>186</v>
      </c>
      <c r="E18" s="57"/>
      <c r="F18" s="768"/>
    </row>
    <row r="19" spans="1:6" ht="12.95" customHeight="1">
      <c r="A19" s="290" t="s">
        <v>30</v>
      </c>
      <c r="B19" s="304" t="s">
        <v>230</v>
      </c>
      <c r="C19" s="59">
        <v>336700000</v>
      </c>
      <c r="D19" s="296" t="s">
        <v>189</v>
      </c>
      <c r="E19" s="60"/>
      <c r="F19" s="768"/>
    </row>
    <row r="20" spans="1:6" ht="12.95" customHeight="1">
      <c r="A20" s="288" t="s">
        <v>31</v>
      </c>
      <c r="B20" s="304" t="s">
        <v>231</v>
      </c>
      <c r="C20" s="59"/>
      <c r="D20" s="296" t="s">
        <v>151</v>
      </c>
      <c r="E20" s="60"/>
      <c r="F20" s="768"/>
    </row>
    <row r="21" spans="1:6" ht="12.95" customHeight="1">
      <c r="A21" s="290" t="s">
        <v>32</v>
      </c>
      <c r="B21" s="304" t="s">
        <v>232</v>
      </c>
      <c r="C21" s="59"/>
      <c r="D21" s="296" t="s">
        <v>152</v>
      </c>
      <c r="E21" s="60"/>
      <c r="F21" s="768"/>
    </row>
    <row r="22" spans="1:6" ht="12.95" customHeight="1">
      <c r="A22" s="288" t="s">
        <v>33</v>
      </c>
      <c r="B22" s="304" t="s">
        <v>233</v>
      </c>
      <c r="C22" s="59"/>
      <c r="D22" s="295" t="s">
        <v>229</v>
      </c>
      <c r="E22" s="60"/>
      <c r="F22" s="768"/>
    </row>
    <row r="23" spans="1:6" ht="12.95" customHeight="1">
      <c r="A23" s="290" t="s">
        <v>34</v>
      </c>
      <c r="B23" s="305" t="s">
        <v>234</v>
      </c>
      <c r="C23" s="59"/>
      <c r="D23" s="296" t="s">
        <v>190</v>
      </c>
      <c r="E23" s="60"/>
      <c r="F23" s="768"/>
    </row>
    <row r="24" spans="1:6" ht="12.95" customHeight="1">
      <c r="A24" s="288" t="s">
        <v>35</v>
      </c>
      <c r="B24" s="306" t="s">
        <v>235</v>
      </c>
      <c r="C24" s="298">
        <f>+C25+C26+C27+C28+C29</f>
        <v>0</v>
      </c>
      <c r="D24" s="307" t="s">
        <v>188</v>
      </c>
      <c r="E24" s="60"/>
      <c r="F24" s="768"/>
    </row>
    <row r="25" spans="1:6" ht="12.95" customHeight="1">
      <c r="A25" s="290" t="s">
        <v>36</v>
      </c>
      <c r="B25" s="305" t="s">
        <v>236</v>
      </c>
      <c r="C25" s="59"/>
      <c r="D25" s="307" t="s">
        <v>382</v>
      </c>
      <c r="E25" s="60"/>
      <c r="F25" s="768"/>
    </row>
    <row r="26" spans="1:6" ht="12.95" customHeight="1">
      <c r="A26" s="288" t="s">
        <v>37</v>
      </c>
      <c r="B26" s="305" t="s">
        <v>237</v>
      </c>
      <c r="C26" s="59"/>
      <c r="D26" s="302"/>
      <c r="E26" s="60"/>
      <c r="F26" s="768"/>
    </row>
    <row r="27" spans="1:6" ht="12.95" customHeight="1">
      <c r="A27" s="290" t="s">
        <v>38</v>
      </c>
      <c r="B27" s="304" t="s">
        <v>238</v>
      </c>
      <c r="C27" s="59"/>
      <c r="D27" s="96"/>
      <c r="E27" s="60"/>
      <c r="F27" s="768"/>
    </row>
    <row r="28" spans="1:6" ht="12.95" customHeight="1">
      <c r="A28" s="288" t="s">
        <v>39</v>
      </c>
      <c r="B28" s="308" t="s">
        <v>239</v>
      </c>
      <c r="C28" s="59"/>
      <c r="D28" s="39"/>
      <c r="E28" s="60"/>
      <c r="F28" s="768"/>
    </row>
    <row r="29" spans="1:6" ht="12.95" customHeight="1" thickBot="1">
      <c r="A29" s="290" t="s">
        <v>40</v>
      </c>
      <c r="B29" s="309" t="s">
        <v>240</v>
      </c>
      <c r="C29" s="59"/>
      <c r="D29" s="96"/>
      <c r="E29" s="60"/>
      <c r="F29" s="768"/>
    </row>
    <row r="30" spans="1:6" ht="21.75" customHeight="1" thickBot="1">
      <c r="A30" s="293" t="s">
        <v>41</v>
      </c>
      <c r="B30" s="100" t="s">
        <v>379</v>
      </c>
      <c r="C30" s="270">
        <f>+C18+C24</f>
        <v>336700000</v>
      </c>
      <c r="D30" s="100" t="s">
        <v>383</v>
      </c>
      <c r="E30" s="275">
        <f>SUM(E18:E29)</f>
        <v>0</v>
      </c>
      <c r="F30" s="768"/>
    </row>
    <row r="31" spans="1:6" ht="13.5" thickBot="1">
      <c r="A31" s="293" t="s">
        <v>42</v>
      </c>
      <c r="B31" s="299" t="s">
        <v>384</v>
      </c>
      <c r="C31" s="300">
        <f>+C17+C30</f>
        <v>787652958</v>
      </c>
      <c r="D31" s="299" t="s">
        <v>385</v>
      </c>
      <c r="E31" s="300">
        <f>+E17+E30</f>
        <v>1018904819</v>
      </c>
      <c r="F31" s="768"/>
    </row>
    <row r="32" spans="1:6" ht="13.5" thickBot="1">
      <c r="A32" s="293" t="s">
        <v>43</v>
      </c>
      <c r="B32" s="299" t="s">
        <v>164</v>
      </c>
      <c r="C32" s="300">
        <f>IF(C17-E17&lt;0,E17-C17,"-")</f>
        <v>567951861</v>
      </c>
      <c r="D32" s="299" t="s">
        <v>165</v>
      </c>
      <c r="E32" s="300" t="str">
        <f>IF(C17-E17&gt;0,C17-E17,"-")</f>
        <v>-</v>
      </c>
      <c r="F32" s="768"/>
    </row>
    <row r="33" spans="1:6" ht="13.5" thickBot="1">
      <c r="A33" s="293" t="s">
        <v>44</v>
      </c>
      <c r="B33" s="299" t="s">
        <v>557</v>
      </c>
      <c r="C33" s="300">
        <f>IF(C31-E31&lt;0,E31-C31,"-")</f>
        <v>231251861</v>
      </c>
      <c r="D33" s="299" t="s">
        <v>558</v>
      </c>
      <c r="E33" s="300" t="str">
        <f>IF(C31-E31&gt;0,C31-E31,"-")</f>
        <v>-</v>
      </c>
      <c r="F33" s="768"/>
    </row>
  </sheetData>
  <sheetProtection sheet="1"/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zoomScale="120" zoomScaleNormal="120" workbookViewId="0">
      <selection activeCell="H21" sqref="H21"/>
    </sheetView>
  </sheetViews>
  <sheetFormatPr defaultRowHeight="12.75"/>
  <cols>
    <col min="1" max="1" width="46.33203125" customWidth="1"/>
    <col min="2" max="2" width="16.83203125" customWidth="1"/>
    <col min="3" max="3" width="66.1640625" customWidth="1"/>
    <col min="4" max="4" width="13.83203125" customWidth="1"/>
    <col min="5" max="5" width="17.6640625" customWidth="1"/>
  </cols>
  <sheetData>
    <row r="1" spans="1:5" ht="18.75">
      <c r="A1" s="101" t="s">
        <v>146</v>
      </c>
      <c r="E1" s="104" t="s">
        <v>150</v>
      </c>
    </row>
    <row r="3" spans="1:5">
      <c r="A3" s="110"/>
      <c r="B3" s="111"/>
      <c r="C3" s="110"/>
      <c r="D3" s="113"/>
      <c r="E3" s="111"/>
    </row>
    <row r="4" spans="1:5" ht="15.75">
      <c r="A4" s="67" t="str">
        <f ca="1">+KV_ÖSSZEFÜGGÉSEK!A5</f>
        <v>2020. évi előirányzat BEVÉTELEK</v>
      </c>
      <c r="B4" s="112"/>
      <c r="C4" s="120"/>
      <c r="D4" s="113"/>
      <c r="E4" s="111"/>
    </row>
    <row r="5" spans="1:5">
      <c r="A5" s="110"/>
      <c r="B5" s="111"/>
      <c r="C5" s="110"/>
      <c r="D5" s="113"/>
      <c r="E5" s="111"/>
    </row>
    <row r="6" spans="1:5">
      <c r="A6" s="110" t="s">
        <v>536</v>
      </c>
      <c r="B6" s="111">
        <f ca="1">+KV_1.1.sz.mell.!C67</f>
        <v>4121173918</v>
      </c>
      <c r="C6" s="110" t="s">
        <v>479</v>
      </c>
      <c r="D6" s="113">
        <f ca="1">+KV_2.1.sz.mell.!C18+KV_2.2.sz.mell.!C17</f>
        <v>4121173918</v>
      </c>
      <c r="E6" s="111">
        <f t="shared" ref="E6:E15" ca="1" si="0">+B6-D6</f>
        <v>0</v>
      </c>
    </row>
    <row r="7" spans="1:5">
      <c r="A7" s="110" t="s">
        <v>537</v>
      </c>
      <c r="B7" s="111">
        <f ca="1">+KV_1.1.sz.mell.!C91</f>
        <v>336700000</v>
      </c>
      <c r="C7" s="110" t="s">
        <v>480</v>
      </c>
      <c r="D7" s="113">
        <f ca="1">+KV_2.1.sz.mell.!C29+KV_2.2.sz.mell.!C30</f>
        <v>336700000</v>
      </c>
      <c r="E7" s="111">
        <f t="shared" ca="1" si="0"/>
        <v>0</v>
      </c>
    </row>
    <row r="8" spans="1:5">
      <c r="A8" s="110" t="s">
        <v>538</v>
      </c>
      <c r="B8" s="111">
        <f ca="1">+KV_1.1.sz.mell.!C92</f>
        <v>4457873918</v>
      </c>
      <c r="C8" s="110" t="s">
        <v>481</v>
      </c>
      <c r="D8" s="113">
        <f ca="1">+KV_2.1.sz.mell.!C30+KV_2.2.sz.mell.!C31</f>
        <v>4457873918</v>
      </c>
      <c r="E8" s="111">
        <f t="shared" ca="1" si="0"/>
        <v>0</v>
      </c>
    </row>
    <row r="9" spans="1:5">
      <c r="A9" s="110"/>
      <c r="B9" s="111"/>
      <c r="C9" s="110"/>
      <c r="D9" s="113"/>
      <c r="E9" s="111"/>
    </row>
    <row r="10" spans="1:5">
      <c r="A10" s="110"/>
      <c r="B10" s="111"/>
      <c r="C10" s="110"/>
      <c r="D10" s="113"/>
      <c r="E10" s="111"/>
    </row>
    <row r="11" spans="1:5" ht="15.75">
      <c r="A11" s="67" t="str">
        <f ca="1">+KV_ÖSSZEFÜGGÉSEK!A12</f>
        <v>2020. évi előirányzat KIADÁSOK</v>
      </c>
      <c r="B11" s="112"/>
      <c r="C11" s="120"/>
      <c r="D11" s="113"/>
      <c r="E11" s="111"/>
    </row>
    <row r="12" spans="1:5">
      <c r="A12" s="110"/>
      <c r="B12" s="111"/>
      <c r="C12" s="110"/>
      <c r="D12" s="113"/>
      <c r="E12" s="111"/>
    </row>
    <row r="13" spans="1:5">
      <c r="A13" s="110" t="s">
        <v>539</v>
      </c>
      <c r="B13" s="111">
        <f ca="1">+KV_1.1.sz.mell.!C133</f>
        <v>4457873918</v>
      </c>
      <c r="C13" s="110" t="s">
        <v>482</v>
      </c>
      <c r="D13" s="113">
        <f ca="1">+KV_2.1.sz.mell.!E18+KV_2.2.sz.mell.!E17</f>
        <v>4457873918</v>
      </c>
      <c r="E13" s="111">
        <f t="shared" ca="1" si="0"/>
        <v>0</v>
      </c>
    </row>
    <row r="14" spans="1:5">
      <c r="A14" s="110" t="s">
        <v>540</v>
      </c>
      <c r="B14" s="111">
        <f ca="1">+KV_1.1.sz.mell.!C158</f>
        <v>0</v>
      </c>
      <c r="C14" s="110" t="s">
        <v>483</v>
      </c>
      <c r="D14" s="113">
        <f ca="1">+KV_2.1.sz.mell.!E29+KV_2.2.sz.mell.!E30</f>
        <v>0</v>
      </c>
      <c r="E14" s="111">
        <f t="shared" ca="1" si="0"/>
        <v>0</v>
      </c>
    </row>
    <row r="15" spans="1:5">
      <c r="A15" s="110" t="s">
        <v>541</v>
      </c>
      <c r="B15" s="111">
        <f ca="1">+KV_1.1.sz.mell.!C159</f>
        <v>4457873918</v>
      </c>
      <c r="C15" s="110" t="s">
        <v>484</v>
      </c>
      <c r="D15" s="113">
        <f ca="1">+KV_2.1.sz.mell.!E30+KV_2.2.sz.mell.!E31</f>
        <v>4457873918</v>
      </c>
      <c r="E15" s="111">
        <f t="shared" ca="1" si="0"/>
        <v>0</v>
      </c>
    </row>
    <row r="16" spans="1:5">
      <c r="A16" s="102"/>
      <c r="B16" s="102"/>
      <c r="C16" s="110"/>
      <c r="D16" s="113"/>
      <c r="E16" s="103"/>
    </row>
    <row r="17" spans="1:5">
      <c r="A17" s="102"/>
      <c r="B17" s="102"/>
      <c r="C17" s="102"/>
      <c r="D17" s="102"/>
      <c r="E17" s="102"/>
    </row>
    <row r="18" spans="1:5">
      <c r="A18" s="102"/>
      <c r="B18" s="102"/>
      <c r="C18" s="102"/>
      <c r="D18" s="102"/>
      <c r="E18" s="102"/>
    </row>
    <row r="19" spans="1:5">
      <c r="A19" s="102"/>
      <c r="B19" s="102"/>
      <c r="C19" s="102"/>
      <c r="D19" s="102"/>
      <c r="E19" s="102"/>
    </row>
  </sheetData>
  <sheetProtection sheet="1"/>
  <phoneticPr fontId="29" type="noConversion"/>
  <conditionalFormatting sqref="E3:E15">
    <cfRule type="cellIs" dxfId="3" priority="1" stopIfTrue="1" operator="notEqual">
      <formula>0</formula>
    </cfRule>
  </conditionalFormatting>
  <pageMargins left="0.79" right="0.56999999999999995" top="0.88" bottom="0.66" header="0.5" footer="0.5"/>
  <pageSetup paperSize="9" scale="9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zoomScale="120" zoomScaleNormal="120" workbookViewId="0">
      <selection activeCell="D17" sqref="D17"/>
    </sheetView>
  </sheetViews>
  <sheetFormatPr defaultRowHeight="15"/>
  <cols>
    <col min="1" max="1" width="5.6640625" style="123" customWidth="1"/>
    <col min="2" max="2" width="35.6640625" style="123" customWidth="1"/>
    <col min="3" max="6" width="14" style="123" customWidth="1"/>
    <col min="7" max="16384" width="9.33203125" style="123"/>
  </cols>
  <sheetData>
    <row r="1" spans="1:7">
      <c r="A1" s="604"/>
      <c r="B1" s="604"/>
      <c r="C1" s="604"/>
      <c r="D1" s="604"/>
      <c r="E1" s="604"/>
      <c r="F1" s="604"/>
    </row>
    <row r="2" spans="1:7">
      <c r="A2" s="604"/>
      <c r="B2" s="758" t="str">
        <f ca="1">CONCATENATE("3. melléklet ",ALAPADATOK!A7," ",ALAPADATOK!B7," ",ALAPADATOK!C7," ",ALAPADATOK!D7," ",ALAPADATOK!E7," ",ALAPADATOK!F7," ",ALAPADATOK!G7," ",ALAPADATOK!H7)</f>
        <v>3. melléklet a 5 / 2020 ( (II.18.) ) önkormányzati rendelethez</v>
      </c>
      <c r="C2" s="758"/>
      <c r="D2" s="758"/>
      <c r="E2" s="758"/>
      <c r="F2" s="758"/>
    </row>
    <row r="3" spans="1:7">
      <c r="A3" s="604"/>
      <c r="B3" s="604"/>
      <c r="C3" s="604"/>
      <c r="D3" s="604"/>
      <c r="E3" s="604"/>
      <c r="F3" s="604"/>
    </row>
    <row r="4" spans="1:7" ht="33.200000000000003" customHeight="1">
      <c r="A4" s="772" t="str">
        <f ca="1">CONCATENATE(PROPER(ALAPADATOK!A3)," adósságot keletkeztető ügyletekből és kezességvállalásokból fennálló kötelezettségei")</f>
        <v>Dabas Város Önkormányzata adósságot keletkeztető ügyletekből és kezességvállalásokból fennálló kötelezettségei</v>
      </c>
      <c r="B4" s="772"/>
      <c r="C4" s="772"/>
      <c r="D4" s="772"/>
      <c r="E4" s="772"/>
      <c r="F4" s="772"/>
    </row>
    <row r="5" spans="1:7" ht="15.95" customHeight="1" thickBot="1">
      <c r="A5" s="605"/>
      <c r="B5" s="605"/>
      <c r="C5" s="773" t="s">
        <v>711</v>
      </c>
      <c r="D5" s="773"/>
      <c r="E5" s="780" t="str">
        <f ca="1">KV_2.2.sz.mell.!E2</f>
        <v/>
      </c>
      <c r="F5" s="780"/>
      <c r="G5" s="129"/>
    </row>
    <row r="6" spans="1:7" ht="63.2" customHeight="1">
      <c r="A6" s="776" t="s">
        <v>15</v>
      </c>
      <c r="B6" s="778" t="s">
        <v>192</v>
      </c>
      <c r="C6" s="778" t="s">
        <v>245</v>
      </c>
      <c r="D6" s="778"/>
      <c r="E6" s="778"/>
      <c r="F6" s="774" t="s">
        <v>494</v>
      </c>
    </row>
    <row r="7" spans="1:7" ht="15.75" thickBot="1">
      <c r="A7" s="777"/>
      <c r="B7" s="779"/>
      <c r="C7" s="432">
        <f ca="1">+LEFT(KV_ÖSSZEFÜGGÉSEK!A5,4)+1</f>
        <v>2021</v>
      </c>
      <c r="D7" s="432">
        <f ca="1">+C7+1</f>
        <v>2022</v>
      </c>
      <c r="E7" s="432">
        <f ca="1">+D7+1</f>
        <v>2023</v>
      </c>
      <c r="F7" s="775"/>
    </row>
    <row r="8" spans="1:7" ht="15.75" thickBot="1">
      <c r="A8" s="126"/>
      <c r="B8" s="127" t="s">
        <v>485</v>
      </c>
      <c r="C8" s="127" t="s">
        <v>486</v>
      </c>
      <c r="D8" s="127" t="s">
        <v>487</v>
      </c>
      <c r="E8" s="127" t="s">
        <v>489</v>
      </c>
      <c r="F8" s="128" t="s">
        <v>488</v>
      </c>
    </row>
    <row r="9" spans="1:7">
      <c r="A9" s="125" t="s">
        <v>17</v>
      </c>
      <c r="B9" s="142"/>
      <c r="C9" s="470"/>
      <c r="D9" s="470"/>
      <c r="E9" s="470"/>
      <c r="F9" s="471">
        <f>SUM(C9:E9)</f>
        <v>0</v>
      </c>
    </row>
    <row r="10" spans="1:7">
      <c r="A10" s="124" t="s">
        <v>18</v>
      </c>
      <c r="B10" s="143"/>
      <c r="C10" s="472"/>
      <c r="D10" s="472"/>
      <c r="E10" s="472"/>
      <c r="F10" s="473">
        <f>SUM(C10:E10)</f>
        <v>0</v>
      </c>
    </row>
    <row r="11" spans="1:7">
      <c r="A11" s="124" t="s">
        <v>19</v>
      </c>
      <c r="B11" s="143"/>
      <c r="C11" s="472"/>
      <c r="D11" s="472"/>
      <c r="E11" s="472"/>
      <c r="F11" s="473">
        <f>SUM(C11:E11)</f>
        <v>0</v>
      </c>
    </row>
    <row r="12" spans="1:7">
      <c r="A12" s="124" t="s">
        <v>20</v>
      </c>
      <c r="B12" s="143"/>
      <c r="C12" s="472"/>
      <c r="D12" s="472"/>
      <c r="E12" s="472"/>
      <c r="F12" s="473">
        <f>SUM(C12:E12)</f>
        <v>0</v>
      </c>
    </row>
    <row r="13" spans="1:7" ht="15.75" thickBot="1">
      <c r="A13" s="130" t="s">
        <v>21</v>
      </c>
      <c r="B13" s="144"/>
      <c r="C13" s="474"/>
      <c r="D13" s="474"/>
      <c r="E13" s="474"/>
      <c r="F13" s="473">
        <f>SUM(C13:E13)</f>
        <v>0</v>
      </c>
    </row>
    <row r="14" spans="1:7" s="425" customFormat="1" thickBot="1">
      <c r="A14" s="424" t="s">
        <v>22</v>
      </c>
      <c r="B14" s="131" t="s">
        <v>193</v>
      </c>
      <c r="C14" s="475">
        <f>SUM(C9:C13)</f>
        <v>0</v>
      </c>
      <c r="D14" s="475">
        <f>SUM(D9:D13)</f>
        <v>0</v>
      </c>
      <c r="E14" s="475">
        <f>SUM(E9:E13)</f>
        <v>0</v>
      </c>
      <c r="F14" s="476">
        <f>SUM(F9:F13)</f>
        <v>0</v>
      </c>
    </row>
  </sheetData>
  <sheetProtection sheet="1"/>
  <mergeCells count="8">
    <mergeCell ref="B2:F2"/>
    <mergeCell ref="A4:F4"/>
    <mergeCell ref="C5:D5"/>
    <mergeCell ref="F6:F7"/>
    <mergeCell ref="A6:A7"/>
    <mergeCell ref="B6:B7"/>
    <mergeCell ref="C6:E6"/>
    <mergeCell ref="E5:F5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0" sqref="C10"/>
    </sheetView>
  </sheetViews>
  <sheetFormatPr defaultRowHeight="15"/>
  <cols>
    <col min="1" max="1" width="5.6640625" style="123" customWidth="1"/>
    <col min="2" max="2" width="68.6640625" style="123" customWidth="1"/>
    <col min="3" max="3" width="19.5" style="123" customWidth="1"/>
    <col min="4" max="16384" width="9.33203125" style="123"/>
  </cols>
  <sheetData>
    <row r="1" spans="1:4">
      <c r="A1" s="604"/>
      <c r="B1" s="604"/>
      <c r="C1" s="604"/>
    </row>
    <row r="2" spans="1:4">
      <c r="A2" s="604"/>
      <c r="B2" s="758" t="str">
        <f ca="1">CONCATENATE("4. melléklet ",ALAPADATOK!A7," ",ALAPADATOK!B7," ",ALAPADATOK!C7," ",ALAPADATOK!D7," ",ALAPADATOK!E7," ",ALAPADATOK!F7," ",ALAPADATOK!G7," ",ALAPADATOK!H7)</f>
        <v>4. melléklet a 5 / 2020 ( (II.18.) ) önkormányzati rendelethez</v>
      </c>
      <c r="C2" s="758"/>
    </row>
    <row r="3" spans="1:4">
      <c r="A3" s="604"/>
      <c r="B3" s="604"/>
      <c r="C3" s="604"/>
    </row>
    <row r="4" spans="1:4" ht="54" customHeight="1">
      <c r="A4" s="781" t="str">
        <f ca="1">CONCATENATE(PROPER(ALAPADATOK!A3)," saját bevételeinek részletezése az adósságot keletkeztető ügyletből származó tárgyévi fizetési kötelezettség megállapításához")</f>
        <v>Dabas Város Önkormányzata saját bevételeinek részletezése az adósságot keletkeztető ügyletből származó tárgyévi fizetési kötelezettség megállapításához</v>
      </c>
      <c r="B4" s="781"/>
      <c r="C4" s="781"/>
    </row>
    <row r="5" spans="1:4" ht="15.95" customHeight="1" thickBot="1">
      <c r="A5" s="605"/>
      <c r="B5" s="605"/>
      <c r="C5" s="606" t="str">
        <f ca="1">KV_2.2.sz.mell.!E2</f>
        <v/>
      </c>
      <c r="D5" s="129"/>
    </row>
    <row r="6" spans="1:4" ht="26.45" customHeight="1" thickBot="1">
      <c r="A6" s="607" t="s">
        <v>15</v>
      </c>
      <c r="B6" s="608" t="s">
        <v>191</v>
      </c>
      <c r="C6" s="609" t="str">
        <f ca="1">+KV_1.1.sz.mell.!C8</f>
        <v>2020. évi előirányzat</v>
      </c>
    </row>
    <row r="7" spans="1:4" ht="15.75" thickBot="1">
      <c r="A7" s="145"/>
      <c r="B7" s="467" t="s">
        <v>485</v>
      </c>
      <c r="C7" s="468" t="s">
        <v>486</v>
      </c>
    </row>
    <row r="8" spans="1:4">
      <c r="A8" s="146" t="s">
        <v>17</v>
      </c>
      <c r="B8" s="314" t="s">
        <v>495</v>
      </c>
      <c r="C8" s="311">
        <v>1273000000</v>
      </c>
    </row>
    <row r="9" spans="1:4" ht="24.75">
      <c r="A9" s="147" t="s">
        <v>18</v>
      </c>
      <c r="B9" s="343" t="s">
        <v>242</v>
      </c>
      <c r="C9" s="312">
        <v>74100000</v>
      </c>
    </row>
    <row r="10" spans="1:4">
      <c r="A10" s="147" t="s">
        <v>19</v>
      </c>
      <c r="B10" s="344" t="s">
        <v>496</v>
      </c>
      <c r="C10" s="312"/>
    </row>
    <row r="11" spans="1:4" ht="24.75">
      <c r="A11" s="147" t="s">
        <v>20</v>
      </c>
      <c r="B11" s="344" t="s">
        <v>244</v>
      </c>
      <c r="C11" s="312"/>
    </row>
    <row r="12" spans="1:4">
      <c r="A12" s="148" t="s">
        <v>21</v>
      </c>
      <c r="B12" s="344" t="s">
        <v>243</v>
      </c>
      <c r="C12" s="313"/>
    </row>
    <row r="13" spans="1:4" ht="15.75" thickBot="1">
      <c r="A13" s="147" t="s">
        <v>22</v>
      </c>
      <c r="B13" s="345" t="s">
        <v>497</v>
      </c>
      <c r="C13" s="312"/>
    </row>
    <row r="14" spans="1:4" ht="15.75" thickBot="1">
      <c r="A14" s="782" t="s">
        <v>194</v>
      </c>
      <c r="B14" s="783"/>
      <c r="C14" s="149">
        <f>SUM(C8:C13)</f>
        <v>1347100000</v>
      </c>
    </row>
    <row r="15" spans="1:4" ht="23.25" customHeight="1">
      <c r="A15" s="784" t="s">
        <v>221</v>
      </c>
      <c r="B15" s="784"/>
      <c r="C15" s="784"/>
    </row>
  </sheetData>
  <sheetProtection sheet="1"/>
  <mergeCells count="4">
    <mergeCell ref="A4:C4"/>
    <mergeCell ref="A14:B14"/>
    <mergeCell ref="A15:C15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horizontalDpi="360" verticalDpi="36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Q28" sqref="Q28"/>
    </sheetView>
  </sheetViews>
  <sheetFormatPr defaultRowHeight="15"/>
  <cols>
    <col min="1" max="1" width="5.6640625" style="123" customWidth="1"/>
    <col min="2" max="2" width="66.83203125" style="123" customWidth="1"/>
    <col min="3" max="3" width="27" style="123" customWidth="1"/>
    <col min="4" max="16384" width="9.33203125" style="123"/>
  </cols>
  <sheetData>
    <row r="1" spans="1:4">
      <c r="A1" s="604"/>
      <c r="B1" s="604"/>
      <c r="C1" s="604"/>
    </row>
    <row r="2" spans="1:4">
      <c r="A2" s="604"/>
      <c r="B2" s="758" t="str">
        <f ca="1">CONCATENATE("5. melléklet ",ALAPADATOK!A7," ",ALAPADATOK!B7," ",ALAPADATOK!C7," ",ALAPADATOK!D7," ",ALAPADATOK!E7," ",ALAPADATOK!F7," ",ALAPADATOK!G7," ",ALAPADATOK!H7)</f>
        <v>5. melléklet a 5 / 2020 ( (II.18.) ) önkormányzati rendelethez</v>
      </c>
      <c r="C2" s="758"/>
    </row>
    <row r="3" spans="1:4">
      <c r="A3" s="604"/>
      <c r="B3" s="604"/>
      <c r="C3" s="604"/>
    </row>
    <row r="4" spans="1:4" ht="33.200000000000003" customHeight="1">
      <c r="A4" s="781" t="str">
        <f ca="1">CONCATENATE(PROPER(ALAPADATOK!A3)," ",ALAPADATOK!D7,". évi adósságot keletkeztető fejlesztési céljai")</f>
        <v>Dabas Város Önkormányzata 2020. évi adósságot keletkeztető fejlesztési céljai</v>
      </c>
      <c r="B4" s="781"/>
      <c r="C4" s="781"/>
    </row>
    <row r="5" spans="1:4" ht="15.95" customHeight="1" thickBot="1">
      <c r="A5" s="605"/>
      <c r="B5" s="605" t="s">
        <v>711</v>
      </c>
      <c r="C5" s="606" t="str">
        <f ca="1">KV_4.sz.mell.!C5</f>
        <v/>
      </c>
      <c r="D5" s="129"/>
    </row>
    <row r="6" spans="1:4" ht="26.45" customHeight="1" thickBot="1">
      <c r="A6" s="607" t="s">
        <v>15</v>
      </c>
      <c r="B6" s="608" t="s">
        <v>195</v>
      </c>
      <c r="C6" s="609" t="s">
        <v>220</v>
      </c>
    </row>
    <row r="7" spans="1:4" ht="15.75" thickBot="1">
      <c r="A7" s="145"/>
      <c r="B7" s="467" t="s">
        <v>485</v>
      </c>
      <c r="C7" s="468" t="s">
        <v>486</v>
      </c>
    </row>
    <row r="8" spans="1:4">
      <c r="A8" s="146" t="s">
        <v>17</v>
      </c>
      <c r="B8" s="153"/>
      <c r="C8" s="150"/>
    </row>
    <row r="9" spans="1:4">
      <c r="A9" s="147" t="s">
        <v>18</v>
      </c>
      <c r="B9" s="154"/>
      <c r="C9" s="151"/>
    </row>
    <row r="10" spans="1:4" ht="15.75" thickBot="1">
      <c r="A10" s="148" t="s">
        <v>19</v>
      </c>
      <c r="B10" s="155"/>
      <c r="C10" s="152"/>
    </row>
    <row r="11" spans="1:4" s="425" customFormat="1" ht="17.25" customHeight="1" thickBot="1">
      <c r="A11" s="426" t="s">
        <v>20</v>
      </c>
      <c r="B11" s="105" t="s">
        <v>679</v>
      </c>
      <c r="C11" s="149">
        <f>SUM(C8:C10)</f>
        <v>0</v>
      </c>
    </row>
    <row r="12" spans="1:4" ht="24.75" customHeight="1">
      <c r="A12" s="785" t="s">
        <v>678</v>
      </c>
      <c r="B12" s="785"/>
      <c r="C12" s="785"/>
    </row>
    <row r="15" spans="1:4" ht="15.75">
      <c r="B15" s="99"/>
    </row>
  </sheetData>
  <sheetProtection sheet="1"/>
  <mergeCells count="3">
    <mergeCell ref="A4:C4"/>
    <mergeCell ref="B2:C2"/>
    <mergeCell ref="A12:C1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D44"/>
  <sheetViews>
    <sheetView zoomScale="120" zoomScaleNormal="120" workbookViewId="0">
      <selection activeCell="A35" sqref="A35"/>
    </sheetView>
  </sheetViews>
  <sheetFormatPr defaultRowHeight="12.75"/>
  <cols>
    <col min="1" max="1" width="47.1640625" style="732" customWidth="1"/>
    <col min="2" max="3" width="16.6640625" style="703" customWidth="1"/>
    <col min="4" max="4" width="18.83203125" style="703" customWidth="1"/>
    <col min="5" max="6" width="12.83203125" style="703" customWidth="1"/>
    <col min="7" max="7" width="13.83203125" style="703" customWidth="1"/>
    <col min="8" max="16384" width="9.33203125" style="703"/>
  </cols>
  <sheetData>
    <row r="1" spans="1:4">
      <c r="A1" s="701"/>
      <c r="B1" s="702"/>
      <c r="C1" s="702"/>
      <c r="D1" s="702"/>
    </row>
    <row r="2" spans="1:4" ht="18" customHeight="1">
      <c r="A2" s="701"/>
      <c r="B2" s="786"/>
      <c r="C2" s="786"/>
      <c r="D2" s="786"/>
    </row>
    <row r="3" spans="1:4">
      <c r="A3" s="701"/>
      <c r="B3" s="702"/>
      <c r="C3" s="702"/>
      <c r="D3" s="702"/>
    </row>
    <row r="4" spans="1:4" ht="25.5" customHeight="1">
      <c r="A4" s="787" t="s">
        <v>0</v>
      </c>
      <c r="B4" s="787"/>
      <c r="C4" s="787"/>
      <c r="D4" s="787"/>
    </row>
    <row r="5" spans="1:4" ht="16.5" customHeight="1" thickBot="1">
      <c r="A5" s="701"/>
      <c r="B5" s="702"/>
      <c r="C5" s="702"/>
      <c r="D5" s="704" t="s">
        <v>662</v>
      </c>
    </row>
    <row r="6" spans="1:4" s="709" customFormat="1" ht="44.45" customHeight="1" thickBot="1">
      <c r="A6" s="705" t="s">
        <v>63</v>
      </c>
      <c r="B6" s="706" t="s">
        <v>763</v>
      </c>
      <c r="C6" s="707" t="s">
        <v>764</v>
      </c>
      <c r="D6" s="708" t="s">
        <v>765</v>
      </c>
    </row>
    <row r="7" spans="1:4" ht="12" customHeight="1" thickBot="1">
      <c r="A7" s="710" t="s">
        <v>485</v>
      </c>
      <c r="B7" s="711" t="s">
        <v>486</v>
      </c>
      <c r="C7" s="712" t="s">
        <v>487</v>
      </c>
      <c r="D7" s="713" t="s">
        <v>766</v>
      </c>
    </row>
    <row r="8" spans="1:4" ht="12" customHeight="1">
      <c r="A8" s="714" t="s">
        <v>710</v>
      </c>
      <c r="B8" s="715">
        <v>212087914</v>
      </c>
      <c r="C8" s="716">
        <v>-166187148</v>
      </c>
      <c r="D8" s="717">
        <f>B8+C8</f>
        <v>45900766</v>
      </c>
    </row>
    <row r="9" spans="1:4" ht="15.95" customHeight="1">
      <c r="A9" s="718" t="s">
        <v>695</v>
      </c>
      <c r="B9" s="719">
        <v>198768704</v>
      </c>
      <c r="C9" s="720"/>
      <c r="D9" s="721">
        <f t="shared" ref="D9:D40" si="0">B9+C9</f>
        <v>198768704</v>
      </c>
    </row>
    <row r="10" spans="1:4" ht="15.95" customHeight="1">
      <c r="A10" s="718" t="s">
        <v>693</v>
      </c>
      <c r="B10" s="719">
        <v>17000000</v>
      </c>
      <c r="C10" s="720"/>
      <c r="D10" s="721">
        <f t="shared" si="0"/>
        <v>17000000</v>
      </c>
    </row>
    <row r="11" spans="1:4" ht="15.95" customHeight="1">
      <c r="A11" s="718" t="s">
        <v>694</v>
      </c>
      <c r="B11" s="719">
        <v>12247589</v>
      </c>
      <c r="C11" s="720"/>
      <c r="D11" s="721">
        <f t="shared" si="0"/>
        <v>12247589</v>
      </c>
    </row>
    <row r="12" spans="1:4" ht="15.95" customHeight="1">
      <c r="A12" s="722" t="s">
        <v>696</v>
      </c>
      <c r="B12" s="719">
        <v>100000000</v>
      </c>
      <c r="C12" s="720">
        <v>-100000000</v>
      </c>
      <c r="D12" s="721">
        <f t="shared" si="0"/>
        <v>0</v>
      </c>
    </row>
    <row r="13" spans="1:4" ht="15.95" customHeight="1">
      <c r="A13" s="673" t="s">
        <v>697</v>
      </c>
      <c r="B13" s="719">
        <v>2527000</v>
      </c>
      <c r="C13" s="720"/>
      <c r="D13" s="721">
        <f t="shared" si="0"/>
        <v>2527000</v>
      </c>
    </row>
    <row r="14" spans="1:4" ht="15.95" customHeight="1">
      <c r="A14" s="722" t="s">
        <v>709</v>
      </c>
      <c r="B14" s="719">
        <v>14351000</v>
      </c>
      <c r="C14" s="720"/>
      <c r="D14" s="721">
        <f t="shared" si="0"/>
        <v>14351000</v>
      </c>
    </row>
    <row r="15" spans="1:4" ht="15.95" customHeight="1">
      <c r="A15" s="718" t="s">
        <v>698</v>
      </c>
      <c r="B15" s="719">
        <v>2265000</v>
      </c>
      <c r="C15" s="720"/>
      <c r="D15" s="721">
        <f t="shared" si="0"/>
        <v>2265000</v>
      </c>
    </row>
    <row r="16" spans="1:4" ht="15.95" customHeight="1">
      <c r="A16" s="718" t="s">
        <v>699</v>
      </c>
      <c r="B16" s="719">
        <v>1900000</v>
      </c>
      <c r="C16" s="720"/>
      <c r="D16" s="721">
        <f t="shared" si="0"/>
        <v>1900000</v>
      </c>
    </row>
    <row r="17" spans="1:4" ht="15.95" customHeight="1">
      <c r="A17" s="718" t="s">
        <v>700</v>
      </c>
      <c r="B17" s="719">
        <v>9000000</v>
      </c>
      <c r="C17" s="720"/>
      <c r="D17" s="721">
        <f t="shared" si="0"/>
        <v>9000000</v>
      </c>
    </row>
    <row r="18" spans="1:4" ht="15.95" customHeight="1">
      <c r="A18" s="718" t="s">
        <v>701</v>
      </c>
      <c r="B18" s="719">
        <v>11000000</v>
      </c>
      <c r="C18" s="720"/>
      <c r="D18" s="721">
        <f t="shared" si="0"/>
        <v>11000000</v>
      </c>
    </row>
    <row r="19" spans="1:4" ht="15.95" customHeight="1">
      <c r="A19" s="718" t="s">
        <v>702</v>
      </c>
      <c r="B19" s="719">
        <v>15000000</v>
      </c>
      <c r="C19" s="720"/>
      <c r="D19" s="721">
        <f t="shared" si="0"/>
        <v>15000000</v>
      </c>
    </row>
    <row r="20" spans="1:4" ht="15.95" customHeight="1">
      <c r="A20" s="718" t="s">
        <v>704</v>
      </c>
      <c r="B20" s="719">
        <v>13000000</v>
      </c>
      <c r="C20" s="720"/>
      <c r="D20" s="721">
        <f t="shared" si="0"/>
        <v>13000000</v>
      </c>
    </row>
    <row r="21" spans="1:4" ht="15.95" customHeight="1">
      <c r="A21" s="718" t="s">
        <v>703</v>
      </c>
      <c r="B21" s="719">
        <v>3000000</v>
      </c>
      <c r="C21" s="720"/>
      <c r="D21" s="721">
        <f t="shared" si="0"/>
        <v>3000000</v>
      </c>
    </row>
    <row r="22" spans="1:4" ht="15.95" customHeight="1">
      <c r="A22" s="718" t="s">
        <v>767</v>
      </c>
      <c r="B22" s="719"/>
      <c r="C22" s="720">
        <v>3629000</v>
      </c>
      <c r="D22" s="721">
        <f t="shared" si="0"/>
        <v>3629000</v>
      </c>
    </row>
    <row r="23" spans="1:4" ht="15.95" customHeight="1">
      <c r="A23" s="718" t="s">
        <v>768</v>
      </c>
      <c r="B23" s="719"/>
      <c r="C23" s="720">
        <v>1135380</v>
      </c>
      <c r="D23" s="721">
        <f t="shared" si="0"/>
        <v>1135380</v>
      </c>
    </row>
    <row r="24" spans="1:4" ht="15.95" customHeight="1">
      <c r="A24" s="718" t="s">
        <v>769</v>
      </c>
      <c r="B24" s="719"/>
      <c r="C24" s="720">
        <v>1232538</v>
      </c>
      <c r="D24" s="721">
        <f t="shared" si="0"/>
        <v>1232538</v>
      </c>
    </row>
    <row r="25" spans="1:4" ht="15.95" customHeight="1">
      <c r="A25" s="718" t="s">
        <v>770</v>
      </c>
      <c r="B25" s="719"/>
      <c r="C25" s="720">
        <v>119899</v>
      </c>
      <c r="D25" s="721">
        <f t="shared" si="0"/>
        <v>119899</v>
      </c>
    </row>
    <row r="26" spans="1:4" ht="15.95" customHeight="1">
      <c r="A26" s="718" t="s">
        <v>793</v>
      </c>
      <c r="B26" s="719"/>
      <c r="C26" s="720">
        <v>8177000</v>
      </c>
      <c r="D26" s="721">
        <f t="shared" si="0"/>
        <v>8177000</v>
      </c>
    </row>
    <row r="27" spans="1:4" ht="15.95" customHeight="1">
      <c r="A27" s="718" t="s">
        <v>771</v>
      </c>
      <c r="B27" s="719"/>
      <c r="C27" s="746">
        <v>970000</v>
      </c>
      <c r="D27" s="721">
        <f t="shared" si="0"/>
        <v>970000</v>
      </c>
    </row>
    <row r="28" spans="1:4" ht="15.95" customHeight="1">
      <c r="A28" s="718" t="s">
        <v>786</v>
      </c>
      <c r="B28" s="719"/>
      <c r="C28" s="746">
        <v>8310000</v>
      </c>
      <c r="D28" s="721">
        <f t="shared" si="0"/>
        <v>8310000</v>
      </c>
    </row>
    <row r="29" spans="1:4" ht="15.95" customHeight="1">
      <c r="A29" s="718" t="s">
        <v>787</v>
      </c>
      <c r="B29" s="719"/>
      <c r="C29" s="746">
        <v>1600000</v>
      </c>
      <c r="D29" s="721">
        <f t="shared" si="0"/>
        <v>1600000</v>
      </c>
    </row>
    <row r="30" spans="1:4" ht="15.95" customHeight="1">
      <c r="A30" s="718" t="s">
        <v>788</v>
      </c>
      <c r="B30" s="719"/>
      <c r="C30" s="746">
        <v>500000</v>
      </c>
      <c r="D30" s="721">
        <f t="shared" si="0"/>
        <v>500000</v>
      </c>
    </row>
    <row r="31" spans="1:4" ht="15.95" customHeight="1">
      <c r="A31" s="718" t="s">
        <v>789</v>
      </c>
      <c r="B31" s="719"/>
      <c r="C31" s="746">
        <v>150130</v>
      </c>
      <c r="D31" s="721">
        <f t="shared" si="0"/>
        <v>150130</v>
      </c>
    </row>
    <row r="32" spans="1:4" ht="15.95" customHeight="1">
      <c r="A32" s="723" t="s">
        <v>707</v>
      </c>
      <c r="B32" s="719"/>
      <c r="C32" s="720"/>
      <c r="D32" s="721">
        <f t="shared" si="0"/>
        <v>0</v>
      </c>
    </row>
    <row r="33" spans="1:4" ht="15.95" customHeight="1">
      <c r="A33" s="718" t="s">
        <v>705</v>
      </c>
      <c r="B33" s="719">
        <v>50000000</v>
      </c>
      <c r="C33" s="720"/>
      <c r="D33" s="721">
        <f t="shared" si="0"/>
        <v>50000000</v>
      </c>
    </row>
    <row r="34" spans="1:4" ht="15.95" customHeight="1">
      <c r="A34" s="718" t="s">
        <v>706</v>
      </c>
      <c r="B34" s="719">
        <v>70000000</v>
      </c>
      <c r="C34" s="720"/>
      <c r="D34" s="721">
        <f t="shared" si="0"/>
        <v>70000000</v>
      </c>
    </row>
    <row r="35" spans="1:4" ht="15.95" customHeight="1">
      <c r="A35" s="718" t="s">
        <v>708</v>
      </c>
      <c r="B35" s="719">
        <v>7500000</v>
      </c>
      <c r="C35" s="720"/>
      <c r="D35" s="721">
        <f t="shared" si="0"/>
        <v>7500000</v>
      </c>
    </row>
    <row r="36" spans="1:4" ht="15.95" customHeight="1">
      <c r="A36" s="723" t="s">
        <v>713</v>
      </c>
      <c r="B36" s="719"/>
      <c r="C36" s="720"/>
      <c r="D36" s="721">
        <f t="shared" si="0"/>
        <v>0</v>
      </c>
    </row>
    <row r="37" spans="1:4" ht="26.25" customHeight="1">
      <c r="A37" s="747" t="s">
        <v>792</v>
      </c>
      <c r="B37" s="719"/>
      <c r="C37" s="720">
        <v>2533185</v>
      </c>
      <c r="D37" s="721">
        <f t="shared" si="0"/>
        <v>2533185</v>
      </c>
    </row>
    <row r="38" spans="1:4" ht="15.95" customHeight="1">
      <c r="A38" s="718" t="s">
        <v>714</v>
      </c>
      <c r="B38" s="719">
        <v>12700000</v>
      </c>
      <c r="C38" s="720"/>
      <c r="D38" s="721">
        <f t="shared" si="0"/>
        <v>12700000</v>
      </c>
    </row>
    <row r="39" spans="1:4" ht="15.95" customHeight="1" thickBot="1">
      <c r="A39" s="724" t="s">
        <v>715</v>
      </c>
      <c r="B39" s="725">
        <v>4000000</v>
      </c>
      <c r="C39" s="726"/>
      <c r="D39" s="721">
        <f t="shared" si="0"/>
        <v>4000000</v>
      </c>
    </row>
    <row r="40" spans="1:4" s="731" customFormat="1" ht="18" customHeight="1" thickBot="1">
      <c r="A40" s="727" t="s">
        <v>62</v>
      </c>
      <c r="B40" s="728">
        <f>SUM(B8:B39)</f>
        <v>756347207</v>
      </c>
      <c r="C40" s="729">
        <f>SUM(C8:C39)</f>
        <v>-237830016</v>
      </c>
      <c r="D40" s="730">
        <f t="shared" si="0"/>
        <v>518517191</v>
      </c>
    </row>
    <row r="44" spans="1:4">
      <c r="D44" s="703">
        <f>B44+C44</f>
        <v>0</v>
      </c>
    </row>
  </sheetData>
  <mergeCells count="2">
    <mergeCell ref="B2:D2"/>
    <mergeCell ref="A4:D4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91" orientation="landscape" horizontalDpi="360" verticalDpi="36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IV27"/>
  <sheetViews>
    <sheetView zoomScale="120" zoomScaleNormal="120" workbookViewId="0">
      <selection activeCell="D25" sqref="D25"/>
    </sheetView>
  </sheetViews>
  <sheetFormatPr defaultColWidth="15.6640625" defaultRowHeight="12.75"/>
  <cols>
    <col min="1" max="1" width="60.6640625" style="732" customWidth="1"/>
    <col min="2" max="3" width="16.6640625" style="703" customWidth="1"/>
    <col min="4" max="4" width="18.83203125" style="703" customWidth="1"/>
    <col min="5" max="6" width="12.83203125" style="703" customWidth="1"/>
    <col min="7" max="7" width="13.83203125" style="703" customWidth="1"/>
    <col min="8" max="254" width="9.33203125" style="703" customWidth="1"/>
    <col min="255" max="255" width="60.6640625" style="703" customWidth="1"/>
    <col min="256" max="16384" width="15.6640625" style="703"/>
  </cols>
  <sheetData>
    <row r="1" spans="1:256">
      <c r="A1" s="701"/>
      <c r="B1" s="702"/>
      <c r="C1" s="702"/>
      <c r="D1" s="702"/>
    </row>
    <row r="2" spans="1:256" ht="15">
      <c r="A2" s="701"/>
      <c r="B2" s="788"/>
      <c r="C2" s="788"/>
      <c r="D2" s="788"/>
    </row>
    <row r="3" spans="1:256">
      <c r="A3" s="701"/>
      <c r="B3" s="702"/>
      <c r="C3" s="702"/>
      <c r="D3" s="702"/>
    </row>
    <row r="4" spans="1:256" ht="15.75">
      <c r="A4" s="787" t="s">
        <v>1</v>
      </c>
      <c r="B4" s="787"/>
      <c r="C4" s="787"/>
      <c r="D4" s="787"/>
    </row>
    <row r="5" spans="1:256" ht="13.5" thickBot="1">
      <c r="A5" s="701"/>
      <c r="B5" s="702"/>
      <c r="C5" s="702"/>
      <c r="D5" s="704" t="str">
        <f>[1]KV_6.sz.mell.!D5</f>
        <v>Forintban!</v>
      </c>
    </row>
    <row r="6" spans="1:256" ht="24.75" thickBot="1">
      <c r="A6" s="705" t="s">
        <v>64</v>
      </c>
      <c r="B6" s="706" t="str">
        <f>+[1]KV_6.sz.mell.!B6</f>
        <v>2020. Eredeti előirányzat</v>
      </c>
      <c r="C6" s="707" t="s">
        <v>772</v>
      </c>
      <c r="D6" s="733" t="s">
        <v>773</v>
      </c>
      <c r="E6" s="709"/>
      <c r="F6" s="709"/>
      <c r="G6" s="709"/>
      <c r="H6" s="709"/>
      <c r="I6" s="709"/>
      <c r="J6" s="709"/>
      <c r="K6" s="709"/>
      <c r="L6" s="709"/>
      <c r="M6" s="709"/>
      <c r="N6" s="709"/>
      <c r="O6" s="709"/>
      <c r="P6" s="709"/>
      <c r="Q6" s="709"/>
      <c r="R6" s="709"/>
      <c r="S6" s="709"/>
      <c r="T6" s="709"/>
      <c r="U6" s="709"/>
      <c r="V6" s="709"/>
      <c r="W6" s="709"/>
      <c r="X6" s="709"/>
      <c r="Y6" s="709"/>
      <c r="Z6" s="709"/>
      <c r="AA6" s="709"/>
      <c r="AB6" s="709"/>
      <c r="AC6" s="709"/>
      <c r="AD6" s="709"/>
      <c r="AE6" s="709"/>
      <c r="AF6" s="709"/>
      <c r="AG6" s="709"/>
      <c r="AH6" s="709"/>
      <c r="AI6" s="709"/>
      <c r="AJ6" s="709"/>
      <c r="AK6" s="709"/>
      <c r="AL6" s="709"/>
      <c r="AM6" s="709"/>
      <c r="AN6" s="709"/>
      <c r="AO6" s="709"/>
      <c r="AP6" s="709"/>
      <c r="AQ6" s="709"/>
      <c r="AR6" s="709"/>
      <c r="AS6" s="709"/>
      <c r="AT6" s="709"/>
      <c r="AU6" s="709"/>
      <c r="AV6" s="709"/>
      <c r="AW6" s="709"/>
      <c r="AX6" s="709"/>
      <c r="AY6" s="709"/>
      <c r="AZ6" s="709"/>
      <c r="BA6" s="709"/>
      <c r="BB6" s="709"/>
      <c r="BC6" s="709"/>
      <c r="BD6" s="709"/>
      <c r="BE6" s="709"/>
      <c r="BF6" s="709"/>
      <c r="BG6" s="709"/>
      <c r="BH6" s="709"/>
      <c r="BI6" s="709"/>
      <c r="BJ6" s="709"/>
      <c r="BK6" s="709"/>
      <c r="BL6" s="709"/>
      <c r="BM6" s="709"/>
      <c r="BN6" s="709"/>
      <c r="BO6" s="709"/>
      <c r="BP6" s="709"/>
      <c r="BQ6" s="709"/>
      <c r="BR6" s="709"/>
      <c r="BS6" s="709"/>
      <c r="BT6" s="709"/>
      <c r="BU6" s="709"/>
      <c r="BV6" s="709"/>
      <c r="BW6" s="709"/>
      <c r="BX6" s="709"/>
      <c r="BY6" s="709"/>
      <c r="BZ6" s="709"/>
      <c r="CA6" s="709"/>
      <c r="CB6" s="709"/>
      <c r="CC6" s="709"/>
      <c r="CD6" s="709"/>
      <c r="CE6" s="709"/>
      <c r="CF6" s="709"/>
      <c r="CG6" s="709"/>
      <c r="CH6" s="709"/>
      <c r="CI6" s="709"/>
      <c r="CJ6" s="709"/>
      <c r="CK6" s="709"/>
      <c r="CL6" s="709"/>
      <c r="CM6" s="709"/>
      <c r="CN6" s="709"/>
      <c r="CO6" s="709"/>
      <c r="CP6" s="709"/>
      <c r="CQ6" s="709"/>
      <c r="CR6" s="709"/>
      <c r="CS6" s="709"/>
      <c r="CT6" s="709"/>
      <c r="CU6" s="709"/>
      <c r="CV6" s="709"/>
      <c r="CW6" s="709"/>
      <c r="CX6" s="709"/>
      <c r="CY6" s="709"/>
      <c r="CZ6" s="709"/>
      <c r="DA6" s="709"/>
      <c r="DB6" s="709"/>
      <c r="DC6" s="709"/>
      <c r="DD6" s="709"/>
      <c r="DE6" s="709"/>
      <c r="DF6" s="709"/>
      <c r="DG6" s="709"/>
      <c r="DH6" s="709"/>
      <c r="DI6" s="709"/>
      <c r="DJ6" s="709"/>
      <c r="DK6" s="709"/>
      <c r="DL6" s="709"/>
      <c r="DM6" s="709"/>
      <c r="DN6" s="709"/>
      <c r="DO6" s="709"/>
      <c r="DP6" s="709"/>
      <c r="DQ6" s="709"/>
      <c r="DR6" s="709"/>
      <c r="DS6" s="709"/>
      <c r="DT6" s="709"/>
      <c r="DU6" s="709"/>
      <c r="DV6" s="709"/>
      <c r="DW6" s="709"/>
      <c r="DX6" s="709"/>
      <c r="DY6" s="709"/>
      <c r="DZ6" s="709"/>
      <c r="EA6" s="709"/>
      <c r="EB6" s="709"/>
      <c r="EC6" s="709"/>
      <c r="ED6" s="709"/>
      <c r="EE6" s="709"/>
      <c r="EF6" s="709"/>
      <c r="EG6" s="709"/>
      <c r="EH6" s="709"/>
      <c r="EI6" s="709"/>
      <c r="EJ6" s="709"/>
      <c r="EK6" s="709"/>
      <c r="EL6" s="709"/>
      <c r="EM6" s="709"/>
      <c r="EN6" s="709"/>
      <c r="EO6" s="709"/>
      <c r="EP6" s="709"/>
      <c r="EQ6" s="709"/>
      <c r="ER6" s="709"/>
      <c r="ES6" s="709"/>
      <c r="ET6" s="709"/>
      <c r="EU6" s="709"/>
      <c r="EV6" s="709"/>
      <c r="EW6" s="709"/>
      <c r="EX6" s="709"/>
      <c r="EY6" s="709"/>
      <c r="EZ6" s="709"/>
      <c r="FA6" s="709"/>
      <c r="FB6" s="709"/>
      <c r="FC6" s="709"/>
      <c r="FD6" s="709"/>
      <c r="FE6" s="709"/>
      <c r="FF6" s="709"/>
      <c r="FG6" s="709"/>
      <c r="FH6" s="709"/>
      <c r="FI6" s="709"/>
      <c r="FJ6" s="709"/>
      <c r="FK6" s="709"/>
      <c r="FL6" s="709"/>
      <c r="FM6" s="709"/>
      <c r="FN6" s="709"/>
      <c r="FO6" s="709"/>
      <c r="FP6" s="709"/>
      <c r="FQ6" s="709"/>
      <c r="FR6" s="709"/>
      <c r="FS6" s="709"/>
      <c r="FT6" s="709"/>
      <c r="FU6" s="709"/>
      <c r="FV6" s="709"/>
      <c r="FW6" s="709"/>
      <c r="FX6" s="709"/>
      <c r="FY6" s="709"/>
      <c r="FZ6" s="709"/>
      <c r="GA6" s="709"/>
      <c r="GB6" s="709"/>
      <c r="GC6" s="709"/>
      <c r="GD6" s="709"/>
      <c r="GE6" s="709"/>
      <c r="GF6" s="709"/>
      <c r="GG6" s="709"/>
      <c r="GH6" s="709"/>
      <c r="GI6" s="709"/>
      <c r="GJ6" s="709"/>
      <c r="GK6" s="709"/>
      <c r="GL6" s="709"/>
      <c r="GM6" s="709"/>
      <c r="GN6" s="709"/>
      <c r="GO6" s="709"/>
      <c r="GP6" s="709"/>
      <c r="GQ6" s="709"/>
      <c r="GR6" s="709"/>
      <c r="GS6" s="709"/>
      <c r="GT6" s="709"/>
      <c r="GU6" s="709"/>
      <c r="GV6" s="709"/>
      <c r="GW6" s="709"/>
      <c r="GX6" s="709"/>
      <c r="GY6" s="709"/>
      <c r="GZ6" s="709"/>
      <c r="HA6" s="709"/>
      <c r="HB6" s="709"/>
      <c r="HC6" s="709"/>
      <c r="HD6" s="709"/>
      <c r="HE6" s="709"/>
      <c r="HF6" s="709"/>
      <c r="HG6" s="709"/>
      <c r="HH6" s="709"/>
      <c r="HI6" s="709"/>
      <c r="HJ6" s="709"/>
      <c r="HK6" s="709"/>
      <c r="HL6" s="709"/>
      <c r="HM6" s="709"/>
      <c r="HN6" s="709"/>
      <c r="HO6" s="709"/>
      <c r="HP6" s="709"/>
      <c r="HQ6" s="709"/>
      <c r="HR6" s="709"/>
      <c r="HS6" s="709"/>
      <c r="HT6" s="709"/>
      <c r="HU6" s="709"/>
      <c r="HV6" s="709"/>
      <c r="HW6" s="709"/>
      <c r="HX6" s="709"/>
      <c r="HY6" s="709"/>
      <c r="HZ6" s="709"/>
      <c r="IA6" s="709"/>
      <c r="IB6" s="709"/>
      <c r="IC6" s="709"/>
      <c r="ID6" s="709"/>
      <c r="IE6" s="709"/>
      <c r="IF6" s="709"/>
      <c r="IG6" s="709"/>
      <c r="IH6" s="709"/>
      <c r="II6" s="709"/>
      <c r="IJ6" s="709"/>
      <c r="IK6" s="709"/>
      <c r="IL6" s="709"/>
      <c r="IM6" s="709"/>
      <c r="IN6" s="709"/>
      <c r="IO6" s="709"/>
      <c r="IP6" s="709"/>
      <c r="IQ6" s="709"/>
      <c r="IR6" s="709"/>
      <c r="IS6" s="709"/>
      <c r="IT6" s="709"/>
      <c r="IU6" s="709"/>
      <c r="IV6" s="709"/>
    </row>
    <row r="7" spans="1:256" ht="13.5" thickBot="1">
      <c r="A7" s="710" t="s">
        <v>485</v>
      </c>
      <c r="B7" s="711" t="s">
        <v>486</v>
      </c>
      <c r="C7" s="712" t="s">
        <v>487</v>
      </c>
      <c r="D7" s="734" t="s">
        <v>774</v>
      </c>
    </row>
    <row r="8" spans="1:256">
      <c r="A8" s="735" t="s">
        <v>688</v>
      </c>
      <c r="B8" s="736">
        <v>98284086</v>
      </c>
      <c r="C8" s="737"/>
      <c r="D8" s="738">
        <f>B8+C8</f>
        <v>98284086</v>
      </c>
    </row>
    <row r="9" spans="1:256">
      <c r="A9" s="735" t="s">
        <v>690</v>
      </c>
      <c r="B9" s="736">
        <v>57348938</v>
      </c>
      <c r="C9" s="737"/>
      <c r="D9" s="738">
        <f t="shared" ref="D9:D26" si="0">B9+C9</f>
        <v>57348938</v>
      </c>
    </row>
    <row r="10" spans="1:256">
      <c r="A10" s="735" t="s">
        <v>689</v>
      </c>
      <c r="B10" s="736">
        <v>24924588</v>
      </c>
      <c r="C10" s="737"/>
      <c r="D10" s="738">
        <f t="shared" si="0"/>
        <v>24924588</v>
      </c>
    </row>
    <row r="11" spans="1:256">
      <c r="A11" s="735" t="s">
        <v>691</v>
      </c>
      <c r="B11" s="736">
        <v>12000000</v>
      </c>
      <c r="C11" s="737"/>
      <c r="D11" s="738">
        <f t="shared" si="0"/>
        <v>12000000</v>
      </c>
    </row>
    <row r="12" spans="1:256">
      <c r="A12" s="735" t="s">
        <v>692</v>
      </c>
      <c r="B12" s="736">
        <v>50000000</v>
      </c>
      <c r="C12" s="737"/>
      <c r="D12" s="738">
        <f t="shared" si="0"/>
        <v>50000000</v>
      </c>
    </row>
    <row r="13" spans="1:256">
      <c r="A13" s="735" t="s">
        <v>782</v>
      </c>
      <c r="B13" s="736">
        <v>20000000</v>
      </c>
      <c r="C13" s="737">
        <v>2019661</v>
      </c>
      <c r="D13" s="738">
        <f t="shared" si="0"/>
        <v>22019661</v>
      </c>
    </row>
    <row r="14" spans="1:256">
      <c r="A14" s="735" t="s">
        <v>791</v>
      </c>
      <c r="B14" s="736"/>
      <c r="C14" s="737">
        <v>600000</v>
      </c>
      <c r="D14" s="738">
        <f t="shared" si="0"/>
        <v>600000</v>
      </c>
    </row>
    <row r="15" spans="1:256">
      <c r="A15" s="735" t="s">
        <v>790</v>
      </c>
      <c r="B15" s="736"/>
      <c r="C15" s="737">
        <v>126328</v>
      </c>
      <c r="D15" s="738">
        <f t="shared" si="0"/>
        <v>126328</v>
      </c>
    </row>
    <row r="16" spans="1:256">
      <c r="A16" s="735" t="s">
        <v>775</v>
      </c>
      <c r="B16" s="736"/>
      <c r="C16" s="737">
        <v>1299300</v>
      </c>
      <c r="D16" s="738">
        <f t="shared" si="0"/>
        <v>1299300</v>
      </c>
    </row>
    <row r="17" spans="1:256">
      <c r="A17" s="735" t="s">
        <v>776</v>
      </c>
      <c r="B17" s="736"/>
      <c r="C17" s="737">
        <v>337820</v>
      </c>
      <c r="D17" s="738">
        <f t="shared" si="0"/>
        <v>337820</v>
      </c>
    </row>
    <row r="18" spans="1:256">
      <c r="A18" s="735" t="s">
        <v>777</v>
      </c>
      <c r="B18" s="736"/>
      <c r="C18" s="737">
        <v>1848930</v>
      </c>
      <c r="D18" s="738">
        <f t="shared" si="0"/>
        <v>1848930</v>
      </c>
    </row>
    <row r="19" spans="1:256">
      <c r="A19" s="735" t="s">
        <v>778</v>
      </c>
      <c r="B19" s="736"/>
      <c r="C19" s="737">
        <v>2800350</v>
      </c>
      <c r="D19" s="738">
        <f t="shared" si="0"/>
        <v>2800350</v>
      </c>
    </row>
    <row r="20" spans="1:256">
      <c r="A20" s="735" t="s">
        <v>779</v>
      </c>
      <c r="B20" s="736"/>
      <c r="C20" s="737">
        <v>670000</v>
      </c>
      <c r="D20" s="738">
        <f t="shared" si="0"/>
        <v>670000</v>
      </c>
    </row>
    <row r="21" spans="1:256">
      <c r="A21" s="735"/>
      <c r="B21" s="736"/>
      <c r="C21" s="737"/>
      <c r="D21" s="738">
        <f t="shared" si="0"/>
        <v>0</v>
      </c>
    </row>
    <row r="22" spans="1:256">
      <c r="A22" s="735"/>
      <c r="B22" s="736"/>
      <c r="C22" s="737"/>
      <c r="D22" s="738">
        <f t="shared" si="0"/>
        <v>0</v>
      </c>
    </row>
    <row r="23" spans="1:256">
      <c r="A23" s="735"/>
      <c r="B23" s="736"/>
      <c r="C23" s="737"/>
      <c r="D23" s="738">
        <f t="shared" si="0"/>
        <v>0</v>
      </c>
    </row>
    <row r="24" spans="1:256">
      <c r="A24" s="735"/>
      <c r="B24" s="736"/>
      <c r="C24" s="737"/>
      <c r="D24" s="738">
        <f t="shared" si="0"/>
        <v>0</v>
      </c>
    </row>
    <row r="25" spans="1:256">
      <c r="A25" s="735"/>
      <c r="B25" s="736"/>
      <c r="C25" s="737"/>
      <c r="D25" s="738">
        <f t="shared" si="0"/>
        <v>0</v>
      </c>
    </row>
    <row r="26" spans="1:256" ht="13.5" thickBot="1">
      <c r="A26" s="739"/>
      <c r="B26" s="740"/>
      <c r="C26" s="741"/>
      <c r="D26" s="738">
        <f t="shared" si="0"/>
        <v>0</v>
      </c>
    </row>
    <row r="27" spans="1:256" ht="13.5" thickBot="1">
      <c r="A27" s="727" t="s">
        <v>62</v>
      </c>
      <c r="B27" s="742">
        <f>SUM(B8:B26)</f>
        <v>262557612</v>
      </c>
      <c r="C27" s="743">
        <f>SUM(C8:C26)</f>
        <v>9702389</v>
      </c>
      <c r="D27" s="744">
        <f>SUM(D8:D26)</f>
        <v>272260001</v>
      </c>
      <c r="E27" s="731"/>
      <c r="F27" s="731"/>
      <c r="G27" s="731"/>
      <c r="H27" s="731"/>
      <c r="I27" s="731"/>
      <c r="J27" s="731"/>
      <c r="K27" s="731"/>
      <c r="L27" s="731"/>
      <c r="M27" s="731"/>
      <c r="N27" s="731"/>
      <c r="O27" s="731"/>
      <c r="P27" s="731"/>
      <c r="Q27" s="731"/>
      <c r="R27" s="731"/>
      <c r="S27" s="731"/>
      <c r="T27" s="731"/>
      <c r="U27" s="731"/>
      <c r="V27" s="731"/>
      <c r="W27" s="731"/>
      <c r="X27" s="731"/>
      <c r="Y27" s="731"/>
      <c r="Z27" s="731"/>
      <c r="AA27" s="731"/>
      <c r="AB27" s="731"/>
      <c r="AC27" s="731"/>
      <c r="AD27" s="731"/>
      <c r="AE27" s="731"/>
      <c r="AF27" s="731"/>
      <c r="AG27" s="731"/>
      <c r="AH27" s="731"/>
      <c r="AI27" s="731"/>
      <c r="AJ27" s="731"/>
      <c r="AK27" s="731"/>
      <c r="AL27" s="731"/>
      <c r="AM27" s="731"/>
      <c r="AN27" s="731"/>
      <c r="AO27" s="731"/>
      <c r="AP27" s="731"/>
      <c r="AQ27" s="731"/>
      <c r="AR27" s="731"/>
      <c r="AS27" s="731"/>
      <c r="AT27" s="731"/>
      <c r="AU27" s="731"/>
      <c r="AV27" s="731"/>
      <c r="AW27" s="731"/>
      <c r="AX27" s="731"/>
      <c r="AY27" s="731"/>
      <c r="AZ27" s="731"/>
      <c r="BA27" s="731"/>
      <c r="BB27" s="731"/>
      <c r="BC27" s="731"/>
      <c r="BD27" s="731"/>
      <c r="BE27" s="731"/>
      <c r="BF27" s="731"/>
      <c r="BG27" s="731"/>
      <c r="BH27" s="731"/>
      <c r="BI27" s="731"/>
      <c r="BJ27" s="731"/>
      <c r="BK27" s="731"/>
      <c r="BL27" s="731"/>
      <c r="BM27" s="731"/>
      <c r="BN27" s="731"/>
      <c r="BO27" s="731"/>
      <c r="BP27" s="731"/>
      <c r="BQ27" s="731"/>
      <c r="BR27" s="731"/>
      <c r="BS27" s="731"/>
      <c r="BT27" s="731"/>
      <c r="BU27" s="731"/>
      <c r="BV27" s="731"/>
      <c r="BW27" s="731"/>
      <c r="BX27" s="731"/>
      <c r="BY27" s="731"/>
      <c r="BZ27" s="731"/>
      <c r="CA27" s="731"/>
      <c r="CB27" s="731"/>
      <c r="CC27" s="731"/>
      <c r="CD27" s="731"/>
      <c r="CE27" s="731"/>
      <c r="CF27" s="731"/>
      <c r="CG27" s="731"/>
      <c r="CH27" s="731"/>
      <c r="CI27" s="731"/>
      <c r="CJ27" s="731"/>
      <c r="CK27" s="731"/>
      <c r="CL27" s="731"/>
      <c r="CM27" s="731"/>
      <c r="CN27" s="731"/>
      <c r="CO27" s="731"/>
      <c r="CP27" s="731"/>
      <c r="CQ27" s="731"/>
      <c r="CR27" s="731"/>
      <c r="CS27" s="731"/>
      <c r="CT27" s="731"/>
      <c r="CU27" s="731"/>
      <c r="CV27" s="731"/>
      <c r="CW27" s="731"/>
      <c r="CX27" s="731"/>
      <c r="CY27" s="731"/>
      <c r="CZ27" s="731"/>
      <c r="DA27" s="731"/>
      <c r="DB27" s="731"/>
      <c r="DC27" s="731"/>
      <c r="DD27" s="731"/>
      <c r="DE27" s="731"/>
      <c r="DF27" s="731"/>
      <c r="DG27" s="731"/>
      <c r="DH27" s="731"/>
      <c r="DI27" s="731"/>
      <c r="DJ27" s="731"/>
      <c r="DK27" s="731"/>
      <c r="DL27" s="731"/>
      <c r="DM27" s="731"/>
      <c r="DN27" s="731"/>
      <c r="DO27" s="731"/>
      <c r="DP27" s="731"/>
      <c r="DQ27" s="731"/>
      <c r="DR27" s="731"/>
      <c r="DS27" s="731"/>
      <c r="DT27" s="731"/>
      <c r="DU27" s="731"/>
      <c r="DV27" s="731"/>
      <c r="DW27" s="731"/>
      <c r="DX27" s="731"/>
      <c r="DY27" s="731"/>
      <c r="DZ27" s="731"/>
      <c r="EA27" s="731"/>
      <c r="EB27" s="731"/>
      <c r="EC27" s="731"/>
      <c r="ED27" s="731"/>
      <c r="EE27" s="731"/>
      <c r="EF27" s="731"/>
      <c r="EG27" s="731"/>
      <c r="EH27" s="731"/>
      <c r="EI27" s="731"/>
      <c r="EJ27" s="731"/>
      <c r="EK27" s="731"/>
      <c r="EL27" s="731"/>
      <c r="EM27" s="731"/>
      <c r="EN27" s="731"/>
      <c r="EO27" s="731"/>
      <c r="EP27" s="731"/>
      <c r="EQ27" s="731"/>
      <c r="ER27" s="731"/>
      <c r="ES27" s="731"/>
      <c r="ET27" s="731"/>
      <c r="EU27" s="731"/>
      <c r="EV27" s="731"/>
      <c r="EW27" s="731"/>
      <c r="EX27" s="731"/>
      <c r="EY27" s="731"/>
      <c r="EZ27" s="731"/>
      <c r="FA27" s="731"/>
      <c r="FB27" s="731"/>
      <c r="FC27" s="731"/>
      <c r="FD27" s="731"/>
      <c r="FE27" s="731"/>
      <c r="FF27" s="731"/>
      <c r="FG27" s="731"/>
      <c r="FH27" s="731"/>
      <c r="FI27" s="731"/>
      <c r="FJ27" s="731"/>
      <c r="FK27" s="731"/>
      <c r="FL27" s="731"/>
      <c r="FM27" s="731"/>
      <c r="FN27" s="731"/>
      <c r="FO27" s="731"/>
      <c r="FP27" s="731"/>
      <c r="FQ27" s="731"/>
      <c r="FR27" s="731"/>
      <c r="FS27" s="731"/>
      <c r="FT27" s="731"/>
      <c r="FU27" s="731"/>
      <c r="FV27" s="731"/>
      <c r="FW27" s="731"/>
      <c r="FX27" s="731"/>
      <c r="FY27" s="731"/>
      <c r="FZ27" s="731"/>
      <c r="GA27" s="731"/>
      <c r="GB27" s="731"/>
      <c r="GC27" s="731"/>
      <c r="GD27" s="731"/>
      <c r="GE27" s="731"/>
      <c r="GF27" s="731"/>
      <c r="GG27" s="731"/>
      <c r="GH27" s="731"/>
      <c r="GI27" s="731"/>
      <c r="GJ27" s="731"/>
      <c r="GK27" s="731"/>
      <c r="GL27" s="731"/>
      <c r="GM27" s="731"/>
      <c r="GN27" s="731"/>
      <c r="GO27" s="731"/>
      <c r="GP27" s="731"/>
      <c r="GQ27" s="731"/>
      <c r="GR27" s="731"/>
      <c r="GS27" s="731"/>
      <c r="GT27" s="731"/>
      <c r="GU27" s="731"/>
      <c r="GV27" s="731"/>
      <c r="GW27" s="731"/>
      <c r="GX27" s="731"/>
      <c r="GY27" s="731"/>
      <c r="GZ27" s="731"/>
      <c r="HA27" s="731"/>
      <c r="HB27" s="731"/>
      <c r="HC27" s="731"/>
      <c r="HD27" s="731"/>
      <c r="HE27" s="731"/>
      <c r="HF27" s="731"/>
      <c r="HG27" s="731"/>
      <c r="HH27" s="731"/>
      <c r="HI27" s="731"/>
      <c r="HJ27" s="731"/>
      <c r="HK27" s="731"/>
      <c r="HL27" s="731"/>
      <c r="HM27" s="731"/>
      <c r="HN27" s="731"/>
      <c r="HO27" s="731"/>
      <c r="HP27" s="731"/>
      <c r="HQ27" s="731"/>
      <c r="HR27" s="731"/>
      <c r="HS27" s="731"/>
      <c r="HT27" s="731"/>
      <c r="HU27" s="731"/>
      <c r="HV27" s="731"/>
      <c r="HW27" s="731"/>
      <c r="HX27" s="731"/>
      <c r="HY27" s="731"/>
      <c r="HZ27" s="731"/>
      <c r="IA27" s="731"/>
      <c r="IB27" s="731"/>
      <c r="IC27" s="731"/>
      <c r="ID27" s="731"/>
      <c r="IE27" s="731"/>
      <c r="IF27" s="731"/>
      <c r="IG27" s="731"/>
      <c r="IH27" s="731"/>
      <c r="II27" s="731"/>
      <c r="IJ27" s="731"/>
      <c r="IK27" s="731"/>
      <c r="IL27" s="731"/>
      <c r="IM27" s="731"/>
      <c r="IN27" s="731"/>
      <c r="IO27" s="731"/>
      <c r="IP27" s="731"/>
      <c r="IQ27" s="731"/>
      <c r="IR27" s="731"/>
      <c r="IS27" s="731"/>
      <c r="IT27" s="731"/>
      <c r="IU27" s="731"/>
      <c r="IV27" s="731"/>
    </row>
  </sheetData>
  <mergeCells count="2">
    <mergeCell ref="B2:D2"/>
    <mergeCell ref="A4:D4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9" scale="95" orientation="landscape" horizontalDpi="360" verticalDpi="360" r:id="rId1"/>
  <headerFooter alignWithMargins="0">
    <oddHeader xml:space="preserve">&amp;R&amp;"Times New Roman CE,Félkövér dőlt"&amp;12 &amp;11 7. melléklet a ……/2018. (….) önkormányzati rendelethez&amp;"Times New Roman CE,Normál"&amp;10
  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F32"/>
  <sheetViews>
    <sheetView zoomScale="120" zoomScaleNormal="120" workbookViewId="0">
      <selection activeCell="G22" sqref="G22"/>
    </sheetView>
  </sheetViews>
  <sheetFormatPr defaultRowHeight="12.75"/>
  <cols>
    <col min="1" max="1" width="38.6640625" style="40" customWidth="1"/>
    <col min="2" max="2" width="17.6640625" style="40" customWidth="1"/>
    <col min="3" max="3" width="19" style="40" customWidth="1"/>
    <col min="4" max="4" width="18.33203125" style="40" customWidth="1"/>
    <col min="5" max="5" width="18.83203125" style="40" customWidth="1"/>
    <col min="6" max="6" width="5" style="40" bestFit="1" customWidth="1"/>
    <col min="7" max="16384" width="9.33203125" style="40"/>
  </cols>
  <sheetData>
    <row r="1" spans="1:6">
      <c r="F1" s="803" t="str">
        <f ca="1">CONCATENATE("8. melléklet ",ALAPADATOK!A7," ",ALAPADATOK!B7," ",ALAPADATOK!C7," ",ALAPADATOK!D7," ",ALAPADATOK!E7," ",ALAPADATOK!F7," ",ALAPADATOK!G7," ",ALAPADATOK!H7)</f>
        <v>8. melléklet a 5 / 2020 ( (II.18.) ) önkormányzati rendelethez</v>
      </c>
    </row>
    <row r="2" spans="1:6" ht="15.75">
      <c r="A2" s="816" t="s">
        <v>672</v>
      </c>
      <c r="B2" s="816"/>
      <c r="C2" s="816"/>
      <c r="D2" s="816"/>
      <c r="E2" s="816"/>
      <c r="F2" s="803"/>
    </row>
    <row r="3" spans="1:6" ht="13.5" thickBot="1">
      <c r="A3" s="640"/>
      <c r="B3" s="640"/>
      <c r="C3" s="640"/>
      <c r="D3" s="640"/>
      <c r="E3" s="641" t="e">
        <f ca="1">KV_7.sz.mell.!#REF!</f>
        <v>#REF!</v>
      </c>
      <c r="F3" s="803"/>
    </row>
    <row r="4" spans="1:6" ht="13.5" thickBot="1">
      <c r="A4" s="817" t="s">
        <v>134</v>
      </c>
      <c r="B4" s="818"/>
      <c r="C4" s="818"/>
      <c r="D4" s="818"/>
      <c r="E4" s="643" t="s">
        <v>54</v>
      </c>
      <c r="F4" s="803"/>
    </row>
    <row r="5" spans="1:6">
      <c r="A5" s="789"/>
      <c r="B5" s="790"/>
      <c r="C5" s="790"/>
      <c r="D5" s="790"/>
      <c r="E5" s="644"/>
      <c r="F5" s="803"/>
    </row>
    <row r="6" spans="1:6" ht="13.5" thickBot="1">
      <c r="A6" s="791"/>
      <c r="B6" s="792"/>
      <c r="C6" s="792"/>
      <c r="D6" s="792"/>
      <c r="E6" s="645"/>
      <c r="F6" s="803"/>
    </row>
    <row r="7" spans="1:6" ht="13.5" customHeight="1" thickBot="1">
      <c r="A7" s="793" t="s">
        <v>673</v>
      </c>
      <c r="B7" s="794"/>
      <c r="C7" s="794"/>
      <c r="D7" s="794"/>
      <c r="E7" s="646">
        <f>SUM(E5:E6)</f>
        <v>0</v>
      </c>
      <c r="F7" s="803"/>
    </row>
    <row r="8" spans="1:6" ht="13.5" customHeight="1">
      <c r="A8" s="649"/>
      <c r="B8" s="649"/>
      <c r="C8" s="649"/>
      <c r="D8" s="649"/>
      <c r="E8" s="650"/>
      <c r="F8" s="803"/>
    </row>
    <row r="9" spans="1:6" ht="15.75">
      <c r="A9" s="796" t="s">
        <v>660</v>
      </c>
      <c r="B9" s="796"/>
      <c r="C9" s="796"/>
      <c r="D9" s="796"/>
      <c r="E9" s="796"/>
      <c r="F9" s="803"/>
    </row>
    <row r="10" spans="1:6" ht="15.75">
      <c r="A10" s="810" t="s">
        <v>680</v>
      </c>
      <c r="B10" s="811"/>
      <c r="C10" s="811"/>
      <c r="D10" s="811"/>
      <c r="E10" s="811"/>
      <c r="F10" s="803"/>
    </row>
    <row r="11" spans="1:6" ht="14.25" customHeight="1">
      <c r="A11" s="797" t="s">
        <v>674</v>
      </c>
      <c r="B11" s="797"/>
      <c r="C11" s="798" t="s">
        <v>711</v>
      </c>
      <c r="D11" s="799"/>
      <c r="E11" s="799"/>
      <c r="F11" s="803"/>
    </row>
    <row r="12" spans="1:6" ht="15.75" thickBot="1">
      <c r="A12" s="626"/>
      <c r="B12" s="626"/>
      <c r="C12" s="626"/>
      <c r="D12" s="626"/>
      <c r="E12" s="665" t="e">
        <f ca="1">$E$3</f>
        <v>#REF!</v>
      </c>
      <c r="F12" s="803"/>
    </row>
    <row r="13" spans="1:6" ht="13.5" customHeight="1" thickBot="1">
      <c r="A13" s="800" t="s">
        <v>128</v>
      </c>
      <c r="B13" s="804" t="s">
        <v>669</v>
      </c>
      <c r="C13" s="805"/>
      <c r="D13" s="805"/>
      <c r="E13" s="806"/>
      <c r="F13" s="803"/>
    </row>
    <row r="14" spans="1:6" ht="13.5" customHeight="1" thickBot="1">
      <c r="A14" s="801"/>
      <c r="B14" s="807" t="s">
        <v>681</v>
      </c>
      <c r="C14" s="812" t="s">
        <v>670</v>
      </c>
      <c r="D14" s="813"/>
      <c r="E14" s="814"/>
      <c r="F14" s="803"/>
    </row>
    <row r="15" spans="1:6" ht="12.75" customHeight="1">
      <c r="A15" s="801"/>
      <c r="B15" s="808"/>
      <c r="C15" s="807" t="str">
        <f ca="1">CONCATENATE(TARTALOMJEGYZÉK!$A$1,". előtti tervezett forrás, kiadás")</f>
        <v>2020. előtti tervezett forrás, kiadás</v>
      </c>
      <c r="D15" s="807" t="str">
        <f ca="1">CONCATENATE(TARTALOMJEGYZÉK!$A$1,". évi eredeti előirányzat")</f>
        <v>2020. évi eredeti előirányzat</v>
      </c>
      <c r="E15" s="807" t="str">
        <f ca="1">CONCATENATE(TARTALOMJEGYZÉK!$A$1,". év utáni tervezett forrás, kiadás")</f>
        <v>2020. év utáni tervezett forrás, kiadás</v>
      </c>
      <c r="F15" s="803"/>
    </row>
    <row r="16" spans="1:6" ht="23.25" customHeight="1" thickBot="1">
      <c r="A16" s="802"/>
      <c r="B16" s="809"/>
      <c r="C16" s="815"/>
      <c r="D16" s="815"/>
      <c r="E16" s="809"/>
      <c r="F16" s="803"/>
    </row>
    <row r="17" spans="1:6" ht="13.5" thickBot="1">
      <c r="A17" s="627" t="s">
        <v>485</v>
      </c>
      <c r="B17" s="628" t="s">
        <v>671</v>
      </c>
      <c r="C17" s="629" t="s">
        <v>487</v>
      </c>
      <c r="D17" s="630" t="s">
        <v>489</v>
      </c>
      <c r="E17" s="631" t="s">
        <v>488</v>
      </c>
      <c r="F17" s="803"/>
    </row>
    <row r="18" spans="1:6">
      <c r="A18" s="632" t="s">
        <v>129</v>
      </c>
      <c r="B18" s="652">
        <f>C18+D18+E18</f>
        <v>0</v>
      </c>
      <c r="C18" s="653"/>
      <c r="D18" s="653"/>
      <c r="E18" s="654"/>
      <c r="F18" s="803"/>
    </row>
    <row r="19" spans="1:6">
      <c r="A19" s="633" t="s">
        <v>140</v>
      </c>
      <c r="B19" s="655">
        <f t="shared" ref="B19:B29" si="0">C19+D19+E19</f>
        <v>0</v>
      </c>
      <c r="C19" s="656"/>
      <c r="D19" s="656"/>
      <c r="E19" s="656"/>
      <c r="F19" s="803"/>
    </row>
    <row r="20" spans="1:6">
      <c r="A20" s="634" t="s">
        <v>130</v>
      </c>
      <c r="B20" s="657">
        <f t="shared" si="0"/>
        <v>0</v>
      </c>
      <c r="C20" s="658"/>
      <c r="D20" s="658"/>
      <c r="E20" s="658"/>
      <c r="F20" s="803"/>
    </row>
    <row r="21" spans="1:6">
      <c r="A21" s="634" t="s">
        <v>142</v>
      </c>
      <c r="B21" s="657">
        <f t="shared" si="0"/>
        <v>0</v>
      </c>
      <c r="C21" s="658"/>
      <c r="D21" s="658"/>
      <c r="E21" s="658"/>
      <c r="F21" s="803"/>
    </row>
    <row r="22" spans="1:6">
      <c r="A22" s="634" t="s">
        <v>131</v>
      </c>
      <c r="B22" s="657">
        <f t="shared" si="0"/>
        <v>0</v>
      </c>
      <c r="C22" s="658"/>
      <c r="D22" s="658"/>
      <c r="E22" s="658"/>
      <c r="F22" s="803"/>
    </row>
    <row r="23" spans="1:6" ht="13.5" thickBot="1">
      <c r="A23" s="634" t="s">
        <v>132</v>
      </c>
      <c r="B23" s="657">
        <f t="shared" si="0"/>
        <v>0</v>
      </c>
      <c r="C23" s="658"/>
      <c r="D23" s="658"/>
      <c r="E23" s="658"/>
      <c r="F23" s="803"/>
    </row>
    <row r="24" spans="1:6" ht="13.5" thickBot="1">
      <c r="A24" s="635" t="s">
        <v>133</v>
      </c>
      <c r="B24" s="659">
        <f>B18+SUM(B20:B23)</f>
        <v>0</v>
      </c>
      <c r="C24" s="660">
        <f>C18+SUM(C20:C23)</f>
        <v>0</v>
      </c>
      <c r="D24" s="660">
        <f>D18+SUM(D20:D23)</f>
        <v>0</v>
      </c>
      <c r="E24" s="661">
        <f>E18+SUM(E20:E23)</f>
        <v>0</v>
      </c>
      <c r="F24" s="803"/>
    </row>
    <row r="25" spans="1:6">
      <c r="A25" s="636" t="s">
        <v>136</v>
      </c>
      <c r="B25" s="652">
        <f t="shared" si="0"/>
        <v>0</v>
      </c>
      <c r="C25" s="653"/>
      <c r="D25" s="653"/>
      <c r="E25" s="654"/>
      <c r="F25" s="803"/>
    </row>
    <row r="26" spans="1:6">
      <c r="A26" s="637" t="s">
        <v>137</v>
      </c>
      <c r="B26" s="657">
        <f t="shared" si="0"/>
        <v>0</v>
      </c>
      <c r="C26" s="658"/>
      <c r="D26" s="658"/>
      <c r="E26" s="658"/>
      <c r="F26" s="803"/>
    </row>
    <row r="27" spans="1:6">
      <c r="A27" s="637" t="s">
        <v>138</v>
      </c>
      <c r="B27" s="657">
        <f t="shared" si="0"/>
        <v>0</v>
      </c>
      <c r="C27" s="658"/>
      <c r="D27" s="658"/>
      <c r="E27" s="658"/>
      <c r="F27" s="803"/>
    </row>
    <row r="28" spans="1:6">
      <c r="A28" s="637" t="s">
        <v>139</v>
      </c>
      <c r="B28" s="657">
        <f t="shared" si="0"/>
        <v>0</v>
      </c>
      <c r="C28" s="658"/>
      <c r="D28" s="658"/>
      <c r="E28" s="658"/>
      <c r="F28" s="803"/>
    </row>
    <row r="29" spans="1:6" ht="13.5" thickBot="1">
      <c r="A29" s="638"/>
      <c r="B29" s="662">
        <f t="shared" si="0"/>
        <v>0</v>
      </c>
      <c r="C29" s="663"/>
      <c r="D29" s="663"/>
      <c r="E29" s="664"/>
      <c r="F29" s="803"/>
    </row>
    <row r="30" spans="1:6" ht="13.5" thickBot="1">
      <c r="A30" s="639" t="s">
        <v>107</v>
      </c>
      <c r="B30" s="659">
        <f>SUM(B25:B29)</f>
        <v>0</v>
      </c>
      <c r="C30" s="660">
        <f>SUM(C25:C29)</f>
        <v>0</v>
      </c>
      <c r="D30" s="660">
        <f>SUM(D25:D29)</f>
        <v>0</v>
      </c>
      <c r="E30" s="661">
        <f>SUM(E25:E29)</f>
        <v>0</v>
      </c>
      <c r="F30" s="803"/>
    </row>
    <row r="31" spans="1:6" ht="12.75" customHeight="1">
      <c r="A31" s="795" t="s">
        <v>675</v>
      </c>
      <c r="B31" s="795"/>
      <c r="C31" s="795"/>
      <c r="D31" s="795"/>
      <c r="E31" s="795"/>
      <c r="F31" s="803"/>
    </row>
    <row r="32" spans="1:6">
      <c r="A32" s="642"/>
      <c r="B32" s="642"/>
      <c r="C32" s="642"/>
      <c r="D32" s="642"/>
      <c r="E32" s="642"/>
      <c r="F32" s="647"/>
    </row>
  </sheetData>
  <mergeCells count="18">
    <mergeCell ref="F1:F31"/>
    <mergeCell ref="B13:E13"/>
    <mergeCell ref="B14:B16"/>
    <mergeCell ref="A10:E10"/>
    <mergeCell ref="C14:E14"/>
    <mergeCell ref="C15:C16"/>
    <mergeCell ref="D15:D16"/>
    <mergeCell ref="E15:E16"/>
    <mergeCell ref="A2:E2"/>
    <mergeCell ref="A4:D4"/>
    <mergeCell ref="A5:D5"/>
    <mergeCell ref="A6:D6"/>
    <mergeCell ref="A7:D7"/>
    <mergeCell ref="A31:E31"/>
    <mergeCell ref="A9:E9"/>
    <mergeCell ref="A11:B11"/>
    <mergeCell ref="C11:E11"/>
    <mergeCell ref="A13:A16"/>
  </mergeCells>
  <printOptions horizontalCentered="1"/>
  <pageMargins left="0.78740157480314965" right="0.78740157480314965" top="1.3779527559055118" bottom="0.98425196850393704" header="0.78740157480314965" footer="0.78740157480314965"/>
  <pageSetup paperSize="9" scale="81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K179"/>
  <sheetViews>
    <sheetView topLeftCell="A82" zoomScale="120" zoomScaleNormal="120" zoomScaleSheetLayoutView="85" workbookViewId="0">
      <selection activeCell="D116" sqref="D116"/>
    </sheetView>
  </sheetViews>
  <sheetFormatPr defaultRowHeight="12.75"/>
  <cols>
    <col min="1" max="1" width="5.6640625" style="348" customWidth="1"/>
    <col min="2" max="2" width="64.83203125" style="349" customWidth="1"/>
    <col min="3" max="5" width="17.1640625" style="350" customWidth="1"/>
    <col min="6" max="16384" width="9.33203125" style="3"/>
  </cols>
  <sheetData>
    <row r="1" spans="1:5" s="2" customFormat="1" ht="16.5" customHeight="1" thickBot="1">
      <c r="A1" s="547"/>
      <c r="B1" s="548"/>
      <c r="C1" s="544" t="str">
        <f ca="1">CONCATENATE("9.1. melléklet ",ALAPADATOK!A7," ",ALAPADATOK!B7," ",ALAPADATOK!C7," ",ALAPADATOK!D7," ",ALAPADATOK!E7," ",ALAPADATOK!F7," ",ALAPADATOK!G7," ",ALAPADATOK!H7)</f>
        <v>9.1. melléklet a 5 / 2020 ( (II.18.) ) önkormányzati rendelethez</v>
      </c>
      <c r="D1" s="544"/>
      <c r="E1" s="544"/>
    </row>
    <row r="2" spans="1:5" s="68" customFormat="1" ht="21.2" customHeight="1">
      <c r="A2" s="549" t="s">
        <v>60</v>
      </c>
      <c r="B2" s="550" t="str">
        <f ca="1">CONCATENATE(ALAPADATOK!A3)</f>
        <v>DABAS VÁROS ÖNKORMÁNYZATA</v>
      </c>
      <c r="C2" s="551" t="s">
        <v>53</v>
      </c>
      <c r="D2" s="551" t="s">
        <v>53</v>
      </c>
      <c r="E2" s="551" t="s">
        <v>53</v>
      </c>
    </row>
    <row r="3" spans="1:5" s="68" customFormat="1" ht="16.5" thickBot="1">
      <c r="A3" s="552" t="s">
        <v>197</v>
      </c>
      <c r="B3" s="553" t="s">
        <v>390</v>
      </c>
      <c r="C3" s="554" t="s">
        <v>53</v>
      </c>
      <c r="D3" s="554" t="s">
        <v>53</v>
      </c>
      <c r="E3" s="554" t="s">
        <v>53</v>
      </c>
    </row>
    <row r="4" spans="1:5" s="69" customFormat="1" ht="22.5" customHeight="1" thickBot="1">
      <c r="A4" s="555"/>
      <c r="B4" s="555"/>
      <c r="C4" s="556"/>
      <c r="D4" s="556"/>
      <c r="E4" s="556" t="s">
        <v>783</v>
      </c>
    </row>
    <row r="5" spans="1:5" ht="24.75" thickBot="1">
      <c r="A5" s="557" t="s">
        <v>199</v>
      </c>
      <c r="B5" s="558" t="s">
        <v>554</v>
      </c>
      <c r="C5" s="559" t="s">
        <v>54</v>
      </c>
      <c r="D5" s="559" t="s">
        <v>780</v>
      </c>
      <c r="E5" s="559" t="s">
        <v>781</v>
      </c>
    </row>
    <row r="6" spans="1:5" s="48" customFormat="1" ht="12.95" customHeight="1" thickBot="1">
      <c r="A6" s="560"/>
      <c r="B6" s="561" t="s">
        <v>485</v>
      </c>
      <c r="C6" s="562" t="s">
        <v>486</v>
      </c>
      <c r="D6" s="562" t="s">
        <v>486</v>
      </c>
      <c r="E6" s="562" t="s">
        <v>486</v>
      </c>
    </row>
    <row r="7" spans="1:5" s="48" customFormat="1" ht="15.95" customHeight="1" thickBot="1">
      <c r="A7" s="563"/>
      <c r="B7" s="564" t="s">
        <v>55</v>
      </c>
      <c r="C7" s="565"/>
      <c r="D7" s="565"/>
      <c r="E7" s="565"/>
    </row>
    <row r="8" spans="1:5" s="48" customFormat="1" ht="12" customHeight="1" thickBot="1">
      <c r="A8" s="29" t="s">
        <v>17</v>
      </c>
      <c r="B8" s="21" t="s">
        <v>246</v>
      </c>
      <c r="C8" s="255">
        <f>+C9+C10+C11+C12+C13+C14</f>
        <v>958789393</v>
      </c>
      <c r="D8" s="255">
        <f>+D9+D10+D11+D12+D13+D14</f>
        <v>0</v>
      </c>
      <c r="E8" s="255">
        <f>+E9+E10+E11+E12+E13+E14</f>
        <v>958789393</v>
      </c>
    </row>
    <row r="9" spans="1:5" s="70" customFormat="1" ht="12" customHeight="1">
      <c r="A9" s="392" t="s">
        <v>95</v>
      </c>
      <c r="B9" s="373" t="s">
        <v>247</v>
      </c>
      <c r="C9" s="258">
        <v>131352375</v>
      </c>
      <c r="D9" s="258"/>
      <c r="E9" s="258">
        <v>131352375</v>
      </c>
    </row>
    <row r="10" spans="1:5" s="71" customFormat="1" ht="12" customHeight="1">
      <c r="A10" s="393" t="s">
        <v>96</v>
      </c>
      <c r="B10" s="374" t="s">
        <v>248</v>
      </c>
      <c r="C10" s="257">
        <v>554386750</v>
      </c>
      <c r="D10" s="257"/>
      <c r="E10" s="257">
        <v>554386750</v>
      </c>
    </row>
    <row r="11" spans="1:5" s="71" customFormat="1" ht="12" customHeight="1">
      <c r="A11" s="393" t="s">
        <v>97</v>
      </c>
      <c r="B11" s="374" t="s">
        <v>542</v>
      </c>
      <c r="C11" s="257">
        <v>251590614</v>
      </c>
      <c r="D11" s="257"/>
      <c r="E11" s="257">
        <v>251590614</v>
      </c>
    </row>
    <row r="12" spans="1:5" s="71" customFormat="1" ht="12" customHeight="1">
      <c r="A12" s="393" t="s">
        <v>98</v>
      </c>
      <c r="B12" s="374" t="s">
        <v>250</v>
      </c>
      <c r="C12" s="257">
        <v>21459654</v>
      </c>
      <c r="D12" s="257"/>
      <c r="E12" s="257">
        <v>21459654</v>
      </c>
    </row>
    <row r="13" spans="1:5" s="71" customFormat="1" ht="12" customHeight="1">
      <c r="A13" s="393" t="s">
        <v>143</v>
      </c>
      <c r="B13" s="374" t="s">
        <v>498</v>
      </c>
      <c r="C13" s="257"/>
      <c r="D13" s="257"/>
      <c r="E13" s="257"/>
    </row>
    <row r="14" spans="1:5" s="70" customFormat="1" ht="12" customHeight="1" thickBot="1">
      <c r="A14" s="394" t="s">
        <v>99</v>
      </c>
      <c r="B14" s="507" t="s">
        <v>566</v>
      </c>
      <c r="C14" s="257"/>
      <c r="D14" s="257"/>
      <c r="E14" s="257"/>
    </row>
    <row r="15" spans="1:5" s="70" customFormat="1" ht="12" customHeight="1" thickBot="1">
      <c r="A15" s="29" t="s">
        <v>18</v>
      </c>
      <c r="B15" s="250" t="s">
        <v>251</v>
      </c>
      <c r="C15" s="255">
        <f>+C16+C17+C18+C19+C20</f>
        <v>4040000</v>
      </c>
      <c r="D15" s="255">
        <f>+D16+D17+D18+D19+D20</f>
        <v>0</v>
      </c>
      <c r="E15" s="255">
        <f>+E16+E17+E18+E19+E20</f>
        <v>4040000</v>
      </c>
    </row>
    <row r="16" spans="1:5" s="70" customFormat="1" ht="12" customHeight="1">
      <c r="A16" s="392" t="s">
        <v>101</v>
      </c>
      <c r="B16" s="373" t="s">
        <v>252</v>
      </c>
      <c r="C16" s="258"/>
      <c r="D16" s="258"/>
      <c r="E16" s="258"/>
    </row>
    <row r="17" spans="1:5" s="70" customFormat="1" ht="12" customHeight="1">
      <c r="A17" s="393" t="s">
        <v>102</v>
      </c>
      <c r="B17" s="374" t="s">
        <v>253</v>
      </c>
      <c r="C17" s="257"/>
      <c r="D17" s="257"/>
      <c r="E17" s="257"/>
    </row>
    <row r="18" spans="1:5" s="70" customFormat="1" ht="12" customHeight="1">
      <c r="A18" s="393" t="s">
        <v>103</v>
      </c>
      <c r="B18" s="374" t="s">
        <v>414</v>
      </c>
      <c r="C18" s="257"/>
      <c r="D18" s="257"/>
      <c r="E18" s="257"/>
    </row>
    <row r="19" spans="1:5" s="70" customFormat="1" ht="12" customHeight="1">
      <c r="A19" s="393" t="s">
        <v>104</v>
      </c>
      <c r="B19" s="374" t="s">
        <v>415</v>
      </c>
      <c r="C19" s="257"/>
      <c r="D19" s="257"/>
      <c r="E19" s="257"/>
    </row>
    <row r="20" spans="1:5" s="70" customFormat="1" ht="12" customHeight="1">
      <c r="A20" s="393" t="s">
        <v>105</v>
      </c>
      <c r="B20" s="374" t="s">
        <v>254</v>
      </c>
      <c r="C20" s="257">
        <v>4040000</v>
      </c>
      <c r="D20" s="257"/>
      <c r="E20" s="257">
        <v>4040000</v>
      </c>
    </row>
    <row r="21" spans="1:5" s="71" customFormat="1" ht="12" customHeight="1" thickBot="1">
      <c r="A21" s="394" t="s">
        <v>114</v>
      </c>
      <c r="B21" s="507" t="s">
        <v>567</v>
      </c>
      <c r="C21" s="259"/>
      <c r="D21" s="259"/>
      <c r="E21" s="259"/>
    </row>
    <row r="22" spans="1:5" s="71" customFormat="1" ht="12" customHeight="1" thickBot="1">
      <c r="A22" s="29" t="s">
        <v>19</v>
      </c>
      <c r="B22" s="21" t="s">
        <v>256</v>
      </c>
      <c r="C22" s="255">
        <f>+C23+C24+C25+C26+C27</f>
        <v>410952958</v>
      </c>
      <c r="D22" s="255">
        <f>+D23+D24+D25+D26+D27</f>
        <v>-201999560</v>
      </c>
      <c r="E22" s="255">
        <f>+E23+E24+E25+E26+E27</f>
        <v>208953398</v>
      </c>
    </row>
    <row r="23" spans="1:5" s="71" customFormat="1" ht="12" customHeight="1">
      <c r="A23" s="392" t="s">
        <v>84</v>
      </c>
      <c r="B23" s="373" t="s">
        <v>257</v>
      </c>
      <c r="C23" s="258"/>
      <c r="D23" s="258"/>
      <c r="E23" s="258"/>
    </row>
    <row r="24" spans="1:5" s="70" customFormat="1" ht="12" customHeight="1">
      <c r="A24" s="393" t="s">
        <v>85</v>
      </c>
      <c r="B24" s="374" t="s">
        <v>258</v>
      </c>
      <c r="C24" s="257"/>
      <c r="D24" s="257"/>
      <c r="E24" s="257"/>
    </row>
    <row r="25" spans="1:5" s="71" customFormat="1" ht="12" customHeight="1">
      <c r="A25" s="393" t="s">
        <v>86</v>
      </c>
      <c r="B25" s="374" t="s">
        <v>416</v>
      </c>
      <c r="C25" s="257"/>
      <c r="D25" s="257"/>
      <c r="E25" s="257"/>
    </row>
    <row r="26" spans="1:5" s="71" customFormat="1" ht="12" customHeight="1">
      <c r="A26" s="393" t="s">
        <v>87</v>
      </c>
      <c r="B26" s="374" t="s">
        <v>417</v>
      </c>
      <c r="C26" s="257"/>
      <c r="D26" s="257"/>
      <c r="E26" s="257"/>
    </row>
    <row r="27" spans="1:5" s="71" customFormat="1" ht="12" customHeight="1">
      <c r="A27" s="393" t="s">
        <v>166</v>
      </c>
      <c r="B27" s="374" t="s">
        <v>259</v>
      </c>
      <c r="C27" s="257">
        <v>410952958</v>
      </c>
      <c r="D27" s="257">
        <v>-201999560</v>
      </c>
      <c r="E27" s="257">
        <f>C27+D27</f>
        <v>208953398</v>
      </c>
    </row>
    <row r="28" spans="1:5" s="71" customFormat="1" ht="12" customHeight="1" thickBot="1">
      <c r="A28" s="394" t="s">
        <v>167</v>
      </c>
      <c r="B28" s="507" t="s">
        <v>559</v>
      </c>
      <c r="C28" s="508"/>
      <c r="D28" s="508"/>
      <c r="E28" s="508"/>
    </row>
    <row r="29" spans="1:5" s="71" customFormat="1" ht="12" customHeight="1" thickBot="1">
      <c r="A29" s="29" t="s">
        <v>168</v>
      </c>
      <c r="B29" s="21" t="s">
        <v>552</v>
      </c>
      <c r="C29" s="261">
        <f>C30+C31+C32+C33+C34+C35+C36</f>
        <v>1363000000</v>
      </c>
      <c r="D29" s="261">
        <f>D30+D31+D32+D33+D34+D35+D36</f>
        <v>-96000000</v>
      </c>
      <c r="E29" s="261">
        <f>E30+E31+E32+E33+E34+E35+E36</f>
        <v>1267000000</v>
      </c>
    </row>
    <row r="30" spans="1:5" s="71" customFormat="1" ht="12" customHeight="1">
      <c r="A30" s="392" t="s">
        <v>262</v>
      </c>
      <c r="B30" s="373" t="str">
        <f ca="1">KV_1.1.sz.mell.!B32</f>
        <v>Építményadó</v>
      </c>
      <c r="C30" s="258">
        <v>95000000</v>
      </c>
      <c r="D30" s="258"/>
      <c r="E30" s="258">
        <v>95000000</v>
      </c>
    </row>
    <row r="31" spans="1:5" s="71" customFormat="1" ht="12" customHeight="1">
      <c r="A31" s="393" t="s">
        <v>263</v>
      </c>
      <c r="B31" s="373" t="str">
        <f ca="1">KV_1.1.sz.mell.!B33</f>
        <v>Idegenforgalmi adó</v>
      </c>
      <c r="C31" s="257">
        <v>6000000</v>
      </c>
      <c r="D31" s="257">
        <v>-6000000</v>
      </c>
      <c r="E31" s="257">
        <f t="shared" ref="E31:E36" si="0">C31+D31</f>
        <v>0</v>
      </c>
    </row>
    <row r="32" spans="1:5" s="71" customFormat="1" ht="12" customHeight="1">
      <c r="A32" s="393" t="s">
        <v>264</v>
      </c>
      <c r="B32" s="373" t="str">
        <f ca="1">KV_1.1.sz.mell.!B34</f>
        <v>Iparűzési adó</v>
      </c>
      <c r="C32" s="257">
        <v>1100000000</v>
      </c>
      <c r="D32" s="257"/>
      <c r="E32" s="257">
        <f t="shared" si="0"/>
        <v>1100000000</v>
      </c>
    </row>
    <row r="33" spans="1:5" s="71" customFormat="1" ht="12" customHeight="1">
      <c r="A33" s="393" t="s">
        <v>265</v>
      </c>
      <c r="B33" s="373" t="str">
        <f ca="1">KV_1.1.sz.mell.!B35</f>
        <v>Talajterhelési díj</v>
      </c>
      <c r="C33" s="257">
        <v>2000000</v>
      </c>
      <c r="D33" s="257"/>
      <c r="E33" s="257">
        <f t="shared" si="0"/>
        <v>2000000</v>
      </c>
    </row>
    <row r="34" spans="1:5" s="71" customFormat="1" ht="12" customHeight="1">
      <c r="A34" s="393" t="s">
        <v>544</v>
      </c>
      <c r="B34" s="373" t="str">
        <f ca="1">KV_1.1.sz.mell.!B36</f>
        <v>Gépjárműadó</v>
      </c>
      <c r="C34" s="257">
        <v>90000000</v>
      </c>
      <c r="D34" s="257">
        <v>-90000000</v>
      </c>
      <c r="E34" s="257">
        <f t="shared" si="0"/>
        <v>0</v>
      </c>
    </row>
    <row r="35" spans="1:5" s="71" customFormat="1" ht="12" customHeight="1">
      <c r="A35" s="393" t="s">
        <v>545</v>
      </c>
      <c r="B35" s="373" t="str">
        <f ca="1">KV_1.1.sz.mell.!B37</f>
        <v>Telekadó</v>
      </c>
      <c r="C35" s="257"/>
      <c r="D35" s="257"/>
      <c r="E35" s="257">
        <f t="shared" si="0"/>
        <v>0</v>
      </c>
    </row>
    <row r="36" spans="1:5" s="71" customFormat="1" ht="12" customHeight="1" thickBot="1">
      <c r="A36" s="394" t="s">
        <v>546</v>
      </c>
      <c r="B36" s="373" t="str">
        <f ca="1">KV_1.1.sz.mell.!B38</f>
        <v>Kommunális adó</v>
      </c>
      <c r="C36" s="259">
        <v>70000000</v>
      </c>
      <c r="D36" s="259"/>
      <c r="E36" s="257">
        <f t="shared" si="0"/>
        <v>70000000</v>
      </c>
    </row>
    <row r="37" spans="1:5" s="71" customFormat="1" ht="12" customHeight="1" thickBot="1">
      <c r="A37" s="29" t="s">
        <v>21</v>
      </c>
      <c r="B37" s="21" t="s">
        <v>426</v>
      </c>
      <c r="C37" s="255">
        <f>SUM(C38:C48)</f>
        <v>145685000</v>
      </c>
      <c r="D37" s="255">
        <f>SUM(D38:D48)</f>
        <v>0</v>
      </c>
      <c r="E37" s="255">
        <f>SUM(E38:E48)</f>
        <v>145685000</v>
      </c>
    </row>
    <row r="38" spans="1:5" s="71" customFormat="1" ht="12" customHeight="1">
      <c r="A38" s="392" t="s">
        <v>88</v>
      </c>
      <c r="B38" s="373" t="s">
        <v>269</v>
      </c>
      <c r="C38" s="258"/>
      <c r="D38" s="258"/>
      <c r="E38" s="258"/>
    </row>
    <row r="39" spans="1:5" s="71" customFormat="1" ht="12" customHeight="1">
      <c r="A39" s="393" t="s">
        <v>89</v>
      </c>
      <c r="B39" s="374" t="s">
        <v>270</v>
      </c>
      <c r="C39" s="257">
        <v>93737000</v>
      </c>
      <c r="D39" s="257"/>
      <c r="E39" s="257">
        <v>93737000</v>
      </c>
    </row>
    <row r="40" spans="1:5" s="71" customFormat="1" ht="12" customHeight="1">
      <c r="A40" s="393" t="s">
        <v>90</v>
      </c>
      <c r="B40" s="374" t="s">
        <v>271</v>
      </c>
      <c r="C40" s="257">
        <v>14000000</v>
      </c>
      <c r="D40" s="257"/>
      <c r="E40" s="257">
        <v>14000000</v>
      </c>
    </row>
    <row r="41" spans="1:5" s="71" customFormat="1" ht="12" customHeight="1">
      <c r="A41" s="393" t="s">
        <v>170</v>
      </c>
      <c r="B41" s="374" t="s">
        <v>272</v>
      </c>
      <c r="C41" s="257"/>
      <c r="D41" s="257"/>
      <c r="E41" s="257"/>
    </row>
    <row r="42" spans="1:5" s="71" customFormat="1" ht="12" customHeight="1">
      <c r="A42" s="393" t="s">
        <v>171</v>
      </c>
      <c r="B42" s="374" t="s">
        <v>273</v>
      </c>
      <c r="C42" s="257">
        <v>12800000</v>
      </c>
      <c r="D42" s="257"/>
      <c r="E42" s="257">
        <v>12800000</v>
      </c>
    </row>
    <row r="43" spans="1:5" s="71" customFormat="1" ht="12" customHeight="1">
      <c r="A43" s="393" t="s">
        <v>172</v>
      </c>
      <c r="B43" s="374" t="s">
        <v>274</v>
      </c>
      <c r="C43" s="257">
        <v>25148000</v>
      </c>
      <c r="D43" s="257"/>
      <c r="E43" s="257">
        <v>25148000</v>
      </c>
    </row>
    <row r="44" spans="1:5" s="71" customFormat="1" ht="12" customHeight="1">
      <c r="A44" s="393" t="s">
        <v>173</v>
      </c>
      <c r="B44" s="374" t="s">
        <v>275</v>
      </c>
      <c r="C44" s="257"/>
      <c r="D44" s="257"/>
      <c r="E44" s="257"/>
    </row>
    <row r="45" spans="1:5" s="71" customFormat="1" ht="12" customHeight="1">
      <c r="A45" s="393" t="s">
        <v>174</v>
      </c>
      <c r="B45" s="374" t="s">
        <v>551</v>
      </c>
      <c r="C45" s="257"/>
      <c r="D45" s="257"/>
      <c r="E45" s="257"/>
    </row>
    <row r="46" spans="1:5" s="71" customFormat="1" ht="12" customHeight="1">
      <c r="A46" s="393" t="s">
        <v>267</v>
      </c>
      <c r="B46" s="374" t="s">
        <v>277</v>
      </c>
      <c r="C46" s="260"/>
      <c r="D46" s="260"/>
      <c r="E46" s="260"/>
    </row>
    <row r="47" spans="1:5" s="71" customFormat="1" ht="12" customHeight="1">
      <c r="A47" s="394" t="s">
        <v>268</v>
      </c>
      <c r="B47" s="375" t="s">
        <v>428</v>
      </c>
      <c r="C47" s="361"/>
      <c r="D47" s="361"/>
      <c r="E47" s="361"/>
    </row>
    <row r="48" spans="1:5" s="71" customFormat="1" ht="12" customHeight="1" thickBot="1">
      <c r="A48" s="394" t="s">
        <v>427</v>
      </c>
      <c r="B48" s="507" t="s">
        <v>568</v>
      </c>
      <c r="C48" s="510"/>
      <c r="D48" s="510"/>
      <c r="E48" s="510"/>
    </row>
    <row r="49" spans="1:5" s="71" customFormat="1" ht="12" customHeight="1" thickBot="1">
      <c r="A49" s="29" t="s">
        <v>22</v>
      </c>
      <c r="B49" s="21" t="s">
        <v>279</v>
      </c>
      <c r="C49" s="255">
        <f>SUM(C50:C54)</f>
        <v>40000000</v>
      </c>
      <c r="D49" s="255">
        <f>SUM(D50:D54)</f>
        <v>0</v>
      </c>
      <c r="E49" s="255">
        <f>SUM(E50:E54)</f>
        <v>40000000</v>
      </c>
    </row>
    <row r="50" spans="1:5" s="71" customFormat="1" ht="12" customHeight="1">
      <c r="A50" s="392" t="s">
        <v>91</v>
      </c>
      <c r="B50" s="373" t="s">
        <v>283</v>
      </c>
      <c r="C50" s="417"/>
      <c r="D50" s="417"/>
      <c r="E50" s="417"/>
    </row>
    <row r="51" spans="1:5" s="71" customFormat="1" ht="12" customHeight="1">
      <c r="A51" s="393" t="s">
        <v>92</v>
      </c>
      <c r="B51" s="374" t="s">
        <v>284</v>
      </c>
      <c r="C51" s="260">
        <v>40000000</v>
      </c>
      <c r="D51" s="260"/>
      <c r="E51" s="260">
        <v>40000000</v>
      </c>
    </row>
    <row r="52" spans="1:5" s="71" customFormat="1" ht="12" customHeight="1">
      <c r="A52" s="393" t="s">
        <v>280</v>
      </c>
      <c r="B52" s="374" t="s">
        <v>285</v>
      </c>
      <c r="C52" s="260"/>
      <c r="D52" s="260"/>
      <c r="E52" s="260"/>
    </row>
    <row r="53" spans="1:5" s="71" customFormat="1" ht="12" customHeight="1">
      <c r="A53" s="393" t="s">
        <v>281</v>
      </c>
      <c r="B53" s="374" t="s">
        <v>286</v>
      </c>
      <c r="C53" s="260"/>
      <c r="D53" s="260"/>
      <c r="E53" s="260"/>
    </row>
    <row r="54" spans="1:5" s="71" customFormat="1" ht="12" customHeight="1" thickBot="1">
      <c r="A54" s="394" t="s">
        <v>282</v>
      </c>
      <c r="B54" s="375" t="s">
        <v>287</v>
      </c>
      <c r="C54" s="361"/>
      <c r="D54" s="361"/>
      <c r="E54" s="361"/>
    </row>
    <row r="55" spans="1:5" s="71" customFormat="1" ht="12" customHeight="1" thickBot="1">
      <c r="A55" s="29" t="s">
        <v>175</v>
      </c>
      <c r="B55" s="21" t="s">
        <v>288</v>
      </c>
      <c r="C55" s="255">
        <f>SUM(C56:C58)</f>
        <v>0</v>
      </c>
      <c r="D55" s="255">
        <f>SUM(D56:D58)</f>
        <v>0</v>
      </c>
      <c r="E55" s="255">
        <f>SUM(E56:E58)</f>
        <v>0</v>
      </c>
    </row>
    <row r="56" spans="1:5" s="71" customFormat="1" ht="12" customHeight="1">
      <c r="A56" s="392" t="s">
        <v>93</v>
      </c>
      <c r="B56" s="373" t="s">
        <v>289</v>
      </c>
      <c r="C56" s="258"/>
      <c r="D56" s="258"/>
      <c r="E56" s="258"/>
    </row>
    <row r="57" spans="1:5" s="71" customFormat="1" ht="12" customHeight="1">
      <c r="A57" s="393" t="s">
        <v>94</v>
      </c>
      <c r="B57" s="374" t="s">
        <v>418</v>
      </c>
      <c r="C57" s="257"/>
      <c r="D57" s="257"/>
      <c r="E57" s="257"/>
    </row>
    <row r="58" spans="1:5" s="71" customFormat="1" ht="12" customHeight="1">
      <c r="A58" s="393" t="s">
        <v>292</v>
      </c>
      <c r="B58" s="374" t="s">
        <v>290</v>
      </c>
      <c r="C58" s="257"/>
      <c r="D58" s="257"/>
      <c r="E58" s="257"/>
    </row>
    <row r="59" spans="1:5" s="71" customFormat="1" ht="12" customHeight="1" thickBot="1">
      <c r="A59" s="394" t="s">
        <v>293</v>
      </c>
      <c r="B59" s="375" t="s">
        <v>291</v>
      </c>
      <c r="C59" s="259"/>
      <c r="D59" s="259"/>
      <c r="E59" s="259"/>
    </row>
    <row r="60" spans="1:5" s="71" customFormat="1" ht="12" customHeight="1" thickBot="1">
      <c r="A60" s="29" t="s">
        <v>24</v>
      </c>
      <c r="B60" s="250" t="s">
        <v>294</v>
      </c>
      <c r="C60" s="255">
        <f>SUM(C61:C63)</f>
        <v>0</v>
      </c>
      <c r="D60" s="255">
        <f>SUM(D61:D63)</f>
        <v>0</v>
      </c>
      <c r="E60" s="255">
        <f>SUM(E61:E63)</f>
        <v>0</v>
      </c>
    </row>
    <row r="61" spans="1:5" s="71" customFormat="1" ht="12" customHeight="1">
      <c r="A61" s="392" t="s">
        <v>176</v>
      </c>
      <c r="B61" s="373" t="s">
        <v>296</v>
      </c>
      <c r="C61" s="260"/>
      <c r="D61" s="260"/>
      <c r="E61" s="260"/>
    </row>
    <row r="62" spans="1:5" s="71" customFormat="1" ht="12" customHeight="1">
      <c r="A62" s="393" t="s">
        <v>177</v>
      </c>
      <c r="B62" s="374" t="s">
        <v>419</v>
      </c>
      <c r="C62" s="260"/>
      <c r="D62" s="260"/>
      <c r="E62" s="260"/>
    </row>
    <row r="63" spans="1:5" s="71" customFormat="1" ht="12" customHeight="1">
      <c r="A63" s="393" t="s">
        <v>225</v>
      </c>
      <c r="B63" s="374" t="s">
        <v>297</v>
      </c>
      <c r="C63" s="260"/>
      <c r="D63" s="260"/>
      <c r="E63" s="260"/>
    </row>
    <row r="64" spans="1:5" s="71" customFormat="1" ht="12" customHeight="1" thickBot="1">
      <c r="A64" s="394" t="s">
        <v>295</v>
      </c>
      <c r="B64" s="375" t="s">
        <v>298</v>
      </c>
      <c r="C64" s="260"/>
      <c r="D64" s="260"/>
      <c r="E64" s="260"/>
    </row>
    <row r="65" spans="1:5" s="71" customFormat="1" ht="12" customHeight="1" thickBot="1">
      <c r="A65" s="29" t="s">
        <v>25</v>
      </c>
      <c r="B65" s="21" t="s">
        <v>299</v>
      </c>
      <c r="C65" s="261">
        <f>+C8+C15+C22+C29+C37+C49+C55+C60</f>
        <v>2922467351</v>
      </c>
      <c r="D65" s="261">
        <f>+D8+D15+D22+D29+D37+D49+D55+D60</f>
        <v>-297999560</v>
      </c>
      <c r="E65" s="261">
        <f>+E8+E15+E22+E29+E37+E49+E55+E60</f>
        <v>2624467791</v>
      </c>
    </row>
    <row r="66" spans="1:5" s="71" customFormat="1" ht="12" customHeight="1" thickBot="1">
      <c r="A66" s="395" t="s">
        <v>386</v>
      </c>
      <c r="B66" s="250" t="s">
        <v>301</v>
      </c>
      <c r="C66" s="255">
        <f>SUM(C67:C69)</f>
        <v>0</v>
      </c>
      <c r="D66" s="255">
        <f>SUM(D67:D69)</f>
        <v>0</v>
      </c>
      <c r="E66" s="255">
        <f>SUM(E67:E69)</f>
        <v>0</v>
      </c>
    </row>
    <row r="67" spans="1:5" s="71" customFormat="1" ht="12" customHeight="1">
      <c r="A67" s="392" t="s">
        <v>329</v>
      </c>
      <c r="B67" s="373" t="s">
        <v>302</v>
      </c>
      <c r="C67" s="260"/>
      <c r="D67" s="260"/>
      <c r="E67" s="260"/>
    </row>
    <row r="68" spans="1:5" s="71" customFormat="1" ht="12" customHeight="1">
      <c r="A68" s="393" t="s">
        <v>338</v>
      </c>
      <c r="B68" s="374" t="s">
        <v>303</v>
      </c>
      <c r="C68" s="260"/>
      <c r="D68" s="260"/>
      <c r="E68" s="260"/>
    </row>
    <row r="69" spans="1:5" s="71" customFormat="1" ht="12" customHeight="1" thickBot="1">
      <c r="A69" s="394" t="s">
        <v>339</v>
      </c>
      <c r="B69" s="376" t="s">
        <v>453</v>
      </c>
      <c r="C69" s="260"/>
      <c r="D69" s="260"/>
      <c r="E69" s="260"/>
    </row>
    <row r="70" spans="1:5" s="71" customFormat="1" ht="12" customHeight="1" thickBot="1">
      <c r="A70" s="395" t="s">
        <v>305</v>
      </c>
      <c r="B70" s="250" t="s">
        <v>306</v>
      </c>
      <c r="C70" s="255">
        <f>SUM(C71:C74)</f>
        <v>0</v>
      </c>
      <c r="D70" s="255">
        <f>SUM(D71:D74)</f>
        <v>0</v>
      </c>
      <c r="E70" s="255">
        <f>SUM(E71:E74)</f>
        <v>0</v>
      </c>
    </row>
    <row r="71" spans="1:5" s="71" customFormat="1" ht="12" customHeight="1">
      <c r="A71" s="392" t="s">
        <v>144</v>
      </c>
      <c r="B71" s="373" t="s">
        <v>307</v>
      </c>
      <c r="C71" s="260"/>
      <c r="D71" s="260"/>
      <c r="E71" s="260"/>
    </row>
    <row r="72" spans="1:5" s="71" customFormat="1" ht="12" customHeight="1">
      <c r="A72" s="393" t="s">
        <v>145</v>
      </c>
      <c r="B72" s="374" t="s">
        <v>561</v>
      </c>
      <c r="C72" s="260"/>
      <c r="D72" s="260"/>
      <c r="E72" s="260"/>
    </row>
    <row r="73" spans="1:5" s="71" customFormat="1" ht="12" customHeight="1">
      <c r="A73" s="393" t="s">
        <v>330</v>
      </c>
      <c r="B73" s="374" t="s">
        <v>308</v>
      </c>
      <c r="C73" s="260"/>
      <c r="D73" s="260"/>
      <c r="E73" s="260"/>
    </row>
    <row r="74" spans="1:5" s="71" customFormat="1" ht="12" customHeight="1">
      <c r="A74" s="393" t="s">
        <v>331</v>
      </c>
      <c r="B74" s="251" t="s">
        <v>562</v>
      </c>
      <c r="C74" s="260"/>
      <c r="D74" s="260"/>
      <c r="E74" s="260"/>
    </row>
    <row r="75" spans="1:5" s="71" customFormat="1" ht="12" customHeight="1" thickBot="1">
      <c r="A75" s="399" t="s">
        <v>309</v>
      </c>
      <c r="B75" s="529" t="s">
        <v>310</v>
      </c>
      <c r="C75" s="436">
        <f>SUM(C76:C77)</f>
        <v>336700000</v>
      </c>
      <c r="D75" s="436">
        <f>SUM(D76:D77)</f>
        <v>396373531</v>
      </c>
      <c r="E75" s="436">
        <f>SUM(E76:E77)</f>
        <v>733073531</v>
      </c>
    </row>
    <row r="76" spans="1:5" s="71" customFormat="1" ht="12" customHeight="1">
      <c r="A76" s="392" t="s">
        <v>332</v>
      </c>
      <c r="B76" s="373" t="s">
        <v>311</v>
      </c>
      <c r="C76" s="260">
        <v>336700000</v>
      </c>
      <c r="D76" s="260">
        <v>396373531</v>
      </c>
      <c r="E76" s="260">
        <f>C76+D76</f>
        <v>733073531</v>
      </c>
    </row>
    <row r="77" spans="1:5" s="71" customFormat="1" ht="12" customHeight="1" thickBot="1">
      <c r="A77" s="394" t="s">
        <v>333</v>
      </c>
      <c r="B77" s="375" t="s">
        <v>312</v>
      </c>
      <c r="C77" s="260"/>
      <c r="D77" s="260"/>
      <c r="E77" s="260"/>
    </row>
    <row r="78" spans="1:5" s="70" customFormat="1" ht="12" customHeight="1" thickBot="1">
      <c r="A78" s="395" t="s">
        <v>313</v>
      </c>
      <c r="B78" s="250" t="s">
        <v>314</v>
      </c>
      <c r="C78" s="255">
        <f>SUM(C79:C81)</f>
        <v>0</v>
      </c>
      <c r="D78" s="255">
        <f>SUM(D79:D81)</f>
        <v>0</v>
      </c>
      <c r="E78" s="255">
        <f>SUM(E79:E81)</f>
        <v>0</v>
      </c>
    </row>
    <row r="79" spans="1:5" s="71" customFormat="1" ht="12" customHeight="1">
      <c r="A79" s="392" t="s">
        <v>334</v>
      </c>
      <c r="B79" s="373" t="s">
        <v>315</v>
      </c>
      <c r="C79" s="260"/>
      <c r="D79" s="260"/>
      <c r="E79" s="260"/>
    </row>
    <row r="80" spans="1:5" s="71" customFormat="1" ht="12" customHeight="1">
      <c r="A80" s="393" t="s">
        <v>335</v>
      </c>
      <c r="B80" s="374" t="s">
        <v>316</v>
      </c>
      <c r="C80" s="260"/>
      <c r="D80" s="260"/>
      <c r="E80" s="260"/>
    </row>
    <row r="81" spans="1:5" s="71" customFormat="1" ht="12" customHeight="1" thickBot="1">
      <c r="A81" s="394" t="s">
        <v>336</v>
      </c>
      <c r="B81" s="375" t="s">
        <v>563</v>
      </c>
      <c r="C81" s="260"/>
      <c r="D81" s="260"/>
      <c r="E81" s="260"/>
    </row>
    <row r="82" spans="1:5" s="71" customFormat="1" ht="12" customHeight="1" thickBot="1">
      <c r="A82" s="395" t="s">
        <v>317</v>
      </c>
      <c r="B82" s="250" t="s">
        <v>337</v>
      </c>
      <c r="C82" s="255">
        <f>SUM(C83:C86)</f>
        <v>0</v>
      </c>
      <c r="D82" s="255">
        <f>SUM(D83:D86)</f>
        <v>0</v>
      </c>
      <c r="E82" s="255">
        <f>SUM(E83:E86)</f>
        <v>0</v>
      </c>
    </row>
    <row r="83" spans="1:5" s="71" customFormat="1" ht="12" customHeight="1">
      <c r="A83" s="396" t="s">
        <v>318</v>
      </c>
      <c r="B83" s="373" t="s">
        <v>319</v>
      </c>
      <c r="C83" s="260"/>
      <c r="D83" s="260"/>
      <c r="E83" s="260"/>
    </row>
    <row r="84" spans="1:5" s="71" customFormat="1" ht="12" customHeight="1">
      <c r="A84" s="397" t="s">
        <v>320</v>
      </c>
      <c r="B84" s="374" t="s">
        <v>321</v>
      </c>
      <c r="C84" s="260"/>
      <c r="D84" s="260"/>
      <c r="E84" s="260"/>
    </row>
    <row r="85" spans="1:5" s="71" customFormat="1" ht="12" customHeight="1">
      <c r="A85" s="397" t="s">
        <v>322</v>
      </c>
      <c r="B85" s="374" t="s">
        <v>323</v>
      </c>
      <c r="C85" s="260"/>
      <c r="D85" s="260"/>
      <c r="E85" s="260"/>
    </row>
    <row r="86" spans="1:5" s="70" customFormat="1" ht="12" customHeight="1" thickBot="1">
      <c r="A86" s="398" t="s">
        <v>324</v>
      </c>
      <c r="B86" s="375" t="s">
        <v>325</v>
      </c>
      <c r="C86" s="260"/>
      <c r="D86" s="260"/>
      <c r="E86" s="260"/>
    </row>
    <row r="87" spans="1:5" s="70" customFormat="1" ht="12" customHeight="1" thickBot="1">
      <c r="A87" s="395" t="s">
        <v>326</v>
      </c>
      <c r="B87" s="250" t="s">
        <v>467</v>
      </c>
      <c r="C87" s="418"/>
      <c r="D87" s="418"/>
      <c r="E87" s="418"/>
    </row>
    <row r="88" spans="1:5" s="70" customFormat="1" ht="12" customHeight="1" thickBot="1">
      <c r="A88" s="395" t="s">
        <v>499</v>
      </c>
      <c r="B88" s="250" t="s">
        <v>327</v>
      </c>
      <c r="C88" s="418"/>
      <c r="D88" s="418"/>
      <c r="E88" s="418"/>
    </row>
    <row r="89" spans="1:5" s="70" customFormat="1" ht="12" customHeight="1" thickBot="1">
      <c r="A89" s="395" t="s">
        <v>500</v>
      </c>
      <c r="B89" s="380" t="s">
        <v>470</v>
      </c>
      <c r="C89" s="261">
        <f>+C66+C70+C75+C78+C82+C88+C87</f>
        <v>336700000</v>
      </c>
      <c r="D89" s="261">
        <f>+D66+D70+D75+D78+D82+D88+D87</f>
        <v>396373531</v>
      </c>
      <c r="E89" s="261">
        <f>+E66+E70+E75+E78+E82+E88+E87</f>
        <v>733073531</v>
      </c>
    </row>
    <row r="90" spans="1:5" s="70" customFormat="1" ht="12" customHeight="1" thickBot="1">
      <c r="A90" s="399" t="s">
        <v>501</v>
      </c>
      <c r="B90" s="381" t="s">
        <v>502</v>
      </c>
      <c r="C90" s="261">
        <f>+C65+C89</f>
        <v>3259167351</v>
      </c>
      <c r="D90" s="261">
        <f>+D65+D89</f>
        <v>98373971</v>
      </c>
      <c r="E90" s="261">
        <f>+E65+E89</f>
        <v>3357541322</v>
      </c>
    </row>
    <row r="91" spans="1:5" s="71" customFormat="1" ht="6.75" customHeight="1" thickBot="1">
      <c r="A91" s="194"/>
      <c r="B91" s="195"/>
      <c r="C91" s="320"/>
      <c r="D91" s="320"/>
      <c r="E91" s="320"/>
    </row>
    <row r="92" spans="1:5" s="48" customFormat="1" ht="16.5" customHeight="1" thickBot="1">
      <c r="A92" s="198"/>
      <c r="B92" s="199" t="s">
        <v>56</v>
      </c>
      <c r="C92" s="322"/>
      <c r="D92" s="322"/>
      <c r="E92" s="322"/>
    </row>
    <row r="93" spans="1:5" s="72" customFormat="1" ht="12" customHeight="1" thickBot="1">
      <c r="A93" s="367" t="s">
        <v>17</v>
      </c>
      <c r="B93" s="26" t="s">
        <v>506</v>
      </c>
      <c r="C93" s="254">
        <f>+C94+C95+C96+C97+C98+C111</f>
        <v>1125738638</v>
      </c>
      <c r="D93" s="254">
        <f>+D94+D95+D96+D97+D98+D111</f>
        <v>290683208</v>
      </c>
      <c r="E93" s="254">
        <f>+E94+E95+E96+E97+E98+E111</f>
        <v>1416421846</v>
      </c>
    </row>
    <row r="94" spans="1:5" ht="12" customHeight="1" thickBot="1">
      <c r="A94" s="400" t="s">
        <v>95</v>
      </c>
      <c r="B94" s="10" t="s">
        <v>48</v>
      </c>
      <c r="C94" s="256">
        <v>174732511</v>
      </c>
      <c r="D94" s="256">
        <v>3522895</v>
      </c>
      <c r="E94" s="256">
        <f>C94+D94</f>
        <v>178255406</v>
      </c>
    </row>
    <row r="95" spans="1:5" ht="12" customHeight="1" thickBot="1">
      <c r="A95" s="393" t="s">
        <v>96</v>
      </c>
      <c r="B95" s="8" t="s">
        <v>178</v>
      </c>
      <c r="C95" s="257">
        <v>32522990</v>
      </c>
      <c r="D95" s="257">
        <v>610456</v>
      </c>
      <c r="E95" s="256">
        <f>C95+D95</f>
        <v>33133446</v>
      </c>
    </row>
    <row r="96" spans="1:5" ht="12" customHeight="1" thickBot="1">
      <c r="A96" s="393" t="s">
        <v>97</v>
      </c>
      <c r="B96" s="8" t="s">
        <v>135</v>
      </c>
      <c r="C96" s="259">
        <v>414407681</v>
      </c>
      <c r="D96" s="259">
        <v>26204430</v>
      </c>
      <c r="E96" s="256">
        <f>C96+D96</f>
        <v>440612111</v>
      </c>
    </row>
    <row r="97" spans="1:5" ht="12" customHeight="1" thickBot="1">
      <c r="A97" s="393" t="s">
        <v>98</v>
      </c>
      <c r="B97" s="11" t="s">
        <v>179</v>
      </c>
      <c r="C97" s="259">
        <v>61500000</v>
      </c>
      <c r="D97" s="259"/>
      <c r="E97" s="256">
        <f>C97+D97</f>
        <v>61500000</v>
      </c>
    </row>
    <row r="98" spans="1:5" ht="12" customHeight="1">
      <c r="A98" s="393" t="s">
        <v>109</v>
      </c>
      <c r="B98" s="19" t="s">
        <v>180</v>
      </c>
      <c r="C98" s="259">
        <v>293432456</v>
      </c>
      <c r="D98" s="259">
        <v>549200</v>
      </c>
      <c r="E98" s="256">
        <f>C98+D98</f>
        <v>293981656</v>
      </c>
    </row>
    <row r="99" spans="1:5" ht="12" customHeight="1">
      <c r="A99" s="393" t="s">
        <v>99</v>
      </c>
      <c r="B99" s="8" t="s">
        <v>503</v>
      </c>
      <c r="C99" s="259"/>
      <c r="D99" s="259"/>
      <c r="E99" s="259"/>
    </row>
    <row r="100" spans="1:5" ht="12" customHeight="1">
      <c r="A100" s="393" t="s">
        <v>100</v>
      </c>
      <c r="B100" s="116" t="s">
        <v>433</v>
      </c>
      <c r="C100" s="259"/>
      <c r="D100" s="259"/>
      <c r="E100" s="259"/>
    </row>
    <row r="101" spans="1:5" ht="12" customHeight="1">
      <c r="A101" s="393" t="s">
        <v>110</v>
      </c>
      <c r="B101" s="116" t="s">
        <v>432</v>
      </c>
      <c r="C101" s="259"/>
      <c r="D101" s="259"/>
      <c r="E101" s="259"/>
    </row>
    <row r="102" spans="1:5" ht="12" customHeight="1">
      <c r="A102" s="393" t="s">
        <v>111</v>
      </c>
      <c r="B102" s="116" t="s">
        <v>343</v>
      </c>
      <c r="C102" s="259"/>
      <c r="D102" s="259"/>
      <c r="E102" s="259"/>
    </row>
    <row r="103" spans="1:5" ht="12" customHeight="1">
      <c r="A103" s="393" t="s">
        <v>112</v>
      </c>
      <c r="B103" s="117" t="s">
        <v>344</v>
      </c>
      <c r="C103" s="259"/>
      <c r="D103" s="259"/>
      <c r="E103" s="259"/>
    </row>
    <row r="104" spans="1:5" ht="12" customHeight="1">
      <c r="A104" s="393" t="s">
        <v>113</v>
      </c>
      <c r="B104" s="117" t="s">
        <v>345</v>
      </c>
      <c r="C104" s="259"/>
      <c r="D104" s="259"/>
      <c r="E104" s="259"/>
    </row>
    <row r="105" spans="1:5" ht="12" customHeight="1">
      <c r="A105" s="393" t="s">
        <v>115</v>
      </c>
      <c r="B105" s="116" t="s">
        <v>346</v>
      </c>
      <c r="C105" s="259"/>
      <c r="D105" s="259"/>
      <c r="E105" s="259"/>
    </row>
    <row r="106" spans="1:5" ht="12" customHeight="1">
      <c r="A106" s="393" t="s">
        <v>181</v>
      </c>
      <c r="B106" s="116" t="s">
        <v>347</v>
      </c>
      <c r="C106" s="259"/>
      <c r="D106" s="259"/>
      <c r="E106" s="259"/>
    </row>
    <row r="107" spans="1:5" ht="12" customHeight="1">
      <c r="A107" s="393" t="s">
        <v>341</v>
      </c>
      <c r="B107" s="117" t="s">
        <v>348</v>
      </c>
      <c r="C107" s="259"/>
      <c r="D107" s="259"/>
      <c r="E107" s="259"/>
    </row>
    <row r="108" spans="1:5" ht="12" customHeight="1">
      <c r="A108" s="401" t="s">
        <v>342</v>
      </c>
      <c r="B108" s="118" t="s">
        <v>349</v>
      </c>
      <c r="C108" s="259"/>
      <c r="D108" s="259"/>
      <c r="E108" s="259"/>
    </row>
    <row r="109" spans="1:5" ht="12" customHeight="1">
      <c r="A109" s="393" t="s">
        <v>430</v>
      </c>
      <c r="B109" s="118" t="s">
        <v>350</v>
      </c>
      <c r="C109" s="259"/>
      <c r="D109" s="259"/>
      <c r="E109" s="259"/>
    </row>
    <row r="110" spans="1:5" ht="12" customHeight="1">
      <c r="A110" s="393" t="s">
        <v>431</v>
      </c>
      <c r="B110" s="117" t="s">
        <v>351</v>
      </c>
      <c r="C110" s="257"/>
      <c r="D110" s="257"/>
      <c r="E110" s="257"/>
    </row>
    <row r="111" spans="1:5" ht="12" customHeight="1">
      <c r="A111" s="393" t="s">
        <v>435</v>
      </c>
      <c r="B111" s="11" t="s">
        <v>49</v>
      </c>
      <c r="C111" s="257">
        <v>149143000</v>
      </c>
      <c r="D111" s="257">
        <f>D112+D113</f>
        <v>259796227</v>
      </c>
      <c r="E111" s="257">
        <f>C111+D111</f>
        <v>408939227</v>
      </c>
    </row>
    <row r="112" spans="1:5" ht="12" customHeight="1">
      <c r="A112" s="394" t="s">
        <v>436</v>
      </c>
      <c r="B112" s="8" t="s">
        <v>504</v>
      </c>
      <c r="C112" s="259">
        <v>40000000</v>
      </c>
      <c r="D112" s="259">
        <v>-186120</v>
      </c>
      <c r="E112" s="257">
        <f>C112+D112</f>
        <v>39813880</v>
      </c>
    </row>
    <row r="113" spans="1:5" ht="12" customHeight="1" thickBot="1">
      <c r="A113" s="402" t="s">
        <v>437</v>
      </c>
      <c r="B113" s="119" t="s">
        <v>505</v>
      </c>
      <c r="C113" s="263">
        <v>109143000</v>
      </c>
      <c r="D113" s="263">
        <v>259982347</v>
      </c>
      <c r="E113" s="257">
        <f>C113+D113</f>
        <v>369125347</v>
      </c>
    </row>
    <row r="114" spans="1:5" ht="12" customHeight="1" thickBot="1">
      <c r="A114" s="29" t="s">
        <v>18</v>
      </c>
      <c r="B114" s="25" t="s">
        <v>352</v>
      </c>
      <c r="C114" s="255">
        <f>+C115+C117+C119</f>
        <v>1002204819</v>
      </c>
      <c r="D114" s="255">
        <f>+D115+D117+D119</f>
        <v>-230660812</v>
      </c>
      <c r="E114" s="255">
        <f>+E115+E117+E119</f>
        <v>771544007</v>
      </c>
    </row>
    <row r="115" spans="1:5" ht="12" customHeight="1">
      <c r="A115" s="392" t="s">
        <v>101</v>
      </c>
      <c r="B115" s="8" t="s">
        <v>224</v>
      </c>
      <c r="C115" s="258">
        <v>612147207</v>
      </c>
      <c r="D115" s="258">
        <v>-240363201</v>
      </c>
      <c r="E115" s="258">
        <f>C115+D115</f>
        <v>371784006</v>
      </c>
    </row>
    <row r="116" spans="1:5" ht="12" customHeight="1">
      <c r="A116" s="392" t="s">
        <v>102</v>
      </c>
      <c r="B116" s="12" t="s">
        <v>356</v>
      </c>
      <c r="C116" s="258"/>
      <c r="D116" s="258"/>
      <c r="E116" s="258">
        <f>C116+D116</f>
        <v>0</v>
      </c>
    </row>
    <row r="117" spans="1:5" ht="12" customHeight="1">
      <c r="A117" s="392" t="s">
        <v>103</v>
      </c>
      <c r="B117" s="12" t="s">
        <v>182</v>
      </c>
      <c r="C117" s="257">
        <v>262557612</v>
      </c>
      <c r="D117" s="257">
        <v>9702389</v>
      </c>
      <c r="E117" s="258">
        <f>C117+D117</f>
        <v>272260001</v>
      </c>
    </row>
    <row r="118" spans="1:5" ht="12" customHeight="1">
      <c r="A118" s="392" t="s">
        <v>104</v>
      </c>
      <c r="B118" s="12" t="s">
        <v>357</v>
      </c>
      <c r="C118" s="222"/>
      <c r="D118" s="222"/>
      <c r="E118" s="258">
        <f>C118+D118</f>
        <v>0</v>
      </c>
    </row>
    <row r="119" spans="1:5" ht="12" customHeight="1">
      <c r="A119" s="392" t="s">
        <v>105</v>
      </c>
      <c r="B119" s="252" t="s">
        <v>226</v>
      </c>
      <c r="C119" s="222">
        <v>127500000</v>
      </c>
      <c r="D119" s="222"/>
      <c r="E119" s="258">
        <f>C119+D119</f>
        <v>127500000</v>
      </c>
    </row>
    <row r="120" spans="1:5" ht="12" customHeight="1">
      <c r="A120" s="392" t="s">
        <v>114</v>
      </c>
      <c r="B120" s="251" t="s">
        <v>420</v>
      </c>
      <c r="C120" s="222"/>
      <c r="D120" s="222"/>
      <c r="E120" s="222"/>
    </row>
    <row r="121" spans="1:5" ht="12" customHeight="1">
      <c r="A121" s="392" t="s">
        <v>116</v>
      </c>
      <c r="B121" s="369" t="s">
        <v>362</v>
      </c>
      <c r="C121" s="222"/>
      <c r="D121" s="222"/>
      <c r="E121" s="222"/>
    </row>
    <row r="122" spans="1:5" ht="12" customHeight="1">
      <c r="A122" s="392" t="s">
        <v>183</v>
      </c>
      <c r="B122" s="117" t="s">
        <v>345</v>
      </c>
      <c r="C122" s="222"/>
      <c r="D122" s="222"/>
      <c r="E122" s="222"/>
    </row>
    <row r="123" spans="1:5" ht="12" customHeight="1">
      <c r="A123" s="392" t="s">
        <v>184</v>
      </c>
      <c r="B123" s="117" t="s">
        <v>361</v>
      </c>
      <c r="C123" s="222"/>
      <c r="D123" s="222"/>
      <c r="E123" s="222"/>
    </row>
    <row r="124" spans="1:5" ht="12" customHeight="1">
      <c r="A124" s="392" t="s">
        <v>185</v>
      </c>
      <c r="B124" s="117" t="s">
        <v>360</v>
      </c>
      <c r="C124" s="222"/>
      <c r="D124" s="222"/>
      <c r="E124" s="222"/>
    </row>
    <row r="125" spans="1:5" ht="12" customHeight="1">
      <c r="A125" s="392" t="s">
        <v>353</v>
      </c>
      <c r="B125" s="117" t="s">
        <v>348</v>
      </c>
      <c r="C125" s="222"/>
      <c r="D125" s="222"/>
      <c r="E125" s="222"/>
    </row>
    <row r="126" spans="1:5" ht="12" customHeight="1">
      <c r="A126" s="392" t="s">
        <v>354</v>
      </c>
      <c r="B126" s="117" t="s">
        <v>359</v>
      </c>
      <c r="C126" s="222"/>
      <c r="D126" s="222"/>
      <c r="E126" s="222"/>
    </row>
    <row r="127" spans="1:5" ht="12" customHeight="1" thickBot="1">
      <c r="A127" s="401" t="s">
        <v>355</v>
      </c>
      <c r="B127" s="117" t="s">
        <v>358</v>
      </c>
      <c r="C127" s="224"/>
      <c r="D127" s="224"/>
      <c r="E127" s="224"/>
    </row>
    <row r="128" spans="1:5" ht="12" customHeight="1" thickBot="1">
      <c r="A128" s="29" t="s">
        <v>19</v>
      </c>
      <c r="B128" s="98" t="s">
        <v>440</v>
      </c>
      <c r="C128" s="255">
        <f>+C93+C114</f>
        <v>2127943457</v>
      </c>
      <c r="D128" s="255">
        <f>+D93+D114</f>
        <v>60022396</v>
      </c>
      <c r="E128" s="255">
        <f>+E93+E114</f>
        <v>2187965853</v>
      </c>
    </row>
    <row r="129" spans="1:11" ht="12" customHeight="1" thickBot="1">
      <c r="A129" s="29" t="s">
        <v>20</v>
      </c>
      <c r="B129" s="98" t="s">
        <v>441</v>
      </c>
      <c r="C129" s="255">
        <f>+C130+C131+C132</f>
        <v>0</v>
      </c>
      <c r="D129" s="255">
        <f>+D130+D131+D132</f>
        <v>0</v>
      </c>
      <c r="E129" s="255">
        <f>+E130+E131+E132</f>
        <v>0</v>
      </c>
    </row>
    <row r="130" spans="1:11" s="72" customFormat="1" ht="12" customHeight="1">
      <c r="A130" s="392" t="s">
        <v>262</v>
      </c>
      <c r="B130" s="9" t="s">
        <v>509</v>
      </c>
      <c r="C130" s="222"/>
      <c r="D130" s="222"/>
      <c r="E130" s="222"/>
    </row>
    <row r="131" spans="1:11" ht="12" customHeight="1">
      <c r="A131" s="392" t="s">
        <v>263</v>
      </c>
      <c r="B131" s="9" t="s">
        <v>449</v>
      </c>
      <c r="C131" s="222"/>
      <c r="D131" s="222"/>
      <c r="E131" s="222"/>
    </row>
    <row r="132" spans="1:11" ht="12" customHeight="1" thickBot="1">
      <c r="A132" s="401" t="s">
        <v>264</v>
      </c>
      <c r="B132" s="7" t="s">
        <v>508</v>
      </c>
      <c r="C132" s="222"/>
      <c r="D132" s="222"/>
      <c r="E132" s="222"/>
    </row>
    <row r="133" spans="1:11" ht="12" customHeight="1" thickBot="1">
      <c r="A133" s="29" t="s">
        <v>21</v>
      </c>
      <c r="B133" s="98" t="s">
        <v>442</v>
      </c>
      <c r="C133" s="255">
        <f>+C134+C135+C136+C137+C138+C139</f>
        <v>0</v>
      </c>
      <c r="D133" s="255">
        <f>+D134+D135+D136+D137+D138+D139</f>
        <v>0</v>
      </c>
      <c r="E133" s="255">
        <f>+E134+E135+E136+E137+E138+E139</f>
        <v>0</v>
      </c>
    </row>
    <row r="134" spans="1:11" ht="12" customHeight="1">
      <c r="A134" s="392" t="s">
        <v>88</v>
      </c>
      <c r="B134" s="9" t="s">
        <v>451</v>
      </c>
      <c r="C134" s="222"/>
      <c r="D134" s="222"/>
      <c r="E134" s="222"/>
    </row>
    <row r="135" spans="1:11" ht="12" customHeight="1">
      <c r="A135" s="392" t="s">
        <v>89</v>
      </c>
      <c r="B135" s="9" t="s">
        <v>443</v>
      </c>
      <c r="C135" s="222"/>
      <c r="D135" s="222"/>
      <c r="E135" s="222"/>
    </row>
    <row r="136" spans="1:11" ht="12" customHeight="1">
      <c r="A136" s="392" t="s">
        <v>90</v>
      </c>
      <c r="B136" s="9" t="s">
        <v>444</v>
      </c>
      <c r="C136" s="222"/>
      <c r="D136" s="222"/>
      <c r="E136" s="222"/>
    </row>
    <row r="137" spans="1:11" ht="12" customHeight="1">
      <c r="A137" s="392" t="s">
        <v>170</v>
      </c>
      <c r="B137" s="9" t="s">
        <v>507</v>
      </c>
      <c r="C137" s="222"/>
      <c r="D137" s="222"/>
      <c r="E137" s="222"/>
    </row>
    <row r="138" spans="1:11" ht="12" customHeight="1">
      <c r="A138" s="392" t="s">
        <v>171</v>
      </c>
      <c r="B138" s="9" t="s">
        <v>446</v>
      </c>
      <c r="C138" s="222"/>
      <c r="D138" s="222"/>
      <c r="E138" s="222"/>
    </row>
    <row r="139" spans="1:11" s="72" customFormat="1" ht="12" customHeight="1" thickBot="1">
      <c r="A139" s="401" t="s">
        <v>172</v>
      </c>
      <c r="B139" s="7" t="s">
        <v>447</v>
      </c>
      <c r="C139" s="222"/>
      <c r="D139" s="222"/>
      <c r="E139" s="222"/>
    </row>
    <row r="140" spans="1:11" ht="12" customHeight="1" thickBot="1">
      <c r="A140" s="29" t="s">
        <v>22</v>
      </c>
      <c r="B140" s="98" t="s">
        <v>533</v>
      </c>
      <c r="C140" s="261">
        <f>+C141+C142+C144+C145+C143</f>
        <v>1131223894</v>
      </c>
      <c r="D140" s="261">
        <f>+D141+D142+D144+D145+D143</f>
        <v>38351575</v>
      </c>
      <c r="E140" s="261">
        <f>+E141+E142+E144+E145+E143</f>
        <v>1169575469</v>
      </c>
      <c r="K140" s="205"/>
    </row>
    <row r="141" spans="1:11">
      <c r="A141" s="392" t="s">
        <v>91</v>
      </c>
      <c r="B141" s="9" t="s">
        <v>363</v>
      </c>
      <c r="C141" s="222"/>
      <c r="D141" s="222">
        <v>38351575</v>
      </c>
      <c r="E141" s="222">
        <f>C141+D141</f>
        <v>38351575</v>
      </c>
    </row>
    <row r="142" spans="1:11" ht="12" customHeight="1">
      <c r="A142" s="392" t="s">
        <v>92</v>
      </c>
      <c r="B142" s="9" t="s">
        <v>364</v>
      </c>
      <c r="C142" s="222"/>
      <c r="D142" s="222"/>
      <c r="E142" s="222">
        <f>C142+D142</f>
        <v>0</v>
      </c>
    </row>
    <row r="143" spans="1:11" ht="12" customHeight="1">
      <c r="A143" s="392" t="s">
        <v>280</v>
      </c>
      <c r="B143" s="9" t="s">
        <v>532</v>
      </c>
      <c r="C143" s="222">
        <v>1131223894</v>
      </c>
      <c r="D143" s="222"/>
      <c r="E143" s="222">
        <f>C143+D143</f>
        <v>1131223894</v>
      </c>
    </row>
    <row r="144" spans="1:11" s="72" customFormat="1" ht="12" customHeight="1">
      <c r="A144" s="392" t="s">
        <v>281</v>
      </c>
      <c r="B144" s="9" t="s">
        <v>456</v>
      </c>
      <c r="C144" s="222"/>
      <c r="D144" s="222"/>
      <c r="E144" s="222"/>
    </row>
    <row r="145" spans="1:5" s="72" customFormat="1" ht="12" customHeight="1" thickBot="1">
      <c r="A145" s="401" t="s">
        <v>282</v>
      </c>
      <c r="B145" s="7" t="s">
        <v>382</v>
      </c>
      <c r="C145" s="222"/>
      <c r="D145" s="222"/>
      <c r="E145" s="222"/>
    </row>
    <row r="146" spans="1:5" s="72" customFormat="1" ht="12" customHeight="1" thickBot="1">
      <c r="A146" s="29" t="s">
        <v>23</v>
      </c>
      <c r="B146" s="98" t="s">
        <v>457</v>
      </c>
      <c r="C146" s="264">
        <f>+C147+C148+C149+C150+C151</f>
        <v>0</v>
      </c>
      <c r="D146" s="264">
        <f>+D147+D148+D149+D150+D151</f>
        <v>0</v>
      </c>
      <c r="E146" s="264">
        <f>+E147+E148+E149+E150+E151</f>
        <v>0</v>
      </c>
    </row>
    <row r="147" spans="1:5" s="72" customFormat="1" ht="12" customHeight="1">
      <c r="A147" s="392" t="s">
        <v>93</v>
      </c>
      <c r="B147" s="9" t="s">
        <v>452</v>
      </c>
      <c r="C147" s="222"/>
      <c r="D147" s="222"/>
      <c r="E147" s="222"/>
    </row>
    <row r="148" spans="1:5" s="72" customFormat="1" ht="12" customHeight="1">
      <c r="A148" s="392" t="s">
        <v>94</v>
      </c>
      <c r="B148" s="9" t="s">
        <v>459</v>
      </c>
      <c r="C148" s="222"/>
      <c r="D148" s="222"/>
      <c r="E148" s="222"/>
    </row>
    <row r="149" spans="1:5" s="72" customFormat="1" ht="12" customHeight="1">
      <c r="A149" s="392" t="s">
        <v>292</v>
      </c>
      <c r="B149" s="9" t="s">
        <v>454</v>
      </c>
      <c r="C149" s="222"/>
      <c r="D149" s="222"/>
      <c r="E149" s="222"/>
    </row>
    <row r="150" spans="1:5" s="72" customFormat="1" ht="12" customHeight="1">
      <c r="A150" s="392" t="s">
        <v>293</v>
      </c>
      <c r="B150" s="9" t="s">
        <v>510</v>
      </c>
      <c r="C150" s="222"/>
      <c r="D150" s="222"/>
      <c r="E150" s="222"/>
    </row>
    <row r="151" spans="1:5" ht="12.75" customHeight="1" thickBot="1">
      <c r="A151" s="401" t="s">
        <v>458</v>
      </c>
      <c r="B151" s="7" t="s">
        <v>461</v>
      </c>
      <c r="C151" s="224"/>
      <c r="D151" s="224"/>
      <c r="E151" s="224"/>
    </row>
    <row r="152" spans="1:5" ht="12.75" customHeight="1" thickBot="1">
      <c r="A152" s="441" t="s">
        <v>24</v>
      </c>
      <c r="B152" s="98" t="s">
        <v>462</v>
      </c>
      <c r="C152" s="264"/>
      <c r="D152" s="264"/>
      <c r="E152" s="264"/>
    </row>
    <row r="153" spans="1:5" ht="12.75" customHeight="1" thickBot="1">
      <c r="A153" s="441" t="s">
        <v>25</v>
      </c>
      <c r="B153" s="98" t="s">
        <v>463</v>
      </c>
      <c r="C153" s="264"/>
      <c r="D153" s="264"/>
      <c r="E153" s="264"/>
    </row>
    <row r="154" spans="1:5" ht="12" customHeight="1" thickBot="1">
      <c r="A154" s="29" t="s">
        <v>26</v>
      </c>
      <c r="B154" s="98" t="s">
        <v>465</v>
      </c>
      <c r="C154" s="383">
        <f>+C129+C133+C140+C146+C152+C153</f>
        <v>1131223894</v>
      </c>
      <c r="D154" s="383">
        <f>+D129+D133+D140+D146+D152+D153</f>
        <v>38351575</v>
      </c>
      <c r="E154" s="383">
        <f>+E129+E133+E140+E146+E152+E153</f>
        <v>1169575469</v>
      </c>
    </row>
    <row r="155" spans="1:5" ht="15.2" customHeight="1" thickBot="1">
      <c r="A155" s="403" t="s">
        <v>27</v>
      </c>
      <c r="B155" s="338" t="s">
        <v>464</v>
      </c>
      <c r="C155" s="383">
        <f>+C128+C154</f>
        <v>3259167351</v>
      </c>
      <c r="D155" s="383">
        <f>+D128+D154</f>
        <v>98373971</v>
      </c>
      <c r="E155" s="383">
        <f>+E128+E154</f>
        <v>3357541322</v>
      </c>
    </row>
    <row r="156" spans="1:5" ht="13.5" thickBot="1">
      <c r="A156" s="346"/>
      <c r="B156" s="347"/>
      <c r="C156" s="569">
        <f>C90-C155</f>
        <v>0</v>
      </c>
      <c r="D156" s="569">
        <f>D90-D155</f>
        <v>0</v>
      </c>
      <c r="E156" s="569">
        <f>E90-E155</f>
        <v>0</v>
      </c>
    </row>
    <row r="157" spans="1:5" ht="15.2" customHeight="1" thickBot="1">
      <c r="A157" s="203" t="s">
        <v>511</v>
      </c>
      <c r="B157" s="204"/>
      <c r="C157" s="95">
        <v>43</v>
      </c>
      <c r="D157" s="95"/>
      <c r="E157" s="95">
        <v>43</v>
      </c>
    </row>
    <row r="158" spans="1:5" ht="14.45" customHeight="1" thickBot="1">
      <c r="A158" s="203" t="s">
        <v>200</v>
      </c>
      <c r="B158" s="204"/>
      <c r="C158" s="95">
        <v>80</v>
      </c>
      <c r="D158" s="95"/>
      <c r="E158" s="95">
        <v>80</v>
      </c>
    </row>
    <row r="159" spans="1:5">
      <c r="A159" s="566"/>
      <c r="B159" s="567"/>
      <c r="C159" s="610"/>
      <c r="D159" s="610"/>
      <c r="E159" s="610"/>
    </row>
    <row r="160" spans="1:5">
      <c r="A160" s="566"/>
      <c r="B160" s="567"/>
    </row>
    <row r="161" spans="1:5">
      <c r="A161" s="566"/>
      <c r="B161" s="567"/>
      <c r="C161" s="568"/>
      <c r="D161" s="568"/>
      <c r="E161" s="568"/>
    </row>
    <row r="162" spans="1:5">
      <c r="A162" s="566"/>
      <c r="B162" s="567"/>
      <c r="C162" s="568"/>
      <c r="D162" s="568"/>
      <c r="E162" s="568"/>
    </row>
    <row r="163" spans="1:5">
      <c r="A163" s="566"/>
      <c r="B163" s="567"/>
      <c r="C163" s="568"/>
      <c r="D163" s="568"/>
      <c r="E163" s="568"/>
    </row>
    <row r="164" spans="1:5">
      <c r="A164" s="566"/>
      <c r="B164" s="567"/>
      <c r="C164" s="568"/>
      <c r="D164" s="568"/>
      <c r="E164" s="568"/>
    </row>
    <row r="165" spans="1:5">
      <c r="A165" s="566"/>
      <c r="B165" s="567"/>
      <c r="C165" s="568"/>
      <c r="D165" s="568"/>
      <c r="E165" s="568"/>
    </row>
    <row r="166" spans="1:5">
      <c r="A166" s="566"/>
      <c r="B166" s="567"/>
      <c r="C166" s="568"/>
      <c r="D166" s="568"/>
      <c r="E166" s="568"/>
    </row>
    <row r="167" spans="1:5">
      <c r="A167" s="566"/>
      <c r="B167" s="567"/>
      <c r="C167" s="568"/>
      <c r="D167" s="568"/>
      <c r="E167" s="568"/>
    </row>
    <row r="168" spans="1:5">
      <c r="A168" s="566"/>
      <c r="B168" s="567"/>
      <c r="C168" s="568"/>
      <c r="D168" s="568"/>
      <c r="E168" s="568"/>
    </row>
    <row r="169" spans="1:5">
      <c r="A169" s="566"/>
      <c r="B169" s="567"/>
      <c r="C169" s="568"/>
      <c r="D169" s="568"/>
      <c r="E169" s="568"/>
    </row>
    <row r="170" spans="1:5">
      <c r="A170" s="566"/>
      <c r="B170" s="567"/>
      <c r="C170" s="568"/>
      <c r="D170" s="568"/>
      <c r="E170" s="568"/>
    </row>
    <row r="171" spans="1:5">
      <c r="A171" s="566"/>
      <c r="B171" s="567"/>
      <c r="C171" s="568"/>
      <c r="D171" s="568"/>
      <c r="E171" s="568"/>
    </row>
    <row r="172" spans="1:5">
      <c r="A172" s="566"/>
      <c r="B172" s="567"/>
      <c r="C172" s="568"/>
      <c r="D172" s="568"/>
      <c r="E172" s="568"/>
    </row>
    <row r="173" spans="1:5">
      <c r="A173" s="566"/>
      <c r="B173" s="567"/>
      <c r="C173" s="568"/>
      <c r="D173" s="568"/>
      <c r="E173" s="568"/>
    </row>
    <row r="174" spans="1:5">
      <c r="A174" s="566"/>
      <c r="B174" s="567"/>
      <c r="C174" s="568"/>
      <c r="D174" s="568"/>
      <c r="E174" s="568"/>
    </row>
    <row r="175" spans="1:5">
      <c r="A175" s="566"/>
      <c r="B175" s="567"/>
      <c r="C175" s="568"/>
      <c r="D175" s="568"/>
      <c r="E175" s="568"/>
    </row>
    <row r="176" spans="1:5">
      <c r="A176" s="566"/>
      <c r="B176" s="567"/>
      <c r="C176" s="568"/>
      <c r="D176" s="568"/>
      <c r="E176" s="568"/>
    </row>
    <row r="177" spans="1:5">
      <c r="A177" s="566"/>
      <c r="B177" s="567"/>
      <c r="C177" s="568"/>
      <c r="D177" s="568"/>
      <c r="E177" s="568"/>
    </row>
    <row r="178" spans="1:5">
      <c r="A178" s="566"/>
      <c r="B178" s="567"/>
      <c r="C178" s="568"/>
      <c r="D178" s="568"/>
      <c r="E178" s="568"/>
    </row>
    <row r="179" spans="1:5">
      <c r="A179" s="566"/>
      <c r="B179" s="567"/>
      <c r="C179" s="568"/>
      <c r="D179" s="568"/>
      <c r="E179" s="568"/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4" orientation="portrait" horizontalDpi="360" verticalDpi="360" r:id="rId1"/>
  <headerFooter alignWithMargins="0"/>
  <rowBreaks count="1" manualBreakCount="1">
    <brk id="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157" sqref="C157"/>
    </sheetView>
  </sheetViews>
  <sheetFormatPr defaultRowHeight="12.75"/>
  <cols>
    <col min="1" max="1" width="19.5" style="348" customWidth="1"/>
    <col min="2" max="2" width="72" style="349" customWidth="1"/>
    <col min="3" max="3" width="25" style="350" customWidth="1"/>
    <col min="4" max="16384" width="9.33203125" style="3"/>
  </cols>
  <sheetData>
    <row r="1" spans="1:3" s="2" customFormat="1" ht="16.5" customHeight="1" thickBot="1">
      <c r="A1" s="547"/>
      <c r="B1" s="548"/>
      <c r="C1" s="544" t="str">
        <f ca="1">CONCATENATE("9.1.1. melléklet ",ALAPADATOK!A7," ",ALAPADATOK!B7," ",ALAPADATOK!C7," ",ALAPADATOK!D7," ",ALAPADATOK!E7," ",ALAPADATOK!F7," ",ALAPADATOK!G7," ",ALAPADATOK!H7)</f>
        <v>9.1.1. melléklet a 5 / 2020 ( (II.18.) ) önkormányzati rendelethez</v>
      </c>
    </row>
    <row r="2" spans="1:3" s="68" customFormat="1" ht="21.2" customHeight="1">
      <c r="A2" s="549" t="s">
        <v>60</v>
      </c>
      <c r="B2" s="550" t="str">
        <f ca="1">CONCATENATE(ALAPADATOK!A3)</f>
        <v>DABAS VÁROS ÖNKORMÁNYZATA</v>
      </c>
      <c r="C2" s="551" t="s">
        <v>53</v>
      </c>
    </row>
    <row r="3" spans="1:3" s="68" customFormat="1" ht="16.5" thickBot="1">
      <c r="A3" s="552" t="s">
        <v>197</v>
      </c>
      <c r="B3" s="553" t="s">
        <v>421</v>
      </c>
      <c r="C3" s="554" t="s">
        <v>58</v>
      </c>
    </row>
    <row r="4" spans="1:3" s="69" customFormat="1" ht="22.5" customHeight="1" thickBot="1">
      <c r="A4" s="555"/>
      <c r="B4" s="555"/>
      <c r="C4" s="556">
        <f ca="1">KV_9.1.sz.mell!C4</f>
        <v>0</v>
      </c>
    </row>
    <row r="5" spans="1:3" ht="13.5" thickBot="1">
      <c r="A5" s="557" t="s">
        <v>199</v>
      </c>
      <c r="B5" s="558" t="s">
        <v>554</v>
      </c>
      <c r="C5" s="559" t="s">
        <v>54</v>
      </c>
    </row>
    <row r="6" spans="1:3" s="48" customFormat="1" ht="12.95" customHeight="1" thickBot="1">
      <c r="A6" s="560"/>
      <c r="B6" s="561" t="s">
        <v>485</v>
      </c>
      <c r="C6" s="562" t="s">
        <v>486</v>
      </c>
    </row>
    <row r="7" spans="1:3" s="48" customFormat="1" ht="15.95" customHeight="1" thickBot="1">
      <c r="A7" s="188"/>
      <c r="B7" s="189" t="s">
        <v>55</v>
      </c>
      <c r="C7" s="315"/>
    </row>
    <row r="8" spans="1:3" s="48" customFormat="1" ht="12" customHeight="1" thickBot="1">
      <c r="A8" s="29" t="s">
        <v>17</v>
      </c>
      <c r="B8" s="21" t="s">
        <v>246</v>
      </c>
      <c r="C8" s="255">
        <f>+C9+C10+C11+C12+C13+C14</f>
        <v>958789393</v>
      </c>
    </row>
    <row r="9" spans="1:3" s="70" customFormat="1" ht="12" customHeight="1">
      <c r="A9" s="392" t="s">
        <v>95</v>
      </c>
      <c r="B9" s="373" t="s">
        <v>247</v>
      </c>
      <c r="C9" s="258">
        <v>131352375</v>
      </c>
    </row>
    <row r="10" spans="1:3" s="71" customFormat="1" ht="12" customHeight="1">
      <c r="A10" s="393" t="s">
        <v>96</v>
      </c>
      <c r="B10" s="374" t="s">
        <v>248</v>
      </c>
      <c r="C10" s="257">
        <v>554386750</v>
      </c>
    </row>
    <row r="11" spans="1:3" s="71" customFormat="1" ht="12" customHeight="1">
      <c r="A11" s="393" t="s">
        <v>97</v>
      </c>
      <c r="B11" s="374" t="s">
        <v>542</v>
      </c>
      <c r="C11" s="257">
        <v>251590614</v>
      </c>
    </row>
    <row r="12" spans="1:3" s="71" customFormat="1" ht="12" customHeight="1">
      <c r="A12" s="393" t="s">
        <v>98</v>
      </c>
      <c r="B12" s="374" t="s">
        <v>250</v>
      </c>
      <c r="C12" s="257">
        <v>21459654</v>
      </c>
    </row>
    <row r="13" spans="1:3" s="71" customFormat="1" ht="12" customHeight="1">
      <c r="A13" s="393" t="s">
        <v>143</v>
      </c>
      <c r="B13" s="374" t="s">
        <v>498</v>
      </c>
      <c r="C13" s="257"/>
    </row>
    <row r="14" spans="1:3" s="70" customFormat="1" ht="12" customHeight="1" thickBot="1">
      <c r="A14" s="394" t="s">
        <v>99</v>
      </c>
      <c r="B14" s="375" t="s">
        <v>425</v>
      </c>
      <c r="C14" s="257"/>
    </row>
    <row r="15" spans="1:3" s="70" customFormat="1" ht="12" customHeight="1" thickBot="1">
      <c r="A15" s="29" t="s">
        <v>18</v>
      </c>
      <c r="B15" s="250" t="s">
        <v>251</v>
      </c>
      <c r="C15" s="255">
        <f>+C16+C17+C18+C19+C20</f>
        <v>0</v>
      </c>
    </row>
    <row r="16" spans="1:3" s="70" customFormat="1" ht="12" customHeight="1">
      <c r="A16" s="392" t="s">
        <v>101</v>
      </c>
      <c r="B16" s="373" t="s">
        <v>252</v>
      </c>
      <c r="C16" s="258"/>
    </row>
    <row r="17" spans="1:3" s="70" customFormat="1" ht="12" customHeight="1">
      <c r="A17" s="393" t="s">
        <v>102</v>
      </c>
      <c r="B17" s="374" t="s">
        <v>253</v>
      </c>
      <c r="C17" s="257"/>
    </row>
    <row r="18" spans="1:3" s="70" customFormat="1" ht="12" customHeight="1">
      <c r="A18" s="393" t="s">
        <v>103</v>
      </c>
      <c r="B18" s="374" t="s">
        <v>414</v>
      </c>
      <c r="C18" s="257"/>
    </row>
    <row r="19" spans="1:3" s="70" customFormat="1" ht="12" customHeight="1">
      <c r="A19" s="393" t="s">
        <v>104</v>
      </c>
      <c r="B19" s="374" t="s">
        <v>415</v>
      </c>
      <c r="C19" s="257"/>
    </row>
    <row r="20" spans="1:3" s="70" customFormat="1" ht="12" customHeight="1">
      <c r="A20" s="393" t="s">
        <v>105</v>
      </c>
      <c r="B20" s="374" t="s">
        <v>254</v>
      </c>
      <c r="C20" s="257"/>
    </row>
    <row r="21" spans="1:3" s="71" customFormat="1" ht="12" customHeight="1" thickBot="1">
      <c r="A21" s="394" t="s">
        <v>114</v>
      </c>
      <c r="B21" s="375" t="s">
        <v>255</v>
      </c>
      <c r="C21" s="259"/>
    </row>
    <row r="22" spans="1:3" s="71" customFormat="1" ht="12" customHeight="1" thickBot="1">
      <c r="A22" s="29" t="s">
        <v>19</v>
      </c>
      <c r="B22" s="21" t="s">
        <v>256</v>
      </c>
      <c r="C22" s="255">
        <f>+C23+C24+C25+C26+C27</f>
        <v>0</v>
      </c>
    </row>
    <row r="23" spans="1:3" s="71" customFormat="1" ht="12" customHeight="1">
      <c r="A23" s="392" t="s">
        <v>84</v>
      </c>
      <c r="B23" s="373" t="s">
        <v>257</v>
      </c>
      <c r="C23" s="258"/>
    </row>
    <row r="24" spans="1:3" s="70" customFormat="1" ht="12" customHeight="1">
      <c r="A24" s="393" t="s">
        <v>85</v>
      </c>
      <c r="B24" s="374" t="s">
        <v>258</v>
      </c>
      <c r="C24" s="257"/>
    </row>
    <row r="25" spans="1:3" s="71" customFormat="1" ht="12" customHeight="1">
      <c r="A25" s="393" t="s">
        <v>86</v>
      </c>
      <c r="B25" s="374" t="s">
        <v>416</v>
      </c>
      <c r="C25" s="257"/>
    </row>
    <row r="26" spans="1:3" s="71" customFormat="1" ht="12" customHeight="1">
      <c r="A26" s="393" t="s">
        <v>87</v>
      </c>
      <c r="B26" s="374" t="s">
        <v>417</v>
      </c>
      <c r="C26" s="257"/>
    </row>
    <row r="27" spans="1:3" s="71" customFormat="1" ht="12" customHeight="1">
      <c r="A27" s="393" t="s">
        <v>166</v>
      </c>
      <c r="B27" s="374" t="s">
        <v>259</v>
      </c>
      <c r="C27" s="257"/>
    </row>
    <row r="28" spans="1:3" s="71" customFormat="1" ht="12" customHeight="1" thickBot="1">
      <c r="A28" s="394" t="s">
        <v>167</v>
      </c>
      <c r="B28" s="375" t="s">
        <v>260</v>
      </c>
      <c r="C28" s="259"/>
    </row>
    <row r="29" spans="1:3" s="71" customFormat="1" ht="12" customHeight="1" thickBot="1">
      <c r="A29" s="29" t="s">
        <v>168</v>
      </c>
      <c r="B29" s="21" t="s">
        <v>552</v>
      </c>
      <c r="C29" s="261">
        <f>SUM(C30:C36)</f>
        <v>868097352</v>
      </c>
    </row>
    <row r="30" spans="1:3" s="71" customFormat="1" ht="12" customHeight="1">
      <c r="A30" s="392" t="s">
        <v>262</v>
      </c>
      <c r="B30" s="373" t="str">
        <f ca="1">KV_1.1.sz.mell.!B32</f>
        <v>Építményadó</v>
      </c>
      <c r="C30" s="258"/>
    </row>
    <row r="31" spans="1:3" s="71" customFormat="1" ht="12" customHeight="1">
      <c r="A31" s="393" t="s">
        <v>263</v>
      </c>
      <c r="B31" s="373" t="str">
        <f ca="1">KV_1.1.sz.mell.!B33</f>
        <v>Idegenforgalmi adó</v>
      </c>
      <c r="C31" s="257"/>
    </row>
    <row r="32" spans="1:3" s="71" customFormat="1" ht="12" customHeight="1">
      <c r="A32" s="393" t="s">
        <v>264</v>
      </c>
      <c r="B32" s="373" t="str">
        <f ca="1">KV_1.1.sz.mell.!B34</f>
        <v>Iparűzési adó</v>
      </c>
      <c r="C32" s="257">
        <v>778097352</v>
      </c>
    </row>
    <row r="33" spans="1:3" s="71" customFormat="1" ht="12" customHeight="1">
      <c r="A33" s="393" t="s">
        <v>265</v>
      </c>
      <c r="B33" s="373" t="str">
        <f ca="1">KV_1.1.sz.mell.!B35</f>
        <v>Talajterhelési díj</v>
      </c>
      <c r="C33" s="257"/>
    </row>
    <row r="34" spans="1:3" s="71" customFormat="1" ht="12" customHeight="1">
      <c r="A34" s="393" t="s">
        <v>544</v>
      </c>
      <c r="B34" s="373" t="str">
        <f ca="1">KV_1.1.sz.mell.!B36</f>
        <v>Gépjárműadó</v>
      </c>
      <c r="C34" s="257">
        <v>90000000</v>
      </c>
    </row>
    <row r="35" spans="1:3" s="71" customFormat="1" ht="12" customHeight="1">
      <c r="A35" s="393" t="s">
        <v>545</v>
      </c>
      <c r="B35" s="373" t="str">
        <f ca="1">KV_1.1.sz.mell.!B37</f>
        <v>Telekadó</v>
      </c>
      <c r="C35" s="257"/>
    </row>
    <row r="36" spans="1:3" s="71" customFormat="1" ht="12" customHeight="1" thickBot="1">
      <c r="A36" s="394" t="s">
        <v>546</v>
      </c>
      <c r="B36" s="373" t="str">
        <f ca="1">KV_1.1.sz.mell.!B38</f>
        <v>Kommunális adó</v>
      </c>
      <c r="C36" s="259"/>
    </row>
    <row r="37" spans="1:3" s="71" customFormat="1" ht="12" customHeight="1" thickBot="1">
      <c r="A37" s="29" t="s">
        <v>21</v>
      </c>
      <c r="B37" s="21" t="s">
        <v>426</v>
      </c>
      <c r="C37" s="255">
        <f>SUM(C38:C48)</f>
        <v>106315000</v>
      </c>
    </row>
    <row r="38" spans="1:3" s="71" customFormat="1" ht="12" customHeight="1">
      <c r="A38" s="392" t="s">
        <v>88</v>
      </c>
      <c r="B38" s="373" t="s">
        <v>269</v>
      </c>
      <c r="C38" s="258"/>
    </row>
    <row r="39" spans="1:3" s="71" customFormat="1" ht="12" customHeight="1">
      <c r="A39" s="393" t="s">
        <v>89</v>
      </c>
      <c r="B39" s="374" t="s">
        <v>270</v>
      </c>
      <c r="C39" s="257">
        <v>61887000</v>
      </c>
    </row>
    <row r="40" spans="1:3" s="71" customFormat="1" ht="12" customHeight="1">
      <c r="A40" s="393" t="s">
        <v>90</v>
      </c>
      <c r="B40" s="374" t="s">
        <v>271</v>
      </c>
      <c r="C40" s="257">
        <v>14000000</v>
      </c>
    </row>
    <row r="41" spans="1:3" s="71" customFormat="1" ht="12" customHeight="1">
      <c r="A41" s="393" t="s">
        <v>170</v>
      </c>
      <c r="B41" s="374" t="s">
        <v>272</v>
      </c>
      <c r="C41" s="257"/>
    </row>
    <row r="42" spans="1:3" s="71" customFormat="1" ht="12" customHeight="1">
      <c r="A42" s="393" t="s">
        <v>171</v>
      </c>
      <c r="B42" s="374" t="s">
        <v>273</v>
      </c>
      <c r="C42" s="257">
        <v>12800000</v>
      </c>
    </row>
    <row r="43" spans="1:3" s="71" customFormat="1" ht="12" customHeight="1">
      <c r="A43" s="393" t="s">
        <v>172</v>
      </c>
      <c r="B43" s="374" t="s">
        <v>274</v>
      </c>
      <c r="C43" s="257">
        <v>17628000</v>
      </c>
    </row>
    <row r="44" spans="1:3" s="71" customFormat="1" ht="12" customHeight="1">
      <c r="A44" s="393" t="s">
        <v>173</v>
      </c>
      <c r="B44" s="374" t="s">
        <v>275</v>
      </c>
      <c r="C44" s="257"/>
    </row>
    <row r="45" spans="1:3" s="71" customFormat="1" ht="12" customHeight="1">
      <c r="A45" s="393" t="s">
        <v>174</v>
      </c>
      <c r="B45" s="374" t="s">
        <v>551</v>
      </c>
      <c r="C45" s="257"/>
    </row>
    <row r="46" spans="1:3" s="71" customFormat="1" ht="12" customHeight="1">
      <c r="A46" s="393" t="s">
        <v>267</v>
      </c>
      <c r="B46" s="374" t="s">
        <v>277</v>
      </c>
      <c r="C46" s="260"/>
    </row>
    <row r="47" spans="1:3" s="71" customFormat="1" ht="12" customHeight="1">
      <c r="A47" s="394" t="s">
        <v>268</v>
      </c>
      <c r="B47" s="375" t="s">
        <v>428</v>
      </c>
      <c r="C47" s="361"/>
    </row>
    <row r="48" spans="1:3" s="71" customFormat="1" ht="12" customHeight="1" thickBot="1">
      <c r="A48" s="394" t="s">
        <v>427</v>
      </c>
      <c r="B48" s="375" t="s">
        <v>278</v>
      </c>
      <c r="C48" s="361"/>
    </row>
    <row r="49" spans="1:3" s="71" customFormat="1" ht="12" customHeight="1" thickBot="1">
      <c r="A49" s="29" t="s">
        <v>22</v>
      </c>
      <c r="B49" s="21" t="s">
        <v>279</v>
      </c>
      <c r="C49" s="255">
        <f>SUM(C50:C54)</f>
        <v>0</v>
      </c>
    </row>
    <row r="50" spans="1:3" s="71" customFormat="1" ht="12" customHeight="1">
      <c r="A50" s="392" t="s">
        <v>91</v>
      </c>
      <c r="B50" s="373" t="s">
        <v>283</v>
      </c>
      <c r="C50" s="417"/>
    </row>
    <row r="51" spans="1:3" s="71" customFormat="1" ht="12" customHeight="1">
      <c r="A51" s="393" t="s">
        <v>92</v>
      </c>
      <c r="B51" s="374" t="s">
        <v>284</v>
      </c>
      <c r="C51" s="260"/>
    </row>
    <row r="52" spans="1:3" s="71" customFormat="1" ht="12" customHeight="1">
      <c r="A52" s="393" t="s">
        <v>280</v>
      </c>
      <c r="B52" s="374" t="s">
        <v>285</v>
      </c>
      <c r="C52" s="260"/>
    </row>
    <row r="53" spans="1:3" s="71" customFormat="1" ht="12" customHeight="1">
      <c r="A53" s="393" t="s">
        <v>281</v>
      </c>
      <c r="B53" s="374" t="s">
        <v>286</v>
      </c>
      <c r="C53" s="260"/>
    </row>
    <row r="54" spans="1:3" s="71" customFormat="1" ht="12" customHeight="1" thickBot="1">
      <c r="A54" s="394" t="s">
        <v>282</v>
      </c>
      <c r="B54" s="375" t="s">
        <v>287</v>
      </c>
      <c r="C54" s="361"/>
    </row>
    <row r="55" spans="1:3" s="71" customFormat="1" ht="12" customHeight="1" thickBot="1">
      <c r="A55" s="29" t="s">
        <v>175</v>
      </c>
      <c r="B55" s="21" t="s">
        <v>288</v>
      </c>
      <c r="C55" s="255">
        <f>SUM(C56:C58)</f>
        <v>0</v>
      </c>
    </row>
    <row r="56" spans="1:3" s="71" customFormat="1" ht="12" customHeight="1">
      <c r="A56" s="392" t="s">
        <v>93</v>
      </c>
      <c r="B56" s="373" t="s">
        <v>289</v>
      </c>
      <c r="C56" s="258"/>
    </row>
    <row r="57" spans="1:3" s="71" customFormat="1" ht="12" customHeight="1">
      <c r="A57" s="393" t="s">
        <v>94</v>
      </c>
      <c r="B57" s="374" t="s">
        <v>418</v>
      </c>
      <c r="C57" s="257"/>
    </row>
    <row r="58" spans="1:3" s="71" customFormat="1" ht="12" customHeight="1">
      <c r="A58" s="393" t="s">
        <v>292</v>
      </c>
      <c r="B58" s="374" t="s">
        <v>290</v>
      </c>
      <c r="C58" s="257"/>
    </row>
    <row r="59" spans="1:3" s="71" customFormat="1" ht="12" customHeight="1" thickBot="1">
      <c r="A59" s="394" t="s">
        <v>293</v>
      </c>
      <c r="B59" s="375" t="s">
        <v>291</v>
      </c>
      <c r="C59" s="259"/>
    </row>
    <row r="60" spans="1:3" s="71" customFormat="1" ht="12" customHeight="1" thickBot="1">
      <c r="A60" s="29" t="s">
        <v>24</v>
      </c>
      <c r="B60" s="250" t="s">
        <v>294</v>
      </c>
      <c r="C60" s="255">
        <f>SUM(C61:C63)</f>
        <v>0</v>
      </c>
    </row>
    <row r="61" spans="1:3" s="71" customFormat="1" ht="12" customHeight="1">
      <c r="A61" s="392" t="s">
        <v>176</v>
      </c>
      <c r="B61" s="373" t="s">
        <v>296</v>
      </c>
      <c r="C61" s="260"/>
    </row>
    <row r="62" spans="1:3" s="71" customFormat="1" ht="12" customHeight="1">
      <c r="A62" s="393" t="s">
        <v>177</v>
      </c>
      <c r="B62" s="374" t="s">
        <v>419</v>
      </c>
      <c r="C62" s="260"/>
    </row>
    <row r="63" spans="1:3" s="71" customFormat="1" ht="12" customHeight="1">
      <c r="A63" s="393" t="s">
        <v>225</v>
      </c>
      <c r="B63" s="374" t="s">
        <v>297</v>
      </c>
      <c r="C63" s="260"/>
    </row>
    <row r="64" spans="1:3" s="71" customFormat="1" ht="12" customHeight="1" thickBot="1">
      <c r="A64" s="394" t="s">
        <v>295</v>
      </c>
      <c r="B64" s="375" t="s">
        <v>298</v>
      </c>
      <c r="C64" s="260"/>
    </row>
    <row r="65" spans="1:3" s="71" customFormat="1" ht="12" customHeight="1" thickBot="1">
      <c r="A65" s="29" t="s">
        <v>25</v>
      </c>
      <c r="B65" s="21" t="s">
        <v>299</v>
      </c>
      <c r="C65" s="261">
        <f>+C8+C15+C22+C29+C37+C49+C55+C60</f>
        <v>1933201745</v>
      </c>
    </row>
    <row r="66" spans="1:3" s="71" customFormat="1" ht="12" customHeight="1" thickBot="1">
      <c r="A66" s="395" t="s">
        <v>386</v>
      </c>
      <c r="B66" s="250" t="s">
        <v>301</v>
      </c>
      <c r="C66" s="255">
        <f>SUM(C67:C69)</f>
        <v>0</v>
      </c>
    </row>
    <row r="67" spans="1:3" s="71" customFormat="1" ht="12" customHeight="1">
      <c r="A67" s="392" t="s">
        <v>329</v>
      </c>
      <c r="B67" s="373" t="s">
        <v>302</v>
      </c>
      <c r="C67" s="260"/>
    </row>
    <row r="68" spans="1:3" s="71" customFormat="1" ht="12" customHeight="1">
      <c r="A68" s="393" t="s">
        <v>338</v>
      </c>
      <c r="B68" s="374" t="s">
        <v>303</v>
      </c>
      <c r="C68" s="260"/>
    </row>
    <row r="69" spans="1:3" s="71" customFormat="1" ht="12" customHeight="1" thickBot="1">
      <c r="A69" s="394" t="s">
        <v>339</v>
      </c>
      <c r="B69" s="376" t="s">
        <v>304</v>
      </c>
      <c r="C69" s="260"/>
    </row>
    <row r="70" spans="1:3" s="71" customFormat="1" ht="12" customHeight="1" thickBot="1">
      <c r="A70" s="395" t="s">
        <v>305</v>
      </c>
      <c r="B70" s="250" t="s">
        <v>306</v>
      </c>
      <c r="C70" s="255">
        <f>SUM(C71:C74)</f>
        <v>0</v>
      </c>
    </row>
    <row r="71" spans="1:3" s="71" customFormat="1" ht="12" customHeight="1">
      <c r="A71" s="392" t="s">
        <v>144</v>
      </c>
      <c r="B71" s="373" t="s">
        <v>307</v>
      </c>
      <c r="C71" s="260"/>
    </row>
    <row r="72" spans="1:3" s="71" customFormat="1" ht="12" customHeight="1">
      <c r="A72" s="393" t="s">
        <v>145</v>
      </c>
      <c r="B72" s="374" t="s">
        <v>561</v>
      </c>
      <c r="C72" s="260"/>
    </row>
    <row r="73" spans="1:3" s="71" customFormat="1" ht="12" customHeight="1">
      <c r="A73" s="393" t="s">
        <v>330</v>
      </c>
      <c r="B73" s="374" t="s">
        <v>308</v>
      </c>
      <c r="C73" s="260"/>
    </row>
    <row r="74" spans="1:3" s="71" customFormat="1" ht="12" customHeight="1">
      <c r="A74" s="393" t="s">
        <v>331</v>
      </c>
      <c r="B74" s="251" t="s">
        <v>562</v>
      </c>
      <c r="C74" s="260"/>
    </row>
    <row r="75" spans="1:3" s="71" customFormat="1" ht="12" customHeight="1" thickBot="1">
      <c r="A75" s="399" t="s">
        <v>309</v>
      </c>
      <c r="B75" s="529" t="s">
        <v>310</v>
      </c>
      <c r="C75" s="436">
        <f>SUM(C76:C77)</f>
        <v>336700000</v>
      </c>
    </row>
    <row r="76" spans="1:3" s="71" customFormat="1" ht="12" customHeight="1">
      <c r="A76" s="392" t="s">
        <v>332</v>
      </c>
      <c r="B76" s="373" t="s">
        <v>311</v>
      </c>
      <c r="C76" s="260">
        <v>336700000</v>
      </c>
    </row>
    <row r="77" spans="1:3" s="71" customFormat="1" ht="12" customHeight="1" thickBot="1">
      <c r="A77" s="394" t="s">
        <v>333</v>
      </c>
      <c r="B77" s="375" t="s">
        <v>312</v>
      </c>
      <c r="C77" s="260"/>
    </row>
    <row r="78" spans="1:3" s="70" customFormat="1" ht="12" customHeight="1" thickBot="1">
      <c r="A78" s="395" t="s">
        <v>313</v>
      </c>
      <c r="B78" s="250" t="s">
        <v>314</v>
      </c>
      <c r="C78" s="255">
        <f>SUM(C79:C81)</f>
        <v>0</v>
      </c>
    </row>
    <row r="79" spans="1:3" s="71" customFormat="1" ht="12" customHeight="1">
      <c r="A79" s="392" t="s">
        <v>334</v>
      </c>
      <c r="B79" s="373" t="s">
        <v>315</v>
      </c>
      <c r="C79" s="260"/>
    </row>
    <row r="80" spans="1:3" s="71" customFormat="1" ht="12" customHeight="1">
      <c r="A80" s="393" t="s">
        <v>335</v>
      </c>
      <c r="B80" s="374" t="s">
        <v>316</v>
      </c>
      <c r="C80" s="260"/>
    </row>
    <row r="81" spans="1:3" s="71" customFormat="1" ht="12" customHeight="1" thickBot="1">
      <c r="A81" s="394" t="s">
        <v>336</v>
      </c>
      <c r="B81" s="375" t="s">
        <v>563</v>
      </c>
      <c r="C81" s="260"/>
    </row>
    <row r="82" spans="1:3" s="71" customFormat="1" ht="12" customHeight="1" thickBot="1">
      <c r="A82" s="395" t="s">
        <v>317</v>
      </c>
      <c r="B82" s="250" t="s">
        <v>337</v>
      </c>
      <c r="C82" s="255">
        <f>SUM(C83:C86)</f>
        <v>0</v>
      </c>
    </row>
    <row r="83" spans="1:3" s="71" customFormat="1" ht="12" customHeight="1">
      <c r="A83" s="396" t="s">
        <v>318</v>
      </c>
      <c r="B83" s="373" t="s">
        <v>319</v>
      </c>
      <c r="C83" s="260"/>
    </row>
    <row r="84" spans="1:3" s="71" customFormat="1" ht="12" customHeight="1">
      <c r="A84" s="397" t="s">
        <v>320</v>
      </c>
      <c r="B84" s="374" t="s">
        <v>321</v>
      </c>
      <c r="C84" s="260"/>
    </row>
    <row r="85" spans="1:3" s="71" customFormat="1" ht="12" customHeight="1">
      <c r="A85" s="397" t="s">
        <v>322</v>
      </c>
      <c r="B85" s="374" t="s">
        <v>323</v>
      </c>
      <c r="C85" s="260"/>
    </row>
    <row r="86" spans="1:3" s="70" customFormat="1" ht="12" customHeight="1" thickBot="1">
      <c r="A86" s="398" t="s">
        <v>324</v>
      </c>
      <c r="B86" s="375" t="s">
        <v>325</v>
      </c>
      <c r="C86" s="260"/>
    </row>
    <row r="87" spans="1:3" s="70" customFormat="1" ht="12" customHeight="1" thickBot="1">
      <c r="A87" s="395" t="s">
        <v>326</v>
      </c>
      <c r="B87" s="250" t="s">
        <v>467</v>
      </c>
      <c r="C87" s="418"/>
    </row>
    <row r="88" spans="1:3" s="70" customFormat="1" ht="12" customHeight="1" thickBot="1">
      <c r="A88" s="395" t="s">
        <v>499</v>
      </c>
      <c r="B88" s="250" t="s">
        <v>327</v>
      </c>
      <c r="C88" s="418"/>
    </row>
    <row r="89" spans="1:3" s="70" customFormat="1" ht="12" customHeight="1" thickBot="1">
      <c r="A89" s="395" t="s">
        <v>500</v>
      </c>
      <c r="B89" s="380" t="s">
        <v>470</v>
      </c>
      <c r="C89" s="261">
        <f>+C66+C70+C75+C78+C82+C88+C87</f>
        <v>336700000</v>
      </c>
    </row>
    <row r="90" spans="1:3" s="70" customFormat="1" ht="12" customHeight="1" thickBot="1">
      <c r="A90" s="399" t="s">
        <v>501</v>
      </c>
      <c r="B90" s="381" t="s">
        <v>502</v>
      </c>
      <c r="C90" s="261">
        <f>+C65+C89</f>
        <v>2269901745</v>
      </c>
    </row>
    <row r="91" spans="1:3" s="71" customFormat="1" ht="6.75" customHeight="1" thickBot="1">
      <c r="A91" s="194"/>
      <c r="B91" s="195"/>
      <c r="C91" s="320"/>
    </row>
    <row r="92" spans="1:3" s="48" customFormat="1" ht="16.5" customHeight="1" thickBot="1">
      <c r="A92" s="198"/>
      <c r="B92" s="199" t="s">
        <v>56</v>
      </c>
      <c r="C92" s="322"/>
    </row>
    <row r="93" spans="1:3" s="72" customFormat="1" ht="12" customHeight="1" thickBot="1">
      <c r="A93" s="367" t="s">
        <v>17</v>
      </c>
      <c r="B93" s="26" t="s">
        <v>506</v>
      </c>
      <c r="C93" s="254">
        <f>+C94+C95+C96+C97+C98+C111</f>
        <v>745257775</v>
      </c>
    </row>
    <row r="94" spans="1:3" ht="12" customHeight="1">
      <c r="A94" s="400" t="s">
        <v>95</v>
      </c>
      <c r="B94" s="10" t="s">
        <v>48</v>
      </c>
      <c r="C94" s="256">
        <v>154511731</v>
      </c>
    </row>
    <row r="95" spans="1:3" ht="12" customHeight="1">
      <c r="A95" s="393" t="s">
        <v>96</v>
      </c>
      <c r="B95" s="8" t="s">
        <v>178</v>
      </c>
      <c r="C95" s="257">
        <v>27180353</v>
      </c>
    </row>
    <row r="96" spans="1:3" ht="12" customHeight="1">
      <c r="A96" s="393" t="s">
        <v>97</v>
      </c>
      <c r="B96" s="8" t="s">
        <v>135</v>
      </c>
      <c r="C96" s="259">
        <v>272660235</v>
      </c>
    </row>
    <row r="97" spans="1:3" ht="12" customHeight="1">
      <c r="A97" s="393" t="s">
        <v>98</v>
      </c>
      <c r="B97" s="11" t="s">
        <v>179</v>
      </c>
      <c r="C97" s="259">
        <v>61500000</v>
      </c>
    </row>
    <row r="98" spans="1:3" ht="12" customHeight="1">
      <c r="A98" s="393" t="s">
        <v>109</v>
      </c>
      <c r="B98" s="19" t="s">
        <v>180</v>
      </c>
      <c r="C98" s="259">
        <v>229405456</v>
      </c>
    </row>
    <row r="99" spans="1:3" ht="12" customHeight="1">
      <c r="A99" s="393" t="s">
        <v>99</v>
      </c>
      <c r="B99" s="8" t="s">
        <v>503</v>
      </c>
      <c r="C99" s="259"/>
    </row>
    <row r="100" spans="1:3" ht="12" customHeight="1">
      <c r="A100" s="393" t="s">
        <v>100</v>
      </c>
      <c r="B100" s="116" t="s">
        <v>433</v>
      </c>
      <c r="C100" s="259"/>
    </row>
    <row r="101" spans="1:3" ht="12" customHeight="1">
      <c r="A101" s="393" t="s">
        <v>110</v>
      </c>
      <c r="B101" s="116" t="s">
        <v>432</v>
      </c>
      <c r="C101" s="259"/>
    </row>
    <row r="102" spans="1:3" ht="12" customHeight="1">
      <c r="A102" s="393" t="s">
        <v>111</v>
      </c>
      <c r="B102" s="116" t="s">
        <v>343</v>
      </c>
      <c r="C102" s="259"/>
    </row>
    <row r="103" spans="1:3" ht="12" customHeight="1">
      <c r="A103" s="393" t="s">
        <v>112</v>
      </c>
      <c r="B103" s="117" t="s">
        <v>344</v>
      </c>
      <c r="C103" s="259"/>
    </row>
    <row r="104" spans="1:3" ht="12" customHeight="1">
      <c r="A104" s="393" t="s">
        <v>113</v>
      </c>
      <c r="B104" s="117" t="s">
        <v>345</v>
      </c>
      <c r="C104" s="259"/>
    </row>
    <row r="105" spans="1:3" ht="12" customHeight="1">
      <c r="A105" s="393" t="s">
        <v>115</v>
      </c>
      <c r="B105" s="116" t="s">
        <v>346</v>
      </c>
      <c r="C105" s="259"/>
    </row>
    <row r="106" spans="1:3" ht="12" customHeight="1">
      <c r="A106" s="393" t="s">
        <v>181</v>
      </c>
      <c r="B106" s="116" t="s">
        <v>347</v>
      </c>
      <c r="C106" s="259"/>
    </row>
    <row r="107" spans="1:3" ht="12" customHeight="1">
      <c r="A107" s="393" t="s">
        <v>341</v>
      </c>
      <c r="B107" s="117" t="s">
        <v>348</v>
      </c>
      <c r="C107" s="259"/>
    </row>
    <row r="108" spans="1:3" ht="12" customHeight="1">
      <c r="A108" s="401" t="s">
        <v>342</v>
      </c>
      <c r="B108" s="118" t="s">
        <v>349</v>
      </c>
      <c r="C108" s="259"/>
    </row>
    <row r="109" spans="1:3" ht="12" customHeight="1">
      <c r="A109" s="393" t="s">
        <v>430</v>
      </c>
      <c r="B109" s="118" t="s">
        <v>350</v>
      </c>
      <c r="C109" s="259"/>
    </row>
    <row r="110" spans="1:3" ht="12" customHeight="1">
      <c r="A110" s="393" t="s">
        <v>431</v>
      </c>
      <c r="B110" s="117" t="s">
        <v>351</v>
      </c>
      <c r="C110" s="257"/>
    </row>
    <row r="111" spans="1:3" ht="12" customHeight="1">
      <c r="A111" s="393" t="s">
        <v>435</v>
      </c>
      <c r="B111" s="11" t="s">
        <v>49</v>
      </c>
      <c r="C111" s="257"/>
    </row>
    <row r="112" spans="1:3" ht="12" customHeight="1">
      <c r="A112" s="394" t="s">
        <v>436</v>
      </c>
      <c r="B112" s="8" t="s">
        <v>504</v>
      </c>
      <c r="C112" s="259"/>
    </row>
    <row r="113" spans="1:3" ht="12" customHeight="1" thickBot="1">
      <c r="A113" s="402" t="s">
        <v>437</v>
      </c>
      <c r="B113" s="119" t="s">
        <v>505</v>
      </c>
      <c r="C113" s="263"/>
    </row>
    <row r="114" spans="1:3" ht="12" customHeight="1" thickBot="1">
      <c r="A114" s="29" t="s">
        <v>18</v>
      </c>
      <c r="B114" s="25" t="s">
        <v>352</v>
      </c>
      <c r="C114" s="255">
        <f>+C115+C117+C119</f>
        <v>970692230</v>
      </c>
    </row>
    <row r="115" spans="1:3" ht="12" customHeight="1">
      <c r="A115" s="392" t="s">
        <v>101</v>
      </c>
      <c r="B115" s="8" t="s">
        <v>224</v>
      </c>
      <c r="C115" s="674">
        <v>580634618</v>
      </c>
    </row>
    <row r="116" spans="1:3" ht="12" customHeight="1">
      <c r="A116" s="392" t="s">
        <v>102</v>
      </c>
      <c r="B116" s="12" t="s">
        <v>356</v>
      </c>
      <c r="C116" s="258"/>
    </row>
    <row r="117" spans="1:3" ht="12" customHeight="1">
      <c r="A117" s="392" t="s">
        <v>103</v>
      </c>
      <c r="B117" s="12" t="s">
        <v>182</v>
      </c>
      <c r="C117" s="257">
        <v>262557612</v>
      </c>
    </row>
    <row r="118" spans="1:3" ht="12" customHeight="1">
      <c r="A118" s="392" t="s">
        <v>104</v>
      </c>
      <c r="B118" s="12" t="s">
        <v>357</v>
      </c>
      <c r="C118" s="222"/>
    </row>
    <row r="119" spans="1:3" ht="12" customHeight="1">
      <c r="A119" s="392" t="s">
        <v>105</v>
      </c>
      <c r="B119" s="252" t="s">
        <v>226</v>
      </c>
      <c r="C119" s="222">
        <v>127500000</v>
      </c>
    </row>
    <row r="120" spans="1:3" ht="12" customHeight="1">
      <c r="A120" s="392" t="s">
        <v>114</v>
      </c>
      <c r="B120" s="251" t="s">
        <v>420</v>
      </c>
      <c r="C120" s="222"/>
    </row>
    <row r="121" spans="1:3" ht="12" customHeight="1">
      <c r="A121" s="392" t="s">
        <v>116</v>
      </c>
      <c r="B121" s="369" t="s">
        <v>362</v>
      </c>
      <c r="C121" s="222"/>
    </row>
    <row r="122" spans="1:3" ht="12" customHeight="1">
      <c r="A122" s="392" t="s">
        <v>183</v>
      </c>
      <c r="B122" s="117" t="s">
        <v>345</v>
      </c>
      <c r="C122" s="222"/>
    </row>
    <row r="123" spans="1:3" ht="12" customHeight="1">
      <c r="A123" s="392" t="s">
        <v>184</v>
      </c>
      <c r="B123" s="117" t="s">
        <v>361</v>
      </c>
      <c r="C123" s="222"/>
    </row>
    <row r="124" spans="1:3" ht="12" customHeight="1">
      <c r="A124" s="392" t="s">
        <v>185</v>
      </c>
      <c r="B124" s="117" t="s">
        <v>360</v>
      </c>
      <c r="C124" s="222"/>
    </row>
    <row r="125" spans="1:3" ht="12" customHeight="1">
      <c r="A125" s="392" t="s">
        <v>353</v>
      </c>
      <c r="B125" s="117" t="s">
        <v>348</v>
      </c>
      <c r="C125" s="222"/>
    </row>
    <row r="126" spans="1:3" ht="12" customHeight="1">
      <c r="A126" s="392" t="s">
        <v>354</v>
      </c>
      <c r="B126" s="117" t="s">
        <v>359</v>
      </c>
      <c r="C126" s="222"/>
    </row>
    <row r="127" spans="1:3" ht="12" customHeight="1" thickBot="1">
      <c r="A127" s="401" t="s">
        <v>355</v>
      </c>
      <c r="B127" s="117" t="s">
        <v>358</v>
      </c>
      <c r="C127" s="224"/>
    </row>
    <row r="128" spans="1:3" ht="12" customHeight="1" thickBot="1">
      <c r="A128" s="29" t="s">
        <v>19</v>
      </c>
      <c r="B128" s="98" t="s">
        <v>440</v>
      </c>
      <c r="C128" s="255">
        <f>+C93+C114</f>
        <v>1715950005</v>
      </c>
    </row>
    <row r="129" spans="1:11" ht="12" customHeight="1" thickBot="1">
      <c r="A129" s="29" t="s">
        <v>20</v>
      </c>
      <c r="B129" s="98" t="s">
        <v>441</v>
      </c>
      <c r="C129" s="255">
        <f>+C130+C131+C132</f>
        <v>0</v>
      </c>
    </row>
    <row r="130" spans="1:11" s="72" customFormat="1" ht="12" customHeight="1">
      <c r="A130" s="392" t="s">
        <v>262</v>
      </c>
      <c r="B130" s="9" t="s">
        <v>509</v>
      </c>
      <c r="C130" s="222"/>
    </row>
    <row r="131" spans="1:11" ht="12" customHeight="1">
      <c r="A131" s="392" t="s">
        <v>263</v>
      </c>
      <c r="B131" s="9" t="s">
        <v>449</v>
      </c>
      <c r="C131" s="222"/>
    </row>
    <row r="132" spans="1:11" ht="12" customHeight="1" thickBot="1">
      <c r="A132" s="401" t="s">
        <v>264</v>
      </c>
      <c r="B132" s="7" t="s">
        <v>508</v>
      </c>
      <c r="C132" s="222"/>
    </row>
    <row r="133" spans="1:11" ht="12" customHeight="1" thickBot="1">
      <c r="A133" s="29" t="s">
        <v>21</v>
      </c>
      <c r="B133" s="98" t="s">
        <v>442</v>
      </c>
      <c r="C133" s="255">
        <f>+C134+C135+C136+C137+C138+C139</f>
        <v>0</v>
      </c>
    </row>
    <row r="134" spans="1:11" ht="12" customHeight="1">
      <c r="A134" s="392" t="s">
        <v>88</v>
      </c>
      <c r="B134" s="9" t="s">
        <v>451</v>
      </c>
      <c r="C134" s="222"/>
    </row>
    <row r="135" spans="1:11" ht="12" customHeight="1">
      <c r="A135" s="392" t="s">
        <v>89</v>
      </c>
      <c r="B135" s="9" t="s">
        <v>443</v>
      </c>
      <c r="C135" s="222"/>
    </row>
    <row r="136" spans="1:11" ht="12" customHeight="1">
      <c r="A136" s="392" t="s">
        <v>90</v>
      </c>
      <c r="B136" s="9" t="s">
        <v>444</v>
      </c>
      <c r="C136" s="222"/>
    </row>
    <row r="137" spans="1:11" ht="12" customHeight="1">
      <c r="A137" s="392" t="s">
        <v>170</v>
      </c>
      <c r="B137" s="9" t="s">
        <v>507</v>
      </c>
      <c r="C137" s="222"/>
    </row>
    <row r="138" spans="1:11" ht="12" customHeight="1">
      <c r="A138" s="392" t="s">
        <v>171</v>
      </c>
      <c r="B138" s="9" t="s">
        <v>446</v>
      </c>
      <c r="C138" s="222"/>
    </row>
    <row r="139" spans="1:11" s="72" customFormat="1" ht="12" customHeight="1" thickBot="1">
      <c r="A139" s="401" t="s">
        <v>172</v>
      </c>
      <c r="B139" s="7" t="s">
        <v>447</v>
      </c>
      <c r="C139" s="222"/>
    </row>
    <row r="140" spans="1:11" ht="12" customHeight="1" thickBot="1">
      <c r="A140" s="29" t="s">
        <v>22</v>
      </c>
      <c r="B140" s="98" t="s">
        <v>533</v>
      </c>
      <c r="C140" s="261">
        <f>+C141+C142+C144+C145+C143</f>
        <v>553951740</v>
      </c>
      <c r="K140" s="205"/>
    </row>
    <row r="141" spans="1:11">
      <c r="A141" s="392" t="s">
        <v>91</v>
      </c>
      <c r="B141" s="9" t="s">
        <v>363</v>
      </c>
      <c r="C141" s="222"/>
    </row>
    <row r="142" spans="1:11" ht="12" customHeight="1">
      <c r="A142" s="392" t="s">
        <v>92</v>
      </c>
      <c r="B142" s="9" t="s">
        <v>364</v>
      </c>
      <c r="C142" s="222"/>
    </row>
    <row r="143" spans="1:11" s="72" customFormat="1" ht="12" customHeight="1">
      <c r="A143" s="392" t="s">
        <v>280</v>
      </c>
      <c r="B143" s="9" t="s">
        <v>532</v>
      </c>
      <c r="C143" s="675">
        <v>553951740</v>
      </c>
    </row>
    <row r="144" spans="1:11" s="72" customFormat="1" ht="12" customHeight="1">
      <c r="A144" s="392" t="s">
        <v>281</v>
      </c>
      <c r="B144" s="9" t="s">
        <v>456</v>
      </c>
      <c r="C144" s="222"/>
    </row>
    <row r="145" spans="1:3" s="72" customFormat="1" ht="12" customHeight="1" thickBot="1">
      <c r="A145" s="401" t="s">
        <v>282</v>
      </c>
      <c r="B145" s="7" t="s">
        <v>382</v>
      </c>
      <c r="C145" s="222"/>
    </row>
    <row r="146" spans="1:3" s="72" customFormat="1" ht="12" customHeight="1" thickBot="1">
      <c r="A146" s="29" t="s">
        <v>23</v>
      </c>
      <c r="B146" s="98" t="s">
        <v>457</v>
      </c>
      <c r="C146" s="264">
        <f>+C147+C148+C149+C150+C151</f>
        <v>0</v>
      </c>
    </row>
    <row r="147" spans="1:3" s="72" customFormat="1" ht="12" customHeight="1">
      <c r="A147" s="392" t="s">
        <v>93</v>
      </c>
      <c r="B147" s="9" t="s">
        <v>452</v>
      </c>
      <c r="C147" s="222"/>
    </row>
    <row r="148" spans="1:3" s="72" customFormat="1" ht="12" customHeight="1">
      <c r="A148" s="392" t="s">
        <v>94</v>
      </c>
      <c r="B148" s="9" t="s">
        <v>459</v>
      </c>
      <c r="C148" s="222"/>
    </row>
    <row r="149" spans="1:3" s="72" customFormat="1" ht="12" customHeight="1">
      <c r="A149" s="392" t="s">
        <v>292</v>
      </c>
      <c r="B149" s="9" t="s">
        <v>454</v>
      </c>
      <c r="C149" s="222"/>
    </row>
    <row r="150" spans="1:3" ht="12.75" customHeight="1">
      <c r="A150" s="392" t="s">
        <v>293</v>
      </c>
      <c r="B150" s="9" t="s">
        <v>510</v>
      </c>
      <c r="C150" s="222"/>
    </row>
    <row r="151" spans="1:3" ht="12.75" customHeight="1" thickBot="1">
      <c r="A151" s="401" t="s">
        <v>458</v>
      </c>
      <c r="B151" s="7" t="s">
        <v>461</v>
      </c>
      <c r="C151" s="224"/>
    </row>
    <row r="152" spans="1:3" ht="12.75" customHeight="1" thickBot="1">
      <c r="A152" s="441" t="s">
        <v>24</v>
      </c>
      <c r="B152" s="98" t="s">
        <v>462</v>
      </c>
      <c r="C152" s="264"/>
    </row>
    <row r="153" spans="1:3" ht="12" customHeight="1" thickBot="1">
      <c r="A153" s="441" t="s">
        <v>25</v>
      </c>
      <c r="B153" s="98" t="s">
        <v>463</v>
      </c>
      <c r="C153" s="264"/>
    </row>
    <row r="154" spans="1:3" ht="15.2" customHeight="1" thickBot="1">
      <c r="A154" s="29" t="s">
        <v>26</v>
      </c>
      <c r="B154" s="98" t="s">
        <v>465</v>
      </c>
      <c r="C154" s="383">
        <f>+C129+C133+C140+C146+C152+C153</f>
        <v>553951740</v>
      </c>
    </row>
    <row r="155" spans="1:3" ht="13.5" thickBot="1">
      <c r="A155" s="403" t="s">
        <v>27</v>
      </c>
      <c r="B155" s="338" t="s">
        <v>464</v>
      </c>
      <c r="C155" s="383">
        <f>+C128+C154</f>
        <v>2269901745</v>
      </c>
    </row>
    <row r="156" spans="1:3" ht="9" customHeight="1" thickBot="1">
      <c r="A156" s="346"/>
      <c r="B156" s="347"/>
      <c r="C156" s="569">
        <f>C90-C155</f>
        <v>0</v>
      </c>
    </row>
    <row r="157" spans="1:3" ht="14.45" customHeight="1" thickBot="1">
      <c r="A157" s="203" t="s">
        <v>511</v>
      </c>
      <c r="B157" s="204"/>
      <c r="C157" s="95">
        <v>35</v>
      </c>
    </row>
    <row r="158" spans="1:3" ht="13.5" thickBot="1">
      <c r="A158" s="203" t="s">
        <v>200</v>
      </c>
      <c r="B158" s="204"/>
      <c r="C158" s="95">
        <v>80</v>
      </c>
    </row>
    <row r="159" spans="1:3">
      <c r="A159" s="566"/>
      <c r="B159" s="567"/>
      <c r="C159" s="568"/>
    </row>
    <row r="160" spans="1:3">
      <c r="A160" s="566"/>
      <c r="B160" s="567"/>
    </row>
    <row r="161" spans="1:3">
      <c r="A161" s="566"/>
      <c r="B161" s="567"/>
      <c r="C161" s="568"/>
    </row>
    <row r="162" spans="1:3">
      <c r="A162" s="566"/>
      <c r="B162" s="567"/>
      <c r="C162" s="568"/>
    </row>
    <row r="163" spans="1:3">
      <c r="A163" s="566"/>
      <c r="B163" s="567"/>
      <c r="C163" s="568"/>
    </row>
    <row r="164" spans="1:3">
      <c r="A164" s="566"/>
      <c r="B164" s="567"/>
      <c r="C164" s="568"/>
    </row>
    <row r="165" spans="1:3">
      <c r="A165" s="566"/>
      <c r="B165" s="567"/>
      <c r="C165" s="568"/>
    </row>
    <row r="166" spans="1:3">
      <c r="A166" s="566"/>
      <c r="B166" s="567"/>
      <c r="C166" s="568"/>
    </row>
    <row r="167" spans="1:3">
      <c r="A167" s="566"/>
      <c r="B167" s="567"/>
      <c r="C167" s="568"/>
    </row>
    <row r="168" spans="1:3">
      <c r="A168" s="566"/>
      <c r="B168" s="567"/>
      <c r="C168" s="568"/>
    </row>
    <row r="169" spans="1:3">
      <c r="A169" s="566"/>
      <c r="B169" s="567"/>
      <c r="C169" s="568"/>
    </row>
    <row r="170" spans="1:3">
      <c r="A170" s="566"/>
      <c r="B170" s="567"/>
      <c r="C170" s="568"/>
    </row>
    <row r="171" spans="1:3">
      <c r="A171" s="566"/>
      <c r="B171" s="567"/>
      <c r="C171" s="568"/>
    </row>
    <row r="172" spans="1:3">
      <c r="A172" s="566"/>
      <c r="B172" s="567"/>
      <c r="C172" s="568"/>
    </row>
    <row r="173" spans="1:3">
      <c r="A173" s="566"/>
      <c r="B173" s="567"/>
      <c r="C173" s="568"/>
    </row>
    <row r="174" spans="1:3">
      <c r="A174" s="566"/>
      <c r="B174" s="567"/>
      <c r="C174" s="568"/>
    </row>
    <row r="175" spans="1:3">
      <c r="A175" s="566"/>
      <c r="B175" s="567"/>
      <c r="C175" s="568"/>
    </row>
    <row r="176" spans="1:3">
      <c r="A176" s="566"/>
      <c r="B176" s="567"/>
      <c r="C176" s="568"/>
    </row>
    <row r="177" spans="1:3">
      <c r="A177" s="566"/>
      <c r="B177" s="567"/>
      <c r="C177" s="568"/>
    </row>
    <row r="178" spans="1:3">
      <c r="A178" s="566"/>
      <c r="B178" s="567"/>
      <c r="C178" s="56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E159" sqref="E159"/>
    </sheetView>
  </sheetViews>
  <sheetFormatPr defaultRowHeight="12.75"/>
  <cols>
    <col min="1" max="1" width="19.5" style="348" customWidth="1"/>
    <col min="2" max="2" width="72" style="349" customWidth="1"/>
    <col min="3" max="3" width="25" style="350" customWidth="1"/>
    <col min="4" max="16384" width="9.33203125" style="3"/>
  </cols>
  <sheetData>
    <row r="1" spans="1:3" s="2" customFormat="1" ht="16.5" customHeight="1" thickBot="1">
      <c r="A1" s="547"/>
      <c r="B1" s="548"/>
      <c r="C1" s="544" t="str">
        <f ca="1">CONCATENATE("9.1.2. melléklet ",ALAPADATOK!A7," ",ALAPADATOK!B7," ",ALAPADATOK!C7," ",ALAPADATOK!D7," ",ALAPADATOK!E7," ",ALAPADATOK!F7," ",ALAPADATOK!G7," ",ALAPADATOK!H7)</f>
        <v>9.1.2. melléklet a 5 / 2020 ( (II.18.) ) önkormányzati rendelethez</v>
      </c>
    </row>
    <row r="2" spans="1:3" s="68" customFormat="1" ht="21.2" customHeight="1">
      <c r="A2" s="549" t="s">
        <v>60</v>
      </c>
      <c r="B2" s="550" t="str">
        <f ca="1">CONCATENATE(ALAPADATOK!A3)</f>
        <v>DABAS VÁROS ÖNKORMÁNYZATA</v>
      </c>
      <c r="C2" s="551" t="s">
        <v>53</v>
      </c>
    </row>
    <row r="3" spans="1:3" s="68" customFormat="1" ht="16.5" thickBot="1">
      <c r="A3" s="552" t="s">
        <v>197</v>
      </c>
      <c r="B3" s="553" t="s">
        <v>422</v>
      </c>
      <c r="C3" s="554" t="s">
        <v>59</v>
      </c>
    </row>
    <row r="4" spans="1:3" s="69" customFormat="1" ht="22.5" customHeight="1" thickBot="1">
      <c r="A4" s="555"/>
      <c r="B4" s="555"/>
      <c r="C4" s="556">
        <f ca="1">KV_9.1.1.sz.mell!C4</f>
        <v>0</v>
      </c>
    </row>
    <row r="5" spans="1:3" ht="13.5" thickBot="1">
      <c r="A5" s="557" t="s">
        <v>199</v>
      </c>
      <c r="B5" s="558" t="s">
        <v>554</v>
      </c>
      <c r="C5" s="559" t="s">
        <v>54</v>
      </c>
    </row>
    <row r="6" spans="1:3" s="48" customFormat="1" ht="12.95" customHeight="1" thickBot="1">
      <c r="A6" s="560"/>
      <c r="B6" s="561" t="s">
        <v>485</v>
      </c>
      <c r="C6" s="562" t="s">
        <v>486</v>
      </c>
    </row>
    <row r="7" spans="1:3" s="48" customFormat="1" ht="15.95" customHeight="1" thickBot="1">
      <c r="A7" s="188"/>
      <c r="B7" s="189" t="s">
        <v>55</v>
      </c>
      <c r="C7" s="315"/>
    </row>
    <row r="8" spans="1:3" s="48" customFormat="1" ht="12" customHeight="1" thickBot="1">
      <c r="A8" s="29" t="s">
        <v>17</v>
      </c>
      <c r="B8" s="21" t="s">
        <v>246</v>
      </c>
      <c r="C8" s="255">
        <f>+C9+C10+C11+C12+C13+C14</f>
        <v>0</v>
      </c>
    </row>
    <row r="9" spans="1:3" s="70" customFormat="1" ht="12" customHeight="1">
      <c r="A9" s="392" t="s">
        <v>95</v>
      </c>
      <c r="B9" s="373" t="s">
        <v>247</v>
      </c>
      <c r="C9" s="258"/>
    </row>
    <row r="10" spans="1:3" s="71" customFormat="1" ht="12" customHeight="1">
      <c r="A10" s="393" t="s">
        <v>96</v>
      </c>
      <c r="B10" s="374" t="s">
        <v>248</v>
      </c>
      <c r="C10" s="257"/>
    </row>
    <row r="11" spans="1:3" s="71" customFormat="1" ht="12" customHeight="1">
      <c r="A11" s="393" t="s">
        <v>97</v>
      </c>
      <c r="B11" s="374" t="s">
        <v>542</v>
      </c>
      <c r="C11" s="257"/>
    </row>
    <row r="12" spans="1:3" s="71" customFormat="1" ht="12" customHeight="1">
      <c r="A12" s="393" t="s">
        <v>98</v>
      </c>
      <c r="B12" s="374" t="s">
        <v>250</v>
      </c>
      <c r="C12" s="257"/>
    </row>
    <row r="13" spans="1:3" s="71" customFormat="1" ht="12" customHeight="1">
      <c r="A13" s="393" t="s">
        <v>143</v>
      </c>
      <c r="B13" s="374" t="s">
        <v>498</v>
      </c>
      <c r="C13" s="257"/>
    </row>
    <row r="14" spans="1:3" s="70" customFormat="1" ht="12" customHeight="1" thickBot="1">
      <c r="A14" s="394" t="s">
        <v>99</v>
      </c>
      <c r="B14" s="375" t="s">
        <v>425</v>
      </c>
      <c r="C14" s="257"/>
    </row>
    <row r="15" spans="1:3" s="70" customFormat="1" ht="12" customHeight="1" thickBot="1">
      <c r="A15" s="29" t="s">
        <v>18</v>
      </c>
      <c r="B15" s="250" t="s">
        <v>251</v>
      </c>
      <c r="C15" s="255">
        <f>+C16+C17+C18+C19+C20</f>
        <v>4040000</v>
      </c>
    </row>
    <row r="16" spans="1:3" s="70" customFormat="1" ht="12" customHeight="1">
      <c r="A16" s="392" t="s">
        <v>101</v>
      </c>
      <c r="B16" s="373" t="s">
        <v>252</v>
      </c>
      <c r="C16" s="258"/>
    </row>
    <row r="17" spans="1:3" s="70" customFormat="1" ht="12" customHeight="1">
      <c r="A17" s="393" t="s">
        <v>102</v>
      </c>
      <c r="B17" s="374" t="s">
        <v>253</v>
      </c>
      <c r="C17" s="257"/>
    </row>
    <row r="18" spans="1:3" s="70" customFormat="1" ht="12" customHeight="1">
      <c r="A18" s="393" t="s">
        <v>103</v>
      </c>
      <c r="B18" s="374" t="s">
        <v>414</v>
      </c>
      <c r="C18" s="257"/>
    </row>
    <row r="19" spans="1:3" s="70" customFormat="1" ht="12" customHeight="1">
      <c r="A19" s="393" t="s">
        <v>104</v>
      </c>
      <c r="B19" s="374" t="s">
        <v>415</v>
      </c>
      <c r="C19" s="257"/>
    </row>
    <row r="20" spans="1:3" s="70" customFormat="1" ht="12" customHeight="1">
      <c r="A20" s="393" t="s">
        <v>105</v>
      </c>
      <c r="B20" s="374" t="s">
        <v>254</v>
      </c>
      <c r="C20" s="257">
        <v>4040000</v>
      </c>
    </row>
    <row r="21" spans="1:3" s="71" customFormat="1" ht="12" customHeight="1" thickBot="1">
      <c r="A21" s="394" t="s">
        <v>114</v>
      </c>
      <c r="B21" s="375" t="s">
        <v>255</v>
      </c>
      <c r="C21" s="259"/>
    </row>
    <row r="22" spans="1:3" s="71" customFormat="1" ht="12" customHeight="1" thickBot="1">
      <c r="A22" s="29" t="s">
        <v>19</v>
      </c>
      <c r="B22" s="21" t="s">
        <v>256</v>
      </c>
      <c r="C22" s="255">
        <f>+C23+C24+C25+C26+C27</f>
        <v>0</v>
      </c>
    </row>
    <row r="23" spans="1:3" s="71" customFormat="1" ht="12" customHeight="1">
      <c r="A23" s="392" t="s">
        <v>84</v>
      </c>
      <c r="B23" s="373" t="s">
        <v>257</v>
      </c>
      <c r="C23" s="258"/>
    </row>
    <row r="24" spans="1:3" s="70" customFormat="1" ht="12" customHeight="1">
      <c r="A24" s="393" t="s">
        <v>85</v>
      </c>
      <c r="B24" s="374" t="s">
        <v>258</v>
      </c>
      <c r="C24" s="257"/>
    </row>
    <row r="25" spans="1:3" s="71" customFormat="1" ht="12" customHeight="1">
      <c r="A25" s="393" t="s">
        <v>86</v>
      </c>
      <c r="B25" s="374" t="s">
        <v>416</v>
      </c>
      <c r="C25" s="257"/>
    </row>
    <row r="26" spans="1:3" s="71" customFormat="1" ht="12" customHeight="1">
      <c r="A26" s="393" t="s">
        <v>87</v>
      </c>
      <c r="B26" s="374" t="s">
        <v>417</v>
      </c>
      <c r="C26" s="257"/>
    </row>
    <row r="27" spans="1:3" s="71" customFormat="1" ht="12" customHeight="1">
      <c r="A27" s="393" t="s">
        <v>166</v>
      </c>
      <c r="B27" s="374" t="s">
        <v>259</v>
      </c>
      <c r="C27" s="257"/>
    </row>
    <row r="28" spans="1:3" s="71" customFormat="1" ht="12" customHeight="1" thickBot="1">
      <c r="A28" s="394" t="s">
        <v>167</v>
      </c>
      <c r="B28" s="375" t="s">
        <v>260</v>
      </c>
      <c r="C28" s="259"/>
    </row>
    <row r="29" spans="1:3" s="71" customFormat="1" ht="12" customHeight="1" thickBot="1">
      <c r="A29" s="29" t="s">
        <v>168</v>
      </c>
      <c r="B29" s="21" t="s">
        <v>261</v>
      </c>
      <c r="C29" s="261">
        <f>SUM(C30:C36)</f>
        <v>945855706</v>
      </c>
    </row>
    <row r="30" spans="1:3" s="71" customFormat="1" ht="12" customHeight="1">
      <c r="A30" s="392" t="s">
        <v>262</v>
      </c>
      <c r="B30" s="373" t="str">
        <f ca="1">KV_1.1.sz.mell.!B32</f>
        <v>Építményadó</v>
      </c>
      <c r="C30" s="258">
        <v>95000000</v>
      </c>
    </row>
    <row r="31" spans="1:3" s="71" customFormat="1" ht="12" customHeight="1">
      <c r="A31" s="393" t="s">
        <v>263</v>
      </c>
      <c r="B31" s="373" t="str">
        <f ca="1">KV_1.1.sz.mell.!B33</f>
        <v>Idegenforgalmi adó</v>
      </c>
      <c r="C31" s="257">
        <v>6000000</v>
      </c>
    </row>
    <row r="32" spans="1:3" s="71" customFormat="1" ht="12" customHeight="1">
      <c r="A32" s="393" t="s">
        <v>264</v>
      </c>
      <c r="B32" s="373" t="str">
        <f ca="1">KV_1.1.sz.mell.!B34</f>
        <v>Iparűzési adó</v>
      </c>
      <c r="C32" s="257">
        <v>772855706</v>
      </c>
    </row>
    <row r="33" spans="1:3" s="71" customFormat="1" ht="12" customHeight="1">
      <c r="A33" s="393" t="s">
        <v>265</v>
      </c>
      <c r="B33" s="373" t="str">
        <f ca="1">KV_1.1.sz.mell.!B35</f>
        <v>Talajterhelési díj</v>
      </c>
      <c r="C33" s="257">
        <v>2000000</v>
      </c>
    </row>
    <row r="34" spans="1:3" s="71" customFormat="1" ht="12" customHeight="1">
      <c r="A34" s="393" t="s">
        <v>544</v>
      </c>
      <c r="B34" s="373" t="str">
        <f ca="1">KV_1.1.sz.mell.!B36</f>
        <v>Gépjárműadó</v>
      </c>
      <c r="C34" s="257"/>
    </row>
    <row r="35" spans="1:3" s="71" customFormat="1" ht="12" customHeight="1">
      <c r="A35" s="393" t="s">
        <v>545</v>
      </c>
      <c r="B35" s="373" t="str">
        <f ca="1">KV_1.1.sz.mell.!B37</f>
        <v>Telekadó</v>
      </c>
      <c r="C35" s="257"/>
    </row>
    <row r="36" spans="1:3" s="71" customFormat="1" ht="12" customHeight="1" thickBot="1">
      <c r="A36" s="394" t="s">
        <v>546</v>
      </c>
      <c r="B36" s="373" t="str">
        <f ca="1">KV_1.1.sz.mell.!B38</f>
        <v>Kommunális adó</v>
      </c>
      <c r="C36" s="259">
        <v>70000000</v>
      </c>
    </row>
    <row r="37" spans="1:3" s="71" customFormat="1" ht="12" customHeight="1" thickBot="1">
      <c r="A37" s="29" t="s">
        <v>21</v>
      </c>
      <c r="B37" s="21" t="s">
        <v>426</v>
      </c>
      <c r="C37" s="255">
        <f>SUM(C38:C48)</f>
        <v>39370000</v>
      </c>
    </row>
    <row r="38" spans="1:3" s="71" customFormat="1" ht="12" customHeight="1">
      <c r="A38" s="392" t="s">
        <v>88</v>
      </c>
      <c r="B38" s="373" t="s">
        <v>269</v>
      </c>
      <c r="C38" s="258"/>
    </row>
    <row r="39" spans="1:3" s="71" customFormat="1" ht="12" customHeight="1">
      <c r="A39" s="393" t="s">
        <v>89</v>
      </c>
      <c r="B39" s="374" t="s">
        <v>270</v>
      </c>
      <c r="C39" s="257">
        <v>31850000</v>
      </c>
    </row>
    <row r="40" spans="1:3" s="71" customFormat="1" ht="12" customHeight="1">
      <c r="A40" s="393" t="s">
        <v>90</v>
      </c>
      <c r="B40" s="374" t="s">
        <v>271</v>
      </c>
      <c r="C40" s="257"/>
    </row>
    <row r="41" spans="1:3" s="71" customFormat="1" ht="12" customHeight="1">
      <c r="A41" s="393" t="s">
        <v>170</v>
      </c>
      <c r="B41" s="374" t="s">
        <v>272</v>
      </c>
      <c r="C41" s="257"/>
    </row>
    <row r="42" spans="1:3" s="71" customFormat="1" ht="12" customHeight="1">
      <c r="A42" s="393" t="s">
        <v>171</v>
      </c>
      <c r="B42" s="374" t="s">
        <v>273</v>
      </c>
      <c r="C42" s="257"/>
    </row>
    <row r="43" spans="1:3" s="71" customFormat="1" ht="12" customHeight="1">
      <c r="A43" s="393" t="s">
        <v>172</v>
      </c>
      <c r="B43" s="374" t="s">
        <v>274</v>
      </c>
      <c r="C43" s="257">
        <v>7520000</v>
      </c>
    </row>
    <row r="44" spans="1:3" s="71" customFormat="1" ht="12" customHeight="1">
      <c r="A44" s="393" t="s">
        <v>173</v>
      </c>
      <c r="B44" s="374" t="s">
        <v>275</v>
      </c>
      <c r="C44" s="257"/>
    </row>
    <row r="45" spans="1:3" s="71" customFormat="1" ht="12" customHeight="1">
      <c r="A45" s="393" t="s">
        <v>174</v>
      </c>
      <c r="B45" s="374" t="s">
        <v>553</v>
      </c>
      <c r="C45" s="257"/>
    </row>
    <row r="46" spans="1:3" s="71" customFormat="1" ht="12" customHeight="1">
      <c r="A46" s="393" t="s">
        <v>267</v>
      </c>
      <c r="B46" s="374" t="s">
        <v>277</v>
      </c>
      <c r="C46" s="260"/>
    </row>
    <row r="47" spans="1:3" s="71" customFormat="1" ht="12" customHeight="1">
      <c r="A47" s="394" t="s">
        <v>268</v>
      </c>
      <c r="B47" s="375" t="s">
        <v>428</v>
      </c>
      <c r="C47" s="361"/>
    </row>
    <row r="48" spans="1:3" s="71" customFormat="1" ht="12" customHeight="1" thickBot="1">
      <c r="A48" s="394" t="s">
        <v>427</v>
      </c>
      <c r="B48" s="375" t="s">
        <v>278</v>
      </c>
      <c r="C48" s="361"/>
    </row>
    <row r="49" spans="1:3" s="71" customFormat="1" ht="12" customHeight="1" thickBot="1">
      <c r="A49" s="29" t="s">
        <v>22</v>
      </c>
      <c r="B49" s="21" t="s">
        <v>279</v>
      </c>
      <c r="C49" s="255">
        <f>SUM(C50:C54)</f>
        <v>0</v>
      </c>
    </row>
    <row r="50" spans="1:3" s="71" customFormat="1" ht="12" customHeight="1">
      <c r="A50" s="392" t="s">
        <v>91</v>
      </c>
      <c r="B50" s="373" t="s">
        <v>283</v>
      </c>
      <c r="C50" s="417"/>
    </row>
    <row r="51" spans="1:3" s="71" customFormat="1" ht="12" customHeight="1">
      <c r="A51" s="393" t="s">
        <v>92</v>
      </c>
      <c r="B51" s="374" t="s">
        <v>284</v>
      </c>
      <c r="C51" s="260"/>
    </row>
    <row r="52" spans="1:3" s="71" customFormat="1" ht="12" customHeight="1">
      <c r="A52" s="393" t="s">
        <v>280</v>
      </c>
      <c r="B52" s="374" t="s">
        <v>285</v>
      </c>
      <c r="C52" s="260"/>
    </row>
    <row r="53" spans="1:3" s="71" customFormat="1" ht="12" customHeight="1">
      <c r="A53" s="393" t="s">
        <v>281</v>
      </c>
      <c r="B53" s="374" t="s">
        <v>286</v>
      </c>
      <c r="C53" s="260"/>
    </row>
    <row r="54" spans="1:3" s="71" customFormat="1" ht="12" customHeight="1" thickBot="1">
      <c r="A54" s="394" t="s">
        <v>282</v>
      </c>
      <c r="B54" s="375" t="s">
        <v>287</v>
      </c>
      <c r="C54" s="361"/>
    </row>
    <row r="55" spans="1:3" s="71" customFormat="1" ht="12" customHeight="1" thickBot="1">
      <c r="A55" s="29" t="s">
        <v>175</v>
      </c>
      <c r="B55" s="21" t="s">
        <v>288</v>
      </c>
      <c r="C55" s="255">
        <f>SUM(C56:C58)</f>
        <v>0</v>
      </c>
    </row>
    <row r="56" spans="1:3" s="71" customFormat="1" ht="12" customHeight="1">
      <c r="A56" s="392" t="s">
        <v>93</v>
      </c>
      <c r="B56" s="373" t="s">
        <v>289</v>
      </c>
      <c r="C56" s="258"/>
    </row>
    <row r="57" spans="1:3" s="71" customFormat="1" ht="12" customHeight="1">
      <c r="A57" s="393" t="s">
        <v>94</v>
      </c>
      <c r="B57" s="374" t="s">
        <v>418</v>
      </c>
      <c r="C57" s="257"/>
    </row>
    <row r="58" spans="1:3" s="71" customFormat="1" ht="12" customHeight="1">
      <c r="A58" s="393" t="s">
        <v>292</v>
      </c>
      <c r="B58" s="374" t="s">
        <v>290</v>
      </c>
      <c r="C58" s="257"/>
    </row>
    <row r="59" spans="1:3" s="71" customFormat="1" ht="12" customHeight="1" thickBot="1">
      <c r="A59" s="394" t="s">
        <v>293</v>
      </c>
      <c r="B59" s="375" t="s">
        <v>291</v>
      </c>
      <c r="C59" s="259"/>
    </row>
    <row r="60" spans="1:3" s="71" customFormat="1" ht="12" customHeight="1" thickBot="1">
      <c r="A60" s="29" t="s">
        <v>24</v>
      </c>
      <c r="B60" s="250" t="s">
        <v>294</v>
      </c>
      <c r="C60" s="255">
        <f>SUM(C61:C63)</f>
        <v>0</v>
      </c>
    </row>
    <row r="61" spans="1:3" s="71" customFormat="1" ht="12" customHeight="1">
      <c r="A61" s="392" t="s">
        <v>176</v>
      </c>
      <c r="B61" s="373" t="s">
        <v>296</v>
      </c>
      <c r="C61" s="260"/>
    </row>
    <row r="62" spans="1:3" s="71" customFormat="1" ht="12" customHeight="1">
      <c r="A62" s="393" t="s">
        <v>177</v>
      </c>
      <c r="B62" s="374" t="s">
        <v>419</v>
      </c>
      <c r="C62" s="260"/>
    </row>
    <row r="63" spans="1:3" s="71" customFormat="1" ht="12" customHeight="1">
      <c r="A63" s="393" t="s">
        <v>225</v>
      </c>
      <c r="B63" s="374" t="s">
        <v>297</v>
      </c>
      <c r="C63" s="260"/>
    </row>
    <row r="64" spans="1:3" s="71" customFormat="1" ht="12" customHeight="1" thickBot="1">
      <c r="A64" s="394" t="s">
        <v>295</v>
      </c>
      <c r="B64" s="375" t="s">
        <v>298</v>
      </c>
      <c r="C64" s="260"/>
    </row>
    <row r="65" spans="1:3" s="71" customFormat="1" ht="12" customHeight="1" thickBot="1">
      <c r="A65" s="29" t="s">
        <v>25</v>
      </c>
      <c r="B65" s="21" t="s">
        <v>299</v>
      </c>
      <c r="C65" s="261">
        <f>+C8+C15+C22+C29+C37+C49+C55+C60</f>
        <v>989265706</v>
      </c>
    </row>
    <row r="66" spans="1:3" s="71" customFormat="1" ht="12" customHeight="1" thickBot="1">
      <c r="A66" s="395" t="s">
        <v>386</v>
      </c>
      <c r="B66" s="250" t="s">
        <v>301</v>
      </c>
      <c r="C66" s="255">
        <f>SUM(C67:C69)</f>
        <v>0</v>
      </c>
    </row>
    <row r="67" spans="1:3" s="71" customFormat="1" ht="12" customHeight="1">
      <c r="A67" s="392" t="s">
        <v>329</v>
      </c>
      <c r="B67" s="373" t="s">
        <v>302</v>
      </c>
      <c r="C67" s="260"/>
    </row>
    <row r="68" spans="1:3" s="71" customFormat="1" ht="12" customHeight="1">
      <c r="A68" s="393" t="s">
        <v>338</v>
      </c>
      <c r="B68" s="374" t="s">
        <v>303</v>
      </c>
      <c r="C68" s="260"/>
    </row>
    <row r="69" spans="1:3" s="71" customFormat="1" ht="12" customHeight="1" thickBot="1">
      <c r="A69" s="394" t="s">
        <v>339</v>
      </c>
      <c r="B69" s="376" t="s">
        <v>304</v>
      </c>
      <c r="C69" s="260"/>
    </row>
    <row r="70" spans="1:3" s="71" customFormat="1" ht="12" customHeight="1" thickBot="1">
      <c r="A70" s="395" t="s">
        <v>305</v>
      </c>
      <c r="B70" s="250" t="s">
        <v>306</v>
      </c>
      <c r="C70" s="255">
        <f>SUM(C71:C74)</f>
        <v>0</v>
      </c>
    </row>
    <row r="71" spans="1:3" s="71" customFormat="1" ht="12" customHeight="1">
      <c r="A71" s="392" t="s">
        <v>144</v>
      </c>
      <c r="B71" s="373" t="s">
        <v>307</v>
      </c>
      <c r="C71" s="260"/>
    </row>
    <row r="72" spans="1:3" s="71" customFormat="1" ht="12" customHeight="1">
      <c r="A72" s="393" t="s">
        <v>145</v>
      </c>
      <c r="B72" s="374" t="s">
        <v>561</v>
      </c>
      <c r="C72" s="260"/>
    </row>
    <row r="73" spans="1:3" s="71" customFormat="1" ht="12" customHeight="1">
      <c r="A73" s="393" t="s">
        <v>330</v>
      </c>
      <c r="B73" s="374" t="s">
        <v>308</v>
      </c>
      <c r="C73" s="260"/>
    </row>
    <row r="74" spans="1:3" s="71" customFormat="1" ht="12" customHeight="1">
      <c r="A74" s="393" t="s">
        <v>331</v>
      </c>
      <c r="B74" s="251" t="s">
        <v>562</v>
      </c>
      <c r="C74" s="260"/>
    </row>
    <row r="75" spans="1:3" s="71" customFormat="1" ht="12" customHeight="1" thickBot="1">
      <c r="A75" s="399" t="s">
        <v>309</v>
      </c>
      <c r="B75" s="529" t="s">
        <v>310</v>
      </c>
      <c r="C75" s="436">
        <f>SUM(C76:C77)</f>
        <v>0</v>
      </c>
    </row>
    <row r="76" spans="1:3" s="71" customFormat="1" ht="12" customHeight="1">
      <c r="A76" s="392" t="s">
        <v>332</v>
      </c>
      <c r="B76" s="373" t="s">
        <v>311</v>
      </c>
      <c r="C76" s="260"/>
    </row>
    <row r="77" spans="1:3" s="71" customFormat="1" ht="12" customHeight="1" thickBot="1">
      <c r="A77" s="394" t="s">
        <v>333</v>
      </c>
      <c r="B77" s="375" t="s">
        <v>312</v>
      </c>
      <c r="C77" s="260"/>
    </row>
    <row r="78" spans="1:3" s="70" customFormat="1" ht="12" customHeight="1" thickBot="1">
      <c r="A78" s="395" t="s">
        <v>313</v>
      </c>
      <c r="B78" s="250" t="s">
        <v>314</v>
      </c>
      <c r="C78" s="255">
        <f>SUM(C79:C81)</f>
        <v>0</v>
      </c>
    </row>
    <row r="79" spans="1:3" s="71" customFormat="1" ht="12" customHeight="1">
      <c r="A79" s="392" t="s">
        <v>334</v>
      </c>
      <c r="B79" s="373" t="s">
        <v>315</v>
      </c>
      <c r="C79" s="260"/>
    </row>
    <row r="80" spans="1:3" s="71" customFormat="1" ht="12" customHeight="1">
      <c r="A80" s="393" t="s">
        <v>335</v>
      </c>
      <c r="B80" s="374" t="s">
        <v>316</v>
      </c>
      <c r="C80" s="260"/>
    </row>
    <row r="81" spans="1:3" s="71" customFormat="1" ht="12" customHeight="1" thickBot="1">
      <c r="A81" s="394" t="s">
        <v>336</v>
      </c>
      <c r="B81" s="375" t="s">
        <v>563</v>
      </c>
      <c r="C81" s="260"/>
    </row>
    <row r="82" spans="1:3" s="71" customFormat="1" ht="12" customHeight="1" thickBot="1">
      <c r="A82" s="395" t="s">
        <v>317</v>
      </c>
      <c r="B82" s="250" t="s">
        <v>337</v>
      </c>
      <c r="C82" s="255">
        <f>SUM(C83:C86)</f>
        <v>0</v>
      </c>
    </row>
    <row r="83" spans="1:3" s="71" customFormat="1" ht="12" customHeight="1">
      <c r="A83" s="396" t="s">
        <v>318</v>
      </c>
      <c r="B83" s="373" t="s">
        <v>319</v>
      </c>
      <c r="C83" s="260"/>
    </row>
    <row r="84" spans="1:3" s="71" customFormat="1" ht="12" customHeight="1">
      <c r="A84" s="397" t="s">
        <v>320</v>
      </c>
      <c r="B84" s="374" t="s">
        <v>321</v>
      </c>
      <c r="C84" s="260"/>
    </row>
    <row r="85" spans="1:3" s="71" customFormat="1" ht="12" customHeight="1">
      <c r="A85" s="397" t="s">
        <v>322</v>
      </c>
      <c r="B85" s="374" t="s">
        <v>323</v>
      </c>
      <c r="C85" s="260"/>
    </row>
    <row r="86" spans="1:3" s="70" customFormat="1" ht="12" customHeight="1" thickBot="1">
      <c r="A86" s="398" t="s">
        <v>324</v>
      </c>
      <c r="B86" s="375" t="s">
        <v>325</v>
      </c>
      <c r="C86" s="260"/>
    </row>
    <row r="87" spans="1:3" s="70" customFormat="1" ht="12" customHeight="1" thickBot="1">
      <c r="A87" s="395" t="s">
        <v>326</v>
      </c>
      <c r="B87" s="250" t="s">
        <v>467</v>
      </c>
      <c r="C87" s="418"/>
    </row>
    <row r="88" spans="1:3" s="70" customFormat="1" ht="12" customHeight="1" thickBot="1">
      <c r="A88" s="395" t="s">
        <v>499</v>
      </c>
      <c r="B88" s="250" t="s">
        <v>327</v>
      </c>
      <c r="C88" s="418"/>
    </row>
    <row r="89" spans="1:3" s="70" customFormat="1" ht="12" customHeight="1" thickBot="1">
      <c r="A89" s="395" t="s">
        <v>500</v>
      </c>
      <c r="B89" s="380" t="s">
        <v>470</v>
      </c>
      <c r="C89" s="261">
        <f>+C66+C70+C75+C78+C82+C88+C87</f>
        <v>0</v>
      </c>
    </row>
    <row r="90" spans="1:3" s="70" customFormat="1" ht="12" customHeight="1" thickBot="1">
      <c r="A90" s="399" t="s">
        <v>501</v>
      </c>
      <c r="B90" s="381" t="s">
        <v>502</v>
      </c>
      <c r="C90" s="261">
        <f>+C65+C89</f>
        <v>989265706</v>
      </c>
    </row>
    <row r="91" spans="1:3" s="71" customFormat="1" ht="6.75" customHeight="1" thickBot="1">
      <c r="A91" s="194"/>
      <c r="B91" s="195"/>
      <c r="C91" s="320"/>
    </row>
    <row r="92" spans="1:3" s="48" customFormat="1" ht="16.5" customHeight="1" thickBot="1">
      <c r="A92" s="198"/>
      <c r="B92" s="199" t="s">
        <v>56</v>
      </c>
      <c r="C92" s="322"/>
    </row>
    <row r="93" spans="1:3" s="72" customFormat="1" ht="12" customHeight="1" thickBot="1">
      <c r="A93" s="367" t="s">
        <v>17</v>
      </c>
      <c r="B93" s="26" t="s">
        <v>506</v>
      </c>
      <c r="C93" s="254">
        <f>+C94+C95+C96+C97+C98+C111</f>
        <v>380480863</v>
      </c>
    </row>
    <row r="94" spans="1:3" ht="12" customHeight="1">
      <c r="A94" s="400" t="s">
        <v>95</v>
      </c>
      <c r="B94" s="10" t="s">
        <v>48</v>
      </c>
      <c r="C94" s="256">
        <v>20220780</v>
      </c>
    </row>
    <row r="95" spans="1:3" ht="12" customHeight="1">
      <c r="A95" s="393" t="s">
        <v>96</v>
      </c>
      <c r="B95" s="8" t="s">
        <v>178</v>
      </c>
      <c r="C95" s="257">
        <v>5342637</v>
      </c>
    </row>
    <row r="96" spans="1:3" ht="12" customHeight="1">
      <c r="A96" s="393" t="s">
        <v>97</v>
      </c>
      <c r="B96" s="8" t="s">
        <v>135</v>
      </c>
      <c r="C96" s="259">
        <v>141747446</v>
      </c>
    </row>
    <row r="97" spans="1:3" ht="12" customHeight="1">
      <c r="A97" s="393" t="s">
        <v>98</v>
      </c>
      <c r="B97" s="11" t="s">
        <v>179</v>
      </c>
      <c r="C97" s="259"/>
    </row>
    <row r="98" spans="1:3" ht="12" customHeight="1">
      <c r="A98" s="393" t="s">
        <v>109</v>
      </c>
      <c r="B98" s="19" t="s">
        <v>180</v>
      </c>
      <c r="C98" s="259">
        <v>64027000</v>
      </c>
    </row>
    <row r="99" spans="1:3" ht="12" customHeight="1">
      <c r="A99" s="393" t="s">
        <v>99</v>
      </c>
      <c r="B99" s="8" t="s">
        <v>503</v>
      </c>
      <c r="C99" s="259"/>
    </row>
    <row r="100" spans="1:3" ht="12" customHeight="1">
      <c r="A100" s="393" t="s">
        <v>100</v>
      </c>
      <c r="B100" s="116" t="s">
        <v>433</v>
      </c>
      <c r="C100" s="259"/>
    </row>
    <row r="101" spans="1:3" ht="12" customHeight="1">
      <c r="A101" s="393" t="s">
        <v>110</v>
      </c>
      <c r="B101" s="116" t="s">
        <v>432</v>
      </c>
      <c r="C101" s="259"/>
    </row>
    <row r="102" spans="1:3" ht="12" customHeight="1">
      <c r="A102" s="393" t="s">
        <v>111</v>
      </c>
      <c r="B102" s="116" t="s">
        <v>343</v>
      </c>
      <c r="C102" s="259"/>
    </row>
    <row r="103" spans="1:3" ht="12" customHeight="1">
      <c r="A103" s="393" t="s">
        <v>112</v>
      </c>
      <c r="B103" s="117" t="s">
        <v>344</v>
      </c>
      <c r="C103" s="259"/>
    </row>
    <row r="104" spans="1:3" ht="12" customHeight="1">
      <c r="A104" s="393" t="s">
        <v>113</v>
      </c>
      <c r="B104" s="117" t="s">
        <v>345</v>
      </c>
      <c r="C104" s="259"/>
    </row>
    <row r="105" spans="1:3" ht="12" customHeight="1">
      <c r="A105" s="393" t="s">
        <v>115</v>
      </c>
      <c r="B105" s="116" t="s">
        <v>346</v>
      </c>
      <c r="C105" s="259"/>
    </row>
    <row r="106" spans="1:3" ht="12" customHeight="1">
      <c r="A106" s="393" t="s">
        <v>181</v>
      </c>
      <c r="B106" s="116" t="s">
        <v>347</v>
      </c>
      <c r="C106" s="259"/>
    </row>
    <row r="107" spans="1:3" ht="12" customHeight="1">
      <c r="A107" s="393" t="s">
        <v>341</v>
      </c>
      <c r="B107" s="117" t="s">
        <v>348</v>
      </c>
      <c r="C107" s="259"/>
    </row>
    <row r="108" spans="1:3" ht="12" customHeight="1">
      <c r="A108" s="401" t="s">
        <v>342</v>
      </c>
      <c r="B108" s="118" t="s">
        <v>349</v>
      </c>
      <c r="C108" s="259"/>
    </row>
    <row r="109" spans="1:3" ht="12" customHeight="1">
      <c r="A109" s="393" t="s">
        <v>430</v>
      </c>
      <c r="B109" s="118" t="s">
        <v>350</v>
      </c>
      <c r="C109" s="259"/>
    </row>
    <row r="110" spans="1:3" ht="12" customHeight="1">
      <c r="A110" s="393" t="s">
        <v>431</v>
      </c>
      <c r="B110" s="117" t="s">
        <v>351</v>
      </c>
      <c r="C110" s="257"/>
    </row>
    <row r="111" spans="1:3" ht="12" customHeight="1">
      <c r="A111" s="393" t="s">
        <v>435</v>
      </c>
      <c r="B111" s="11" t="s">
        <v>49</v>
      </c>
      <c r="C111" s="257">
        <v>149143000</v>
      </c>
    </row>
    <row r="112" spans="1:3" ht="12" customHeight="1">
      <c r="A112" s="394" t="s">
        <v>436</v>
      </c>
      <c r="B112" s="8" t="s">
        <v>504</v>
      </c>
      <c r="C112" s="259"/>
    </row>
    <row r="113" spans="1:3" ht="12" customHeight="1" thickBot="1">
      <c r="A113" s="402" t="s">
        <v>437</v>
      </c>
      <c r="B113" s="119" t="s">
        <v>505</v>
      </c>
      <c r="C113" s="263"/>
    </row>
    <row r="114" spans="1:3" ht="12" customHeight="1" thickBot="1">
      <c r="A114" s="29" t="s">
        <v>18</v>
      </c>
      <c r="B114" s="25" t="s">
        <v>352</v>
      </c>
      <c r="C114" s="255">
        <f>+C115+C117+C119</f>
        <v>31512589</v>
      </c>
    </row>
    <row r="115" spans="1:3" ht="12" customHeight="1">
      <c r="A115" s="392" t="s">
        <v>101</v>
      </c>
      <c r="B115" s="8" t="s">
        <v>224</v>
      </c>
      <c r="C115" s="258">
        <v>31512589</v>
      </c>
    </row>
    <row r="116" spans="1:3" ht="12" customHeight="1">
      <c r="A116" s="392" t="s">
        <v>102</v>
      </c>
      <c r="B116" s="12" t="s">
        <v>356</v>
      </c>
      <c r="C116" s="258"/>
    </row>
    <row r="117" spans="1:3" ht="12" customHeight="1">
      <c r="A117" s="392" t="s">
        <v>103</v>
      </c>
      <c r="B117" s="12" t="s">
        <v>182</v>
      </c>
      <c r="C117" s="257"/>
    </row>
    <row r="118" spans="1:3" ht="12" customHeight="1">
      <c r="A118" s="392" t="s">
        <v>104</v>
      </c>
      <c r="B118" s="12" t="s">
        <v>357</v>
      </c>
      <c r="C118" s="222"/>
    </row>
    <row r="119" spans="1:3" ht="12" customHeight="1">
      <c r="A119" s="392" t="s">
        <v>105</v>
      </c>
      <c r="B119" s="252" t="s">
        <v>226</v>
      </c>
      <c r="C119" s="222"/>
    </row>
    <row r="120" spans="1:3" ht="12" customHeight="1">
      <c r="A120" s="392" t="s">
        <v>114</v>
      </c>
      <c r="B120" s="251" t="s">
        <v>420</v>
      </c>
      <c r="C120" s="222"/>
    </row>
    <row r="121" spans="1:3" ht="12" customHeight="1">
      <c r="A121" s="392" t="s">
        <v>116</v>
      </c>
      <c r="B121" s="369" t="s">
        <v>362</v>
      </c>
      <c r="C121" s="222"/>
    </row>
    <row r="122" spans="1:3" ht="12" customHeight="1">
      <c r="A122" s="392" t="s">
        <v>183</v>
      </c>
      <c r="B122" s="117" t="s">
        <v>345</v>
      </c>
      <c r="C122" s="222"/>
    </row>
    <row r="123" spans="1:3" ht="12" customHeight="1">
      <c r="A123" s="392" t="s">
        <v>184</v>
      </c>
      <c r="B123" s="117" t="s">
        <v>361</v>
      </c>
      <c r="C123" s="222"/>
    </row>
    <row r="124" spans="1:3" ht="12" customHeight="1">
      <c r="A124" s="392" t="s">
        <v>185</v>
      </c>
      <c r="B124" s="117" t="s">
        <v>360</v>
      </c>
      <c r="C124" s="222"/>
    </row>
    <row r="125" spans="1:3" ht="12" customHeight="1">
      <c r="A125" s="392" t="s">
        <v>353</v>
      </c>
      <c r="B125" s="117" t="s">
        <v>348</v>
      </c>
      <c r="C125" s="222"/>
    </row>
    <row r="126" spans="1:3" ht="12" customHeight="1">
      <c r="A126" s="392" t="s">
        <v>354</v>
      </c>
      <c r="B126" s="117" t="s">
        <v>359</v>
      </c>
      <c r="C126" s="222"/>
    </row>
    <row r="127" spans="1:3" ht="12" customHeight="1" thickBot="1">
      <c r="A127" s="401" t="s">
        <v>355</v>
      </c>
      <c r="B127" s="117" t="s">
        <v>358</v>
      </c>
      <c r="C127" s="224"/>
    </row>
    <row r="128" spans="1:3" ht="12" customHeight="1" thickBot="1">
      <c r="A128" s="29" t="s">
        <v>19</v>
      </c>
      <c r="B128" s="98" t="s">
        <v>440</v>
      </c>
      <c r="C128" s="255">
        <f>+C93+C114</f>
        <v>411993452</v>
      </c>
    </row>
    <row r="129" spans="1:11" ht="12" customHeight="1" thickBot="1">
      <c r="A129" s="29" t="s">
        <v>20</v>
      </c>
      <c r="B129" s="98" t="s">
        <v>441</v>
      </c>
      <c r="C129" s="255">
        <f>+C130+C131+C132</f>
        <v>0</v>
      </c>
    </row>
    <row r="130" spans="1:11" s="72" customFormat="1" ht="12" customHeight="1">
      <c r="A130" s="392" t="s">
        <v>262</v>
      </c>
      <c r="B130" s="9" t="s">
        <v>509</v>
      </c>
      <c r="C130" s="222"/>
    </row>
    <row r="131" spans="1:11" ht="12" customHeight="1">
      <c r="A131" s="392" t="s">
        <v>263</v>
      </c>
      <c r="B131" s="9" t="s">
        <v>449</v>
      </c>
      <c r="C131" s="222"/>
    </row>
    <row r="132" spans="1:11" ht="12" customHeight="1" thickBot="1">
      <c r="A132" s="401" t="s">
        <v>264</v>
      </c>
      <c r="B132" s="7" t="s">
        <v>508</v>
      </c>
      <c r="C132" s="222"/>
    </row>
    <row r="133" spans="1:11" ht="12" customHeight="1" thickBot="1">
      <c r="A133" s="29" t="s">
        <v>21</v>
      </c>
      <c r="B133" s="98" t="s">
        <v>442</v>
      </c>
      <c r="C133" s="255">
        <f>+C134+C135+C136+C137+C138+C139</f>
        <v>0</v>
      </c>
    </row>
    <row r="134" spans="1:11" ht="12" customHeight="1">
      <c r="A134" s="392" t="s">
        <v>88</v>
      </c>
      <c r="B134" s="9" t="s">
        <v>451</v>
      </c>
      <c r="C134" s="222"/>
    </row>
    <row r="135" spans="1:11" ht="12" customHeight="1">
      <c r="A135" s="392" t="s">
        <v>89</v>
      </c>
      <c r="B135" s="9" t="s">
        <v>443</v>
      </c>
      <c r="C135" s="222"/>
    </row>
    <row r="136" spans="1:11" ht="12" customHeight="1">
      <c r="A136" s="392" t="s">
        <v>90</v>
      </c>
      <c r="B136" s="9" t="s">
        <v>444</v>
      </c>
      <c r="C136" s="222"/>
    </row>
    <row r="137" spans="1:11" ht="12" customHeight="1">
      <c r="A137" s="392" t="s">
        <v>170</v>
      </c>
      <c r="B137" s="9" t="s">
        <v>507</v>
      </c>
      <c r="C137" s="222"/>
    </row>
    <row r="138" spans="1:11" ht="12" customHeight="1">
      <c r="A138" s="392" t="s">
        <v>171</v>
      </c>
      <c r="B138" s="9" t="s">
        <v>446</v>
      </c>
      <c r="C138" s="222"/>
    </row>
    <row r="139" spans="1:11" s="72" customFormat="1" ht="12" customHeight="1" thickBot="1">
      <c r="A139" s="401" t="s">
        <v>172</v>
      </c>
      <c r="B139" s="7" t="s">
        <v>447</v>
      </c>
      <c r="C139" s="222"/>
    </row>
    <row r="140" spans="1:11" ht="12" customHeight="1" thickBot="1">
      <c r="A140" s="29" t="s">
        <v>22</v>
      </c>
      <c r="B140" s="98" t="s">
        <v>533</v>
      </c>
      <c r="C140" s="261">
        <f>+C141+C142+C144+C145+C143</f>
        <v>577272254</v>
      </c>
      <c r="K140" s="205"/>
    </row>
    <row r="141" spans="1:11">
      <c r="A141" s="392" t="s">
        <v>91</v>
      </c>
      <c r="B141" s="9" t="s">
        <v>363</v>
      </c>
      <c r="C141" s="222"/>
    </row>
    <row r="142" spans="1:11" ht="12" customHeight="1">
      <c r="A142" s="392" t="s">
        <v>92</v>
      </c>
      <c r="B142" s="9" t="s">
        <v>364</v>
      </c>
      <c r="C142" s="222"/>
    </row>
    <row r="143" spans="1:11" s="72" customFormat="1" ht="12" customHeight="1">
      <c r="A143" s="392" t="s">
        <v>280</v>
      </c>
      <c r="B143" s="9" t="s">
        <v>532</v>
      </c>
      <c r="C143" s="222">
        <v>577272254</v>
      </c>
    </row>
    <row r="144" spans="1:11" s="72" customFormat="1" ht="12" customHeight="1">
      <c r="A144" s="392" t="s">
        <v>281</v>
      </c>
      <c r="B144" s="9" t="s">
        <v>456</v>
      </c>
      <c r="C144" s="222"/>
    </row>
    <row r="145" spans="1:3" s="72" customFormat="1" ht="12" customHeight="1" thickBot="1">
      <c r="A145" s="401" t="s">
        <v>282</v>
      </c>
      <c r="B145" s="7" t="s">
        <v>382</v>
      </c>
      <c r="C145" s="222"/>
    </row>
    <row r="146" spans="1:3" s="72" customFormat="1" ht="12" customHeight="1" thickBot="1">
      <c r="A146" s="29" t="s">
        <v>23</v>
      </c>
      <c r="B146" s="98" t="s">
        <v>457</v>
      </c>
      <c r="C146" s="264">
        <f>+C147+C148+C149+C150+C151</f>
        <v>0</v>
      </c>
    </row>
    <row r="147" spans="1:3" s="72" customFormat="1" ht="12" customHeight="1">
      <c r="A147" s="392" t="s">
        <v>93</v>
      </c>
      <c r="B147" s="9" t="s">
        <v>452</v>
      </c>
      <c r="C147" s="222"/>
    </row>
    <row r="148" spans="1:3" s="72" customFormat="1" ht="12" customHeight="1">
      <c r="A148" s="392" t="s">
        <v>94</v>
      </c>
      <c r="B148" s="9" t="s">
        <v>459</v>
      </c>
      <c r="C148" s="222"/>
    </row>
    <row r="149" spans="1:3" s="72" customFormat="1" ht="12" customHeight="1">
      <c r="A149" s="392" t="s">
        <v>292</v>
      </c>
      <c r="B149" s="9" t="s">
        <v>454</v>
      </c>
      <c r="C149" s="222"/>
    </row>
    <row r="150" spans="1:3" ht="12.75" customHeight="1">
      <c r="A150" s="392" t="s">
        <v>293</v>
      </c>
      <c r="B150" s="9" t="s">
        <v>510</v>
      </c>
      <c r="C150" s="222"/>
    </row>
    <row r="151" spans="1:3" ht="12.75" customHeight="1" thickBot="1">
      <c r="A151" s="401" t="s">
        <v>458</v>
      </c>
      <c r="B151" s="7" t="s">
        <v>461</v>
      </c>
      <c r="C151" s="224"/>
    </row>
    <row r="152" spans="1:3" ht="12.75" customHeight="1" thickBot="1">
      <c r="A152" s="441" t="s">
        <v>24</v>
      </c>
      <c r="B152" s="98" t="s">
        <v>462</v>
      </c>
      <c r="C152" s="264"/>
    </row>
    <row r="153" spans="1:3" ht="12" customHeight="1" thickBot="1">
      <c r="A153" s="441" t="s">
        <v>25</v>
      </c>
      <c r="B153" s="98" t="s">
        <v>463</v>
      </c>
      <c r="C153" s="264"/>
    </row>
    <row r="154" spans="1:3" ht="15.2" customHeight="1" thickBot="1">
      <c r="A154" s="29" t="s">
        <v>26</v>
      </c>
      <c r="B154" s="98" t="s">
        <v>465</v>
      </c>
      <c r="C154" s="383">
        <f>+C129+C133+C140+C146+C152+C153</f>
        <v>577272254</v>
      </c>
    </row>
    <row r="155" spans="1:3" ht="13.5" thickBot="1">
      <c r="A155" s="403" t="s">
        <v>27</v>
      </c>
      <c r="B155" s="338" t="s">
        <v>464</v>
      </c>
      <c r="C155" s="383">
        <f>+C128+C154</f>
        <v>989265706</v>
      </c>
    </row>
    <row r="156" spans="1:3" ht="7.5" customHeight="1" thickBot="1">
      <c r="A156" s="346"/>
      <c r="B156" s="347"/>
      <c r="C156" s="569">
        <f>C90-C155</f>
        <v>0</v>
      </c>
    </row>
    <row r="157" spans="1:3" ht="14.45" customHeight="1" thickBot="1">
      <c r="A157" s="203" t="s">
        <v>511</v>
      </c>
      <c r="B157" s="204"/>
      <c r="C157" s="95">
        <v>8</v>
      </c>
    </row>
    <row r="158" spans="1:3" ht="13.5" thickBot="1">
      <c r="A158" s="203" t="s">
        <v>200</v>
      </c>
      <c r="B158" s="204"/>
      <c r="C158" s="95"/>
    </row>
    <row r="159" spans="1:3">
      <c r="A159" s="566"/>
      <c r="B159" s="567"/>
      <c r="C159" s="568"/>
    </row>
    <row r="160" spans="1:3">
      <c r="A160" s="566"/>
      <c r="B160" s="567"/>
    </row>
    <row r="161" spans="1:3">
      <c r="A161" s="566"/>
      <c r="B161" s="567"/>
      <c r="C161" s="568"/>
    </row>
    <row r="162" spans="1:3">
      <c r="A162" s="566"/>
      <c r="B162" s="567"/>
      <c r="C162" s="568"/>
    </row>
    <row r="163" spans="1:3">
      <c r="A163" s="566"/>
      <c r="B163" s="567"/>
      <c r="C163" s="568"/>
    </row>
    <row r="164" spans="1:3">
      <c r="A164" s="566"/>
      <c r="B164" s="567"/>
      <c r="C164" s="568"/>
    </row>
    <row r="165" spans="1:3">
      <c r="A165" s="566"/>
      <c r="B165" s="567"/>
      <c r="C165" s="568"/>
    </row>
    <row r="166" spans="1:3">
      <c r="A166" s="566"/>
      <c r="B166" s="567"/>
      <c r="C166" s="568"/>
    </row>
    <row r="167" spans="1:3">
      <c r="A167" s="566"/>
      <c r="B167" s="567"/>
      <c r="C167" s="568"/>
    </row>
    <row r="168" spans="1:3">
      <c r="A168" s="566"/>
      <c r="B168" s="567"/>
      <c r="C168" s="568"/>
    </row>
    <row r="169" spans="1:3">
      <c r="A169" s="566"/>
      <c r="B169" s="567"/>
      <c r="C169" s="568"/>
    </row>
    <row r="170" spans="1:3">
      <c r="A170" s="566"/>
      <c r="B170" s="567"/>
      <c r="C170" s="568"/>
    </row>
    <row r="171" spans="1:3">
      <c r="A171" s="566"/>
      <c r="B171" s="567"/>
      <c r="C171" s="568"/>
    </row>
    <row r="172" spans="1:3">
      <c r="A172" s="566"/>
      <c r="B172" s="567"/>
      <c r="C172" s="568"/>
    </row>
    <row r="173" spans="1:3">
      <c r="A173" s="566"/>
      <c r="B173" s="567"/>
      <c r="C173" s="568"/>
    </row>
    <row r="174" spans="1:3">
      <c r="A174" s="566"/>
      <c r="B174" s="567"/>
      <c r="C174" s="568"/>
    </row>
    <row r="175" spans="1:3">
      <c r="A175" s="566"/>
      <c r="B175" s="567"/>
      <c r="C175" s="568"/>
    </row>
    <row r="176" spans="1:3">
      <c r="A176" s="566"/>
      <c r="B176" s="567"/>
      <c r="C176" s="568"/>
    </row>
    <row r="177" spans="1:3">
      <c r="A177" s="566"/>
      <c r="B177" s="567"/>
      <c r="C177" s="568"/>
    </row>
    <row r="178" spans="1:3">
      <c r="A178" s="566"/>
      <c r="B178" s="567"/>
      <c r="C178" s="56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6"/>
  <sheetViews>
    <sheetView zoomScale="120" zoomScaleNormal="120" zoomScaleSheetLayoutView="85" workbookViewId="0">
      <selection activeCell="B4" sqref="B4"/>
    </sheetView>
  </sheetViews>
  <sheetFormatPr defaultRowHeight="12.75"/>
  <cols>
    <col min="1" max="1" width="19.5" style="348" customWidth="1"/>
    <col min="2" max="2" width="72" style="349" customWidth="1"/>
    <col min="3" max="3" width="25" style="350" customWidth="1"/>
    <col min="4" max="16384" width="9.33203125" style="3"/>
  </cols>
  <sheetData>
    <row r="1" spans="1:3" s="2" customFormat="1" ht="16.5" customHeight="1" thickBot="1">
      <c r="A1" s="547"/>
      <c r="B1" s="548"/>
      <c r="C1" s="544" t="str">
        <f ca="1">CONCATENATE("9.1.3. melléklet ",ALAPADATOK!A7," ",ALAPADATOK!B7," ",ALAPADATOK!C7," ",ALAPADATOK!D7," ",ALAPADATOK!E7," ",ALAPADATOK!F7," ",ALAPADATOK!G7," ",ALAPADATOK!H7)</f>
        <v>9.1.3. melléklet a 5 / 2020 ( (II.18.) ) önkormányzati rendelethez</v>
      </c>
    </row>
    <row r="2" spans="1:3" s="68" customFormat="1" ht="21.2" customHeight="1">
      <c r="A2" s="549" t="s">
        <v>60</v>
      </c>
      <c r="B2" s="550" t="str">
        <f ca="1">CONCATENATE(ALAPADATOK!A3)</f>
        <v>DABAS VÁROS ÖNKORMÁNYZATA</v>
      </c>
      <c r="C2" s="551" t="s">
        <v>53</v>
      </c>
    </row>
    <row r="3" spans="1:3" s="68" customFormat="1" ht="16.5" thickBot="1">
      <c r="A3" s="552" t="s">
        <v>197</v>
      </c>
      <c r="B3" s="553" t="s">
        <v>520</v>
      </c>
      <c r="C3" s="554" t="s">
        <v>423</v>
      </c>
    </row>
    <row r="4" spans="1:3" s="69" customFormat="1" ht="22.5" customHeight="1" thickBot="1">
      <c r="A4" s="555"/>
      <c r="B4" s="696" t="s">
        <v>711</v>
      </c>
      <c r="C4" s="556">
        <f ca="1">KV_9.1.2.sz.mell.!C4</f>
        <v>0</v>
      </c>
    </row>
    <row r="5" spans="1:3" ht="13.5" thickBot="1">
      <c r="A5" s="557" t="s">
        <v>199</v>
      </c>
      <c r="B5" s="558" t="s">
        <v>554</v>
      </c>
      <c r="C5" s="559" t="s">
        <v>54</v>
      </c>
    </row>
    <row r="6" spans="1:3" s="48" customFormat="1" ht="12.95" customHeight="1" thickBot="1">
      <c r="A6" s="560"/>
      <c r="B6" s="561" t="s">
        <v>485</v>
      </c>
      <c r="C6" s="562" t="s">
        <v>486</v>
      </c>
    </row>
    <row r="7" spans="1:3" s="48" customFormat="1" ht="15.95" customHeight="1" thickBot="1">
      <c r="A7" s="188"/>
      <c r="B7" s="189" t="s">
        <v>55</v>
      </c>
      <c r="C7" s="315"/>
    </row>
    <row r="8" spans="1:3" s="48" customFormat="1" ht="12" customHeight="1" thickBot="1">
      <c r="A8" s="29" t="s">
        <v>17</v>
      </c>
      <c r="B8" s="21" t="s">
        <v>246</v>
      </c>
      <c r="C8" s="255">
        <f>+C9+C10+C11+C12+C13+C14</f>
        <v>0</v>
      </c>
    </row>
    <row r="9" spans="1:3" s="70" customFormat="1" ht="12" customHeight="1">
      <c r="A9" s="392" t="s">
        <v>95</v>
      </c>
      <c r="B9" s="373" t="s">
        <v>247</v>
      </c>
      <c r="C9" s="258"/>
    </row>
    <row r="10" spans="1:3" s="71" customFormat="1" ht="12" customHeight="1">
      <c r="A10" s="393" t="s">
        <v>96</v>
      </c>
      <c r="B10" s="374" t="s">
        <v>248</v>
      </c>
      <c r="C10" s="257"/>
    </row>
    <row r="11" spans="1:3" s="71" customFormat="1" ht="12" customHeight="1">
      <c r="A11" s="393" t="s">
        <v>97</v>
      </c>
      <c r="B11" s="374" t="s">
        <v>542</v>
      </c>
      <c r="C11" s="257"/>
    </row>
    <row r="12" spans="1:3" s="71" customFormat="1" ht="12" customHeight="1">
      <c r="A12" s="393" t="s">
        <v>98</v>
      </c>
      <c r="B12" s="374" t="s">
        <v>250</v>
      </c>
      <c r="C12" s="257"/>
    </row>
    <row r="13" spans="1:3" s="71" customFormat="1" ht="12" customHeight="1">
      <c r="A13" s="393" t="s">
        <v>143</v>
      </c>
      <c r="B13" s="374" t="s">
        <v>498</v>
      </c>
      <c r="C13" s="257"/>
    </row>
    <row r="14" spans="1:3" s="70" customFormat="1" ht="12" customHeight="1" thickBot="1">
      <c r="A14" s="394" t="s">
        <v>99</v>
      </c>
      <c r="B14" s="375" t="s">
        <v>425</v>
      </c>
      <c r="C14" s="257"/>
    </row>
    <row r="15" spans="1:3" s="70" customFormat="1" ht="12" customHeight="1" thickBot="1">
      <c r="A15" s="29" t="s">
        <v>18</v>
      </c>
      <c r="B15" s="250" t="s">
        <v>251</v>
      </c>
      <c r="C15" s="255">
        <f>+C16+C17+C18+C19+C20</f>
        <v>0</v>
      </c>
    </row>
    <row r="16" spans="1:3" s="70" customFormat="1" ht="12" customHeight="1">
      <c r="A16" s="392" t="s">
        <v>101</v>
      </c>
      <c r="B16" s="373" t="s">
        <v>252</v>
      </c>
      <c r="C16" s="258"/>
    </row>
    <row r="17" spans="1:3" s="70" customFormat="1" ht="12" customHeight="1">
      <c r="A17" s="393" t="s">
        <v>102</v>
      </c>
      <c r="B17" s="374" t="s">
        <v>253</v>
      </c>
      <c r="C17" s="257"/>
    </row>
    <row r="18" spans="1:3" s="70" customFormat="1" ht="12" customHeight="1">
      <c r="A18" s="393" t="s">
        <v>103</v>
      </c>
      <c r="B18" s="374" t="s">
        <v>414</v>
      </c>
      <c r="C18" s="257"/>
    </row>
    <row r="19" spans="1:3" s="70" customFormat="1" ht="12" customHeight="1">
      <c r="A19" s="393" t="s">
        <v>104</v>
      </c>
      <c r="B19" s="374" t="s">
        <v>415</v>
      </c>
      <c r="C19" s="257"/>
    </row>
    <row r="20" spans="1:3" s="70" customFormat="1" ht="12" customHeight="1">
      <c r="A20" s="393" t="s">
        <v>105</v>
      </c>
      <c r="B20" s="374" t="s">
        <v>254</v>
      </c>
      <c r="C20" s="257"/>
    </row>
    <row r="21" spans="1:3" s="71" customFormat="1" ht="12" customHeight="1" thickBot="1">
      <c r="A21" s="394" t="s">
        <v>114</v>
      </c>
      <c r="B21" s="375" t="s">
        <v>255</v>
      </c>
      <c r="C21" s="259"/>
    </row>
    <row r="22" spans="1:3" s="71" customFormat="1" ht="12" customHeight="1" thickBot="1">
      <c r="A22" s="29" t="s">
        <v>19</v>
      </c>
      <c r="B22" s="21" t="s">
        <v>256</v>
      </c>
      <c r="C22" s="255">
        <f>+C23+C24+C25+C26+C27</f>
        <v>0</v>
      </c>
    </row>
    <row r="23" spans="1:3" s="71" customFormat="1" ht="12" customHeight="1">
      <c r="A23" s="392" t="s">
        <v>84</v>
      </c>
      <c r="B23" s="373" t="s">
        <v>257</v>
      </c>
      <c r="C23" s="258"/>
    </row>
    <row r="24" spans="1:3" s="70" customFormat="1" ht="12" customHeight="1">
      <c r="A24" s="393" t="s">
        <v>85</v>
      </c>
      <c r="B24" s="374" t="s">
        <v>258</v>
      </c>
      <c r="C24" s="257"/>
    </row>
    <row r="25" spans="1:3" s="71" customFormat="1" ht="12" customHeight="1">
      <c r="A25" s="393" t="s">
        <v>86</v>
      </c>
      <c r="B25" s="374" t="s">
        <v>416</v>
      </c>
      <c r="C25" s="257"/>
    </row>
    <row r="26" spans="1:3" s="71" customFormat="1" ht="12" customHeight="1">
      <c r="A26" s="393" t="s">
        <v>87</v>
      </c>
      <c r="B26" s="374" t="s">
        <v>417</v>
      </c>
      <c r="C26" s="257"/>
    </row>
    <row r="27" spans="1:3" s="71" customFormat="1" ht="12" customHeight="1">
      <c r="A27" s="393" t="s">
        <v>166</v>
      </c>
      <c r="B27" s="374" t="s">
        <v>259</v>
      </c>
      <c r="C27" s="257"/>
    </row>
    <row r="28" spans="1:3" s="71" customFormat="1" ht="12" customHeight="1" thickBot="1">
      <c r="A28" s="394" t="s">
        <v>167</v>
      </c>
      <c r="B28" s="375" t="s">
        <v>260</v>
      </c>
      <c r="C28" s="259"/>
    </row>
    <row r="29" spans="1:3" s="71" customFormat="1" ht="12" customHeight="1" thickBot="1">
      <c r="A29" s="29" t="s">
        <v>168</v>
      </c>
      <c r="B29" s="21" t="s">
        <v>261</v>
      </c>
      <c r="C29" s="261">
        <f>SUM(C30:C36)</f>
        <v>0</v>
      </c>
    </row>
    <row r="30" spans="1:3" s="71" customFormat="1" ht="12" customHeight="1">
      <c r="A30" s="392" t="s">
        <v>262</v>
      </c>
      <c r="B30" s="373" t="str">
        <f ca="1">KV_1.1.sz.mell.!B32</f>
        <v>Építményadó</v>
      </c>
      <c r="C30" s="258"/>
    </row>
    <row r="31" spans="1:3" s="71" customFormat="1" ht="12" customHeight="1">
      <c r="A31" s="393" t="s">
        <v>263</v>
      </c>
      <c r="B31" s="373" t="str">
        <f ca="1">KV_1.1.sz.mell.!B33</f>
        <v>Idegenforgalmi adó</v>
      </c>
      <c r="C31" s="257"/>
    </row>
    <row r="32" spans="1:3" s="71" customFormat="1" ht="12" customHeight="1">
      <c r="A32" s="393" t="s">
        <v>264</v>
      </c>
      <c r="B32" s="373" t="str">
        <f ca="1">KV_1.1.sz.mell.!B34</f>
        <v>Iparűzési adó</v>
      </c>
      <c r="C32" s="257"/>
    </row>
    <row r="33" spans="1:3" s="71" customFormat="1" ht="12" customHeight="1">
      <c r="A33" s="393" t="s">
        <v>265</v>
      </c>
      <c r="B33" s="373" t="str">
        <f ca="1">KV_1.1.sz.mell.!B35</f>
        <v>Talajterhelési díj</v>
      </c>
      <c r="C33" s="257"/>
    </row>
    <row r="34" spans="1:3" s="71" customFormat="1" ht="12" customHeight="1">
      <c r="A34" s="393" t="s">
        <v>544</v>
      </c>
      <c r="B34" s="373" t="str">
        <f ca="1">KV_1.1.sz.mell.!B36</f>
        <v>Gépjárműadó</v>
      </c>
      <c r="C34" s="257"/>
    </row>
    <row r="35" spans="1:3" s="71" customFormat="1" ht="12" customHeight="1">
      <c r="A35" s="393" t="s">
        <v>545</v>
      </c>
      <c r="B35" s="373" t="str">
        <f ca="1">KV_1.1.sz.mell.!B37</f>
        <v>Telekadó</v>
      </c>
      <c r="C35" s="257"/>
    </row>
    <row r="36" spans="1:3" s="71" customFormat="1" ht="12" customHeight="1" thickBot="1">
      <c r="A36" s="394" t="s">
        <v>546</v>
      </c>
      <c r="B36" s="373" t="str">
        <f ca="1">KV_1.1.sz.mell.!B38</f>
        <v>Kommunális adó</v>
      </c>
      <c r="C36" s="259"/>
    </row>
    <row r="37" spans="1:3" s="71" customFormat="1" ht="12" customHeight="1" thickBot="1">
      <c r="A37" s="29" t="s">
        <v>21</v>
      </c>
      <c r="B37" s="21" t="s">
        <v>426</v>
      </c>
      <c r="C37" s="255">
        <f>SUM(C38:C48)</f>
        <v>0</v>
      </c>
    </row>
    <row r="38" spans="1:3" s="71" customFormat="1" ht="12" customHeight="1">
      <c r="A38" s="392" t="s">
        <v>88</v>
      </c>
      <c r="B38" s="373" t="s">
        <v>269</v>
      </c>
      <c r="C38" s="258"/>
    </row>
    <row r="39" spans="1:3" s="71" customFormat="1" ht="12" customHeight="1">
      <c r="A39" s="393" t="s">
        <v>89</v>
      </c>
      <c r="B39" s="374" t="s">
        <v>270</v>
      </c>
      <c r="C39" s="257"/>
    </row>
    <row r="40" spans="1:3" s="71" customFormat="1" ht="12" customHeight="1">
      <c r="A40" s="393" t="s">
        <v>90</v>
      </c>
      <c r="B40" s="374" t="s">
        <v>271</v>
      </c>
      <c r="C40" s="257"/>
    </row>
    <row r="41" spans="1:3" s="71" customFormat="1" ht="12" customHeight="1">
      <c r="A41" s="393" t="s">
        <v>170</v>
      </c>
      <c r="B41" s="374" t="s">
        <v>272</v>
      </c>
      <c r="C41" s="257"/>
    </row>
    <row r="42" spans="1:3" s="71" customFormat="1" ht="12" customHeight="1">
      <c r="A42" s="393" t="s">
        <v>171</v>
      </c>
      <c r="B42" s="374" t="s">
        <v>273</v>
      </c>
      <c r="C42" s="257"/>
    </row>
    <row r="43" spans="1:3" s="71" customFormat="1" ht="12" customHeight="1">
      <c r="A43" s="393" t="s">
        <v>172</v>
      </c>
      <c r="B43" s="374" t="s">
        <v>274</v>
      </c>
      <c r="C43" s="257"/>
    </row>
    <row r="44" spans="1:3" s="71" customFormat="1" ht="12" customHeight="1">
      <c r="A44" s="393" t="s">
        <v>173</v>
      </c>
      <c r="B44" s="374" t="s">
        <v>275</v>
      </c>
      <c r="C44" s="257"/>
    </row>
    <row r="45" spans="1:3" s="71" customFormat="1" ht="12" customHeight="1">
      <c r="A45" s="393" t="s">
        <v>174</v>
      </c>
      <c r="B45" s="374" t="s">
        <v>551</v>
      </c>
      <c r="C45" s="257"/>
    </row>
    <row r="46" spans="1:3" s="71" customFormat="1" ht="12" customHeight="1">
      <c r="A46" s="393" t="s">
        <v>267</v>
      </c>
      <c r="B46" s="374" t="s">
        <v>277</v>
      </c>
      <c r="C46" s="260"/>
    </row>
    <row r="47" spans="1:3" s="71" customFormat="1" ht="12" customHeight="1">
      <c r="A47" s="394" t="s">
        <v>268</v>
      </c>
      <c r="B47" s="375" t="s">
        <v>428</v>
      </c>
      <c r="C47" s="361"/>
    </row>
    <row r="48" spans="1:3" s="71" customFormat="1" ht="12" customHeight="1" thickBot="1">
      <c r="A48" s="394" t="s">
        <v>427</v>
      </c>
      <c r="B48" s="375" t="s">
        <v>278</v>
      </c>
      <c r="C48" s="361"/>
    </row>
    <row r="49" spans="1:3" s="71" customFormat="1" ht="12" customHeight="1" thickBot="1">
      <c r="A49" s="29" t="s">
        <v>22</v>
      </c>
      <c r="B49" s="21" t="s">
        <v>279</v>
      </c>
      <c r="C49" s="255">
        <f>SUM(C50:C54)</f>
        <v>0</v>
      </c>
    </row>
    <row r="50" spans="1:3" s="71" customFormat="1" ht="12" customHeight="1">
      <c r="A50" s="392" t="s">
        <v>91</v>
      </c>
      <c r="B50" s="373" t="s">
        <v>283</v>
      </c>
      <c r="C50" s="417"/>
    </row>
    <row r="51" spans="1:3" s="71" customFormat="1" ht="12" customHeight="1">
      <c r="A51" s="393" t="s">
        <v>92</v>
      </c>
      <c r="B51" s="374" t="s">
        <v>284</v>
      </c>
      <c r="C51" s="260"/>
    </row>
    <row r="52" spans="1:3" s="71" customFormat="1" ht="12" customHeight="1">
      <c r="A52" s="393" t="s">
        <v>280</v>
      </c>
      <c r="B52" s="374" t="s">
        <v>285</v>
      </c>
      <c r="C52" s="260"/>
    </row>
    <row r="53" spans="1:3" s="71" customFormat="1" ht="12" customHeight="1">
      <c r="A53" s="393" t="s">
        <v>281</v>
      </c>
      <c r="B53" s="374" t="s">
        <v>286</v>
      </c>
      <c r="C53" s="260"/>
    </row>
    <row r="54" spans="1:3" s="71" customFormat="1" ht="12" customHeight="1" thickBot="1">
      <c r="A54" s="394" t="s">
        <v>282</v>
      </c>
      <c r="B54" s="466" t="s">
        <v>287</v>
      </c>
      <c r="C54" s="361"/>
    </row>
    <row r="55" spans="1:3" s="71" customFormat="1" ht="12" customHeight="1" thickBot="1">
      <c r="A55" s="29" t="s">
        <v>175</v>
      </c>
      <c r="B55" s="21" t="s">
        <v>288</v>
      </c>
      <c r="C55" s="255">
        <f>SUM(C56:C58)</f>
        <v>0</v>
      </c>
    </row>
    <row r="56" spans="1:3" s="71" customFormat="1" ht="12" customHeight="1">
      <c r="A56" s="392" t="s">
        <v>93</v>
      </c>
      <c r="B56" s="373" t="s">
        <v>289</v>
      </c>
      <c r="C56" s="258"/>
    </row>
    <row r="57" spans="1:3" s="71" customFormat="1" ht="12" customHeight="1">
      <c r="A57" s="393" t="s">
        <v>94</v>
      </c>
      <c r="B57" s="374" t="s">
        <v>418</v>
      </c>
      <c r="C57" s="257"/>
    </row>
    <row r="58" spans="1:3" s="71" customFormat="1" ht="12" customHeight="1">
      <c r="A58" s="393" t="s">
        <v>292</v>
      </c>
      <c r="B58" s="374" t="s">
        <v>290</v>
      </c>
      <c r="C58" s="257"/>
    </row>
    <row r="59" spans="1:3" s="71" customFormat="1" ht="12" customHeight="1" thickBot="1">
      <c r="A59" s="394" t="s">
        <v>293</v>
      </c>
      <c r="B59" s="466" t="s">
        <v>291</v>
      </c>
      <c r="C59" s="259"/>
    </row>
    <row r="60" spans="1:3" s="71" customFormat="1" ht="12" customHeight="1" thickBot="1">
      <c r="A60" s="29" t="s">
        <v>24</v>
      </c>
      <c r="B60" s="250" t="s">
        <v>294</v>
      </c>
      <c r="C60" s="255">
        <f>SUM(C61:C63)</f>
        <v>0</v>
      </c>
    </row>
    <row r="61" spans="1:3" s="71" customFormat="1" ht="12" customHeight="1">
      <c r="A61" s="392" t="s">
        <v>176</v>
      </c>
      <c r="B61" s="373" t="s">
        <v>296</v>
      </c>
      <c r="C61" s="260"/>
    </row>
    <row r="62" spans="1:3" s="71" customFormat="1" ht="12" customHeight="1">
      <c r="A62" s="393" t="s">
        <v>177</v>
      </c>
      <c r="B62" s="374" t="s">
        <v>419</v>
      </c>
      <c r="C62" s="260"/>
    </row>
    <row r="63" spans="1:3" s="71" customFormat="1" ht="12" customHeight="1">
      <c r="A63" s="393" t="s">
        <v>225</v>
      </c>
      <c r="B63" s="374" t="s">
        <v>297</v>
      </c>
      <c r="C63" s="260"/>
    </row>
    <row r="64" spans="1:3" s="71" customFormat="1" ht="12" customHeight="1" thickBot="1">
      <c r="A64" s="394" t="s">
        <v>295</v>
      </c>
      <c r="B64" s="466" t="s">
        <v>298</v>
      </c>
      <c r="C64" s="260"/>
    </row>
    <row r="65" spans="1:3" s="71" customFormat="1" ht="12" customHeight="1" thickBot="1">
      <c r="A65" s="29" t="s">
        <v>25</v>
      </c>
      <c r="B65" s="21" t="s">
        <v>299</v>
      </c>
      <c r="C65" s="261">
        <f>+C8+C15+C22+C29+C37+C49+C55+C60</f>
        <v>0</v>
      </c>
    </row>
    <row r="66" spans="1:3" s="71" customFormat="1" ht="12" customHeight="1" thickBot="1">
      <c r="A66" s="395" t="s">
        <v>386</v>
      </c>
      <c r="B66" s="250" t="s">
        <v>301</v>
      </c>
      <c r="C66" s="255">
        <f>SUM(C67:C69)</f>
        <v>0</v>
      </c>
    </row>
    <row r="67" spans="1:3" s="71" customFormat="1" ht="12" customHeight="1">
      <c r="A67" s="392" t="s">
        <v>329</v>
      </c>
      <c r="B67" s="373" t="s">
        <v>302</v>
      </c>
      <c r="C67" s="260"/>
    </row>
    <row r="68" spans="1:3" s="71" customFormat="1" ht="12" customHeight="1">
      <c r="A68" s="393" t="s">
        <v>338</v>
      </c>
      <c r="B68" s="374" t="s">
        <v>303</v>
      </c>
      <c r="C68" s="260"/>
    </row>
    <row r="69" spans="1:3" s="71" customFormat="1" ht="12" customHeight="1" thickBot="1">
      <c r="A69" s="394" t="s">
        <v>339</v>
      </c>
      <c r="B69" s="469" t="s">
        <v>304</v>
      </c>
      <c r="C69" s="260"/>
    </row>
    <row r="70" spans="1:3" s="71" customFormat="1" ht="12" customHeight="1" thickBot="1">
      <c r="A70" s="395" t="s">
        <v>305</v>
      </c>
      <c r="B70" s="250" t="s">
        <v>306</v>
      </c>
      <c r="C70" s="255">
        <f>SUM(C71:C74)</f>
        <v>0</v>
      </c>
    </row>
    <row r="71" spans="1:3" s="71" customFormat="1" ht="12" customHeight="1">
      <c r="A71" s="392" t="s">
        <v>144</v>
      </c>
      <c r="B71" s="373" t="s">
        <v>307</v>
      </c>
      <c r="C71" s="260"/>
    </row>
    <row r="72" spans="1:3" s="71" customFormat="1" ht="12" customHeight="1">
      <c r="A72" s="393" t="s">
        <v>145</v>
      </c>
      <c r="B72" s="374" t="s">
        <v>561</v>
      </c>
      <c r="C72" s="260"/>
    </row>
    <row r="73" spans="1:3" s="71" customFormat="1" ht="12" customHeight="1">
      <c r="A73" s="393" t="s">
        <v>330</v>
      </c>
      <c r="B73" s="374" t="s">
        <v>308</v>
      </c>
      <c r="C73" s="260"/>
    </row>
    <row r="74" spans="1:3" s="71" customFormat="1" ht="12" customHeight="1">
      <c r="A74" s="393" t="s">
        <v>331</v>
      </c>
      <c r="B74" s="251" t="s">
        <v>562</v>
      </c>
      <c r="C74" s="260"/>
    </row>
    <row r="75" spans="1:3" s="71" customFormat="1" ht="12" customHeight="1" thickBot="1">
      <c r="A75" s="399" t="s">
        <v>309</v>
      </c>
      <c r="B75" s="529" t="s">
        <v>310</v>
      </c>
      <c r="C75" s="436">
        <f>SUM(C76:C77)</f>
        <v>0</v>
      </c>
    </row>
    <row r="76" spans="1:3" s="71" customFormat="1" ht="12" customHeight="1">
      <c r="A76" s="392" t="s">
        <v>332</v>
      </c>
      <c r="B76" s="373" t="s">
        <v>311</v>
      </c>
      <c r="C76" s="260"/>
    </row>
    <row r="77" spans="1:3" s="71" customFormat="1" ht="12" customHeight="1" thickBot="1">
      <c r="A77" s="394" t="s">
        <v>333</v>
      </c>
      <c r="B77" s="375" t="s">
        <v>312</v>
      </c>
      <c r="C77" s="260"/>
    </row>
    <row r="78" spans="1:3" s="70" customFormat="1" ht="12" customHeight="1" thickBot="1">
      <c r="A78" s="395" t="s">
        <v>313</v>
      </c>
      <c r="B78" s="250" t="s">
        <v>314</v>
      </c>
      <c r="C78" s="255">
        <f>SUM(C79:C81)</f>
        <v>0</v>
      </c>
    </row>
    <row r="79" spans="1:3" s="71" customFormat="1" ht="12" customHeight="1">
      <c r="A79" s="392" t="s">
        <v>334</v>
      </c>
      <c r="B79" s="373" t="s">
        <v>315</v>
      </c>
      <c r="C79" s="260"/>
    </row>
    <row r="80" spans="1:3" s="71" customFormat="1" ht="12" customHeight="1">
      <c r="A80" s="393" t="s">
        <v>335</v>
      </c>
      <c r="B80" s="374" t="s">
        <v>316</v>
      </c>
      <c r="C80" s="260"/>
    </row>
    <row r="81" spans="1:3" s="71" customFormat="1" ht="12" customHeight="1" thickBot="1">
      <c r="A81" s="394" t="s">
        <v>336</v>
      </c>
      <c r="B81" s="375" t="s">
        <v>563</v>
      </c>
      <c r="C81" s="260"/>
    </row>
    <row r="82" spans="1:3" s="71" customFormat="1" ht="12" customHeight="1" thickBot="1">
      <c r="A82" s="395" t="s">
        <v>317</v>
      </c>
      <c r="B82" s="250" t="s">
        <v>337</v>
      </c>
      <c r="C82" s="255">
        <f>SUM(C83:C86)</f>
        <v>0</v>
      </c>
    </row>
    <row r="83" spans="1:3" s="71" customFormat="1" ht="12" customHeight="1">
      <c r="A83" s="396" t="s">
        <v>318</v>
      </c>
      <c r="B83" s="373" t="s">
        <v>319</v>
      </c>
      <c r="C83" s="260"/>
    </row>
    <row r="84" spans="1:3" s="71" customFormat="1" ht="12" customHeight="1">
      <c r="A84" s="397" t="s">
        <v>320</v>
      </c>
      <c r="B84" s="374" t="s">
        <v>321</v>
      </c>
      <c r="C84" s="260"/>
    </row>
    <row r="85" spans="1:3" s="71" customFormat="1" ht="12" customHeight="1">
      <c r="A85" s="397" t="s">
        <v>322</v>
      </c>
      <c r="B85" s="374" t="s">
        <v>323</v>
      </c>
      <c r="C85" s="260"/>
    </row>
    <row r="86" spans="1:3" s="70" customFormat="1" ht="12" customHeight="1" thickBot="1">
      <c r="A86" s="398" t="s">
        <v>324</v>
      </c>
      <c r="B86" s="375" t="s">
        <v>325</v>
      </c>
      <c r="C86" s="260"/>
    </row>
    <row r="87" spans="1:3" s="70" customFormat="1" ht="12" customHeight="1" thickBot="1">
      <c r="A87" s="395" t="s">
        <v>326</v>
      </c>
      <c r="B87" s="250" t="s">
        <v>467</v>
      </c>
      <c r="C87" s="418"/>
    </row>
    <row r="88" spans="1:3" s="70" customFormat="1" ht="12" customHeight="1" thickBot="1">
      <c r="A88" s="395" t="s">
        <v>499</v>
      </c>
      <c r="B88" s="250" t="s">
        <v>327</v>
      </c>
      <c r="C88" s="418"/>
    </row>
    <row r="89" spans="1:3" s="70" customFormat="1" ht="12" customHeight="1" thickBot="1">
      <c r="A89" s="395" t="s">
        <v>500</v>
      </c>
      <c r="B89" s="380" t="s">
        <v>470</v>
      </c>
      <c r="C89" s="261">
        <f>+C66+C70+C75+C78+C82+C88+C87</f>
        <v>0</v>
      </c>
    </row>
    <row r="90" spans="1:3" s="70" customFormat="1" ht="12" customHeight="1" thickBot="1">
      <c r="A90" s="399" t="s">
        <v>501</v>
      </c>
      <c r="B90" s="381" t="s">
        <v>502</v>
      </c>
      <c r="C90" s="261">
        <f>+C65+C89</f>
        <v>0</v>
      </c>
    </row>
    <row r="91" spans="1:3" s="71" customFormat="1" ht="6.75" customHeight="1" thickBot="1">
      <c r="A91" s="194"/>
      <c r="B91" s="195"/>
      <c r="C91" s="320"/>
    </row>
    <row r="92" spans="1:3" s="48" customFormat="1" ht="16.5" customHeight="1" thickBot="1">
      <c r="A92" s="198"/>
      <c r="B92" s="199" t="s">
        <v>56</v>
      </c>
      <c r="C92" s="322"/>
    </row>
    <row r="93" spans="1:3" s="72" customFormat="1" ht="12" customHeight="1" thickBot="1">
      <c r="A93" s="367" t="s">
        <v>17</v>
      </c>
      <c r="B93" s="26" t="s">
        <v>506</v>
      </c>
      <c r="C93" s="254">
        <f>+C94+C95+C96+C97+C98+C111</f>
        <v>0</v>
      </c>
    </row>
    <row r="94" spans="1:3" ht="12" customHeight="1">
      <c r="A94" s="400" t="s">
        <v>95</v>
      </c>
      <c r="B94" s="10" t="s">
        <v>48</v>
      </c>
      <c r="C94" s="256"/>
    </row>
    <row r="95" spans="1:3" ht="12" customHeight="1">
      <c r="A95" s="393" t="s">
        <v>96</v>
      </c>
      <c r="B95" s="8" t="s">
        <v>178</v>
      </c>
      <c r="C95" s="257"/>
    </row>
    <row r="96" spans="1:3" ht="12" customHeight="1">
      <c r="A96" s="393" t="s">
        <v>97</v>
      </c>
      <c r="B96" s="8" t="s">
        <v>135</v>
      </c>
      <c r="C96" s="259"/>
    </row>
    <row r="97" spans="1:3" ht="12" customHeight="1">
      <c r="A97" s="393" t="s">
        <v>98</v>
      </c>
      <c r="B97" s="11" t="s">
        <v>179</v>
      </c>
      <c r="C97" s="259"/>
    </row>
    <row r="98" spans="1:3" ht="12" customHeight="1">
      <c r="A98" s="393" t="s">
        <v>109</v>
      </c>
      <c r="B98" s="19" t="s">
        <v>180</v>
      </c>
      <c r="C98" s="259"/>
    </row>
    <row r="99" spans="1:3" ht="12" customHeight="1">
      <c r="A99" s="393" t="s">
        <v>99</v>
      </c>
      <c r="B99" s="8" t="s">
        <v>503</v>
      </c>
      <c r="C99" s="259"/>
    </row>
    <row r="100" spans="1:3" ht="12" customHeight="1">
      <c r="A100" s="393" t="s">
        <v>100</v>
      </c>
      <c r="B100" s="116" t="s">
        <v>433</v>
      </c>
      <c r="C100" s="259"/>
    </row>
    <row r="101" spans="1:3" ht="12" customHeight="1">
      <c r="A101" s="393" t="s">
        <v>110</v>
      </c>
      <c r="B101" s="116" t="s">
        <v>432</v>
      </c>
      <c r="C101" s="259"/>
    </row>
    <row r="102" spans="1:3" ht="12" customHeight="1">
      <c r="A102" s="393" t="s">
        <v>111</v>
      </c>
      <c r="B102" s="116" t="s">
        <v>343</v>
      </c>
      <c r="C102" s="259"/>
    </row>
    <row r="103" spans="1:3" ht="12" customHeight="1">
      <c r="A103" s="393" t="s">
        <v>112</v>
      </c>
      <c r="B103" s="117" t="s">
        <v>344</v>
      </c>
      <c r="C103" s="259"/>
    </row>
    <row r="104" spans="1:3" ht="12" customHeight="1">
      <c r="A104" s="393" t="s">
        <v>113</v>
      </c>
      <c r="B104" s="117" t="s">
        <v>345</v>
      </c>
      <c r="C104" s="259"/>
    </row>
    <row r="105" spans="1:3" ht="12" customHeight="1">
      <c r="A105" s="393" t="s">
        <v>115</v>
      </c>
      <c r="B105" s="116" t="s">
        <v>346</v>
      </c>
      <c r="C105" s="259"/>
    </row>
    <row r="106" spans="1:3" ht="12" customHeight="1">
      <c r="A106" s="393" t="s">
        <v>181</v>
      </c>
      <c r="B106" s="116" t="s">
        <v>347</v>
      </c>
      <c r="C106" s="259"/>
    </row>
    <row r="107" spans="1:3" ht="12" customHeight="1">
      <c r="A107" s="393" t="s">
        <v>341</v>
      </c>
      <c r="B107" s="117" t="s">
        <v>348</v>
      </c>
      <c r="C107" s="259"/>
    </row>
    <row r="108" spans="1:3" ht="12" customHeight="1">
      <c r="A108" s="401" t="s">
        <v>342</v>
      </c>
      <c r="B108" s="118" t="s">
        <v>349</v>
      </c>
      <c r="C108" s="259"/>
    </row>
    <row r="109" spans="1:3" ht="12" customHeight="1">
      <c r="A109" s="393" t="s">
        <v>430</v>
      </c>
      <c r="B109" s="118" t="s">
        <v>350</v>
      </c>
      <c r="C109" s="259"/>
    </row>
    <row r="110" spans="1:3" ht="12" customHeight="1">
      <c r="A110" s="393" t="s">
        <v>431</v>
      </c>
      <c r="B110" s="117" t="s">
        <v>351</v>
      </c>
      <c r="C110" s="257"/>
    </row>
    <row r="111" spans="1:3" ht="12" customHeight="1">
      <c r="A111" s="393" t="s">
        <v>435</v>
      </c>
      <c r="B111" s="11" t="s">
        <v>49</v>
      </c>
      <c r="C111" s="257"/>
    </row>
    <row r="112" spans="1:3" ht="12" customHeight="1">
      <c r="A112" s="394" t="s">
        <v>436</v>
      </c>
      <c r="B112" s="8" t="s">
        <v>504</v>
      </c>
      <c r="C112" s="259"/>
    </row>
    <row r="113" spans="1:3" ht="12" customHeight="1" thickBot="1">
      <c r="A113" s="402" t="s">
        <v>437</v>
      </c>
      <c r="B113" s="119" t="s">
        <v>505</v>
      </c>
      <c r="C113" s="263"/>
    </row>
    <row r="114" spans="1:3" ht="12" customHeight="1" thickBot="1">
      <c r="A114" s="29" t="s">
        <v>18</v>
      </c>
      <c r="B114" s="25" t="s">
        <v>352</v>
      </c>
      <c r="C114" s="255">
        <f>+C115+C117+C119</f>
        <v>0</v>
      </c>
    </row>
    <row r="115" spans="1:3" ht="12" customHeight="1">
      <c r="A115" s="392" t="s">
        <v>101</v>
      </c>
      <c r="B115" s="8" t="s">
        <v>224</v>
      </c>
      <c r="C115" s="258"/>
    </row>
    <row r="116" spans="1:3" ht="12" customHeight="1">
      <c r="A116" s="392" t="s">
        <v>102</v>
      </c>
      <c r="B116" s="12" t="s">
        <v>356</v>
      </c>
      <c r="C116" s="258"/>
    </row>
    <row r="117" spans="1:3" ht="12" customHeight="1">
      <c r="A117" s="392" t="s">
        <v>103</v>
      </c>
      <c r="B117" s="12" t="s">
        <v>182</v>
      </c>
      <c r="C117" s="257"/>
    </row>
    <row r="118" spans="1:3" ht="12" customHeight="1">
      <c r="A118" s="392" t="s">
        <v>104</v>
      </c>
      <c r="B118" s="12" t="s">
        <v>357</v>
      </c>
      <c r="C118" s="222"/>
    </row>
    <row r="119" spans="1:3" ht="12" customHeight="1">
      <c r="A119" s="392" t="s">
        <v>105</v>
      </c>
      <c r="B119" s="252" t="s">
        <v>226</v>
      </c>
      <c r="C119" s="222"/>
    </row>
    <row r="120" spans="1:3" ht="12" customHeight="1">
      <c r="A120" s="392" t="s">
        <v>114</v>
      </c>
      <c r="B120" s="251" t="s">
        <v>420</v>
      </c>
      <c r="C120" s="222"/>
    </row>
    <row r="121" spans="1:3" ht="12" customHeight="1">
      <c r="A121" s="392" t="s">
        <v>116</v>
      </c>
      <c r="B121" s="369" t="s">
        <v>362</v>
      </c>
      <c r="C121" s="222"/>
    </row>
    <row r="122" spans="1:3" ht="12" customHeight="1">
      <c r="A122" s="392" t="s">
        <v>183</v>
      </c>
      <c r="B122" s="117" t="s">
        <v>345</v>
      </c>
      <c r="C122" s="222"/>
    </row>
    <row r="123" spans="1:3" ht="12" customHeight="1">
      <c r="A123" s="392" t="s">
        <v>184</v>
      </c>
      <c r="B123" s="117" t="s">
        <v>361</v>
      </c>
      <c r="C123" s="222"/>
    </row>
    <row r="124" spans="1:3" ht="12" customHeight="1">
      <c r="A124" s="392" t="s">
        <v>185</v>
      </c>
      <c r="B124" s="117" t="s">
        <v>360</v>
      </c>
      <c r="C124" s="222"/>
    </row>
    <row r="125" spans="1:3" ht="12" customHeight="1">
      <c r="A125" s="392" t="s">
        <v>353</v>
      </c>
      <c r="B125" s="117" t="s">
        <v>348</v>
      </c>
      <c r="C125" s="222"/>
    </row>
    <row r="126" spans="1:3" ht="12" customHeight="1">
      <c r="A126" s="392" t="s">
        <v>354</v>
      </c>
      <c r="B126" s="117" t="s">
        <v>359</v>
      </c>
      <c r="C126" s="222"/>
    </row>
    <row r="127" spans="1:3" ht="12" customHeight="1" thickBot="1">
      <c r="A127" s="401" t="s">
        <v>355</v>
      </c>
      <c r="B127" s="117" t="s">
        <v>358</v>
      </c>
      <c r="C127" s="224"/>
    </row>
    <row r="128" spans="1:3" ht="12" customHeight="1" thickBot="1">
      <c r="A128" s="29" t="s">
        <v>19</v>
      </c>
      <c r="B128" s="98" t="s">
        <v>440</v>
      </c>
      <c r="C128" s="255">
        <f>+C93+C114</f>
        <v>0</v>
      </c>
    </row>
    <row r="129" spans="1:11" ht="12" customHeight="1" thickBot="1">
      <c r="A129" s="29" t="s">
        <v>20</v>
      </c>
      <c r="B129" s="98" t="s">
        <v>441</v>
      </c>
      <c r="C129" s="255">
        <f>+C130+C131+C132</f>
        <v>0</v>
      </c>
    </row>
    <row r="130" spans="1:11" s="72" customFormat="1" ht="12" customHeight="1">
      <c r="A130" s="392" t="s">
        <v>262</v>
      </c>
      <c r="B130" s="9" t="s">
        <v>509</v>
      </c>
      <c r="C130" s="222"/>
    </row>
    <row r="131" spans="1:11" ht="12" customHeight="1">
      <c r="A131" s="392" t="s">
        <v>263</v>
      </c>
      <c r="B131" s="9" t="s">
        <v>449</v>
      </c>
      <c r="C131" s="222"/>
    </row>
    <row r="132" spans="1:11" ht="12" customHeight="1" thickBot="1">
      <c r="A132" s="401" t="s">
        <v>264</v>
      </c>
      <c r="B132" s="7" t="s">
        <v>508</v>
      </c>
      <c r="C132" s="222"/>
    </row>
    <row r="133" spans="1:11" ht="12" customHeight="1" thickBot="1">
      <c r="A133" s="29" t="s">
        <v>21</v>
      </c>
      <c r="B133" s="98" t="s">
        <v>442</v>
      </c>
      <c r="C133" s="255">
        <f>+C134+C135+C136+C137+C138+C139</f>
        <v>0</v>
      </c>
    </row>
    <row r="134" spans="1:11" ht="12" customHeight="1">
      <c r="A134" s="392" t="s">
        <v>88</v>
      </c>
      <c r="B134" s="9" t="s">
        <v>451</v>
      </c>
      <c r="C134" s="222"/>
    </row>
    <row r="135" spans="1:11" ht="12" customHeight="1">
      <c r="A135" s="392" t="s">
        <v>89</v>
      </c>
      <c r="B135" s="9" t="s">
        <v>443</v>
      </c>
      <c r="C135" s="222"/>
    </row>
    <row r="136" spans="1:11" ht="12" customHeight="1">
      <c r="A136" s="392" t="s">
        <v>90</v>
      </c>
      <c r="B136" s="9" t="s">
        <v>444</v>
      </c>
      <c r="C136" s="222"/>
    </row>
    <row r="137" spans="1:11" ht="12" customHeight="1">
      <c r="A137" s="392" t="s">
        <v>170</v>
      </c>
      <c r="B137" s="9" t="s">
        <v>507</v>
      </c>
      <c r="C137" s="222"/>
    </row>
    <row r="138" spans="1:11" ht="12" customHeight="1">
      <c r="A138" s="392" t="s">
        <v>171</v>
      </c>
      <c r="B138" s="9" t="s">
        <v>446</v>
      </c>
      <c r="C138" s="222"/>
    </row>
    <row r="139" spans="1:11" s="72" customFormat="1" ht="12" customHeight="1" thickBot="1">
      <c r="A139" s="401" t="s">
        <v>172</v>
      </c>
      <c r="B139" s="7" t="s">
        <v>447</v>
      </c>
      <c r="C139" s="222"/>
    </row>
    <row r="140" spans="1:11" ht="12" customHeight="1" thickBot="1">
      <c r="A140" s="29" t="s">
        <v>22</v>
      </c>
      <c r="B140" s="98" t="s">
        <v>533</v>
      </c>
      <c r="C140" s="261">
        <f>+C141+C142+C144+C145+C143</f>
        <v>0</v>
      </c>
      <c r="K140" s="205"/>
    </row>
    <row r="141" spans="1:11">
      <c r="A141" s="392" t="s">
        <v>91</v>
      </c>
      <c r="B141" s="9" t="s">
        <v>363</v>
      </c>
      <c r="C141" s="222"/>
    </row>
    <row r="142" spans="1:11" ht="12" customHeight="1">
      <c r="A142" s="392" t="s">
        <v>92</v>
      </c>
      <c r="B142" s="9" t="s">
        <v>364</v>
      </c>
      <c r="C142" s="222"/>
    </row>
    <row r="143" spans="1:11" s="72" customFormat="1" ht="12" customHeight="1">
      <c r="A143" s="392" t="s">
        <v>280</v>
      </c>
      <c r="B143" s="9" t="s">
        <v>532</v>
      </c>
      <c r="C143" s="222"/>
    </row>
    <row r="144" spans="1:11" s="72" customFormat="1" ht="12" customHeight="1">
      <c r="A144" s="392" t="s">
        <v>281</v>
      </c>
      <c r="B144" s="9" t="s">
        <v>456</v>
      </c>
      <c r="C144" s="222"/>
    </row>
    <row r="145" spans="1:3" s="72" customFormat="1" ht="12" customHeight="1" thickBot="1">
      <c r="A145" s="401" t="s">
        <v>282</v>
      </c>
      <c r="B145" s="7" t="s">
        <v>382</v>
      </c>
      <c r="C145" s="222"/>
    </row>
    <row r="146" spans="1:3" s="72" customFormat="1" ht="12" customHeight="1" thickBot="1">
      <c r="A146" s="29" t="s">
        <v>23</v>
      </c>
      <c r="B146" s="98" t="s">
        <v>457</v>
      </c>
      <c r="C146" s="264">
        <f>+C147+C148+C149+C150+C151</f>
        <v>0</v>
      </c>
    </row>
    <row r="147" spans="1:3" s="72" customFormat="1" ht="12" customHeight="1">
      <c r="A147" s="392" t="s">
        <v>93</v>
      </c>
      <c r="B147" s="9" t="s">
        <v>452</v>
      </c>
      <c r="C147" s="222"/>
    </row>
    <row r="148" spans="1:3" s="72" customFormat="1" ht="12" customHeight="1">
      <c r="A148" s="392" t="s">
        <v>94</v>
      </c>
      <c r="B148" s="9" t="s">
        <v>459</v>
      </c>
      <c r="C148" s="222"/>
    </row>
    <row r="149" spans="1:3" s="72" customFormat="1" ht="12" customHeight="1">
      <c r="A149" s="392" t="s">
        <v>292</v>
      </c>
      <c r="B149" s="9" t="s">
        <v>454</v>
      </c>
      <c r="C149" s="222"/>
    </row>
    <row r="150" spans="1:3" ht="12.75" customHeight="1">
      <c r="A150" s="392" t="s">
        <v>293</v>
      </c>
      <c r="B150" s="9" t="s">
        <v>510</v>
      </c>
      <c r="C150" s="222"/>
    </row>
    <row r="151" spans="1:3" ht="12.75" customHeight="1" thickBot="1">
      <c r="A151" s="401" t="s">
        <v>458</v>
      </c>
      <c r="B151" s="7" t="s">
        <v>461</v>
      </c>
      <c r="C151" s="224"/>
    </row>
    <row r="152" spans="1:3" ht="12.75" customHeight="1" thickBot="1">
      <c r="A152" s="441" t="s">
        <v>24</v>
      </c>
      <c r="B152" s="98" t="s">
        <v>462</v>
      </c>
      <c r="C152" s="264"/>
    </row>
    <row r="153" spans="1:3" ht="12" customHeight="1" thickBot="1">
      <c r="A153" s="441" t="s">
        <v>25</v>
      </c>
      <c r="B153" s="98" t="s">
        <v>463</v>
      </c>
      <c r="C153" s="264"/>
    </row>
    <row r="154" spans="1:3" ht="15.2" customHeight="1" thickBot="1">
      <c r="A154" s="29" t="s">
        <v>26</v>
      </c>
      <c r="B154" s="98" t="s">
        <v>465</v>
      </c>
      <c r="C154" s="383">
        <f>+C129+C133+C140+C146+C152+C153</f>
        <v>0</v>
      </c>
    </row>
    <row r="155" spans="1:3" ht="13.5" thickBot="1">
      <c r="A155" s="403" t="s">
        <v>27</v>
      </c>
      <c r="B155" s="338" t="s">
        <v>464</v>
      </c>
      <c r="C155" s="383">
        <f>+C128+C154</f>
        <v>0</v>
      </c>
    </row>
    <row r="156" spans="1:3" ht="9" customHeight="1" thickBot="1">
      <c r="A156" s="346"/>
      <c r="B156" s="347"/>
      <c r="C156" s="569">
        <f>C90-C155</f>
        <v>0</v>
      </c>
    </row>
    <row r="157" spans="1:3" ht="14.45" customHeight="1" thickBot="1">
      <c r="A157" s="203" t="s">
        <v>511</v>
      </c>
      <c r="B157" s="204"/>
      <c r="C157" s="95"/>
    </row>
    <row r="158" spans="1:3" ht="13.5" thickBot="1">
      <c r="A158" s="203" t="s">
        <v>200</v>
      </c>
      <c r="B158" s="204"/>
      <c r="C158" s="95"/>
    </row>
    <row r="159" spans="1:3">
      <c r="A159" s="566"/>
      <c r="B159" s="567"/>
      <c r="C159" s="568"/>
    </row>
    <row r="160" spans="1:3">
      <c r="A160" s="566"/>
      <c r="B160" s="567"/>
    </row>
    <row r="161" spans="1:3">
      <c r="A161" s="566"/>
      <c r="B161" s="567"/>
      <c r="C161" s="568"/>
    </row>
    <row r="162" spans="1:3">
      <c r="A162" s="566"/>
      <c r="B162" s="567"/>
      <c r="C162" s="568"/>
    </row>
    <row r="163" spans="1:3">
      <c r="A163" s="566"/>
      <c r="B163" s="567"/>
      <c r="C163" s="568"/>
    </row>
    <row r="164" spans="1:3">
      <c r="A164" s="566"/>
      <c r="B164" s="567"/>
      <c r="C164" s="568"/>
    </row>
    <row r="165" spans="1:3">
      <c r="A165" s="566"/>
      <c r="B165" s="567"/>
      <c r="C165" s="568"/>
    </row>
    <row r="166" spans="1:3">
      <c r="A166" s="566"/>
      <c r="B166" s="567"/>
      <c r="C166" s="568"/>
    </row>
    <row r="167" spans="1:3">
      <c r="A167" s="566"/>
      <c r="B167" s="567"/>
      <c r="C167" s="568"/>
    </row>
    <row r="168" spans="1:3">
      <c r="A168" s="566"/>
      <c r="B168" s="567"/>
      <c r="C168" s="568"/>
    </row>
    <row r="169" spans="1:3">
      <c r="A169" s="566"/>
      <c r="B169" s="567"/>
      <c r="C169" s="568"/>
    </row>
    <row r="170" spans="1:3">
      <c r="A170" s="566"/>
      <c r="B170" s="567"/>
      <c r="C170" s="568"/>
    </row>
    <row r="171" spans="1:3">
      <c r="A171" s="566"/>
      <c r="B171" s="567"/>
      <c r="C171" s="568"/>
    </row>
    <row r="172" spans="1:3">
      <c r="A172" s="566"/>
      <c r="B172" s="567"/>
      <c r="C172" s="568"/>
    </row>
    <row r="173" spans="1:3">
      <c r="A173" s="566"/>
      <c r="B173" s="567"/>
      <c r="C173" s="568"/>
    </row>
    <row r="174" spans="1:3">
      <c r="A174" s="566"/>
      <c r="B174" s="567"/>
      <c r="C174" s="568"/>
    </row>
    <row r="175" spans="1:3">
      <c r="A175" s="566"/>
      <c r="B175" s="567"/>
      <c r="C175" s="568"/>
    </row>
    <row r="176" spans="1:3">
      <c r="A176" s="566"/>
      <c r="B176" s="567"/>
      <c r="C176" s="56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C83"/>
  <sheetViews>
    <sheetView zoomScale="120" zoomScaleNormal="120" workbookViewId="0">
      <selection activeCell="C42" sqref="C42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547"/>
      <c r="B1" s="548"/>
      <c r="C1" s="544" t="str">
        <f ca="1">CONCATENATE("9.2. melléklet ",ALAPADATOK!A7," ",ALAPADATOK!B7," ",ALAPADATOK!C7," ",ALAPADATOK!D7," ",ALAPADATOK!E7," ",ALAPADATOK!F7," ",ALAPADATOK!G7," ",ALAPADATOK!H7)</f>
        <v>9.2. melléklet a 5 / 2020 ( (II.18.) ) önkormányzati rendelethez</v>
      </c>
    </row>
    <row r="2" spans="1:3" s="412" customFormat="1" ht="36">
      <c r="A2" s="549" t="s">
        <v>198</v>
      </c>
      <c r="B2" s="550" t="str">
        <f ca="1">CONCATENATE(ALAPADATOK!A11)</f>
        <v>Dabasi Polgármesteri  Hivatal</v>
      </c>
      <c r="C2" s="570" t="s">
        <v>58</v>
      </c>
    </row>
    <row r="3" spans="1:3" s="412" customFormat="1" ht="24.75" thickBot="1">
      <c r="A3" s="571" t="s">
        <v>197</v>
      </c>
      <c r="B3" s="553" t="s">
        <v>390</v>
      </c>
      <c r="C3" s="572" t="s">
        <v>53</v>
      </c>
    </row>
    <row r="4" spans="1:3" s="413" customFormat="1" ht="15.95" customHeight="1" thickBot="1">
      <c r="A4" s="555"/>
      <c r="B4" s="555"/>
      <c r="C4" s="556">
        <f ca="1">KV_9.1.3.sz.mell!C4</f>
        <v>0</v>
      </c>
    </row>
    <row r="5" spans="1:3" ht="13.5" thickBot="1">
      <c r="A5" s="557" t="s">
        <v>199</v>
      </c>
      <c r="B5" s="558" t="s">
        <v>554</v>
      </c>
      <c r="C5" s="573" t="s">
        <v>54</v>
      </c>
    </row>
    <row r="6" spans="1:3" s="414" customFormat="1" ht="12.95" customHeight="1" thickBot="1">
      <c r="A6" s="560"/>
      <c r="B6" s="561" t="s">
        <v>485</v>
      </c>
      <c r="C6" s="562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10000000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>
        <v>7874016</v>
      </c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>
        <v>2125984</v>
      </c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513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514</v>
      </c>
      <c r="C26" s="275">
        <f>+C27+C28+C29</f>
        <v>0</v>
      </c>
    </row>
    <row r="27" spans="1:3" s="415" customFormat="1" ht="12" customHeight="1">
      <c r="A27" s="409" t="s">
        <v>262</v>
      </c>
      <c r="B27" s="410" t="s">
        <v>257</v>
      </c>
      <c r="C27" s="57"/>
    </row>
    <row r="28" spans="1:3" s="415" customFormat="1" ht="12" customHeight="1">
      <c r="A28" s="409" t="s">
        <v>263</v>
      </c>
      <c r="B28" s="410" t="s">
        <v>394</v>
      </c>
      <c r="C28" s="273"/>
    </row>
    <row r="29" spans="1:3" s="415" customFormat="1" ht="12" customHeight="1">
      <c r="A29" s="409" t="s">
        <v>264</v>
      </c>
      <c r="B29" s="411" t="s">
        <v>397</v>
      </c>
      <c r="C29" s="273"/>
    </row>
    <row r="30" spans="1:3" s="415" customFormat="1" ht="12" customHeight="1" thickBot="1">
      <c r="A30" s="408" t="s">
        <v>265</v>
      </c>
      <c r="B30" s="115" t="s">
        <v>515</v>
      </c>
      <c r="C30" s="64"/>
    </row>
    <row r="31" spans="1:3" s="415" customFormat="1" ht="12" customHeight="1" thickBot="1">
      <c r="A31" s="172" t="s">
        <v>21</v>
      </c>
      <c r="B31" s="98" t="s">
        <v>398</v>
      </c>
      <c r="C31" s="275">
        <f>+C32+C33+C34</f>
        <v>0</v>
      </c>
    </row>
    <row r="32" spans="1:3" s="415" customFormat="1" ht="12" customHeight="1">
      <c r="A32" s="409" t="s">
        <v>88</v>
      </c>
      <c r="B32" s="410" t="s">
        <v>283</v>
      </c>
      <c r="C32" s="57"/>
    </row>
    <row r="33" spans="1:3" s="415" customFormat="1" ht="12" customHeight="1">
      <c r="A33" s="409" t="s">
        <v>89</v>
      </c>
      <c r="B33" s="411" t="s">
        <v>284</v>
      </c>
      <c r="C33" s="276"/>
    </row>
    <row r="34" spans="1:3" s="415" customFormat="1" ht="12" customHeight="1" thickBot="1">
      <c r="A34" s="408" t="s">
        <v>90</v>
      </c>
      <c r="B34" s="115" t="s">
        <v>285</v>
      </c>
      <c r="C34" s="64"/>
    </row>
    <row r="35" spans="1:3" s="326" customFormat="1" ht="12" customHeight="1" thickBot="1">
      <c r="A35" s="172" t="s">
        <v>22</v>
      </c>
      <c r="B35" s="98" t="s">
        <v>368</v>
      </c>
      <c r="C35" s="301"/>
    </row>
    <row r="36" spans="1:3" s="326" customFormat="1" ht="12" customHeight="1" thickBot="1">
      <c r="A36" s="172" t="s">
        <v>23</v>
      </c>
      <c r="B36" s="98" t="s">
        <v>399</v>
      </c>
      <c r="C36" s="318"/>
    </row>
    <row r="37" spans="1:3" s="326" customFormat="1" ht="12" customHeight="1" thickBot="1">
      <c r="A37" s="164" t="s">
        <v>24</v>
      </c>
      <c r="B37" s="98" t="s">
        <v>400</v>
      </c>
      <c r="C37" s="319">
        <f>+C8+C20+C25+C26+C31+C35+C36</f>
        <v>10000000</v>
      </c>
    </row>
    <row r="38" spans="1:3" s="326" customFormat="1" ht="12" customHeight="1" thickBot="1">
      <c r="A38" s="192" t="s">
        <v>25</v>
      </c>
      <c r="B38" s="98" t="s">
        <v>401</v>
      </c>
      <c r="C38" s="319">
        <f>+C39+C40+C41</f>
        <v>282083990</v>
      </c>
    </row>
    <row r="39" spans="1:3" s="326" customFormat="1" ht="12" customHeight="1">
      <c r="A39" s="409" t="s">
        <v>402</v>
      </c>
      <c r="B39" s="410" t="s">
        <v>230</v>
      </c>
      <c r="C39" s="57"/>
    </row>
    <row r="40" spans="1:3" s="326" customFormat="1" ht="12" customHeight="1">
      <c r="A40" s="409" t="s">
        <v>403</v>
      </c>
      <c r="B40" s="411" t="s">
        <v>2</v>
      </c>
      <c r="C40" s="276"/>
    </row>
    <row r="41" spans="1:3" s="415" customFormat="1" ht="12" customHeight="1" thickBot="1">
      <c r="A41" s="408" t="s">
        <v>404</v>
      </c>
      <c r="B41" s="115" t="s">
        <v>405</v>
      </c>
      <c r="C41" s="64">
        <v>282083990</v>
      </c>
    </row>
    <row r="42" spans="1:3" s="415" customFormat="1" ht="15.2" customHeight="1" thickBot="1">
      <c r="A42" s="192" t="s">
        <v>26</v>
      </c>
      <c r="B42" s="193" t="s">
        <v>406</v>
      </c>
      <c r="C42" s="322">
        <f>+C37+C38</f>
        <v>292083990</v>
      </c>
    </row>
    <row r="43" spans="1:3" s="415" customFormat="1" ht="15.2" customHeight="1">
      <c r="A43" s="194"/>
      <c r="B43" s="195"/>
      <c r="C43" s="320"/>
    </row>
    <row r="44" spans="1:3" ht="13.5" thickBot="1">
      <c r="A44" s="196"/>
      <c r="B44" s="197"/>
      <c r="C44" s="321"/>
    </row>
    <row r="45" spans="1:3" s="414" customFormat="1" ht="16.5" customHeight="1" thickBot="1">
      <c r="A45" s="198"/>
      <c r="B45" s="199" t="s">
        <v>56</v>
      </c>
      <c r="C45" s="322"/>
    </row>
    <row r="46" spans="1:3" s="416" customFormat="1" ht="12" customHeight="1" thickBot="1">
      <c r="A46" s="172" t="s">
        <v>17</v>
      </c>
      <c r="B46" s="98" t="s">
        <v>407</v>
      </c>
      <c r="C46" s="275">
        <f>SUM(C47:C51)</f>
        <v>288083990</v>
      </c>
    </row>
    <row r="47" spans="1:3" ht="12" customHeight="1">
      <c r="A47" s="408" t="s">
        <v>95</v>
      </c>
      <c r="B47" s="9" t="s">
        <v>48</v>
      </c>
      <c r="C47" s="57">
        <v>182041918</v>
      </c>
    </row>
    <row r="48" spans="1:3" ht="12" customHeight="1">
      <c r="A48" s="408" t="s">
        <v>96</v>
      </c>
      <c r="B48" s="8" t="s">
        <v>178</v>
      </c>
      <c r="C48" s="60">
        <v>32656850</v>
      </c>
    </row>
    <row r="49" spans="1:3" ht="12" customHeight="1">
      <c r="A49" s="408" t="s">
        <v>97</v>
      </c>
      <c r="B49" s="8" t="s">
        <v>135</v>
      </c>
      <c r="C49" s="60">
        <v>73385222</v>
      </c>
    </row>
    <row r="50" spans="1:3" ht="12" customHeight="1">
      <c r="A50" s="408" t="s">
        <v>98</v>
      </c>
      <c r="B50" s="8" t="s">
        <v>179</v>
      </c>
      <c r="C50" s="60"/>
    </row>
    <row r="51" spans="1:3" ht="12" customHeight="1" thickBot="1">
      <c r="A51" s="408" t="s">
        <v>143</v>
      </c>
      <c r="B51" s="8" t="s">
        <v>180</v>
      </c>
      <c r="C51" s="60"/>
    </row>
    <row r="52" spans="1:3" ht="12" customHeight="1" thickBot="1">
      <c r="A52" s="172" t="s">
        <v>18</v>
      </c>
      <c r="B52" s="98" t="s">
        <v>408</v>
      </c>
      <c r="C52" s="275">
        <f>SUM(C53:C55)</f>
        <v>4000000</v>
      </c>
    </row>
    <row r="53" spans="1:3" s="416" customFormat="1" ht="12" customHeight="1">
      <c r="A53" s="408" t="s">
        <v>101</v>
      </c>
      <c r="B53" s="9" t="s">
        <v>224</v>
      </c>
      <c r="C53" s="57">
        <v>4000000</v>
      </c>
    </row>
    <row r="54" spans="1:3" ht="12" customHeight="1">
      <c r="A54" s="408" t="s">
        <v>102</v>
      </c>
      <c r="B54" s="8" t="s">
        <v>182</v>
      </c>
      <c r="C54" s="60"/>
    </row>
    <row r="55" spans="1:3" ht="12" customHeight="1">
      <c r="A55" s="408" t="s">
        <v>103</v>
      </c>
      <c r="B55" s="8" t="s">
        <v>57</v>
      </c>
      <c r="C55" s="60"/>
    </row>
    <row r="56" spans="1:3" ht="12" customHeight="1" thickBot="1">
      <c r="A56" s="408" t="s">
        <v>104</v>
      </c>
      <c r="B56" s="8" t="s">
        <v>516</v>
      </c>
      <c r="C56" s="60"/>
    </row>
    <row r="57" spans="1:3" ht="12" customHeight="1" thickBot="1">
      <c r="A57" s="172" t="s">
        <v>19</v>
      </c>
      <c r="B57" s="98" t="s">
        <v>13</v>
      </c>
      <c r="C57" s="301"/>
    </row>
    <row r="58" spans="1:3" ht="15.2" customHeight="1" thickBot="1">
      <c r="A58" s="172" t="s">
        <v>20</v>
      </c>
      <c r="B58" s="200" t="s">
        <v>521</v>
      </c>
      <c r="C58" s="323">
        <f>+C46+C52+C57</f>
        <v>292083990</v>
      </c>
    </row>
    <row r="59" spans="1:3" ht="13.5" thickBot="1">
      <c r="C59" s="576">
        <f>C42-C58</f>
        <v>0</v>
      </c>
    </row>
    <row r="60" spans="1:3" ht="15.2" customHeight="1" thickBot="1">
      <c r="A60" s="203" t="s">
        <v>511</v>
      </c>
      <c r="B60" s="204"/>
      <c r="C60" s="95">
        <v>45</v>
      </c>
    </row>
    <row r="61" spans="1:3" ht="14.45" customHeight="1" thickBot="1">
      <c r="A61" s="203" t="s">
        <v>200</v>
      </c>
      <c r="B61" s="204"/>
      <c r="C61" s="95"/>
    </row>
    <row r="62" spans="1:3">
      <c r="A62" s="574"/>
      <c r="B62" s="575"/>
      <c r="C62" s="575"/>
    </row>
    <row r="63" spans="1:3">
      <c r="A63" s="574"/>
      <c r="B63" s="575"/>
    </row>
    <row r="64" spans="1:3">
      <c r="A64" s="574"/>
      <c r="B64" s="575"/>
      <c r="C64" s="575"/>
    </row>
    <row r="65" spans="1:3">
      <c r="A65" s="574"/>
      <c r="B65" s="575"/>
      <c r="C65" s="575"/>
    </row>
    <row r="66" spans="1:3">
      <c r="A66" s="574"/>
      <c r="B66" s="575"/>
      <c r="C66" s="575"/>
    </row>
    <row r="67" spans="1:3">
      <c r="A67" s="574"/>
      <c r="B67" s="575"/>
      <c r="C67" s="575"/>
    </row>
    <row r="68" spans="1:3">
      <c r="A68" s="574"/>
      <c r="B68" s="575"/>
      <c r="C68" s="575"/>
    </row>
    <row r="69" spans="1:3">
      <c r="A69" s="574"/>
      <c r="B69" s="575"/>
      <c r="C69" s="575"/>
    </row>
    <row r="70" spans="1:3">
      <c r="A70" s="574"/>
      <c r="B70" s="575"/>
      <c r="C70" s="575"/>
    </row>
    <row r="71" spans="1:3">
      <c r="A71" s="574"/>
      <c r="B71" s="575"/>
      <c r="C71" s="575"/>
    </row>
    <row r="72" spans="1:3">
      <c r="A72" s="574"/>
      <c r="B72" s="575"/>
      <c r="C72" s="575"/>
    </row>
    <row r="73" spans="1:3">
      <c r="A73" s="574"/>
      <c r="B73" s="575"/>
      <c r="C73" s="575"/>
    </row>
    <row r="74" spans="1:3">
      <c r="A74" s="574"/>
      <c r="B74" s="575"/>
      <c r="C74" s="575"/>
    </row>
    <row r="75" spans="1:3">
      <c r="A75" s="574"/>
      <c r="B75" s="575"/>
      <c r="C75" s="575"/>
    </row>
    <row r="76" spans="1:3">
      <c r="A76" s="574"/>
      <c r="B76" s="575"/>
      <c r="C76" s="575"/>
    </row>
    <row r="77" spans="1:3">
      <c r="A77" s="574"/>
      <c r="B77" s="575"/>
      <c r="C77" s="575"/>
    </row>
    <row r="78" spans="1:3">
      <c r="A78" s="574"/>
      <c r="B78" s="575"/>
      <c r="C78" s="575"/>
    </row>
    <row r="79" spans="1:3">
      <c r="A79" s="574"/>
      <c r="B79" s="575"/>
      <c r="C79" s="575"/>
    </row>
    <row r="80" spans="1:3">
      <c r="A80" s="574"/>
      <c r="B80" s="575"/>
      <c r="C80" s="575"/>
    </row>
    <row r="81" spans="1:3">
      <c r="A81" s="574"/>
      <c r="B81" s="575"/>
      <c r="C81" s="575"/>
    </row>
    <row r="82" spans="1:3">
      <c r="A82" s="574"/>
      <c r="B82" s="575"/>
      <c r="C82" s="575"/>
    </row>
    <row r="83" spans="1:3">
      <c r="A83" s="574"/>
      <c r="B83" s="575"/>
      <c r="C83" s="57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horizontalDpi="360" verticalDpi="36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3"/>
  <sheetViews>
    <sheetView zoomScale="120" zoomScaleNormal="120" workbookViewId="0">
      <selection activeCell="D9" sqref="D9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CONCATENATE("9.2.1. melléklet ",ALAPADATOK!A7," ",ALAPADATOK!B7," ",ALAPADATOK!C7," ",ALAPADATOK!D7," ",ALAPADATOK!E7," ",ALAPADATOK!F7," ",ALAPADATOK!G7," ",ALAPADATOK!H7)</f>
        <v>9.2.1. melléklet a 5 / 2020 ( (II.18.) ) önkormányzati rendelethez</v>
      </c>
    </row>
    <row r="2" spans="1:3" s="412" customFormat="1" ht="36">
      <c r="A2" s="365" t="s">
        <v>198</v>
      </c>
      <c r="B2" s="542" t="str">
        <f ca="1">CONCATENATE(ALAPADATOK!A11)</f>
        <v>Dabasi Polgármesteri  Hivatal</v>
      </c>
      <c r="C2" s="324" t="s">
        <v>58</v>
      </c>
    </row>
    <row r="3" spans="1:3" s="412" customFormat="1" ht="24.75" thickBot="1">
      <c r="A3" s="406" t="s">
        <v>197</v>
      </c>
      <c r="B3" s="543" t="s">
        <v>409</v>
      </c>
      <c r="C3" s="325" t="s">
        <v>58</v>
      </c>
    </row>
    <row r="4" spans="1:3" s="413" customFormat="1" ht="15.95" customHeight="1" thickBot="1">
      <c r="A4" s="184"/>
      <c r="B4" s="697" t="s">
        <v>711</v>
      </c>
      <c r="C4" s="185">
        <f ca="1">KV_9.2.sz.mell!C4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513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514</v>
      </c>
      <c r="C26" s="275">
        <f>+C27+C28+C29</f>
        <v>0</v>
      </c>
    </row>
    <row r="27" spans="1:3" s="415" customFormat="1" ht="12" customHeight="1">
      <c r="A27" s="409" t="s">
        <v>262</v>
      </c>
      <c r="B27" s="410" t="s">
        <v>257</v>
      </c>
      <c r="C27" s="57"/>
    </row>
    <row r="28" spans="1:3" s="415" customFormat="1" ht="12" customHeight="1">
      <c r="A28" s="409" t="s">
        <v>263</v>
      </c>
      <c r="B28" s="410" t="s">
        <v>394</v>
      </c>
      <c r="C28" s="273"/>
    </row>
    <row r="29" spans="1:3" s="415" customFormat="1" ht="12" customHeight="1">
      <c r="A29" s="409" t="s">
        <v>264</v>
      </c>
      <c r="B29" s="411" t="s">
        <v>397</v>
      </c>
      <c r="C29" s="273"/>
    </row>
    <row r="30" spans="1:3" s="415" customFormat="1" ht="12" customHeight="1" thickBot="1">
      <c r="A30" s="408" t="s">
        <v>265</v>
      </c>
      <c r="B30" s="115" t="s">
        <v>515</v>
      </c>
      <c r="C30" s="64"/>
    </row>
    <row r="31" spans="1:3" s="415" customFormat="1" ht="12" customHeight="1" thickBot="1">
      <c r="A31" s="172" t="s">
        <v>21</v>
      </c>
      <c r="B31" s="98" t="s">
        <v>398</v>
      </c>
      <c r="C31" s="275">
        <f>+C32+C33+C34</f>
        <v>0</v>
      </c>
    </row>
    <row r="32" spans="1:3" s="415" customFormat="1" ht="12" customHeight="1">
      <c r="A32" s="409" t="s">
        <v>88</v>
      </c>
      <c r="B32" s="410" t="s">
        <v>283</v>
      </c>
      <c r="C32" s="57"/>
    </row>
    <row r="33" spans="1:3" s="415" customFormat="1" ht="12" customHeight="1">
      <c r="A33" s="409" t="s">
        <v>89</v>
      </c>
      <c r="B33" s="411" t="s">
        <v>284</v>
      </c>
      <c r="C33" s="276"/>
    </row>
    <row r="34" spans="1:3" s="415" customFormat="1" ht="12" customHeight="1" thickBot="1">
      <c r="A34" s="408" t="s">
        <v>90</v>
      </c>
      <c r="B34" s="115" t="s">
        <v>285</v>
      </c>
      <c r="C34" s="64"/>
    </row>
    <row r="35" spans="1:3" s="326" customFormat="1" ht="12" customHeight="1" thickBot="1">
      <c r="A35" s="172" t="s">
        <v>22</v>
      </c>
      <c r="B35" s="98" t="s">
        <v>368</v>
      </c>
      <c r="C35" s="301"/>
    </row>
    <row r="36" spans="1:3" s="326" customFormat="1" ht="12" customHeight="1" thickBot="1">
      <c r="A36" s="172" t="s">
        <v>23</v>
      </c>
      <c r="B36" s="98" t="s">
        <v>399</v>
      </c>
      <c r="C36" s="318"/>
    </row>
    <row r="37" spans="1:3" s="326" customFormat="1" ht="12" customHeight="1" thickBot="1">
      <c r="A37" s="164" t="s">
        <v>24</v>
      </c>
      <c r="B37" s="98" t="s">
        <v>400</v>
      </c>
      <c r="C37" s="319">
        <f>+C8+C20+C25+C26+C31+C35+C36</f>
        <v>0</v>
      </c>
    </row>
    <row r="38" spans="1:3" s="326" customFormat="1" ht="12" customHeight="1" thickBot="1">
      <c r="A38" s="192" t="s">
        <v>25</v>
      </c>
      <c r="B38" s="98" t="s">
        <v>401</v>
      </c>
      <c r="C38" s="319">
        <f>+C39+C40+C41</f>
        <v>0</v>
      </c>
    </row>
    <row r="39" spans="1:3" s="326" customFormat="1" ht="12" customHeight="1">
      <c r="A39" s="409" t="s">
        <v>402</v>
      </c>
      <c r="B39" s="410" t="s">
        <v>230</v>
      </c>
      <c r="C39" s="57"/>
    </row>
    <row r="40" spans="1:3" s="326" customFormat="1" ht="12" customHeight="1">
      <c r="A40" s="409" t="s">
        <v>403</v>
      </c>
      <c r="B40" s="411" t="s">
        <v>2</v>
      </c>
      <c r="C40" s="276"/>
    </row>
    <row r="41" spans="1:3" s="415" customFormat="1" ht="12" customHeight="1" thickBot="1">
      <c r="A41" s="408" t="s">
        <v>404</v>
      </c>
      <c r="B41" s="115" t="s">
        <v>405</v>
      </c>
      <c r="C41" s="64"/>
    </row>
    <row r="42" spans="1:3" s="415" customFormat="1" ht="15.2" customHeight="1" thickBot="1">
      <c r="A42" s="192" t="s">
        <v>26</v>
      </c>
      <c r="B42" s="193" t="s">
        <v>406</v>
      </c>
      <c r="C42" s="322">
        <f>+C37+C38</f>
        <v>0</v>
      </c>
    </row>
    <row r="43" spans="1:3" s="415" customFormat="1" ht="15.2" customHeight="1">
      <c r="A43" s="194"/>
      <c r="B43" s="195"/>
      <c r="C43" s="320"/>
    </row>
    <row r="44" spans="1:3" ht="13.5" thickBot="1">
      <c r="A44" s="196"/>
      <c r="B44" s="197"/>
      <c r="C44" s="321"/>
    </row>
    <row r="45" spans="1:3" s="414" customFormat="1" ht="16.5" customHeight="1" thickBot="1">
      <c r="A45" s="198"/>
      <c r="B45" s="199" t="s">
        <v>56</v>
      </c>
      <c r="C45" s="322"/>
    </row>
    <row r="46" spans="1:3" s="416" customFormat="1" ht="12" customHeight="1" thickBot="1">
      <c r="A46" s="172" t="s">
        <v>17</v>
      </c>
      <c r="B46" s="98" t="s">
        <v>407</v>
      </c>
      <c r="C46" s="275">
        <f>SUM(C47:C51)</f>
        <v>0</v>
      </c>
    </row>
    <row r="47" spans="1:3" ht="12" customHeight="1">
      <c r="A47" s="408" t="s">
        <v>95</v>
      </c>
      <c r="B47" s="9" t="s">
        <v>48</v>
      </c>
      <c r="C47" s="57"/>
    </row>
    <row r="48" spans="1:3" ht="12" customHeight="1">
      <c r="A48" s="408" t="s">
        <v>96</v>
      </c>
      <c r="B48" s="8" t="s">
        <v>178</v>
      </c>
      <c r="C48" s="60"/>
    </row>
    <row r="49" spans="1:3" ht="12" customHeight="1">
      <c r="A49" s="408" t="s">
        <v>97</v>
      </c>
      <c r="B49" s="8" t="s">
        <v>135</v>
      </c>
      <c r="C49" s="60"/>
    </row>
    <row r="50" spans="1:3" ht="12" customHeight="1">
      <c r="A50" s="408" t="s">
        <v>98</v>
      </c>
      <c r="B50" s="8" t="s">
        <v>179</v>
      </c>
      <c r="C50" s="60"/>
    </row>
    <row r="51" spans="1:3" ht="12" customHeight="1" thickBot="1">
      <c r="A51" s="408" t="s">
        <v>143</v>
      </c>
      <c r="B51" s="8" t="s">
        <v>180</v>
      </c>
      <c r="C51" s="60"/>
    </row>
    <row r="52" spans="1:3" ht="12" customHeight="1" thickBot="1">
      <c r="A52" s="172" t="s">
        <v>18</v>
      </c>
      <c r="B52" s="98" t="s">
        <v>408</v>
      </c>
      <c r="C52" s="275">
        <f>SUM(C53:C55)</f>
        <v>0</v>
      </c>
    </row>
    <row r="53" spans="1:3" s="416" customFormat="1" ht="12" customHeight="1">
      <c r="A53" s="408" t="s">
        <v>101</v>
      </c>
      <c r="B53" s="9" t="s">
        <v>224</v>
      </c>
      <c r="C53" s="57"/>
    </row>
    <row r="54" spans="1:3" ht="12" customHeight="1">
      <c r="A54" s="408" t="s">
        <v>102</v>
      </c>
      <c r="B54" s="8" t="s">
        <v>182</v>
      </c>
      <c r="C54" s="60"/>
    </row>
    <row r="55" spans="1:3" ht="12" customHeight="1">
      <c r="A55" s="408" t="s">
        <v>103</v>
      </c>
      <c r="B55" s="8" t="s">
        <v>57</v>
      </c>
      <c r="C55" s="60"/>
    </row>
    <row r="56" spans="1:3" ht="12" customHeight="1" thickBot="1">
      <c r="A56" s="408" t="s">
        <v>104</v>
      </c>
      <c r="B56" s="8" t="s">
        <v>516</v>
      </c>
      <c r="C56" s="60"/>
    </row>
    <row r="57" spans="1:3" ht="15.2" customHeight="1" thickBot="1">
      <c r="A57" s="172" t="s">
        <v>19</v>
      </c>
      <c r="B57" s="98" t="s">
        <v>13</v>
      </c>
      <c r="C57" s="301"/>
    </row>
    <row r="58" spans="1:3" ht="13.5" thickBot="1">
      <c r="A58" s="172" t="s">
        <v>20</v>
      </c>
      <c r="B58" s="200" t="s">
        <v>521</v>
      </c>
      <c r="C58" s="323">
        <f>+C46+C52+C57</f>
        <v>0</v>
      </c>
    </row>
    <row r="59" spans="1:3" ht="15.2" customHeight="1" thickBot="1">
      <c r="C59" s="576">
        <f>C42-C58</f>
        <v>0</v>
      </c>
    </row>
    <row r="60" spans="1:3" ht="14.45" customHeight="1" thickBot="1">
      <c r="A60" s="203" t="s">
        <v>511</v>
      </c>
      <c r="B60" s="204"/>
      <c r="C60" s="95"/>
    </row>
    <row r="61" spans="1:3" ht="13.5" thickBot="1">
      <c r="A61" s="203" t="s">
        <v>200</v>
      </c>
      <c r="B61" s="204"/>
      <c r="C61" s="95"/>
    </row>
    <row r="63" spans="1:3">
      <c r="C63" s="4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topLeftCell="A25" zoomScale="120" zoomScaleNormal="120" workbookViewId="0">
      <selection activeCell="B4" sqref="B4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CONCATENATE("9.2.2. melléklet ",ALAPADATOK!A7," ",ALAPADATOK!B7," ",ALAPADATOK!C7," ",ALAPADATOK!D7," ",ALAPADATOK!E7," ",ALAPADATOK!F7," ",ALAPADATOK!G7," ",ALAPADATOK!H7)</f>
        <v>9.2.2. melléklet a 5 / 2020 ( (II.18.) ) önkormányzati rendelethez</v>
      </c>
    </row>
    <row r="2" spans="1:3" s="412" customFormat="1" ht="36">
      <c r="A2" s="365" t="s">
        <v>198</v>
      </c>
      <c r="B2" s="542" t="str">
        <f ca="1">CONCATENATE(ALAPADATOK!A11)</f>
        <v>Dabasi Polgármesteri  Hivatal</v>
      </c>
      <c r="C2" s="324" t="s">
        <v>58</v>
      </c>
    </row>
    <row r="3" spans="1:3" s="412" customFormat="1" ht="24.75" thickBot="1">
      <c r="A3" s="406" t="s">
        <v>197</v>
      </c>
      <c r="B3" s="543" t="s">
        <v>410</v>
      </c>
      <c r="C3" s="325" t="s">
        <v>59</v>
      </c>
    </row>
    <row r="4" spans="1:3" s="413" customFormat="1" ht="15.95" customHeight="1" thickBot="1">
      <c r="A4" s="184"/>
      <c r="B4" s="697" t="s">
        <v>711</v>
      </c>
      <c r="C4" s="185">
        <f ca="1">KV_9.2.1.sz.mell!C4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513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514</v>
      </c>
      <c r="C26" s="275">
        <f>+C27+C28+C29</f>
        <v>0</v>
      </c>
    </row>
    <row r="27" spans="1:3" s="415" customFormat="1" ht="12" customHeight="1">
      <c r="A27" s="409" t="s">
        <v>262</v>
      </c>
      <c r="B27" s="410" t="s">
        <v>257</v>
      </c>
      <c r="C27" s="57"/>
    </row>
    <row r="28" spans="1:3" s="415" customFormat="1" ht="12" customHeight="1">
      <c r="A28" s="409" t="s">
        <v>263</v>
      </c>
      <c r="B28" s="410" t="s">
        <v>394</v>
      </c>
      <c r="C28" s="273"/>
    </row>
    <row r="29" spans="1:3" s="415" customFormat="1" ht="12" customHeight="1">
      <c r="A29" s="409" t="s">
        <v>264</v>
      </c>
      <c r="B29" s="411" t="s">
        <v>397</v>
      </c>
      <c r="C29" s="273"/>
    </row>
    <row r="30" spans="1:3" s="415" customFormat="1" ht="12" customHeight="1" thickBot="1">
      <c r="A30" s="408" t="s">
        <v>265</v>
      </c>
      <c r="B30" s="115" t="s">
        <v>515</v>
      </c>
      <c r="C30" s="64"/>
    </row>
    <row r="31" spans="1:3" s="415" customFormat="1" ht="12" customHeight="1" thickBot="1">
      <c r="A31" s="172" t="s">
        <v>21</v>
      </c>
      <c r="B31" s="98" t="s">
        <v>398</v>
      </c>
      <c r="C31" s="275">
        <f>+C32+C33+C34</f>
        <v>0</v>
      </c>
    </row>
    <row r="32" spans="1:3" s="415" customFormat="1" ht="12" customHeight="1">
      <c r="A32" s="409" t="s">
        <v>88</v>
      </c>
      <c r="B32" s="410" t="s">
        <v>283</v>
      </c>
      <c r="C32" s="57"/>
    </row>
    <row r="33" spans="1:3" s="415" customFormat="1" ht="12" customHeight="1">
      <c r="A33" s="409" t="s">
        <v>89</v>
      </c>
      <c r="B33" s="411" t="s">
        <v>284</v>
      </c>
      <c r="C33" s="276"/>
    </row>
    <row r="34" spans="1:3" s="415" customFormat="1" ht="12" customHeight="1" thickBot="1">
      <c r="A34" s="408" t="s">
        <v>90</v>
      </c>
      <c r="B34" s="115" t="s">
        <v>285</v>
      </c>
      <c r="C34" s="64"/>
    </row>
    <row r="35" spans="1:3" s="326" customFormat="1" ht="12" customHeight="1" thickBot="1">
      <c r="A35" s="172" t="s">
        <v>22</v>
      </c>
      <c r="B35" s="98" t="s">
        <v>368</v>
      </c>
      <c r="C35" s="301"/>
    </row>
    <row r="36" spans="1:3" s="326" customFormat="1" ht="12" customHeight="1" thickBot="1">
      <c r="A36" s="172" t="s">
        <v>23</v>
      </c>
      <c r="B36" s="98" t="s">
        <v>399</v>
      </c>
      <c r="C36" s="318"/>
    </row>
    <row r="37" spans="1:3" s="326" customFormat="1" ht="12" customHeight="1" thickBot="1">
      <c r="A37" s="164" t="s">
        <v>24</v>
      </c>
      <c r="B37" s="98" t="s">
        <v>400</v>
      </c>
      <c r="C37" s="319">
        <f>+C8+C20+C25+C26+C31+C35+C36</f>
        <v>0</v>
      </c>
    </row>
    <row r="38" spans="1:3" s="326" customFormat="1" ht="12" customHeight="1" thickBot="1">
      <c r="A38" s="192" t="s">
        <v>25</v>
      </c>
      <c r="B38" s="98" t="s">
        <v>401</v>
      </c>
      <c r="C38" s="319">
        <f>+C39+C40+C41</f>
        <v>0</v>
      </c>
    </row>
    <row r="39" spans="1:3" s="326" customFormat="1" ht="12" customHeight="1">
      <c r="A39" s="409" t="s">
        <v>402</v>
      </c>
      <c r="B39" s="410" t="s">
        <v>230</v>
      </c>
      <c r="C39" s="57"/>
    </row>
    <row r="40" spans="1:3" s="326" customFormat="1" ht="12" customHeight="1">
      <c r="A40" s="409" t="s">
        <v>403</v>
      </c>
      <c r="B40" s="411" t="s">
        <v>2</v>
      </c>
      <c r="C40" s="276"/>
    </row>
    <row r="41" spans="1:3" s="415" customFormat="1" ht="12" customHeight="1" thickBot="1">
      <c r="A41" s="408" t="s">
        <v>404</v>
      </c>
      <c r="B41" s="115" t="s">
        <v>405</v>
      </c>
      <c r="C41" s="64"/>
    </row>
    <row r="42" spans="1:3" s="415" customFormat="1" ht="15.2" customHeight="1" thickBot="1">
      <c r="A42" s="192" t="s">
        <v>26</v>
      </c>
      <c r="B42" s="193" t="s">
        <v>406</v>
      </c>
      <c r="C42" s="322">
        <f>+C37+C38</f>
        <v>0</v>
      </c>
    </row>
    <row r="43" spans="1:3" s="415" customFormat="1" ht="15.2" customHeight="1">
      <c r="A43" s="194"/>
      <c r="B43" s="195"/>
      <c r="C43" s="320"/>
    </row>
    <row r="44" spans="1:3" ht="13.5" thickBot="1">
      <c r="A44" s="196"/>
      <c r="B44" s="197"/>
      <c r="C44" s="321"/>
    </row>
    <row r="45" spans="1:3" s="414" customFormat="1" ht="16.5" customHeight="1" thickBot="1">
      <c r="A45" s="198"/>
      <c r="B45" s="199" t="s">
        <v>56</v>
      </c>
      <c r="C45" s="322"/>
    </row>
    <row r="46" spans="1:3" s="416" customFormat="1" ht="12" customHeight="1" thickBot="1">
      <c r="A46" s="172" t="s">
        <v>17</v>
      </c>
      <c r="B46" s="98" t="s">
        <v>407</v>
      </c>
      <c r="C46" s="275">
        <f>SUM(C47:C51)</f>
        <v>0</v>
      </c>
    </row>
    <row r="47" spans="1:3" ht="12" customHeight="1">
      <c r="A47" s="408" t="s">
        <v>95</v>
      </c>
      <c r="B47" s="9" t="s">
        <v>48</v>
      </c>
      <c r="C47" s="57"/>
    </row>
    <row r="48" spans="1:3" ht="12" customHeight="1">
      <c r="A48" s="408" t="s">
        <v>96</v>
      </c>
      <c r="B48" s="8" t="s">
        <v>178</v>
      </c>
      <c r="C48" s="60"/>
    </row>
    <row r="49" spans="1:3" ht="12" customHeight="1">
      <c r="A49" s="408" t="s">
        <v>97</v>
      </c>
      <c r="B49" s="8" t="s">
        <v>135</v>
      </c>
      <c r="C49" s="60"/>
    </row>
    <row r="50" spans="1:3" ht="12" customHeight="1">
      <c r="A50" s="408" t="s">
        <v>98</v>
      </c>
      <c r="B50" s="8" t="s">
        <v>179</v>
      </c>
      <c r="C50" s="60"/>
    </row>
    <row r="51" spans="1:3" ht="12" customHeight="1" thickBot="1">
      <c r="A51" s="408" t="s">
        <v>143</v>
      </c>
      <c r="B51" s="8" t="s">
        <v>180</v>
      </c>
      <c r="C51" s="60"/>
    </row>
    <row r="52" spans="1:3" ht="12" customHeight="1" thickBot="1">
      <c r="A52" s="172" t="s">
        <v>18</v>
      </c>
      <c r="B52" s="98" t="s">
        <v>408</v>
      </c>
      <c r="C52" s="275">
        <f>SUM(C53:C55)</f>
        <v>0</v>
      </c>
    </row>
    <row r="53" spans="1:3" s="416" customFormat="1" ht="12" customHeight="1">
      <c r="A53" s="408" t="s">
        <v>101</v>
      </c>
      <c r="B53" s="9" t="s">
        <v>224</v>
      </c>
      <c r="C53" s="57"/>
    </row>
    <row r="54" spans="1:3" ht="12" customHeight="1">
      <c r="A54" s="408" t="s">
        <v>102</v>
      </c>
      <c r="B54" s="8" t="s">
        <v>182</v>
      </c>
      <c r="C54" s="60"/>
    </row>
    <row r="55" spans="1:3" ht="12" customHeight="1">
      <c r="A55" s="408" t="s">
        <v>103</v>
      </c>
      <c r="B55" s="8" t="s">
        <v>57</v>
      </c>
      <c r="C55" s="60"/>
    </row>
    <row r="56" spans="1:3" ht="12" customHeight="1" thickBot="1">
      <c r="A56" s="408" t="s">
        <v>104</v>
      </c>
      <c r="B56" s="8" t="s">
        <v>516</v>
      </c>
      <c r="C56" s="60"/>
    </row>
    <row r="57" spans="1:3" ht="15.2" customHeight="1" thickBot="1">
      <c r="A57" s="172" t="s">
        <v>19</v>
      </c>
      <c r="B57" s="98" t="s">
        <v>13</v>
      </c>
      <c r="C57" s="301"/>
    </row>
    <row r="58" spans="1:3" ht="13.5" thickBot="1">
      <c r="A58" s="172" t="s">
        <v>20</v>
      </c>
      <c r="B58" s="200" t="s">
        <v>521</v>
      </c>
      <c r="C58" s="323">
        <f>+C46+C52+C57</f>
        <v>0</v>
      </c>
    </row>
    <row r="59" spans="1:3" ht="15.2" customHeight="1" thickBot="1">
      <c r="C59" s="576">
        <f>C42-C58</f>
        <v>0</v>
      </c>
    </row>
    <row r="60" spans="1:3" ht="14.45" customHeight="1" thickBot="1">
      <c r="A60" s="203" t="s">
        <v>511</v>
      </c>
      <c r="B60" s="204"/>
      <c r="C60" s="95"/>
    </row>
    <row r="61" spans="1:3" ht="13.5" thickBot="1">
      <c r="A61" s="203" t="s">
        <v>200</v>
      </c>
      <c r="B61" s="204"/>
      <c r="C61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I60" sqref="I60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CONCATENATE("9.2.3. melléklet ",ALAPADATOK!A7," ",ALAPADATOK!B7," ",ALAPADATOK!C7," ",ALAPADATOK!D7," ",ALAPADATOK!E7," ",ALAPADATOK!F7," ",ALAPADATOK!G7," ",ALAPADATOK!H7)</f>
        <v>9.2.3. melléklet a 5 / 2020 ( (II.18.) ) önkormányzati rendelethez</v>
      </c>
    </row>
    <row r="2" spans="1:3" s="412" customFormat="1" ht="36">
      <c r="A2" s="365" t="s">
        <v>198</v>
      </c>
      <c r="B2" s="542" t="str">
        <f ca="1">CONCATENATE(ALAPADATOK!A11)</f>
        <v>Dabasi Polgármesteri  Hivatal</v>
      </c>
      <c r="C2" s="324" t="s">
        <v>58</v>
      </c>
    </row>
    <row r="3" spans="1:3" s="412" customFormat="1" ht="24.75" thickBot="1">
      <c r="A3" s="406" t="s">
        <v>197</v>
      </c>
      <c r="B3" s="543" t="s">
        <v>522</v>
      </c>
      <c r="C3" s="325" t="s">
        <v>423</v>
      </c>
    </row>
    <row r="4" spans="1:3" s="413" customFormat="1" ht="15.95" customHeight="1" thickBot="1">
      <c r="A4" s="184"/>
      <c r="B4" s="184"/>
      <c r="C4" s="185">
        <f ca="1">KV_9.2.2.sz.mell!C4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10000000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>
        <v>7874016</v>
      </c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>
        <v>2125984</v>
      </c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513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514</v>
      </c>
      <c r="C26" s="275">
        <f>+C27+C28+C29</f>
        <v>0</v>
      </c>
    </row>
    <row r="27" spans="1:3" s="415" customFormat="1" ht="12" customHeight="1">
      <c r="A27" s="409" t="s">
        <v>262</v>
      </c>
      <c r="B27" s="410" t="s">
        <v>257</v>
      </c>
      <c r="C27" s="57"/>
    </row>
    <row r="28" spans="1:3" s="415" customFormat="1" ht="12" customHeight="1">
      <c r="A28" s="409" t="s">
        <v>263</v>
      </c>
      <c r="B28" s="410" t="s">
        <v>394</v>
      </c>
      <c r="C28" s="273"/>
    </row>
    <row r="29" spans="1:3" s="415" customFormat="1" ht="12" customHeight="1">
      <c r="A29" s="409" t="s">
        <v>264</v>
      </c>
      <c r="B29" s="411" t="s">
        <v>397</v>
      </c>
      <c r="C29" s="273"/>
    </row>
    <row r="30" spans="1:3" s="415" customFormat="1" ht="12" customHeight="1" thickBot="1">
      <c r="A30" s="408" t="s">
        <v>265</v>
      </c>
      <c r="B30" s="115" t="s">
        <v>515</v>
      </c>
      <c r="C30" s="64"/>
    </row>
    <row r="31" spans="1:3" s="415" customFormat="1" ht="12" customHeight="1" thickBot="1">
      <c r="A31" s="172" t="s">
        <v>21</v>
      </c>
      <c r="B31" s="98" t="s">
        <v>398</v>
      </c>
      <c r="C31" s="275">
        <f>+C32+C33+C34</f>
        <v>0</v>
      </c>
    </row>
    <row r="32" spans="1:3" s="415" customFormat="1" ht="12" customHeight="1">
      <c r="A32" s="409" t="s">
        <v>88</v>
      </c>
      <c r="B32" s="410" t="s">
        <v>283</v>
      </c>
      <c r="C32" s="57"/>
    </row>
    <row r="33" spans="1:3" s="415" customFormat="1" ht="12" customHeight="1">
      <c r="A33" s="409" t="s">
        <v>89</v>
      </c>
      <c r="B33" s="411" t="s">
        <v>284</v>
      </c>
      <c r="C33" s="276"/>
    </row>
    <row r="34" spans="1:3" s="415" customFormat="1" ht="12" customHeight="1" thickBot="1">
      <c r="A34" s="408" t="s">
        <v>90</v>
      </c>
      <c r="B34" s="115" t="s">
        <v>285</v>
      </c>
      <c r="C34" s="64"/>
    </row>
    <row r="35" spans="1:3" s="326" customFormat="1" ht="12" customHeight="1" thickBot="1">
      <c r="A35" s="172" t="s">
        <v>22</v>
      </c>
      <c r="B35" s="98" t="s">
        <v>368</v>
      </c>
      <c r="C35" s="301"/>
    </row>
    <row r="36" spans="1:3" s="326" customFormat="1" ht="12" customHeight="1" thickBot="1">
      <c r="A36" s="172" t="s">
        <v>23</v>
      </c>
      <c r="B36" s="98" t="s">
        <v>399</v>
      </c>
      <c r="C36" s="318"/>
    </row>
    <row r="37" spans="1:3" s="326" customFormat="1" ht="12" customHeight="1" thickBot="1">
      <c r="A37" s="164" t="s">
        <v>24</v>
      </c>
      <c r="B37" s="98" t="s">
        <v>400</v>
      </c>
      <c r="C37" s="319">
        <f>+C8+C20+C25+C26+C31+C35+C36</f>
        <v>10000000</v>
      </c>
    </row>
    <row r="38" spans="1:3" s="326" customFormat="1" ht="12" customHeight="1" thickBot="1">
      <c r="A38" s="192" t="s">
        <v>25</v>
      </c>
      <c r="B38" s="98" t="s">
        <v>401</v>
      </c>
      <c r="C38" s="319">
        <f>+C39+C40+C41</f>
        <v>282083990</v>
      </c>
    </row>
    <row r="39" spans="1:3" s="326" customFormat="1" ht="12" customHeight="1">
      <c r="A39" s="409" t="s">
        <v>402</v>
      </c>
      <c r="B39" s="410" t="s">
        <v>230</v>
      </c>
      <c r="C39" s="57"/>
    </row>
    <row r="40" spans="1:3" s="326" customFormat="1" ht="12" customHeight="1">
      <c r="A40" s="409" t="s">
        <v>403</v>
      </c>
      <c r="B40" s="411" t="s">
        <v>2</v>
      </c>
      <c r="C40" s="276"/>
    </row>
    <row r="41" spans="1:3" s="415" customFormat="1" ht="12" customHeight="1" thickBot="1">
      <c r="A41" s="408" t="s">
        <v>404</v>
      </c>
      <c r="B41" s="115" t="s">
        <v>405</v>
      </c>
      <c r="C41" s="64">
        <v>282083990</v>
      </c>
    </row>
    <row r="42" spans="1:3" s="415" customFormat="1" ht="15.2" customHeight="1" thickBot="1">
      <c r="A42" s="192" t="s">
        <v>26</v>
      </c>
      <c r="B42" s="193" t="s">
        <v>406</v>
      </c>
      <c r="C42" s="322">
        <f>+C37+C38</f>
        <v>292083990</v>
      </c>
    </row>
    <row r="43" spans="1:3" s="415" customFormat="1" ht="15.2" customHeight="1">
      <c r="A43" s="194"/>
      <c r="B43" s="195"/>
      <c r="C43" s="320"/>
    </row>
    <row r="44" spans="1:3" ht="13.5" thickBot="1">
      <c r="A44" s="196"/>
      <c r="B44" s="197"/>
      <c r="C44" s="321"/>
    </row>
    <row r="45" spans="1:3" s="414" customFormat="1" ht="16.5" customHeight="1" thickBot="1">
      <c r="A45" s="198"/>
      <c r="B45" s="199" t="s">
        <v>56</v>
      </c>
      <c r="C45" s="322"/>
    </row>
    <row r="46" spans="1:3" s="416" customFormat="1" ht="12" customHeight="1" thickBot="1">
      <c r="A46" s="172" t="s">
        <v>17</v>
      </c>
      <c r="B46" s="98" t="s">
        <v>407</v>
      </c>
      <c r="C46" s="275">
        <f>SUM(C47:C51)</f>
        <v>288083990</v>
      </c>
    </row>
    <row r="47" spans="1:3" ht="12" customHeight="1">
      <c r="A47" s="408" t="s">
        <v>95</v>
      </c>
      <c r="B47" s="9" t="s">
        <v>48</v>
      </c>
      <c r="C47" s="57">
        <v>182041918</v>
      </c>
    </row>
    <row r="48" spans="1:3" ht="12" customHeight="1">
      <c r="A48" s="408" t="s">
        <v>96</v>
      </c>
      <c r="B48" s="8" t="s">
        <v>178</v>
      </c>
      <c r="C48" s="60">
        <v>32656850</v>
      </c>
    </row>
    <row r="49" spans="1:3" ht="12" customHeight="1">
      <c r="A49" s="408" t="s">
        <v>97</v>
      </c>
      <c r="B49" s="8" t="s">
        <v>135</v>
      </c>
      <c r="C49" s="60">
        <v>73385222</v>
      </c>
    </row>
    <row r="50" spans="1:3" ht="12" customHeight="1">
      <c r="A50" s="408" t="s">
        <v>98</v>
      </c>
      <c r="B50" s="8" t="s">
        <v>179</v>
      </c>
      <c r="C50" s="60"/>
    </row>
    <row r="51" spans="1:3" ht="12" customHeight="1" thickBot="1">
      <c r="A51" s="408" t="s">
        <v>143</v>
      </c>
      <c r="B51" s="8" t="s">
        <v>180</v>
      </c>
      <c r="C51" s="60"/>
    </row>
    <row r="52" spans="1:3" ht="12" customHeight="1" thickBot="1">
      <c r="A52" s="172" t="s">
        <v>18</v>
      </c>
      <c r="B52" s="98" t="s">
        <v>408</v>
      </c>
      <c r="C52" s="275">
        <f>SUM(C53:C55)</f>
        <v>4000000</v>
      </c>
    </row>
    <row r="53" spans="1:3" s="416" customFormat="1" ht="12" customHeight="1">
      <c r="A53" s="408" t="s">
        <v>101</v>
      </c>
      <c r="B53" s="9" t="s">
        <v>224</v>
      </c>
      <c r="C53" s="57">
        <v>4000000</v>
      </c>
    </row>
    <row r="54" spans="1:3" ht="12" customHeight="1">
      <c r="A54" s="408" t="s">
        <v>102</v>
      </c>
      <c r="B54" s="8" t="s">
        <v>182</v>
      </c>
      <c r="C54" s="60"/>
    </row>
    <row r="55" spans="1:3" ht="12" customHeight="1">
      <c r="A55" s="408" t="s">
        <v>103</v>
      </c>
      <c r="B55" s="8" t="s">
        <v>57</v>
      </c>
      <c r="C55" s="60"/>
    </row>
    <row r="56" spans="1:3" ht="12" customHeight="1" thickBot="1">
      <c r="A56" s="408" t="s">
        <v>104</v>
      </c>
      <c r="B56" s="8" t="s">
        <v>516</v>
      </c>
      <c r="C56" s="60"/>
    </row>
    <row r="57" spans="1:3" ht="15.2" customHeight="1" thickBot="1">
      <c r="A57" s="172" t="s">
        <v>19</v>
      </c>
      <c r="B57" s="98" t="s">
        <v>13</v>
      </c>
      <c r="C57" s="301"/>
    </row>
    <row r="58" spans="1:3" ht="13.5" thickBot="1">
      <c r="A58" s="172" t="s">
        <v>20</v>
      </c>
      <c r="B58" s="200" t="s">
        <v>521</v>
      </c>
      <c r="C58" s="323">
        <f>+C46+C52+C57</f>
        <v>292083990</v>
      </c>
    </row>
    <row r="59" spans="1:3" ht="15.2" customHeight="1" thickBot="1">
      <c r="C59" s="576">
        <f>C42-C58</f>
        <v>0</v>
      </c>
    </row>
    <row r="60" spans="1:3" ht="14.45" customHeight="1" thickBot="1">
      <c r="A60" s="203" t="s">
        <v>511</v>
      </c>
      <c r="B60" s="204"/>
      <c r="C60" s="95">
        <v>45</v>
      </c>
    </row>
    <row r="61" spans="1:3" ht="13.5" thickBot="1">
      <c r="A61" s="203" t="s">
        <v>200</v>
      </c>
      <c r="B61" s="204"/>
      <c r="C61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F60" sqref="F60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CONCATENATE(ALAPADATOK!P13," melléklet ",ALAPADATOK!A7," ",ALAPADATOK!B7," ",ALAPADATOK!C7," ",ALAPADATOK!D7," ",ALAPADATOK!E7," ",ALAPADATOK!F7," ",ALAPADATOK!G7," ",ALAPADATOK!H7)</f>
        <v>9.3. melléklet a 5 / 2020 ( (II.18.) ) önkormányzati rendelethez</v>
      </c>
    </row>
    <row r="2" spans="1:3" s="412" customFormat="1" ht="36">
      <c r="A2" s="365" t="s">
        <v>198</v>
      </c>
      <c r="B2" s="589" t="str">
        <f ca="1">CONCATENATE(ALAPADATOK!B13)</f>
        <v>Dabas-Sári Óvoda</v>
      </c>
      <c r="C2" s="324" t="s">
        <v>59</v>
      </c>
    </row>
    <row r="3" spans="1:3" s="412" customFormat="1" ht="24.75" thickBot="1">
      <c r="A3" s="406" t="s">
        <v>197</v>
      </c>
      <c r="B3" s="543" t="s">
        <v>390</v>
      </c>
      <c r="C3" s="325" t="s">
        <v>53</v>
      </c>
    </row>
    <row r="4" spans="1:3" s="413" customFormat="1" ht="15.95" customHeight="1" thickBot="1">
      <c r="A4" s="184"/>
      <c r="B4" s="184"/>
      <c r="C4" s="185">
        <f ca="1">KV_9.2.3.sz.mell!C4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137278251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137278251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137278251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137278251</v>
      </c>
    </row>
    <row r="46" spans="1:3" ht="12" customHeight="1">
      <c r="A46" s="408" t="s">
        <v>95</v>
      </c>
      <c r="B46" s="9" t="s">
        <v>48</v>
      </c>
      <c r="C46" s="57">
        <v>105610126</v>
      </c>
    </row>
    <row r="47" spans="1:3" ht="12" customHeight="1">
      <c r="A47" s="408" t="s">
        <v>96</v>
      </c>
      <c r="B47" s="8" t="s">
        <v>178</v>
      </c>
      <c r="C47" s="60">
        <v>19930772</v>
      </c>
    </row>
    <row r="48" spans="1:3" ht="12" customHeight="1">
      <c r="A48" s="408" t="s">
        <v>97</v>
      </c>
      <c r="B48" s="8" t="s">
        <v>135</v>
      </c>
      <c r="C48" s="60">
        <v>11737353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137278251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27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horizontalDpi="360" verticalDpi="36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J60" sqref="J60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CONCATENATE(ALAPADATOK!P13,"1. melléklet ",ALAPADATOK!A7," ",ALAPADATOK!B7," ",ALAPADATOK!C7," ",ALAPADATOK!D7," ",ALAPADATOK!E7," ",ALAPADATOK!F7," ",ALAPADATOK!G7," ",ALAPADATOK!H7)</f>
        <v>9.3.1.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CONCATENATE(KV_9.3.sz.mell!B2)</f>
        <v>Dabas-Sári Óvoda</v>
      </c>
      <c r="C2" s="324" t="s">
        <v>59</v>
      </c>
    </row>
    <row r="3" spans="1:3" s="412" customFormat="1" ht="24.75" thickBot="1">
      <c r="A3" s="406" t="s">
        <v>197</v>
      </c>
      <c r="B3" s="543" t="s">
        <v>409</v>
      </c>
      <c r="C3" s="325" t="s">
        <v>58</v>
      </c>
    </row>
    <row r="4" spans="1:3" s="413" customFormat="1" ht="15.95" customHeight="1" thickBot="1">
      <c r="A4" s="184"/>
      <c r="B4" s="184"/>
      <c r="C4" s="185">
        <f ca="1">KV_9.3.sz.mell!C4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137278251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137278251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137278251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137278251</v>
      </c>
    </row>
    <row r="46" spans="1:3" ht="12" customHeight="1">
      <c r="A46" s="408" t="s">
        <v>95</v>
      </c>
      <c r="B46" s="9" t="s">
        <v>48</v>
      </c>
      <c r="C46" s="57">
        <v>105610126</v>
      </c>
    </row>
    <row r="47" spans="1:3" ht="12" customHeight="1">
      <c r="A47" s="408" t="s">
        <v>96</v>
      </c>
      <c r="B47" s="8" t="s">
        <v>178</v>
      </c>
      <c r="C47" s="60">
        <v>19930772</v>
      </c>
    </row>
    <row r="48" spans="1:3" ht="12" customHeight="1">
      <c r="A48" s="408" t="s">
        <v>97</v>
      </c>
      <c r="B48" s="8" t="s">
        <v>135</v>
      </c>
      <c r="C48" s="60">
        <v>11737353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137278251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27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H16" sqref="H16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CONCATENATE(ALAPADATOK!P13,"2. melléklet ",ALAPADATOK!A7," ",ALAPADATOK!B7," ",ALAPADATOK!C7," ",ALAPADATOK!D7," ",ALAPADATOK!E7," ",ALAPADATOK!F7," ",ALAPADATOK!G7," ",ALAPADATOK!H7)</f>
        <v>9.3.2.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CONCATENATE(KV_9.3.1.sz.mell!B2)</f>
        <v>Dabas-Sári Óvoda</v>
      </c>
      <c r="C2" s="324" t="s">
        <v>59</v>
      </c>
    </row>
    <row r="3" spans="1:3" s="412" customFormat="1" ht="24.75" thickBot="1">
      <c r="A3" s="406" t="s">
        <v>197</v>
      </c>
      <c r="B3" s="543" t="s">
        <v>410</v>
      </c>
      <c r="C3" s="325" t="s">
        <v>59</v>
      </c>
    </row>
    <row r="4" spans="1:3" s="413" customFormat="1" ht="15.95" customHeight="1" thickBot="1">
      <c r="A4" s="184"/>
      <c r="B4" s="697" t="s">
        <v>711</v>
      </c>
      <c r="C4" s="185">
        <f ca="1">KV_9.3.1.sz.mell!C4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B4" sqref="B4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547"/>
      <c r="B1" s="548"/>
      <c r="C1" s="544" t="str">
        <f ca="1">CONCATENATE(ALAPADATOK!P13,"3. melléklet ",ALAPADATOK!A7," ",ALAPADATOK!B7," ",ALAPADATOK!C7," ",ALAPADATOK!D7," ",ALAPADATOK!E7," ",ALAPADATOK!F7," ",ALAPADATOK!G7," ",ALAPADATOK!H7)</f>
        <v>9.3.3. melléklet a 5 / 2020 ( (II.18.) ) önkormányzati rendelethez</v>
      </c>
    </row>
    <row r="2" spans="1:3" s="412" customFormat="1" ht="36">
      <c r="A2" s="549" t="s">
        <v>198</v>
      </c>
      <c r="B2" s="550" t="str">
        <f ca="1">CONCATENATE(KV_9.3.2.sz.mell!B2)</f>
        <v>Dabas-Sári Óvoda</v>
      </c>
      <c r="C2" s="570" t="s">
        <v>59</v>
      </c>
    </row>
    <row r="3" spans="1:3" s="412" customFormat="1" ht="24.75" thickBot="1">
      <c r="A3" s="571" t="s">
        <v>197</v>
      </c>
      <c r="B3" s="553" t="s">
        <v>522</v>
      </c>
      <c r="C3" s="572" t="s">
        <v>423</v>
      </c>
    </row>
    <row r="4" spans="1:3" s="413" customFormat="1" ht="15.95" customHeight="1" thickBot="1">
      <c r="A4" s="555"/>
      <c r="B4" s="696" t="s">
        <v>711</v>
      </c>
      <c r="C4" s="556">
        <f ca="1">KV_9.3.2.sz.mell!C4</f>
        <v>0</v>
      </c>
    </row>
    <row r="5" spans="1:3" ht="13.5" thickBot="1">
      <c r="A5" s="366" t="s">
        <v>199</v>
      </c>
      <c r="B5" s="186" t="s">
        <v>554</v>
      </c>
      <c r="C5" s="506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59" sqref="C59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CONCATENATE(ALAPADATOK!P15," melléklet ",ALAPADATOK!A7," ",ALAPADATOK!B7," ",ALAPADATOK!C7," ",ALAPADATOK!D7," ",ALAPADATOK!E7," ",ALAPADATOK!F7," ",ALAPADATOK!G7," ",ALAPADATOK!H7)</f>
        <v>9.4. melléklet a 5 / 2020 ( (II.18.) ) önkormányzati rendelethez</v>
      </c>
    </row>
    <row r="2" spans="1:3" s="412" customFormat="1" ht="36">
      <c r="A2" s="365" t="s">
        <v>198</v>
      </c>
      <c r="B2" s="542" t="str">
        <f ca="1">CONCATENATE(ALAPADATOK!B15)</f>
        <v>Dabasi Egyesített Óvodák</v>
      </c>
      <c r="C2" s="324" t="s">
        <v>423</v>
      </c>
    </row>
    <row r="3" spans="1:3" s="412" customFormat="1" ht="24.75" thickBot="1">
      <c r="A3" s="406" t="s">
        <v>197</v>
      </c>
      <c r="B3" s="543" t="s">
        <v>390</v>
      </c>
      <c r="C3" s="325" t="s">
        <v>53</v>
      </c>
    </row>
    <row r="4" spans="1:3" s="413" customFormat="1" ht="15.95" customHeight="1" thickBot="1">
      <c r="A4" s="184"/>
      <c r="B4" s="184"/>
      <c r="C4" s="185">
        <f ca="1">KV_9.2.3.sz.mell!C4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374420000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374420000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374420000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374420000</v>
      </c>
    </row>
    <row r="46" spans="1:3" ht="12" customHeight="1">
      <c r="A46" s="408" t="s">
        <v>95</v>
      </c>
      <c r="B46" s="9" t="s">
        <v>48</v>
      </c>
      <c r="C46" s="57">
        <v>287655000</v>
      </c>
    </row>
    <row r="47" spans="1:3" ht="12" customHeight="1">
      <c r="A47" s="408" t="s">
        <v>96</v>
      </c>
      <c r="B47" s="8" t="s">
        <v>178</v>
      </c>
      <c r="C47" s="60">
        <v>56073000</v>
      </c>
    </row>
    <row r="48" spans="1:3" ht="12" customHeight="1">
      <c r="A48" s="408" t="s">
        <v>97</v>
      </c>
      <c r="B48" s="8" t="s">
        <v>135</v>
      </c>
      <c r="C48" s="60">
        <v>30692000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374420000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87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horizontalDpi="360" verticalDpi="36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G53" sqref="G53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CONCATENATE(ALAPADATOK!P15,"1. melléklet ",ALAPADATOK!A7," ",ALAPADATOK!B7," ",ALAPADATOK!C7," ",ALAPADATOK!D7," ",ALAPADATOK!E7," ",ALAPADATOK!F7," ",ALAPADATOK!G7," ",ALAPADATOK!H7)</f>
        <v>9.4.1.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CONCATENATE(KV_9.4.sz.mell!B2)</f>
        <v>Dabasi Egyesített Óvodák</v>
      </c>
      <c r="C2" s="324" t="s">
        <v>423</v>
      </c>
    </row>
    <row r="3" spans="1:3" s="412" customFormat="1" ht="24.75" thickBot="1">
      <c r="A3" s="406" t="s">
        <v>197</v>
      </c>
      <c r="B3" s="543" t="s">
        <v>409</v>
      </c>
      <c r="C3" s="325" t="s">
        <v>58</v>
      </c>
    </row>
    <row r="4" spans="1:3" s="413" customFormat="1" ht="15.95" customHeight="1" thickBot="1">
      <c r="A4" s="184"/>
      <c r="B4" s="184"/>
      <c r="C4" s="185">
        <f ca="1">KV_9.4.sz.mell!C4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374420000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374420000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374420000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374420000</v>
      </c>
    </row>
    <row r="46" spans="1:3" ht="12" customHeight="1">
      <c r="A46" s="408" t="s">
        <v>95</v>
      </c>
      <c r="B46" s="9" t="s">
        <v>48</v>
      </c>
      <c r="C46" s="57">
        <v>287655000</v>
      </c>
    </row>
    <row r="47" spans="1:3" ht="12" customHeight="1">
      <c r="A47" s="408" t="s">
        <v>96</v>
      </c>
      <c r="B47" s="8" t="s">
        <v>178</v>
      </c>
      <c r="C47" s="60">
        <v>56073000</v>
      </c>
    </row>
    <row r="48" spans="1:3" ht="12" customHeight="1">
      <c r="A48" s="408" t="s">
        <v>97</v>
      </c>
      <c r="B48" s="8" t="s">
        <v>135</v>
      </c>
      <c r="C48" s="60">
        <v>30692000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374420000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87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H60"/>
  <sheetViews>
    <sheetView zoomScale="120" zoomScaleNormal="120" workbookViewId="0">
      <selection activeCell="B4" sqref="B4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CONCATENATE(ALAPADATOK!P15,"2. melléklet ",ALAPADATOK!A7," ",ALAPADATOK!B7," ",ALAPADATOK!C7," ",ALAPADATOK!D7," ",ALAPADATOK!E7," ",ALAPADATOK!F7," ",ALAPADATOK!G7," ",ALAPADATOK!H7)</f>
        <v>9.4.2.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CONCATENATE(KV_9.4.1.sz.mell!B2)</f>
        <v>Dabasi Egyesített Óvodák</v>
      </c>
      <c r="C2" s="324" t="s">
        <v>423</v>
      </c>
    </row>
    <row r="3" spans="1:3" s="412" customFormat="1" ht="24.75" thickBot="1">
      <c r="A3" s="406" t="s">
        <v>197</v>
      </c>
      <c r="B3" s="543" t="s">
        <v>410</v>
      </c>
      <c r="C3" s="325" t="s">
        <v>59</v>
      </c>
    </row>
    <row r="4" spans="1:3" s="413" customFormat="1" ht="15.95" customHeight="1" thickBot="1">
      <c r="A4" s="184"/>
      <c r="B4" s="697" t="s">
        <v>711</v>
      </c>
      <c r="C4" s="185">
        <f ca="1">KV_9.4.1.sz.mell!C4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8" s="415" customFormat="1" ht="12" customHeight="1">
      <c r="A17" s="408" t="s">
        <v>111</v>
      </c>
      <c r="B17" s="8" t="s">
        <v>277</v>
      </c>
      <c r="C17" s="273"/>
    </row>
    <row r="18" spans="1:8" s="415" customFormat="1" ht="12" customHeight="1">
      <c r="A18" s="408" t="s">
        <v>112</v>
      </c>
      <c r="B18" s="8" t="s">
        <v>428</v>
      </c>
      <c r="C18" s="274"/>
    </row>
    <row r="19" spans="1:8" s="415" customFormat="1" ht="12" customHeight="1" thickBot="1">
      <c r="A19" s="408" t="s">
        <v>113</v>
      </c>
      <c r="B19" s="7" t="s">
        <v>278</v>
      </c>
      <c r="C19" s="274"/>
    </row>
    <row r="20" spans="1:8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8" s="415" customFormat="1" ht="12" customHeight="1">
      <c r="A21" s="408" t="s">
        <v>101</v>
      </c>
      <c r="B21" s="9" t="s">
        <v>252</v>
      </c>
      <c r="C21" s="273"/>
      <c r="H21" s="698"/>
    </row>
    <row r="22" spans="1:8" s="415" customFormat="1" ht="12" customHeight="1">
      <c r="A22" s="408" t="s">
        <v>102</v>
      </c>
      <c r="B22" s="8" t="s">
        <v>394</v>
      </c>
      <c r="C22" s="273"/>
    </row>
    <row r="23" spans="1:8" s="415" customFormat="1" ht="12" customHeight="1">
      <c r="A23" s="408" t="s">
        <v>103</v>
      </c>
      <c r="B23" s="8" t="s">
        <v>395</v>
      </c>
      <c r="C23" s="273"/>
    </row>
    <row r="24" spans="1:8" s="415" customFormat="1" ht="12" customHeight="1" thickBot="1">
      <c r="A24" s="408" t="s">
        <v>104</v>
      </c>
      <c r="B24" s="8" t="s">
        <v>517</v>
      </c>
      <c r="C24" s="273"/>
    </row>
    <row r="25" spans="1:8" s="415" customFormat="1" ht="12" customHeight="1" thickBot="1">
      <c r="A25" s="172" t="s">
        <v>19</v>
      </c>
      <c r="B25" s="98" t="s">
        <v>169</v>
      </c>
      <c r="C25" s="301"/>
    </row>
    <row r="26" spans="1:8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8" s="415" customFormat="1" ht="12" customHeight="1">
      <c r="A27" s="409" t="s">
        <v>262</v>
      </c>
      <c r="B27" s="410" t="s">
        <v>394</v>
      </c>
      <c r="C27" s="57"/>
    </row>
    <row r="28" spans="1:8" s="415" customFormat="1" ht="12" customHeight="1">
      <c r="A28" s="409" t="s">
        <v>263</v>
      </c>
      <c r="B28" s="411" t="s">
        <v>397</v>
      </c>
      <c r="C28" s="276"/>
    </row>
    <row r="29" spans="1:8" s="415" customFormat="1" ht="12" customHeight="1" thickBot="1">
      <c r="A29" s="408" t="s">
        <v>264</v>
      </c>
      <c r="B29" s="115" t="s">
        <v>518</v>
      </c>
      <c r="C29" s="64"/>
    </row>
    <row r="30" spans="1:8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8" s="415" customFormat="1" ht="12" customHeight="1">
      <c r="A31" s="409" t="s">
        <v>88</v>
      </c>
      <c r="B31" s="410" t="s">
        <v>283</v>
      </c>
      <c r="C31" s="57"/>
    </row>
    <row r="32" spans="1:8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B4" sqref="B4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CONCATENATE(ALAPADATOK!P15,"3. melléklet ",ALAPADATOK!A7," ",ALAPADATOK!B7," ",ALAPADATOK!C7," ",ALAPADATOK!D7," ",ALAPADATOK!E7," ",ALAPADATOK!F7," ",ALAPADATOK!G7," ",ALAPADATOK!H7)</f>
        <v>9.4.3.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CONCATENATE(KV_9.4.2.sz.mell!B2)</f>
        <v>Dabasi Egyesített Óvodák</v>
      </c>
      <c r="C2" s="324" t="s">
        <v>423</v>
      </c>
    </row>
    <row r="3" spans="1:3" s="412" customFormat="1" ht="24.75" thickBot="1">
      <c r="A3" s="406" t="s">
        <v>197</v>
      </c>
      <c r="B3" s="543" t="s">
        <v>522</v>
      </c>
      <c r="C3" s="325" t="s">
        <v>423</v>
      </c>
    </row>
    <row r="4" spans="1:3" s="413" customFormat="1" ht="15.95" customHeight="1" thickBot="1">
      <c r="A4" s="184"/>
      <c r="B4" s="697" t="s">
        <v>711</v>
      </c>
      <c r="C4" s="185">
        <f ca="1">KV_9.4.2.sz.mell!C4</f>
        <v>0</v>
      </c>
    </row>
    <row r="5" spans="1:3" ht="13.5" thickBot="1">
      <c r="A5" s="366" t="s">
        <v>199</v>
      </c>
      <c r="B5" s="186" t="s">
        <v>554</v>
      </c>
      <c r="C5" s="506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M61" sqref="M61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CONCATENATE(ALAPADATOK!P17," melléklet ",ALAPADATOK!A7," ",ALAPADATOK!B7," ",ALAPADATOK!C7," ",ALAPADATOK!D7," ",ALAPADATOK!E7," ",ALAPADATOK!F7," ",ALAPADATOK!G7," ",ALAPADATOK!H7)</f>
        <v>9.5. melléklet a 5 / 2020 ( (II.18.) ) önkormányzati rendelethez</v>
      </c>
    </row>
    <row r="2" spans="1:3" s="412" customFormat="1" ht="36">
      <c r="A2" s="365" t="s">
        <v>198</v>
      </c>
      <c r="B2" s="542" t="str">
        <f ca="1">CONCATENATE(ALAPADATOK!B17)</f>
        <v>Dr. Halász Géza Szakorvosi Rendelőintézet</v>
      </c>
      <c r="C2" s="324" t="s">
        <v>592</v>
      </c>
    </row>
    <row r="3" spans="1:3" s="412" customFormat="1" ht="24.75" thickBot="1">
      <c r="A3" s="406" t="s">
        <v>197</v>
      </c>
      <c r="B3" s="543" t="s">
        <v>390</v>
      </c>
      <c r="C3" s="325" t="s">
        <v>53</v>
      </c>
    </row>
    <row r="4" spans="1:3" s="413" customFormat="1" ht="15.95" customHeight="1" thickBot="1">
      <c r="A4" s="184"/>
      <c r="B4" s="184"/>
      <c r="C4" s="185">
        <f ca="1">KV_9.2.3.sz.mell!C4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33920000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>
        <v>31200000</v>
      </c>
    </row>
    <row r="11" spans="1:3" s="326" customFormat="1" ht="12" customHeight="1">
      <c r="A11" s="408" t="s">
        <v>97</v>
      </c>
      <c r="B11" s="8" t="s">
        <v>271</v>
      </c>
      <c r="C11" s="273">
        <v>2000000</v>
      </c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>
        <v>720000</v>
      </c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1039000000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>
        <v>1039000000</v>
      </c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1072920000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30000000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30000000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1102920000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1090220000</v>
      </c>
    </row>
    <row r="46" spans="1:3" ht="12" customHeight="1">
      <c r="A46" s="408" t="s">
        <v>95</v>
      </c>
      <c r="B46" s="9" t="s">
        <v>48</v>
      </c>
      <c r="C46" s="57">
        <v>435000000</v>
      </c>
    </row>
    <row r="47" spans="1:3" ht="12" customHeight="1">
      <c r="A47" s="408" t="s">
        <v>96</v>
      </c>
      <c r="B47" s="8" t="s">
        <v>178</v>
      </c>
      <c r="C47" s="60">
        <v>80297000</v>
      </c>
    </row>
    <row r="48" spans="1:3" ht="12" customHeight="1">
      <c r="A48" s="408" t="s">
        <v>97</v>
      </c>
      <c r="B48" s="8" t="s">
        <v>135</v>
      </c>
      <c r="C48" s="60">
        <v>569923000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>
        <v>5000000</v>
      </c>
    </row>
    <row r="51" spans="1:3" ht="12" customHeight="1" thickBot="1">
      <c r="A51" s="172" t="s">
        <v>18</v>
      </c>
      <c r="B51" s="98" t="s">
        <v>408</v>
      </c>
      <c r="C51" s="275">
        <f>SUM(C52:C54)</f>
        <v>12700000</v>
      </c>
    </row>
    <row r="52" spans="1:3" s="416" customFormat="1" ht="12" customHeight="1">
      <c r="A52" s="408" t="s">
        <v>101</v>
      </c>
      <c r="B52" s="9" t="s">
        <v>224</v>
      </c>
      <c r="C52" s="57">
        <v>12700000</v>
      </c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1102920000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187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B4" sqref="B4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CONCATENATE(ALAPADATOK!P17,"1. melléklet ",ALAPADATOK!A7," ",ALAPADATOK!B7," ",ALAPADATOK!C7," ",ALAPADATOK!D7," ",ALAPADATOK!E7," ",ALAPADATOK!F7," ",ALAPADATOK!G7," ",ALAPADATOK!H7)</f>
        <v>9.5.1.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CONCATENATE(KV_9.5.sz.mell!B2)</f>
        <v>Dr. Halász Géza Szakorvosi Rendelőintézet</v>
      </c>
      <c r="C2" s="324" t="s">
        <v>592</v>
      </c>
    </row>
    <row r="3" spans="1:3" s="412" customFormat="1" ht="24.75" thickBot="1">
      <c r="A3" s="406" t="s">
        <v>197</v>
      </c>
      <c r="B3" s="543" t="s">
        <v>409</v>
      </c>
      <c r="C3" s="325" t="s">
        <v>58</v>
      </c>
    </row>
    <row r="4" spans="1:3" s="413" customFormat="1" ht="15.95" customHeight="1" thickBot="1">
      <c r="A4" s="184"/>
      <c r="B4" s="697" t="s">
        <v>711</v>
      </c>
      <c r="C4" s="185">
        <f ca="1">KV_9.5.sz.mell!C4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L56" sqref="L56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CONCATENATE(ALAPADATOK!P17,"2. melléklet ",ALAPADATOK!A7," ",ALAPADATOK!B7," ",ALAPADATOK!C7," ",ALAPADATOK!D7," ",ALAPADATOK!E7," ",ALAPADATOK!F7," ",ALAPADATOK!G7," ",ALAPADATOK!H7)</f>
        <v>9.5.2.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CONCATENATE(KV_9.5.1.sz.mell!B2)</f>
        <v>Dr. Halász Géza Szakorvosi Rendelőintézet</v>
      </c>
      <c r="C2" s="324"/>
    </row>
    <row r="3" spans="1:3" s="412" customFormat="1" ht="24.75" thickBot="1">
      <c r="A3" s="406" t="s">
        <v>197</v>
      </c>
      <c r="B3" s="543" t="s">
        <v>410</v>
      </c>
      <c r="C3" s="325" t="s">
        <v>59</v>
      </c>
    </row>
    <row r="4" spans="1:3" s="413" customFormat="1" ht="15.95" customHeight="1" thickBot="1">
      <c r="A4" s="184"/>
      <c r="B4" s="184"/>
      <c r="C4" s="185">
        <f ca="1">KV_9.5.1.sz.mell!C4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33920000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>
        <v>31200000</v>
      </c>
    </row>
    <row r="11" spans="1:3" s="326" customFormat="1" ht="12" customHeight="1">
      <c r="A11" s="408" t="s">
        <v>97</v>
      </c>
      <c r="B11" s="8" t="s">
        <v>271</v>
      </c>
      <c r="C11" s="273">
        <v>2000000</v>
      </c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>
        <v>720000</v>
      </c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1039000000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>
        <v>1039000000</v>
      </c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1072920000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30000000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30000000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1102920000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1090220000</v>
      </c>
    </row>
    <row r="46" spans="1:3" ht="12" customHeight="1">
      <c r="A46" s="408" t="s">
        <v>95</v>
      </c>
      <c r="B46" s="9" t="s">
        <v>48</v>
      </c>
      <c r="C46" s="57">
        <v>435000000</v>
      </c>
    </row>
    <row r="47" spans="1:3" ht="12" customHeight="1">
      <c r="A47" s="408" t="s">
        <v>96</v>
      </c>
      <c r="B47" s="8" t="s">
        <v>178</v>
      </c>
      <c r="C47" s="60">
        <v>80297000</v>
      </c>
    </row>
    <row r="48" spans="1:3" ht="12" customHeight="1">
      <c r="A48" s="408" t="s">
        <v>97</v>
      </c>
      <c r="B48" s="8" t="s">
        <v>135</v>
      </c>
      <c r="C48" s="60">
        <v>569923000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>
        <v>5000000</v>
      </c>
    </row>
    <row r="51" spans="1:3" ht="12" customHeight="1" thickBot="1">
      <c r="A51" s="172" t="s">
        <v>18</v>
      </c>
      <c r="B51" s="98" t="s">
        <v>408</v>
      </c>
      <c r="C51" s="275">
        <f>SUM(C52:C54)</f>
        <v>12700000</v>
      </c>
    </row>
    <row r="52" spans="1:3" s="416" customFormat="1" ht="12" customHeight="1">
      <c r="A52" s="408" t="s">
        <v>101</v>
      </c>
      <c r="B52" s="9" t="s">
        <v>224</v>
      </c>
      <c r="C52" s="57">
        <v>12700000</v>
      </c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1102920000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187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F20" sqref="F20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CONCATENATE(ALAPADATOK!P17,"3. melléklet ",ALAPADATOK!A7," ",ALAPADATOK!B7," ",ALAPADATOK!C7," ",ALAPADATOK!D7," ",ALAPADATOK!E7," ",ALAPADATOK!F7," ",ALAPADATOK!G7," ",ALAPADATOK!H7)</f>
        <v>9.5.3.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CONCATENATE(KV_9.5.2.sz.mell!B2)</f>
        <v>Dr. Halász Géza Szakorvosi Rendelőintézet</v>
      </c>
      <c r="C2" s="324" t="s">
        <v>592</v>
      </c>
    </row>
    <row r="3" spans="1:3" s="412" customFormat="1" ht="24.75" thickBot="1">
      <c r="A3" s="406" t="s">
        <v>197</v>
      </c>
      <c r="B3" s="543" t="s">
        <v>522</v>
      </c>
      <c r="C3" s="325" t="s">
        <v>423</v>
      </c>
    </row>
    <row r="4" spans="1:3" s="413" customFormat="1" ht="15.95" customHeight="1" thickBot="1">
      <c r="A4" s="184"/>
      <c r="B4" s="697" t="s">
        <v>711</v>
      </c>
      <c r="C4" s="185">
        <f ca="1">KV_9.5.2.sz.mell!C4</f>
        <v>0</v>
      </c>
    </row>
    <row r="5" spans="1:3" ht="13.5" thickBot="1">
      <c r="A5" s="366" t="s">
        <v>199</v>
      </c>
      <c r="B5" s="186" t="s">
        <v>554</v>
      </c>
      <c r="C5" s="506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40" sqref="C40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CONCATENATE(ALAPADATOK!P19," melléklet ",ALAPADATOK!A7," ",ALAPADATOK!B7," ",ALAPADATOK!C7," ",ALAPADATOK!D7," ",ALAPADATOK!E7," ",ALAPADATOK!F7," ",ALAPADATOK!G7," ",ALAPADATOK!H7)</f>
        <v>9.6. melléklet a 5 / 2020 ( (II.18.) ) önkormányzati rendelethez</v>
      </c>
    </row>
    <row r="2" spans="1:3" s="412" customFormat="1" ht="36">
      <c r="A2" s="365" t="s">
        <v>198</v>
      </c>
      <c r="B2" s="542" t="str">
        <f ca="1">CONCATENATE(ALAPADATOK!B19)</f>
        <v>Dabasi Intézményfenntartó Központ</v>
      </c>
      <c r="C2" s="324" t="s">
        <v>593</v>
      </c>
    </row>
    <row r="3" spans="1:3" s="412" customFormat="1" ht="24.75" thickBot="1">
      <c r="A3" s="406" t="s">
        <v>197</v>
      </c>
      <c r="B3" s="543" t="s">
        <v>390</v>
      </c>
      <c r="C3" s="325" t="s">
        <v>53</v>
      </c>
    </row>
    <row r="4" spans="1:3" s="413" customFormat="1" ht="15.95" customHeight="1" thickBot="1">
      <c r="A4" s="184"/>
      <c r="B4" s="184"/>
      <c r="C4" s="185">
        <f ca="1">KV_9.2.3.sz.mell!C4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111986567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>
        <v>30551181</v>
      </c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>
        <v>57627218</v>
      </c>
    </row>
    <row r="14" spans="1:3" s="326" customFormat="1" ht="12" customHeight="1">
      <c r="A14" s="408" t="s">
        <v>99</v>
      </c>
      <c r="B14" s="8" t="s">
        <v>391</v>
      </c>
      <c r="C14" s="273">
        <v>23808168</v>
      </c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111986567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265188264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265188264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377174831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377174831</v>
      </c>
    </row>
    <row r="46" spans="1:3" ht="12" customHeight="1">
      <c r="A46" s="408" t="s">
        <v>95</v>
      </c>
      <c r="B46" s="9" t="s">
        <v>48</v>
      </c>
      <c r="C46" s="57">
        <v>124827200</v>
      </c>
    </row>
    <row r="47" spans="1:3" ht="12" customHeight="1">
      <c r="A47" s="408" t="s">
        <v>96</v>
      </c>
      <c r="B47" s="8" t="s">
        <v>178</v>
      </c>
      <c r="C47" s="60">
        <v>22558438</v>
      </c>
    </row>
    <row r="48" spans="1:3" ht="12" customHeight="1">
      <c r="A48" s="408" t="s">
        <v>97</v>
      </c>
      <c r="B48" s="8" t="s">
        <v>135</v>
      </c>
      <c r="C48" s="60">
        <v>229789193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377174831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40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horizontalDpi="360" verticalDpi="36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59" sqref="C59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CONCATENATE(ALAPADATOK!P19,"1. melléklet ",ALAPADATOK!A7," ",ALAPADATOK!B7," ",ALAPADATOK!C7," ",ALAPADATOK!D7," ",ALAPADATOK!E7," ",ALAPADATOK!F7," ",ALAPADATOK!G7," ",ALAPADATOK!H7)</f>
        <v>9.6.1.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CONCATENATE(KV_9.6.sz.mell!B2)</f>
        <v>Dabasi Intézményfenntartó Központ</v>
      </c>
      <c r="C2" s="324" t="s">
        <v>593</v>
      </c>
    </row>
    <row r="3" spans="1:3" s="412" customFormat="1" ht="24.75" thickBot="1">
      <c r="A3" s="406" t="s">
        <v>197</v>
      </c>
      <c r="B3" s="543" t="s">
        <v>409</v>
      </c>
      <c r="C3" s="325" t="s">
        <v>58</v>
      </c>
    </row>
    <row r="4" spans="1:3" s="413" customFormat="1" ht="15.95" customHeight="1" thickBot="1">
      <c r="A4" s="184"/>
      <c r="B4" s="184"/>
      <c r="C4" s="185">
        <f ca="1">KV_9.6.sz.mell!C4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111986567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>
        <v>30551181</v>
      </c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>
        <v>57627218</v>
      </c>
    </row>
    <row r="14" spans="1:3" s="326" customFormat="1" ht="12" customHeight="1">
      <c r="A14" s="408" t="s">
        <v>99</v>
      </c>
      <c r="B14" s="8" t="s">
        <v>391</v>
      </c>
      <c r="C14" s="273">
        <v>23808168</v>
      </c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111986567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162755564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162755564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274742131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274742131</v>
      </c>
    </row>
    <row r="46" spans="1:3" ht="12" customHeight="1">
      <c r="A46" s="408" t="s">
        <v>95</v>
      </c>
      <c r="B46" s="9" t="s">
        <v>48</v>
      </c>
      <c r="C46" s="57">
        <v>75362500</v>
      </c>
    </row>
    <row r="47" spans="1:3" ht="12" customHeight="1">
      <c r="A47" s="408" t="s">
        <v>96</v>
      </c>
      <c r="B47" s="8" t="s">
        <v>178</v>
      </c>
      <c r="C47" s="60">
        <v>12663438</v>
      </c>
    </row>
    <row r="48" spans="1:3" ht="12" customHeight="1">
      <c r="A48" s="408" t="s">
        <v>97</v>
      </c>
      <c r="B48" s="8" t="s">
        <v>135</v>
      </c>
      <c r="C48" s="60">
        <v>186716193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274742131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27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34" zoomScale="120" zoomScaleNormal="120" workbookViewId="0">
      <selection activeCell="C63" sqref="C63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CONCATENATE(ALAPADATOK!P19,"2. melléklet ",ALAPADATOK!A7," ",ALAPADATOK!B7," ",ALAPADATOK!C7," ",ALAPADATOK!D7," ",ALAPADATOK!E7," ",ALAPADATOK!F7," ",ALAPADATOK!G7," ",ALAPADATOK!H7)</f>
        <v>9.6.2.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CONCATENATE(KV_9.6.1.sz.mell!B2)</f>
        <v>Dabasi Intézményfenntartó Központ</v>
      </c>
      <c r="C2" s="324" t="s">
        <v>593</v>
      </c>
    </row>
    <row r="3" spans="1:3" s="412" customFormat="1" ht="24.75" thickBot="1">
      <c r="A3" s="406" t="s">
        <v>197</v>
      </c>
      <c r="B3" s="543" t="s">
        <v>410</v>
      </c>
      <c r="C3" s="325" t="s">
        <v>59</v>
      </c>
    </row>
    <row r="4" spans="1:3" s="413" customFormat="1" ht="15.95" customHeight="1" thickBot="1">
      <c r="A4" s="184"/>
      <c r="B4" s="184"/>
      <c r="C4" s="185">
        <f ca="1">KV_9.6.1.sz.mell!C4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102432700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102432700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102432700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102432700</v>
      </c>
    </row>
    <row r="46" spans="1:3" ht="12" customHeight="1">
      <c r="A46" s="408" t="s">
        <v>95</v>
      </c>
      <c r="B46" s="9" t="s">
        <v>48</v>
      </c>
      <c r="C46" s="57">
        <v>49464700</v>
      </c>
    </row>
    <row r="47" spans="1:3" ht="12" customHeight="1">
      <c r="A47" s="408" t="s">
        <v>96</v>
      </c>
      <c r="B47" s="8" t="s">
        <v>178</v>
      </c>
      <c r="C47" s="60">
        <v>9895000</v>
      </c>
    </row>
    <row r="48" spans="1:3" ht="12" customHeight="1">
      <c r="A48" s="408" t="s">
        <v>97</v>
      </c>
      <c r="B48" s="8" t="s">
        <v>135</v>
      </c>
      <c r="C48" s="60">
        <v>43073000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102432700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13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8" sqref="C8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CONCATENATE(ALAPADATOK!P19,"3. melléklet ",ALAPADATOK!A7," ",ALAPADATOK!B7," ",ALAPADATOK!C7," ",ALAPADATOK!D7," ",ALAPADATOK!E7," ",ALAPADATOK!F7," ",ALAPADATOK!G7," ",ALAPADATOK!H7)</f>
        <v>9.6.3.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CONCATENATE(KV_9.6.2.sz.mell!B2)</f>
        <v>Dabasi Intézményfenntartó Központ</v>
      </c>
      <c r="C2" s="324" t="s">
        <v>593</v>
      </c>
    </row>
    <row r="3" spans="1:3" s="412" customFormat="1" ht="24.75" thickBot="1">
      <c r="A3" s="406" t="s">
        <v>197</v>
      </c>
      <c r="B3" s="543" t="s">
        <v>522</v>
      </c>
      <c r="C3" s="325" t="s">
        <v>423</v>
      </c>
    </row>
    <row r="4" spans="1:3" s="413" customFormat="1" ht="15.95" customHeight="1" thickBot="1">
      <c r="A4" s="184"/>
      <c r="B4" s="697" t="s">
        <v>711</v>
      </c>
      <c r="C4" s="185">
        <f ca="1">KV_9.6.2.sz.mell!C4</f>
        <v>0</v>
      </c>
    </row>
    <row r="5" spans="1:3" ht="13.5" thickBot="1">
      <c r="A5" s="366" t="s">
        <v>199</v>
      </c>
      <c r="B5" s="186" t="s">
        <v>554</v>
      </c>
      <c r="C5" s="506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699" t="s">
        <v>392</v>
      </c>
      <c r="C15" s="273"/>
    </row>
    <row r="16" spans="1:3" s="326" customFormat="1" ht="12" customHeight="1">
      <c r="A16" s="408" t="s">
        <v>110</v>
      </c>
      <c r="B16" s="700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92D050"/>
  </sheetPr>
  <dimension ref="A1:E60"/>
  <sheetViews>
    <sheetView zoomScale="120" zoomScaleNormal="120" workbookViewId="0">
      <selection activeCell="G59" sqref="G59"/>
    </sheetView>
  </sheetViews>
  <sheetFormatPr defaultRowHeight="12.75"/>
  <cols>
    <col min="1" max="1" width="13.83203125" style="201" customWidth="1"/>
    <col min="2" max="2" width="79.1640625" style="202" customWidth="1"/>
    <col min="3" max="3" width="14.33203125" style="202" customWidth="1"/>
    <col min="4" max="4" width="14.6640625" style="202" customWidth="1"/>
    <col min="5" max="5" width="12.6640625" style="202" customWidth="1"/>
    <col min="6" max="16384" width="9.33203125" style="202"/>
  </cols>
  <sheetData>
    <row r="1" spans="1:5" s="182" customFormat="1" ht="21.2" customHeight="1" thickBot="1">
      <c r="A1" s="181"/>
      <c r="B1" s="183"/>
      <c r="C1" s="544" t="str">
        <f ca="1">CONCATENATE(ALAPADATOK!P21," melléklet ",ALAPADATOK!A7," ",ALAPADATOK!B7," ",ALAPADATOK!C7," ",ALAPADATOK!D7," ",ALAPADATOK!E7," ",ALAPADATOK!F7," ",ALAPADATOK!G7," ",ALAPADATOK!H7)</f>
        <v>9.7. melléklet a 5 / 2020 ( (II.18.) ) önkormányzati rendelethez</v>
      </c>
      <c r="D1" s="544"/>
      <c r="E1" s="544"/>
    </row>
    <row r="2" spans="1:5" s="412" customFormat="1" ht="36">
      <c r="A2" s="365" t="s">
        <v>198</v>
      </c>
      <c r="B2" s="542" t="str">
        <f ca="1">CONCATENATE(ALAPADATOK!B21)</f>
        <v>Kossuth Művelődési Központ és Halász Boldizsár Város Könyvtár</v>
      </c>
      <c r="C2" s="324" t="s">
        <v>594</v>
      </c>
      <c r="D2" s="324"/>
      <c r="E2" s="324"/>
    </row>
    <row r="3" spans="1:5" s="412" customFormat="1" ht="24.75" thickBot="1">
      <c r="A3" s="406" t="s">
        <v>197</v>
      </c>
      <c r="B3" s="543" t="s">
        <v>390</v>
      </c>
      <c r="C3" s="325" t="s">
        <v>53</v>
      </c>
      <c r="D3" s="325"/>
      <c r="E3" s="325"/>
    </row>
    <row r="4" spans="1:5" s="413" customFormat="1" ht="15.95" customHeight="1" thickBot="1">
      <c r="A4" s="184"/>
      <c r="B4" s="184"/>
      <c r="C4" s="185"/>
      <c r="D4" s="185"/>
      <c r="E4" s="185" t="s">
        <v>783</v>
      </c>
    </row>
    <row r="5" spans="1:5" ht="24.75" thickBot="1">
      <c r="A5" s="366" t="s">
        <v>199</v>
      </c>
      <c r="B5" s="186" t="s">
        <v>554</v>
      </c>
      <c r="C5" s="187" t="s">
        <v>54</v>
      </c>
      <c r="D5" s="187" t="s">
        <v>780</v>
      </c>
      <c r="E5" s="187" t="s">
        <v>781</v>
      </c>
    </row>
    <row r="6" spans="1:5" s="414" customFormat="1" ht="12.95" customHeight="1" thickBot="1">
      <c r="A6" s="164"/>
      <c r="B6" s="165" t="s">
        <v>485</v>
      </c>
      <c r="C6" s="166" t="s">
        <v>486</v>
      </c>
      <c r="D6" s="166" t="s">
        <v>486</v>
      </c>
      <c r="E6" s="166" t="s">
        <v>486</v>
      </c>
    </row>
    <row r="7" spans="1:5" s="414" customFormat="1" ht="15.95" customHeight="1" thickBot="1">
      <c r="A7" s="188"/>
      <c r="B7" s="189" t="s">
        <v>55</v>
      </c>
      <c r="C7" s="190"/>
      <c r="D7" s="190"/>
      <c r="E7" s="190"/>
    </row>
    <row r="8" spans="1:5" s="326" customFormat="1" ht="12" customHeight="1" thickBot="1">
      <c r="A8" s="164" t="s">
        <v>17</v>
      </c>
      <c r="B8" s="191" t="s">
        <v>512</v>
      </c>
      <c r="C8" s="275">
        <f>SUM(C9:C19)</f>
        <v>3800000</v>
      </c>
      <c r="D8" s="275">
        <f>SUM(D9:D19)</f>
        <v>0</v>
      </c>
      <c r="E8" s="275">
        <f>SUM(E9:E19)</f>
        <v>3800000</v>
      </c>
    </row>
    <row r="9" spans="1:5" s="326" customFormat="1" ht="12" customHeight="1">
      <c r="A9" s="407" t="s">
        <v>95</v>
      </c>
      <c r="B9" s="10" t="s">
        <v>269</v>
      </c>
      <c r="C9" s="316"/>
      <c r="D9" s="316"/>
      <c r="E9" s="316"/>
    </row>
    <row r="10" spans="1:5" s="326" customFormat="1" ht="12" customHeight="1">
      <c r="A10" s="408" t="s">
        <v>96</v>
      </c>
      <c r="B10" s="8" t="s">
        <v>270</v>
      </c>
      <c r="C10" s="273">
        <v>3800000</v>
      </c>
      <c r="D10" s="273"/>
      <c r="E10" s="273">
        <v>3800000</v>
      </c>
    </row>
    <row r="11" spans="1:5" s="326" customFormat="1" ht="12" customHeight="1">
      <c r="A11" s="408" t="s">
        <v>97</v>
      </c>
      <c r="B11" s="8" t="s">
        <v>271</v>
      </c>
      <c r="C11" s="273"/>
      <c r="D11" s="273"/>
      <c r="E11" s="273"/>
    </row>
    <row r="12" spans="1:5" s="326" customFormat="1" ht="12" customHeight="1">
      <c r="A12" s="408" t="s">
        <v>98</v>
      </c>
      <c r="B12" s="8" t="s">
        <v>272</v>
      </c>
      <c r="C12" s="273"/>
      <c r="D12" s="273"/>
      <c r="E12" s="273"/>
    </row>
    <row r="13" spans="1:5" s="326" customFormat="1" ht="12" customHeight="1">
      <c r="A13" s="408" t="s">
        <v>143</v>
      </c>
      <c r="B13" s="8" t="s">
        <v>273</v>
      </c>
      <c r="C13" s="273"/>
      <c r="D13" s="273"/>
      <c r="E13" s="273"/>
    </row>
    <row r="14" spans="1:5" s="326" customFormat="1" ht="12" customHeight="1">
      <c r="A14" s="408" t="s">
        <v>99</v>
      </c>
      <c r="B14" s="8" t="s">
        <v>391</v>
      </c>
      <c r="C14" s="273"/>
      <c r="D14" s="273"/>
      <c r="E14" s="273"/>
    </row>
    <row r="15" spans="1:5" s="326" customFormat="1" ht="12" customHeight="1">
      <c r="A15" s="408" t="s">
        <v>100</v>
      </c>
      <c r="B15" s="7" t="s">
        <v>392</v>
      </c>
      <c r="C15" s="273"/>
      <c r="D15" s="273"/>
      <c r="E15" s="273"/>
    </row>
    <row r="16" spans="1:5" s="326" customFormat="1" ht="12" customHeight="1">
      <c r="A16" s="408" t="s">
        <v>110</v>
      </c>
      <c r="B16" s="8" t="s">
        <v>276</v>
      </c>
      <c r="C16" s="317"/>
      <c r="D16" s="317"/>
      <c r="E16" s="317"/>
    </row>
    <row r="17" spans="1:5" s="415" customFormat="1" ht="12" customHeight="1">
      <c r="A17" s="408" t="s">
        <v>111</v>
      </c>
      <c r="B17" s="8" t="s">
        <v>277</v>
      </c>
      <c r="C17" s="273"/>
      <c r="D17" s="273"/>
      <c r="E17" s="273"/>
    </row>
    <row r="18" spans="1:5" s="415" customFormat="1" ht="12" customHeight="1">
      <c r="A18" s="408" t="s">
        <v>112</v>
      </c>
      <c r="B18" s="8" t="s">
        <v>428</v>
      </c>
      <c r="C18" s="274"/>
      <c r="D18" s="274"/>
      <c r="E18" s="274"/>
    </row>
    <row r="19" spans="1:5" s="415" customFormat="1" ht="12" customHeight="1" thickBot="1">
      <c r="A19" s="408" t="s">
        <v>113</v>
      </c>
      <c r="B19" s="7" t="s">
        <v>278</v>
      </c>
      <c r="C19" s="274"/>
      <c r="D19" s="274"/>
      <c r="E19" s="274"/>
    </row>
    <row r="20" spans="1:5" s="326" customFormat="1" ht="12" customHeight="1" thickBot="1">
      <c r="A20" s="164" t="s">
        <v>18</v>
      </c>
      <c r="B20" s="191" t="s">
        <v>393</v>
      </c>
      <c r="C20" s="275">
        <f>SUM(C21:C23)</f>
        <v>0</v>
      </c>
      <c r="D20" s="275">
        <f>SUM(D21:D23)</f>
        <v>0</v>
      </c>
      <c r="E20" s="275">
        <f>SUM(E21:E23)</f>
        <v>0</v>
      </c>
    </row>
    <row r="21" spans="1:5" s="415" customFormat="1" ht="12" customHeight="1">
      <c r="A21" s="408" t="s">
        <v>101</v>
      </c>
      <c r="B21" s="9" t="s">
        <v>252</v>
      </c>
      <c r="C21" s="273"/>
      <c r="D21" s="273"/>
      <c r="E21" s="273"/>
    </row>
    <row r="22" spans="1:5" s="415" customFormat="1" ht="12" customHeight="1">
      <c r="A22" s="408" t="s">
        <v>102</v>
      </c>
      <c r="B22" s="8" t="s">
        <v>394</v>
      </c>
      <c r="C22" s="273"/>
      <c r="D22" s="273"/>
      <c r="E22" s="273"/>
    </row>
    <row r="23" spans="1:5" s="415" customFormat="1" ht="12" customHeight="1">
      <c r="A23" s="408" t="s">
        <v>103</v>
      </c>
      <c r="B23" s="8" t="s">
        <v>395</v>
      </c>
      <c r="C23" s="273"/>
      <c r="D23" s="273"/>
      <c r="E23" s="273"/>
    </row>
    <row r="24" spans="1:5" s="415" customFormat="1" ht="12" customHeight="1" thickBot="1">
      <c r="A24" s="408" t="s">
        <v>104</v>
      </c>
      <c r="B24" s="8" t="s">
        <v>517</v>
      </c>
      <c r="C24" s="273"/>
      <c r="D24" s="273"/>
      <c r="E24" s="273"/>
    </row>
    <row r="25" spans="1:5" s="415" customFormat="1" ht="12" customHeight="1" thickBot="1">
      <c r="A25" s="172" t="s">
        <v>19</v>
      </c>
      <c r="B25" s="98" t="s">
        <v>169</v>
      </c>
      <c r="C25" s="301"/>
      <c r="D25" s="301"/>
      <c r="E25" s="301"/>
    </row>
    <row r="26" spans="1:5" s="415" customFormat="1" ht="12" customHeight="1" thickBot="1">
      <c r="A26" s="172" t="s">
        <v>20</v>
      </c>
      <c r="B26" s="98" t="s">
        <v>396</v>
      </c>
      <c r="C26" s="275">
        <f>+C27+C28</f>
        <v>0</v>
      </c>
      <c r="D26" s="275">
        <f>+D27+D28</f>
        <v>0</v>
      </c>
      <c r="E26" s="275">
        <f>+E27+E28</f>
        <v>0</v>
      </c>
    </row>
    <row r="27" spans="1:5" s="415" customFormat="1" ht="12" customHeight="1">
      <c r="A27" s="409" t="s">
        <v>262</v>
      </c>
      <c r="B27" s="410" t="s">
        <v>394</v>
      </c>
      <c r="C27" s="57"/>
      <c r="D27" s="57"/>
      <c r="E27" s="57"/>
    </row>
    <row r="28" spans="1:5" s="415" customFormat="1" ht="12" customHeight="1">
      <c r="A28" s="409" t="s">
        <v>263</v>
      </c>
      <c r="B28" s="411" t="s">
        <v>397</v>
      </c>
      <c r="C28" s="276"/>
      <c r="D28" s="276"/>
      <c r="E28" s="276"/>
    </row>
    <row r="29" spans="1:5" s="415" customFormat="1" ht="12" customHeight="1" thickBot="1">
      <c r="A29" s="408" t="s">
        <v>264</v>
      </c>
      <c r="B29" s="115" t="s">
        <v>518</v>
      </c>
      <c r="C29" s="64"/>
      <c r="D29" s="64"/>
      <c r="E29" s="64"/>
    </row>
    <row r="30" spans="1:5" s="415" customFormat="1" ht="12" customHeight="1" thickBot="1">
      <c r="A30" s="172" t="s">
        <v>21</v>
      </c>
      <c r="B30" s="98" t="s">
        <v>398</v>
      </c>
      <c r="C30" s="275">
        <f>+C31+C32+C33</f>
        <v>0</v>
      </c>
      <c r="D30" s="275">
        <f>+D31+D32+D33</f>
        <v>0</v>
      </c>
      <c r="E30" s="275">
        <f>+E31+E32+E33</f>
        <v>0</v>
      </c>
    </row>
    <row r="31" spans="1:5" s="415" customFormat="1" ht="12" customHeight="1">
      <c r="A31" s="409" t="s">
        <v>88</v>
      </c>
      <c r="B31" s="410" t="s">
        <v>283</v>
      </c>
      <c r="C31" s="57"/>
      <c r="D31" s="57"/>
      <c r="E31" s="57"/>
    </row>
    <row r="32" spans="1:5" s="415" customFormat="1" ht="12" customHeight="1">
      <c r="A32" s="409" t="s">
        <v>89</v>
      </c>
      <c r="B32" s="411" t="s">
        <v>284</v>
      </c>
      <c r="C32" s="276"/>
      <c r="D32" s="276"/>
      <c r="E32" s="276"/>
    </row>
    <row r="33" spans="1:5" s="415" customFormat="1" ht="12" customHeight="1" thickBot="1">
      <c r="A33" s="408" t="s">
        <v>90</v>
      </c>
      <c r="B33" s="115" t="s">
        <v>285</v>
      </c>
      <c r="C33" s="64"/>
      <c r="D33" s="64"/>
      <c r="E33" s="64"/>
    </row>
    <row r="34" spans="1:5" s="326" customFormat="1" ht="12" customHeight="1" thickBot="1">
      <c r="A34" s="172" t="s">
        <v>22</v>
      </c>
      <c r="B34" s="98" t="s">
        <v>368</v>
      </c>
      <c r="C34" s="301"/>
      <c r="D34" s="301"/>
      <c r="E34" s="301"/>
    </row>
    <row r="35" spans="1:5" s="326" customFormat="1" ht="12" customHeight="1" thickBot="1">
      <c r="A35" s="172" t="s">
        <v>23</v>
      </c>
      <c r="B35" s="98" t="s">
        <v>399</v>
      </c>
      <c r="C35" s="318"/>
      <c r="D35" s="318"/>
      <c r="E35" s="318"/>
    </row>
    <row r="36" spans="1:5" s="326" customFormat="1" ht="12" customHeight="1" thickBot="1">
      <c r="A36" s="164" t="s">
        <v>24</v>
      </c>
      <c r="B36" s="98" t="s">
        <v>519</v>
      </c>
      <c r="C36" s="319">
        <f>+C8+C20+C25+C26+C30+C34+C35</f>
        <v>3800000</v>
      </c>
      <c r="D36" s="319">
        <f>+D8+D20+D25+D26+D30+D34+D35</f>
        <v>0</v>
      </c>
      <c r="E36" s="319">
        <f>+E8+E20+E25+E26+E30+E34+E35</f>
        <v>3800000</v>
      </c>
    </row>
    <row r="37" spans="1:5" s="326" customFormat="1" ht="12" customHeight="1" thickBot="1">
      <c r="A37" s="192" t="s">
        <v>25</v>
      </c>
      <c r="B37" s="98" t="s">
        <v>401</v>
      </c>
      <c r="C37" s="319">
        <f>+C38+C39+C40</f>
        <v>42253389</v>
      </c>
      <c r="D37" s="319">
        <f>+D38+D39+D40</f>
        <v>0</v>
      </c>
      <c r="E37" s="319">
        <f>+E38+E39+E40</f>
        <v>42253389</v>
      </c>
    </row>
    <row r="38" spans="1:5" s="326" customFormat="1" ht="12" customHeight="1">
      <c r="A38" s="409" t="s">
        <v>402</v>
      </c>
      <c r="B38" s="410" t="s">
        <v>230</v>
      </c>
      <c r="C38" s="57"/>
      <c r="D38" s="57"/>
      <c r="E38" s="57"/>
    </row>
    <row r="39" spans="1:5" s="326" customFormat="1" ht="12" customHeight="1">
      <c r="A39" s="409" t="s">
        <v>403</v>
      </c>
      <c r="B39" s="411" t="s">
        <v>2</v>
      </c>
      <c r="C39" s="276"/>
      <c r="D39" s="276"/>
      <c r="E39" s="276"/>
    </row>
    <row r="40" spans="1:5" s="415" customFormat="1" ht="12" customHeight="1" thickBot="1">
      <c r="A40" s="408" t="s">
        <v>404</v>
      </c>
      <c r="B40" s="115" t="s">
        <v>405</v>
      </c>
      <c r="C40" s="64">
        <v>42253389</v>
      </c>
      <c r="D40" s="64"/>
      <c r="E40" s="64">
        <v>42253389</v>
      </c>
    </row>
    <row r="41" spans="1:5" s="415" customFormat="1" ht="15.2" customHeight="1" thickBot="1">
      <c r="A41" s="192" t="s">
        <v>26</v>
      </c>
      <c r="B41" s="193" t="s">
        <v>406</v>
      </c>
      <c r="C41" s="322">
        <f>+C36+C37</f>
        <v>46053389</v>
      </c>
      <c r="D41" s="322">
        <f>+D36+D37</f>
        <v>0</v>
      </c>
      <c r="E41" s="322">
        <f>+E36+E37</f>
        <v>46053389</v>
      </c>
    </row>
    <row r="42" spans="1:5" s="415" customFormat="1" ht="15.2" customHeight="1">
      <c r="A42" s="194"/>
      <c r="B42" s="195"/>
      <c r="C42" s="320"/>
      <c r="D42" s="320"/>
      <c r="E42" s="320"/>
    </row>
    <row r="43" spans="1:5" ht="13.5" thickBot="1">
      <c r="A43" s="196"/>
      <c r="B43" s="197"/>
      <c r="C43" s="321"/>
      <c r="D43" s="321"/>
      <c r="E43" s="321"/>
    </row>
    <row r="44" spans="1:5" s="414" customFormat="1" ht="16.5" customHeight="1" thickBot="1">
      <c r="A44" s="198"/>
      <c r="B44" s="199" t="s">
        <v>56</v>
      </c>
      <c r="C44" s="322"/>
      <c r="D44" s="322"/>
      <c r="E44" s="322"/>
    </row>
    <row r="45" spans="1:5" s="416" customFormat="1" ht="12" customHeight="1" thickBot="1">
      <c r="A45" s="172" t="s">
        <v>17</v>
      </c>
      <c r="B45" s="98" t="s">
        <v>407</v>
      </c>
      <c r="C45" s="275">
        <f>SUM(C46:C50)</f>
        <v>46053389</v>
      </c>
      <c r="D45" s="275">
        <f>SUM(D46:D50)</f>
        <v>-2533185</v>
      </c>
      <c r="E45" s="275">
        <f>SUM(E46:E50)</f>
        <v>43520204</v>
      </c>
    </row>
    <row r="46" spans="1:5" ht="12" customHeight="1">
      <c r="A46" s="408" t="s">
        <v>95</v>
      </c>
      <c r="B46" s="9" t="s">
        <v>48</v>
      </c>
      <c r="C46" s="57">
        <v>27736344</v>
      </c>
      <c r="D46" s="57"/>
      <c r="E46" s="60">
        <f>C46+D46</f>
        <v>27736344</v>
      </c>
    </row>
    <row r="47" spans="1:5" ht="12" customHeight="1">
      <c r="A47" s="408" t="s">
        <v>96</v>
      </c>
      <c r="B47" s="8" t="s">
        <v>178</v>
      </c>
      <c r="C47" s="60">
        <v>4853860</v>
      </c>
      <c r="D47" s="60"/>
      <c r="E47" s="60">
        <f>C47+D47</f>
        <v>4853860</v>
      </c>
    </row>
    <row r="48" spans="1:5" ht="12" customHeight="1">
      <c r="A48" s="408" t="s">
        <v>97</v>
      </c>
      <c r="B48" s="8" t="s">
        <v>135</v>
      </c>
      <c r="C48" s="60">
        <v>13463185</v>
      </c>
      <c r="D48" s="60">
        <v>-2533185</v>
      </c>
      <c r="E48" s="60">
        <f>C48+D48</f>
        <v>10930000</v>
      </c>
    </row>
    <row r="49" spans="1:5" ht="12" customHeight="1">
      <c r="A49" s="408" t="s">
        <v>98</v>
      </c>
      <c r="B49" s="8" t="s">
        <v>179</v>
      </c>
      <c r="C49" s="60"/>
      <c r="D49" s="60"/>
      <c r="E49" s="60"/>
    </row>
    <row r="50" spans="1:5" ht="12" customHeight="1" thickBot="1">
      <c r="A50" s="408" t="s">
        <v>143</v>
      </c>
      <c r="B50" s="8" t="s">
        <v>180</v>
      </c>
      <c r="C50" s="60"/>
      <c r="D50" s="60"/>
      <c r="E50" s="60"/>
    </row>
    <row r="51" spans="1:5" ht="12" customHeight="1" thickBot="1">
      <c r="A51" s="172" t="s">
        <v>18</v>
      </c>
      <c r="B51" s="98" t="s">
        <v>408</v>
      </c>
      <c r="C51" s="275">
        <f>SUM(C52:C54)</f>
        <v>0</v>
      </c>
      <c r="D51" s="275">
        <f>SUM(D52:D54)</f>
        <v>2533185</v>
      </c>
      <c r="E51" s="275">
        <f>SUM(E52:E54)</f>
        <v>2533185</v>
      </c>
    </row>
    <row r="52" spans="1:5" s="416" customFormat="1" ht="12" customHeight="1">
      <c r="A52" s="408" t="s">
        <v>101</v>
      </c>
      <c r="B52" s="9" t="s">
        <v>224</v>
      </c>
      <c r="C52" s="57"/>
      <c r="D52" s="57">
        <v>2533185</v>
      </c>
      <c r="E52" s="57">
        <f>C52+D52</f>
        <v>2533185</v>
      </c>
    </row>
    <row r="53" spans="1:5" ht="12" customHeight="1">
      <c r="A53" s="408" t="s">
        <v>102</v>
      </c>
      <c r="B53" s="8" t="s">
        <v>182</v>
      </c>
      <c r="C53" s="60"/>
      <c r="D53" s="60"/>
      <c r="E53" s="57">
        <f>C53+D53</f>
        <v>0</v>
      </c>
    </row>
    <row r="54" spans="1:5" ht="12" customHeight="1">
      <c r="A54" s="408" t="s">
        <v>103</v>
      </c>
      <c r="B54" s="8" t="s">
        <v>57</v>
      </c>
      <c r="C54" s="60"/>
      <c r="D54" s="60"/>
      <c r="E54" s="57">
        <f>C54+D54</f>
        <v>0</v>
      </c>
    </row>
    <row r="55" spans="1:5" ht="12" customHeight="1" thickBot="1">
      <c r="A55" s="408" t="s">
        <v>104</v>
      </c>
      <c r="B55" s="8" t="s">
        <v>516</v>
      </c>
      <c r="C55" s="60"/>
      <c r="D55" s="60"/>
      <c r="E55" s="57"/>
    </row>
    <row r="56" spans="1:5" ht="15.2" customHeight="1" thickBot="1">
      <c r="A56" s="172" t="s">
        <v>19</v>
      </c>
      <c r="B56" s="98" t="s">
        <v>13</v>
      </c>
      <c r="C56" s="301"/>
      <c r="D56" s="301"/>
      <c r="E56" s="301"/>
    </row>
    <row r="57" spans="1:5" ht="13.5" thickBot="1">
      <c r="A57" s="172" t="s">
        <v>20</v>
      </c>
      <c r="B57" s="200" t="s">
        <v>521</v>
      </c>
      <c r="C57" s="323">
        <f>+C45+C51+C56</f>
        <v>46053389</v>
      </c>
      <c r="D57" s="323">
        <f>+D45+D51+D56</f>
        <v>0</v>
      </c>
      <c r="E57" s="323">
        <f>+E45+E51+E56</f>
        <v>46053389</v>
      </c>
    </row>
    <row r="58" spans="1:5" ht="15.2" customHeight="1" thickBot="1">
      <c r="C58" s="576">
        <f>C41-C57</f>
        <v>0</v>
      </c>
      <c r="D58" s="576">
        <f>D41-D57</f>
        <v>0</v>
      </c>
      <c r="E58" s="576">
        <f>E41-E57</f>
        <v>0</v>
      </c>
    </row>
    <row r="59" spans="1:5" ht="14.45" customHeight="1" thickBot="1">
      <c r="A59" s="203" t="s">
        <v>511</v>
      </c>
      <c r="B59" s="204"/>
      <c r="C59" s="95">
        <v>9</v>
      </c>
      <c r="D59" s="95"/>
      <c r="E59" s="95">
        <v>9</v>
      </c>
    </row>
    <row r="60" spans="1:5" ht="13.5" thickBot="1">
      <c r="A60" s="203" t="s">
        <v>200</v>
      </c>
      <c r="B60" s="204"/>
      <c r="C60" s="95"/>
      <c r="D60" s="95"/>
      <c r="E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0" orientation="portrait" horizontalDpi="360" verticalDpi="36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J52" sqref="J52:J53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CONCATENATE(ALAPADATOK!P21,"1. melléklet ",ALAPADATOK!A7," ",ALAPADATOK!B7," ",ALAPADATOK!C7," ",ALAPADATOK!D7," ",ALAPADATOK!E7," ",ALAPADATOK!F7," ",ALAPADATOK!G7," ",ALAPADATOK!H7)</f>
        <v>9.7.1.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CONCATENATE(KV_9.7.sz.mell!B2)</f>
        <v>Kossuth Művelődési Központ és Halász Boldizsár Város Könyvtár</v>
      </c>
      <c r="C2" s="324" t="s">
        <v>594</v>
      </c>
    </row>
    <row r="3" spans="1:3" s="412" customFormat="1" ht="24.75" thickBot="1">
      <c r="A3" s="406" t="s">
        <v>197</v>
      </c>
      <c r="B3" s="543" t="s">
        <v>409</v>
      </c>
      <c r="C3" s="325" t="s">
        <v>58</v>
      </c>
    </row>
    <row r="4" spans="1:3" s="413" customFormat="1" ht="15.95" customHeight="1" thickBot="1">
      <c r="A4" s="184"/>
      <c r="B4" s="184"/>
      <c r="C4" s="185">
        <f ca="1">KV_9.7.sz.mell!C4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3800000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>
        <v>3800000</v>
      </c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3800000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42253389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>
        <v>42253389</v>
      </c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46053389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46053389</v>
      </c>
    </row>
    <row r="46" spans="1:3" ht="12" customHeight="1">
      <c r="A46" s="408" t="s">
        <v>95</v>
      </c>
      <c r="B46" s="9" t="s">
        <v>48</v>
      </c>
      <c r="C46" s="57">
        <v>27736344</v>
      </c>
    </row>
    <row r="47" spans="1:3" ht="12" customHeight="1">
      <c r="A47" s="408" t="s">
        <v>96</v>
      </c>
      <c r="B47" s="8" t="s">
        <v>178</v>
      </c>
      <c r="C47" s="60">
        <v>4853860</v>
      </c>
    </row>
    <row r="48" spans="1:3" ht="12" customHeight="1">
      <c r="A48" s="408" t="s">
        <v>97</v>
      </c>
      <c r="B48" s="8" t="s">
        <v>135</v>
      </c>
      <c r="C48" s="60">
        <v>13463185</v>
      </c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46053389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>
        <v>9</v>
      </c>
    </row>
    <row r="60" spans="1:3" ht="13.5" thickBot="1">
      <c r="A60" s="203" t="s">
        <v>200</v>
      </c>
      <c r="B60" s="204"/>
      <c r="C60" s="9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B4" sqref="B4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CONCATENATE(ALAPADATOK!P21,"2. melléklet ",ALAPADATOK!A7," ",ALAPADATOK!B7," ",ALAPADATOK!C7," ",ALAPADATOK!D7," ",ALAPADATOK!E7," ",ALAPADATOK!F7," ",ALAPADATOK!G7," ",ALAPADATOK!H7)</f>
        <v>9.7.2.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CONCATENATE(KV_9.7.1.sz.mell!B2)</f>
        <v>Kossuth Művelődési Központ és Halász Boldizsár Város Könyvtár</v>
      </c>
      <c r="C2" s="324" t="s">
        <v>594</v>
      </c>
    </row>
    <row r="3" spans="1:3" s="412" customFormat="1" ht="24.75" thickBot="1">
      <c r="A3" s="406" t="s">
        <v>197</v>
      </c>
      <c r="B3" s="543" t="s">
        <v>410</v>
      </c>
      <c r="C3" s="325" t="s">
        <v>59</v>
      </c>
    </row>
    <row r="4" spans="1:3" s="413" customFormat="1" ht="15.95" customHeight="1" thickBot="1">
      <c r="A4" s="184"/>
      <c r="B4" s="697" t="s">
        <v>711</v>
      </c>
      <c r="C4" s="185">
        <f ca="1">KV_9.7.1.sz.mell!C4</f>
        <v>0</v>
      </c>
    </row>
    <row r="5" spans="1:3" ht="13.5" thickBot="1">
      <c r="A5" s="366" t="s">
        <v>199</v>
      </c>
      <c r="B5" s="186" t="s">
        <v>554</v>
      </c>
      <c r="C5" s="187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18" sqref="E18"/>
    </sheetView>
  </sheetViews>
  <sheetFormatPr defaultRowHeight="12.75"/>
  <cols>
    <col min="1" max="1" width="13.83203125" style="201" customWidth="1"/>
    <col min="2" max="2" width="79.1640625" style="202" customWidth="1"/>
    <col min="3" max="3" width="25" style="202" customWidth="1"/>
    <col min="4" max="16384" width="9.33203125" style="202"/>
  </cols>
  <sheetData>
    <row r="1" spans="1:3" s="182" customFormat="1" ht="21.2" customHeight="1" thickBot="1">
      <c r="A1" s="181"/>
      <c r="B1" s="183"/>
      <c r="C1" s="544" t="str">
        <f ca="1">CONCATENATE(ALAPADATOK!P21,"3. melléklet ",ALAPADATOK!A7," ",ALAPADATOK!B7," ",ALAPADATOK!C7," ",ALAPADATOK!D7," ",ALAPADATOK!E7," ",ALAPADATOK!F7," ",ALAPADATOK!G7," ",ALAPADATOK!H7)</f>
        <v>9.7.3. melléklet a 5 / 2020 ( (II.18.) ) önkormányzati rendelethez</v>
      </c>
    </row>
    <row r="2" spans="1:3" s="412" customFormat="1" ht="36">
      <c r="A2" s="365" t="s">
        <v>198</v>
      </c>
      <c r="B2" s="542" t="str">
        <f ca="1">CONCATENATE(KV_9.7.2.sz.mell!B2)</f>
        <v>Kossuth Művelődési Központ és Halász Boldizsár Város Könyvtár</v>
      </c>
      <c r="C2" s="324" t="s">
        <v>594</v>
      </c>
    </row>
    <row r="3" spans="1:3" s="412" customFormat="1" ht="24.75" thickBot="1">
      <c r="A3" s="406" t="s">
        <v>197</v>
      </c>
      <c r="B3" s="543" t="s">
        <v>522</v>
      </c>
      <c r="C3" s="325" t="s">
        <v>423</v>
      </c>
    </row>
    <row r="4" spans="1:3" s="413" customFormat="1" ht="15.95" customHeight="1" thickBot="1">
      <c r="A4" s="184"/>
      <c r="B4" s="697" t="s">
        <v>711</v>
      </c>
      <c r="C4" s="185">
        <f ca="1">KV_9.7.2.sz.mell!C4</f>
        <v>0</v>
      </c>
    </row>
    <row r="5" spans="1:3" ht="13.5" thickBot="1">
      <c r="A5" s="366" t="s">
        <v>199</v>
      </c>
      <c r="B5" s="186" t="s">
        <v>554</v>
      </c>
      <c r="C5" s="506" t="s">
        <v>54</v>
      </c>
    </row>
    <row r="6" spans="1:3" s="414" customFormat="1" ht="12.95" customHeight="1" thickBot="1">
      <c r="A6" s="164"/>
      <c r="B6" s="165" t="s">
        <v>485</v>
      </c>
      <c r="C6" s="166" t="s">
        <v>486</v>
      </c>
    </row>
    <row r="7" spans="1:3" s="414" customFormat="1" ht="15.95" customHeight="1" thickBot="1">
      <c r="A7" s="188"/>
      <c r="B7" s="189" t="s">
        <v>55</v>
      </c>
      <c r="C7" s="190"/>
    </row>
    <row r="8" spans="1:3" s="326" customFormat="1" ht="12" customHeight="1" thickBot="1">
      <c r="A8" s="164" t="s">
        <v>17</v>
      </c>
      <c r="B8" s="191" t="s">
        <v>512</v>
      </c>
      <c r="C8" s="275">
        <f>SUM(C9:C19)</f>
        <v>0</v>
      </c>
    </row>
    <row r="9" spans="1:3" s="326" customFormat="1" ht="12" customHeight="1">
      <c r="A9" s="407" t="s">
        <v>95</v>
      </c>
      <c r="B9" s="10" t="s">
        <v>269</v>
      </c>
      <c r="C9" s="316"/>
    </row>
    <row r="10" spans="1:3" s="326" customFormat="1" ht="12" customHeight="1">
      <c r="A10" s="408" t="s">
        <v>96</v>
      </c>
      <c r="B10" s="8" t="s">
        <v>270</v>
      </c>
      <c r="C10" s="273"/>
    </row>
    <row r="11" spans="1:3" s="326" customFormat="1" ht="12" customHeight="1">
      <c r="A11" s="408" t="s">
        <v>97</v>
      </c>
      <c r="B11" s="8" t="s">
        <v>271</v>
      </c>
      <c r="C11" s="273"/>
    </row>
    <row r="12" spans="1:3" s="326" customFormat="1" ht="12" customHeight="1">
      <c r="A12" s="408" t="s">
        <v>98</v>
      </c>
      <c r="B12" s="8" t="s">
        <v>272</v>
      </c>
      <c r="C12" s="273"/>
    </row>
    <row r="13" spans="1:3" s="326" customFormat="1" ht="12" customHeight="1">
      <c r="A13" s="408" t="s">
        <v>143</v>
      </c>
      <c r="B13" s="8" t="s">
        <v>273</v>
      </c>
      <c r="C13" s="273"/>
    </row>
    <row r="14" spans="1:3" s="326" customFormat="1" ht="12" customHeight="1">
      <c r="A14" s="408" t="s">
        <v>99</v>
      </c>
      <c r="B14" s="8" t="s">
        <v>391</v>
      </c>
      <c r="C14" s="273"/>
    </row>
    <row r="15" spans="1:3" s="326" customFormat="1" ht="12" customHeight="1">
      <c r="A15" s="408" t="s">
        <v>100</v>
      </c>
      <c r="B15" s="7" t="s">
        <v>392</v>
      </c>
      <c r="C15" s="273"/>
    </row>
    <row r="16" spans="1:3" s="326" customFormat="1" ht="12" customHeight="1">
      <c r="A16" s="408" t="s">
        <v>110</v>
      </c>
      <c r="B16" s="8" t="s">
        <v>276</v>
      </c>
      <c r="C16" s="317"/>
    </row>
    <row r="17" spans="1:3" s="415" customFormat="1" ht="12" customHeight="1">
      <c r="A17" s="408" t="s">
        <v>111</v>
      </c>
      <c r="B17" s="8" t="s">
        <v>277</v>
      </c>
      <c r="C17" s="273"/>
    </row>
    <row r="18" spans="1:3" s="415" customFormat="1" ht="12" customHeight="1">
      <c r="A18" s="408" t="s">
        <v>112</v>
      </c>
      <c r="B18" s="8" t="s">
        <v>428</v>
      </c>
      <c r="C18" s="274"/>
    </row>
    <row r="19" spans="1:3" s="415" customFormat="1" ht="12" customHeight="1" thickBot="1">
      <c r="A19" s="408" t="s">
        <v>113</v>
      </c>
      <c r="B19" s="7" t="s">
        <v>278</v>
      </c>
      <c r="C19" s="274"/>
    </row>
    <row r="20" spans="1:3" s="326" customFormat="1" ht="12" customHeight="1" thickBot="1">
      <c r="A20" s="164" t="s">
        <v>18</v>
      </c>
      <c r="B20" s="191" t="s">
        <v>393</v>
      </c>
      <c r="C20" s="275">
        <f>SUM(C21:C23)</f>
        <v>0</v>
      </c>
    </row>
    <row r="21" spans="1:3" s="415" customFormat="1" ht="12" customHeight="1">
      <c r="A21" s="408" t="s">
        <v>101</v>
      </c>
      <c r="B21" s="9" t="s">
        <v>252</v>
      </c>
      <c r="C21" s="273"/>
    </row>
    <row r="22" spans="1:3" s="415" customFormat="1" ht="12" customHeight="1">
      <c r="A22" s="408" t="s">
        <v>102</v>
      </c>
      <c r="B22" s="8" t="s">
        <v>394</v>
      </c>
      <c r="C22" s="273"/>
    </row>
    <row r="23" spans="1:3" s="415" customFormat="1" ht="12" customHeight="1">
      <c r="A23" s="408" t="s">
        <v>103</v>
      </c>
      <c r="B23" s="8" t="s">
        <v>395</v>
      </c>
      <c r="C23" s="273"/>
    </row>
    <row r="24" spans="1:3" s="415" customFormat="1" ht="12" customHeight="1" thickBot="1">
      <c r="A24" s="408" t="s">
        <v>104</v>
      </c>
      <c r="B24" s="8" t="s">
        <v>517</v>
      </c>
      <c r="C24" s="273"/>
    </row>
    <row r="25" spans="1:3" s="415" customFormat="1" ht="12" customHeight="1" thickBot="1">
      <c r="A25" s="172" t="s">
        <v>19</v>
      </c>
      <c r="B25" s="98" t="s">
        <v>169</v>
      </c>
      <c r="C25" s="301"/>
    </row>
    <row r="26" spans="1:3" s="415" customFormat="1" ht="12" customHeight="1" thickBot="1">
      <c r="A26" s="172" t="s">
        <v>20</v>
      </c>
      <c r="B26" s="98" t="s">
        <v>396</v>
      </c>
      <c r="C26" s="275">
        <f>+C27+C28</f>
        <v>0</v>
      </c>
    </row>
    <row r="27" spans="1:3" s="415" customFormat="1" ht="12" customHeight="1">
      <c r="A27" s="409" t="s">
        <v>262</v>
      </c>
      <c r="B27" s="410" t="s">
        <v>394</v>
      </c>
      <c r="C27" s="57"/>
    </row>
    <row r="28" spans="1:3" s="415" customFormat="1" ht="12" customHeight="1">
      <c r="A28" s="409" t="s">
        <v>263</v>
      </c>
      <c r="B28" s="411" t="s">
        <v>397</v>
      </c>
      <c r="C28" s="276"/>
    </row>
    <row r="29" spans="1:3" s="415" customFormat="1" ht="12" customHeight="1" thickBot="1">
      <c r="A29" s="408" t="s">
        <v>264</v>
      </c>
      <c r="B29" s="115" t="s">
        <v>518</v>
      </c>
      <c r="C29" s="64"/>
    </row>
    <row r="30" spans="1:3" s="415" customFormat="1" ht="12" customHeight="1" thickBot="1">
      <c r="A30" s="172" t="s">
        <v>21</v>
      </c>
      <c r="B30" s="98" t="s">
        <v>398</v>
      </c>
      <c r="C30" s="275">
        <f>+C31+C32+C33</f>
        <v>0</v>
      </c>
    </row>
    <row r="31" spans="1:3" s="415" customFormat="1" ht="12" customHeight="1">
      <c r="A31" s="409" t="s">
        <v>88</v>
      </c>
      <c r="B31" s="410" t="s">
        <v>283</v>
      </c>
      <c r="C31" s="57"/>
    </row>
    <row r="32" spans="1:3" s="415" customFormat="1" ht="12" customHeight="1">
      <c r="A32" s="409" t="s">
        <v>89</v>
      </c>
      <c r="B32" s="411" t="s">
        <v>284</v>
      </c>
      <c r="C32" s="276"/>
    </row>
    <row r="33" spans="1:3" s="415" customFormat="1" ht="12" customHeight="1" thickBot="1">
      <c r="A33" s="408" t="s">
        <v>90</v>
      </c>
      <c r="B33" s="115" t="s">
        <v>285</v>
      </c>
      <c r="C33" s="64"/>
    </row>
    <row r="34" spans="1:3" s="326" customFormat="1" ht="12" customHeight="1" thickBot="1">
      <c r="A34" s="172" t="s">
        <v>22</v>
      </c>
      <c r="B34" s="98" t="s">
        <v>368</v>
      </c>
      <c r="C34" s="301"/>
    </row>
    <row r="35" spans="1:3" s="326" customFormat="1" ht="12" customHeight="1" thickBot="1">
      <c r="A35" s="172" t="s">
        <v>23</v>
      </c>
      <c r="B35" s="98" t="s">
        <v>399</v>
      </c>
      <c r="C35" s="318"/>
    </row>
    <row r="36" spans="1:3" s="326" customFormat="1" ht="12" customHeight="1" thickBot="1">
      <c r="A36" s="164" t="s">
        <v>24</v>
      </c>
      <c r="B36" s="98" t="s">
        <v>519</v>
      </c>
      <c r="C36" s="319">
        <f>+C8+C20+C25+C26+C30+C34+C35</f>
        <v>0</v>
      </c>
    </row>
    <row r="37" spans="1:3" s="326" customFormat="1" ht="12" customHeight="1" thickBot="1">
      <c r="A37" s="192" t="s">
        <v>25</v>
      </c>
      <c r="B37" s="98" t="s">
        <v>401</v>
      </c>
      <c r="C37" s="319">
        <f>+C38+C39+C40</f>
        <v>0</v>
      </c>
    </row>
    <row r="38" spans="1:3" s="326" customFormat="1" ht="12" customHeight="1">
      <c r="A38" s="409" t="s">
        <v>402</v>
      </c>
      <c r="B38" s="410" t="s">
        <v>230</v>
      </c>
      <c r="C38" s="57"/>
    </row>
    <row r="39" spans="1:3" s="326" customFormat="1" ht="12" customHeight="1">
      <c r="A39" s="409" t="s">
        <v>403</v>
      </c>
      <c r="B39" s="411" t="s">
        <v>2</v>
      </c>
      <c r="C39" s="276"/>
    </row>
    <row r="40" spans="1:3" s="415" customFormat="1" ht="12" customHeight="1" thickBot="1">
      <c r="A40" s="408" t="s">
        <v>404</v>
      </c>
      <c r="B40" s="115" t="s">
        <v>405</v>
      </c>
      <c r="C40" s="64"/>
    </row>
    <row r="41" spans="1:3" s="415" customFormat="1" ht="15.2" customHeight="1" thickBot="1">
      <c r="A41" s="192" t="s">
        <v>26</v>
      </c>
      <c r="B41" s="193" t="s">
        <v>406</v>
      </c>
      <c r="C41" s="322">
        <f>+C36+C37</f>
        <v>0</v>
      </c>
    </row>
    <row r="42" spans="1:3" s="415" customFormat="1" ht="15.2" customHeight="1">
      <c r="A42" s="194"/>
      <c r="B42" s="195"/>
      <c r="C42" s="320"/>
    </row>
    <row r="43" spans="1:3" ht="13.5" thickBot="1">
      <c r="A43" s="196"/>
      <c r="B43" s="197"/>
      <c r="C43" s="321"/>
    </row>
    <row r="44" spans="1:3" s="414" customFormat="1" ht="16.5" customHeight="1" thickBot="1">
      <c r="A44" s="198"/>
      <c r="B44" s="199" t="s">
        <v>56</v>
      </c>
      <c r="C44" s="322"/>
    </row>
    <row r="45" spans="1:3" s="416" customFormat="1" ht="12" customHeight="1" thickBot="1">
      <c r="A45" s="172" t="s">
        <v>17</v>
      </c>
      <c r="B45" s="98" t="s">
        <v>407</v>
      </c>
      <c r="C45" s="275">
        <f>SUM(C46:C50)</f>
        <v>0</v>
      </c>
    </row>
    <row r="46" spans="1:3" ht="12" customHeight="1">
      <c r="A46" s="408" t="s">
        <v>95</v>
      </c>
      <c r="B46" s="9" t="s">
        <v>48</v>
      </c>
      <c r="C46" s="57"/>
    </row>
    <row r="47" spans="1:3" ht="12" customHeight="1">
      <c r="A47" s="408" t="s">
        <v>96</v>
      </c>
      <c r="B47" s="8" t="s">
        <v>178</v>
      </c>
      <c r="C47" s="60"/>
    </row>
    <row r="48" spans="1:3" ht="12" customHeight="1">
      <c r="A48" s="408" t="s">
        <v>97</v>
      </c>
      <c r="B48" s="8" t="s">
        <v>135</v>
      </c>
      <c r="C48" s="60"/>
    </row>
    <row r="49" spans="1:3" ht="12" customHeight="1">
      <c r="A49" s="408" t="s">
        <v>98</v>
      </c>
      <c r="B49" s="8" t="s">
        <v>179</v>
      </c>
      <c r="C49" s="60"/>
    </row>
    <row r="50" spans="1:3" ht="12" customHeight="1" thickBot="1">
      <c r="A50" s="408" t="s">
        <v>143</v>
      </c>
      <c r="B50" s="8" t="s">
        <v>180</v>
      </c>
      <c r="C50" s="60"/>
    </row>
    <row r="51" spans="1:3" ht="12" customHeight="1" thickBot="1">
      <c r="A51" s="172" t="s">
        <v>18</v>
      </c>
      <c r="B51" s="98" t="s">
        <v>408</v>
      </c>
      <c r="C51" s="275">
        <f>SUM(C52:C54)</f>
        <v>0</v>
      </c>
    </row>
    <row r="52" spans="1:3" s="416" customFormat="1" ht="12" customHeight="1">
      <c r="A52" s="408" t="s">
        <v>101</v>
      </c>
      <c r="B52" s="9" t="s">
        <v>224</v>
      </c>
      <c r="C52" s="57"/>
    </row>
    <row r="53" spans="1:3" ht="12" customHeight="1">
      <c r="A53" s="408" t="s">
        <v>102</v>
      </c>
      <c r="B53" s="8" t="s">
        <v>182</v>
      </c>
      <c r="C53" s="60"/>
    </row>
    <row r="54" spans="1:3" ht="12" customHeight="1">
      <c r="A54" s="408" t="s">
        <v>103</v>
      </c>
      <c r="B54" s="8" t="s">
        <v>57</v>
      </c>
      <c r="C54" s="60"/>
    </row>
    <row r="55" spans="1:3" ht="12" customHeight="1" thickBot="1">
      <c r="A55" s="408" t="s">
        <v>104</v>
      </c>
      <c r="B55" s="8" t="s">
        <v>516</v>
      </c>
      <c r="C55" s="60"/>
    </row>
    <row r="56" spans="1:3" ht="15.2" customHeight="1" thickBot="1">
      <c r="A56" s="172" t="s">
        <v>19</v>
      </c>
      <c r="B56" s="98" t="s">
        <v>13</v>
      </c>
      <c r="C56" s="301"/>
    </row>
    <row r="57" spans="1:3" ht="13.5" thickBot="1">
      <c r="A57" s="172" t="s">
        <v>20</v>
      </c>
      <c r="B57" s="200" t="s">
        <v>521</v>
      </c>
      <c r="C57" s="323">
        <f>+C45+C51+C56</f>
        <v>0</v>
      </c>
    </row>
    <row r="58" spans="1:3" ht="15.2" customHeight="1" thickBot="1">
      <c r="C58" s="576">
        <f>C41-C57</f>
        <v>0</v>
      </c>
    </row>
    <row r="59" spans="1:3" ht="14.45" customHeight="1" thickBot="1">
      <c r="A59" s="203" t="s">
        <v>511</v>
      </c>
      <c r="B59" s="204"/>
      <c r="C59" s="95"/>
    </row>
    <row r="60" spans="1:3" ht="13.5" thickBot="1">
      <c r="A60" s="203" t="s">
        <v>200</v>
      </c>
      <c r="B60" s="204"/>
      <c r="C60" s="95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92D050"/>
  </sheetPr>
  <dimension ref="A2:G29"/>
  <sheetViews>
    <sheetView zoomScale="120" zoomScaleNormal="120" workbookViewId="0">
      <selection activeCell="H21" sqref="H21"/>
    </sheetView>
  </sheetViews>
  <sheetFormatPr defaultRowHeight="12.75"/>
  <cols>
    <col min="1" max="1" width="5.5" style="40" customWidth="1"/>
    <col min="2" max="2" width="33.1640625" style="40" customWidth="1"/>
    <col min="3" max="3" width="12.33203125" style="40" customWidth="1"/>
    <col min="4" max="4" width="11.5" style="40" customWidth="1"/>
    <col min="5" max="5" width="11.33203125" style="40" customWidth="1"/>
    <col min="6" max="6" width="11" style="40" customWidth="1"/>
    <col min="7" max="7" width="14.33203125" style="40" customWidth="1"/>
    <col min="8" max="16384" width="9.33203125" style="40"/>
  </cols>
  <sheetData>
    <row r="2" spans="1:7" ht="15">
      <c r="B2" s="821" t="str">
        <f ca="1">CONCATENATE("10. melléklet ",ALAPADATOK!A7," ",ALAPADATOK!B7," ",ALAPADATOK!C7," ",ALAPADATOK!D7," ",ALAPADATOK!E7," ",ALAPADATOK!F7," ",ALAPADATOK!G7," ",ALAPADATOK!H7)</f>
        <v>10. melléklet a 5 / 2020 ( (II.18.) ) önkormányzati rendelethez</v>
      </c>
      <c r="C2" s="821"/>
      <c r="D2" s="821"/>
      <c r="E2" s="821"/>
      <c r="F2" s="821"/>
      <c r="G2" s="821"/>
    </row>
    <row r="4" spans="1:7" ht="43.5" customHeight="1">
      <c r="A4" s="820" t="s">
        <v>3</v>
      </c>
      <c r="B4" s="820"/>
      <c r="C4" s="820"/>
      <c r="D4" s="820"/>
      <c r="E4" s="820"/>
      <c r="F4" s="820"/>
      <c r="G4" s="820"/>
    </row>
    <row r="6" spans="1:7" s="133" customFormat="1" ht="27.2" customHeight="1">
      <c r="A6" s="619" t="s">
        <v>204</v>
      </c>
      <c r="C6" s="819" t="s">
        <v>205</v>
      </c>
      <c r="D6" s="819"/>
      <c r="E6" s="819"/>
      <c r="F6" s="819"/>
      <c r="G6" s="819"/>
    </row>
    <row r="7" spans="1:7" s="133" customFormat="1" ht="15.75"/>
    <row r="8" spans="1:7" s="133" customFormat="1" ht="24.75" customHeight="1">
      <c r="A8" s="619" t="s">
        <v>206</v>
      </c>
      <c r="C8" s="819" t="s">
        <v>205</v>
      </c>
      <c r="D8" s="819"/>
      <c r="E8" s="819"/>
      <c r="F8" s="819"/>
    </row>
    <row r="9" spans="1:7" s="134" customFormat="1"/>
    <row r="10" spans="1:7" s="135" customFormat="1" ht="15.2" customHeight="1">
      <c r="A10" s="220" t="s">
        <v>556</v>
      </c>
      <c r="B10" s="219"/>
      <c r="C10" s="219"/>
      <c r="D10" s="219"/>
      <c r="E10" s="219"/>
      <c r="F10" s="219"/>
      <c r="G10" s="219"/>
    </row>
    <row r="11" spans="1:7" s="135" customFormat="1" ht="15.2" customHeight="1" thickBot="1">
      <c r="A11" s="220" t="s">
        <v>207</v>
      </c>
      <c r="B11" s="219"/>
      <c r="C11" s="219"/>
      <c r="D11" s="219"/>
      <c r="E11" s="219"/>
      <c r="F11" s="219"/>
      <c r="G11" s="611">
        <f ca="1">KV_9.3.3.sz.mell!C4</f>
        <v>0</v>
      </c>
    </row>
    <row r="12" spans="1:7" s="56" customFormat="1" ht="42" customHeight="1" thickBot="1">
      <c r="A12" s="161" t="s">
        <v>15</v>
      </c>
      <c r="B12" s="162" t="s">
        <v>208</v>
      </c>
      <c r="C12" s="162" t="s">
        <v>209</v>
      </c>
      <c r="D12" s="162" t="s">
        <v>210</v>
      </c>
      <c r="E12" s="162" t="s">
        <v>211</v>
      </c>
      <c r="F12" s="162" t="s">
        <v>212</v>
      </c>
      <c r="G12" s="163" t="s">
        <v>52</v>
      </c>
    </row>
    <row r="13" spans="1:7" ht="24" customHeight="1">
      <c r="A13" s="206" t="s">
        <v>17</v>
      </c>
      <c r="B13" s="170" t="s">
        <v>213</v>
      </c>
      <c r="C13" s="136"/>
      <c r="D13" s="136"/>
      <c r="E13" s="136"/>
      <c r="F13" s="136"/>
      <c r="G13" s="207">
        <f>SUM(C13:F13)</f>
        <v>0</v>
      </c>
    </row>
    <row r="14" spans="1:7" ht="24" customHeight="1">
      <c r="A14" s="208" t="s">
        <v>18</v>
      </c>
      <c r="B14" s="171" t="s">
        <v>214</v>
      </c>
      <c r="C14" s="137"/>
      <c r="D14" s="137"/>
      <c r="E14" s="137"/>
      <c r="F14" s="137"/>
      <c r="G14" s="209">
        <f t="shared" ref="G14:G19" si="0">SUM(C14:F14)</f>
        <v>0</v>
      </c>
    </row>
    <row r="15" spans="1:7" ht="24" customHeight="1">
      <c r="A15" s="208" t="s">
        <v>19</v>
      </c>
      <c r="B15" s="171" t="s">
        <v>215</v>
      </c>
      <c r="C15" s="137"/>
      <c r="D15" s="137"/>
      <c r="E15" s="137"/>
      <c r="F15" s="137"/>
      <c r="G15" s="209">
        <f t="shared" si="0"/>
        <v>0</v>
      </c>
    </row>
    <row r="16" spans="1:7" ht="24" customHeight="1">
      <c r="A16" s="208" t="s">
        <v>20</v>
      </c>
      <c r="B16" s="171" t="s">
        <v>216</v>
      </c>
      <c r="C16" s="137"/>
      <c r="D16" s="137"/>
      <c r="E16" s="137"/>
      <c r="F16" s="137"/>
      <c r="G16" s="209">
        <f t="shared" si="0"/>
        <v>0</v>
      </c>
    </row>
    <row r="17" spans="1:7" ht="24" customHeight="1">
      <c r="A17" s="208" t="s">
        <v>21</v>
      </c>
      <c r="B17" s="171" t="s">
        <v>217</v>
      </c>
      <c r="C17" s="137"/>
      <c r="D17" s="137"/>
      <c r="E17" s="137"/>
      <c r="F17" s="137"/>
      <c r="G17" s="209">
        <f t="shared" si="0"/>
        <v>0</v>
      </c>
    </row>
    <row r="18" spans="1:7" ht="24" customHeight="1" thickBot="1">
      <c r="A18" s="210" t="s">
        <v>22</v>
      </c>
      <c r="B18" s="211" t="s">
        <v>218</v>
      </c>
      <c r="C18" s="138"/>
      <c r="D18" s="138"/>
      <c r="E18" s="138"/>
      <c r="F18" s="138"/>
      <c r="G18" s="212">
        <f t="shared" si="0"/>
        <v>0</v>
      </c>
    </row>
    <row r="19" spans="1:7" s="139" customFormat="1" ht="24" customHeight="1" thickBot="1">
      <c r="A19" s="213" t="s">
        <v>23</v>
      </c>
      <c r="B19" s="214" t="s">
        <v>52</v>
      </c>
      <c r="C19" s="215">
        <f>SUM(C13:C18)</f>
        <v>0</v>
      </c>
      <c r="D19" s="215">
        <f>SUM(D13:D18)</f>
        <v>0</v>
      </c>
      <c r="E19" s="215">
        <f>SUM(E13:E18)</f>
        <v>0</v>
      </c>
      <c r="F19" s="215">
        <f>SUM(F13:F18)</f>
        <v>0</v>
      </c>
      <c r="G19" s="216">
        <f t="shared" si="0"/>
        <v>0</v>
      </c>
    </row>
    <row r="20" spans="1:7" s="134" customFormat="1">
      <c r="A20" s="180"/>
      <c r="B20" s="180"/>
      <c r="C20" s="180"/>
      <c r="D20" s="180"/>
      <c r="E20" s="180"/>
      <c r="F20" s="180"/>
      <c r="G20" s="180"/>
    </row>
    <row r="21" spans="1:7" s="134" customFormat="1">
      <c r="A21" s="180"/>
      <c r="B21" s="180"/>
      <c r="C21" s="180"/>
      <c r="D21" s="180"/>
      <c r="E21" s="180"/>
      <c r="F21" s="180"/>
      <c r="G21" s="180"/>
    </row>
    <row r="22" spans="1:7" s="134" customFormat="1">
      <c r="A22" s="180"/>
      <c r="B22" s="180"/>
      <c r="C22" s="180"/>
      <c r="D22" s="180"/>
      <c r="E22" s="180"/>
      <c r="F22" s="180"/>
      <c r="G22" s="180"/>
    </row>
    <row r="23" spans="1:7" s="134" customFormat="1" ht="15.75">
      <c r="A23" s="133" t="str">
        <f ca="1">+CONCATENATE("......................, ",LEFT(KV_ÖSSZEFÜGGÉSEK!A5,4),". .......................... hó ..... nap")</f>
        <v>......................, 2020. .......................... hó ..... nap</v>
      </c>
      <c r="F23" s="180"/>
      <c r="G23" s="180"/>
    </row>
    <row r="24" spans="1:7" s="134" customFormat="1">
      <c r="F24" s="180"/>
      <c r="G24" s="180"/>
    </row>
    <row r="25" spans="1:7">
      <c r="A25" s="180"/>
      <c r="B25" s="180"/>
      <c r="C25" s="180"/>
      <c r="D25" s="180"/>
      <c r="E25" s="180"/>
      <c r="F25" s="180"/>
      <c r="G25" s="180"/>
    </row>
    <row r="26" spans="1:7">
      <c r="A26" s="180"/>
      <c r="B26" s="180"/>
      <c r="C26" s="134"/>
      <c r="D26" s="134"/>
      <c r="E26" s="134"/>
      <c r="F26" s="134"/>
      <c r="G26" s="180"/>
    </row>
    <row r="27" spans="1:7">
      <c r="A27" s="180"/>
      <c r="B27" s="180"/>
      <c r="C27" s="217"/>
      <c r="D27" s="218" t="s">
        <v>219</v>
      </c>
      <c r="E27" s="218"/>
      <c r="F27" s="217"/>
      <c r="G27" s="180"/>
    </row>
    <row r="28" spans="1:7">
      <c r="C28" s="140"/>
      <c r="D28" s="141"/>
      <c r="E28" s="141"/>
      <c r="F28" s="140"/>
    </row>
    <row r="29" spans="1:7">
      <c r="C29" s="140"/>
      <c r="D29" s="141"/>
      <c r="E29" s="141"/>
      <c r="F29" s="140"/>
    </row>
  </sheetData>
  <sheetProtection sheet="1"/>
  <mergeCells count="4">
    <mergeCell ref="C6:G6"/>
    <mergeCell ref="C8:F8"/>
    <mergeCell ref="A4:G4"/>
    <mergeCell ref="B2:G2"/>
  </mergeCells>
  <phoneticPr fontId="29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92D050"/>
  </sheetPr>
  <dimension ref="A1:G170"/>
  <sheetViews>
    <sheetView topLeftCell="A91" zoomScale="120" zoomScaleNormal="120" zoomScaleSheetLayoutView="100" workbookViewId="0">
      <selection activeCell="E49" sqref="E49"/>
    </sheetView>
  </sheetViews>
  <sheetFormatPr defaultRowHeight="15.75"/>
  <cols>
    <col min="1" max="1" width="9" style="341" customWidth="1"/>
    <col min="2" max="2" width="75.83203125" style="341" customWidth="1"/>
    <col min="3" max="3" width="15.5" style="342" customWidth="1"/>
    <col min="4" max="5" width="15.5" style="341" customWidth="1"/>
    <col min="6" max="6" width="9" style="35" customWidth="1"/>
    <col min="7" max="16384" width="9.33203125" style="35"/>
  </cols>
  <sheetData>
    <row r="1" spans="1:5" ht="14.45" customHeight="1">
      <c r="A1" s="578"/>
      <c r="B1" s="578"/>
      <c r="C1" s="582"/>
      <c r="D1" s="578"/>
      <c r="E1" s="602" t="str">
        <f ca="1">CONCATENATE("1. tájékoztató tábla ",ALAPADATOK!A7," ",ALAPADATOK!B7," ",ALAPADATOK!C7," ",ALAPADATOK!D7," ",ALAPADATOK!E7," ",ALAPADATOK!F7," ",ALAPADATOK!G7," ",ALAPADATOK!H7)</f>
        <v>1. tájékoztató tábla a 5 / 2020 ( (II.18.) ) önkormányzati rendelethez</v>
      </c>
    </row>
    <row r="2" spans="1:5">
      <c r="A2" s="822" t="str">
        <f ca="1">CONCATENATE(ALAPADATOK!A3)</f>
        <v>DABAS VÁROS ÖNKORMÁNYZATA</v>
      </c>
      <c r="B2" s="822"/>
      <c r="C2" s="823"/>
      <c r="D2" s="822"/>
      <c r="E2" s="822"/>
    </row>
    <row r="3" spans="1:5">
      <c r="A3" s="822" t="str">
        <f ca="1">CONCATENATE("Tájékoztató a ",ALAPADATOK!D7-2,". évi tény, ",ALAPADATOK!D7-1,". évi várható és ",ALAPADATOK!D7,". évi terv adatokról")</f>
        <v>Tájékoztató a 2018. évi tény, 2019. évi várható és 2020. évi terv adatokról</v>
      </c>
      <c r="B3" s="822"/>
      <c r="C3" s="823"/>
      <c r="D3" s="822"/>
      <c r="E3" s="822"/>
    </row>
    <row r="4" spans="1:5" ht="15.95" customHeight="1">
      <c r="A4" s="760" t="s">
        <v>14</v>
      </c>
      <c r="B4" s="760"/>
      <c r="C4" s="760"/>
      <c r="D4" s="760"/>
      <c r="E4" s="760"/>
    </row>
    <row r="5" spans="1:5" ht="15.95" customHeight="1" thickBot="1">
      <c r="A5" s="761" t="s">
        <v>147</v>
      </c>
      <c r="B5" s="761"/>
      <c r="C5" s="582"/>
      <c r="D5" s="603"/>
      <c r="E5" s="612">
        <f ca="1">KV_10.sz.mell!G11</f>
        <v>0</v>
      </c>
    </row>
    <row r="6" spans="1:5" ht="30.75" customHeight="1" thickBot="1">
      <c r="A6" s="583" t="s">
        <v>66</v>
      </c>
      <c r="B6" s="584" t="s">
        <v>16</v>
      </c>
      <c r="C6" s="584" t="str">
        <f ca="1">+CONCATENATE(LEFT(KV_ÖSSZEFÜGGÉSEK!A5,4)-2,". évi tény")</f>
        <v>2018. évi tény</v>
      </c>
      <c r="D6" s="613" t="str">
        <f ca="1">+CONCATENATE(LEFT(KV_ÖSSZEFÜGGÉSEK!A5,4)-1,". évi várható")</f>
        <v>2019. évi várható</v>
      </c>
      <c r="E6" s="614" t="str">
        <f ca="1">+KV_1.1.sz.mell.!C8</f>
        <v>2020. évi előirányzat</v>
      </c>
    </row>
    <row r="7" spans="1:5" s="36" customFormat="1" ht="12" customHeight="1" thickBot="1">
      <c r="A7" s="29" t="s">
        <v>485</v>
      </c>
      <c r="B7" s="30" t="s">
        <v>486</v>
      </c>
      <c r="C7" s="30" t="s">
        <v>487</v>
      </c>
      <c r="D7" s="30" t="s">
        <v>489</v>
      </c>
      <c r="E7" s="405" t="s">
        <v>488</v>
      </c>
    </row>
    <row r="8" spans="1:5" s="1" customFormat="1" ht="12" customHeight="1" thickBot="1">
      <c r="A8" s="20" t="s">
        <v>17</v>
      </c>
      <c r="B8" s="21" t="s">
        <v>246</v>
      </c>
      <c r="C8" s="355">
        <f>+C9+C10+C11+C12+C13+C14</f>
        <v>901101450</v>
      </c>
      <c r="D8" s="355">
        <f>+D9+D10+D11+D12+D13+D14</f>
        <v>992870649</v>
      </c>
      <c r="E8" s="221">
        <f>+E9+E10+E11+E12+E13+E14</f>
        <v>958789393</v>
      </c>
    </row>
    <row r="9" spans="1:5" s="1" customFormat="1" ht="12" customHeight="1">
      <c r="A9" s="15" t="s">
        <v>95</v>
      </c>
      <c r="B9" s="373" t="s">
        <v>247</v>
      </c>
      <c r="C9" s="357">
        <v>901101450</v>
      </c>
      <c r="D9" s="357">
        <v>992870649</v>
      </c>
      <c r="E9" s="223">
        <v>958789393</v>
      </c>
    </row>
    <row r="10" spans="1:5" s="1" customFormat="1" ht="12" customHeight="1">
      <c r="A10" s="14" t="s">
        <v>96</v>
      </c>
      <c r="B10" s="374" t="s">
        <v>248</v>
      </c>
      <c r="C10" s="356"/>
      <c r="D10" s="356"/>
      <c r="E10" s="222"/>
    </row>
    <row r="11" spans="1:5" s="1" customFormat="1" ht="12" customHeight="1">
      <c r="A11" s="14" t="s">
        <v>97</v>
      </c>
      <c r="B11" s="374" t="s">
        <v>249</v>
      </c>
      <c r="C11" s="356"/>
      <c r="D11" s="356"/>
      <c r="E11" s="222"/>
    </row>
    <row r="12" spans="1:5" s="1" customFormat="1" ht="12" customHeight="1">
      <c r="A12" s="14" t="s">
        <v>98</v>
      </c>
      <c r="B12" s="374" t="s">
        <v>250</v>
      </c>
      <c r="C12" s="356"/>
      <c r="D12" s="356"/>
      <c r="E12" s="222"/>
    </row>
    <row r="13" spans="1:5" s="1" customFormat="1" ht="12" customHeight="1">
      <c r="A13" s="14" t="s">
        <v>143</v>
      </c>
      <c r="B13" s="251" t="s">
        <v>424</v>
      </c>
      <c r="C13" s="356"/>
      <c r="D13" s="356"/>
      <c r="E13" s="222"/>
    </row>
    <row r="14" spans="1:5" s="1" customFormat="1" ht="12" customHeight="1" thickBot="1">
      <c r="A14" s="16" t="s">
        <v>99</v>
      </c>
      <c r="B14" s="252" t="s">
        <v>425</v>
      </c>
      <c r="C14" s="356"/>
      <c r="D14" s="356"/>
      <c r="E14" s="222"/>
    </row>
    <row r="15" spans="1:5" s="1" customFormat="1" ht="12" customHeight="1" thickBot="1">
      <c r="A15" s="20" t="s">
        <v>18</v>
      </c>
      <c r="B15" s="250" t="s">
        <v>251</v>
      </c>
      <c r="C15" s="355">
        <f>+C16+C17+C18+C19+C20</f>
        <v>1174716589</v>
      </c>
      <c r="D15" s="355">
        <f>+D16+D17+D18+D19+D20</f>
        <v>1214077600</v>
      </c>
      <c r="E15" s="221">
        <f>+E16+E17+E18+E19+E20</f>
        <v>1043040000</v>
      </c>
    </row>
    <row r="16" spans="1:5" s="1" customFormat="1" ht="12" customHeight="1">
      <c r="A16" s="15" t="s">
        <v>101</v>
      </c>
      <c r="B16" s="373" t="s">
        <v>252</v>
      </c>
      <c r="C16" s="357">
        <v>23735309</v>
      </c>
      <c r="D16" s="357">
        <v>48791708</v>
      </c>
      <c r="E16" s="223"/>
    </row>
    <row r="17" spans="1:5" s="1" customFormat="1" ht="12" customHeight="1">
      <c r="A17" s="14" t="s">
        <v>102</v>
      </c>
      <c r="B17" s="374" t="s">
        <v>253</v>
      </c>
      <c r="C17" s="356"/>
      <c r="D17" s="356"/>
      <c r="E17" s="222"/>
    </row>
    <row r="18" spans="1:5" s="1" customFormat="1" ht="12" customHeight="1">
      <c r="A18" s="14" t="s">
        <v>103</v>
      </c>
      <c r="B18" s="374" t="s">
        <v>414</v>
      </c>
      <c r="C18" s="356"/>
      <c r="D18" s="356"/>
      <c r="E18" s="222"/>
    </row>
    <row r="19" spans="1:5" s="1" customFormat="1" ht="12" customHeight="1">
      <c r="A19" s="14" t="s">
        <v>104</v>
      </c>
      <c r="B19" s="374" t="s">
        <v>415</v>
      </c>
      <c r="C19" s="356"/>
      <c r="D19" s="356"/>
      <c r="E19" s="222"/>
    </row>
    <row r="20" spans="1:5" s="1" customFormat="1" ht="12" customHeight="1">
      <c r="A20" s="14" t="s">
        <v>105</v>
      </c>
      <c r="B20" s="374" t="s">
        <v>254</v>
      </c>
      <c r="C20" s="356">
        <v>1150981280</v>
      </c>
      <c r="D20" s="356">
        <v>1165285892</v>
      </c>
      <c r="E20" s="222">
        <v>1043040000</v>
      </c>
    </row>
    <row r="21" spans="1:5" s="1" customFormat="1" ht="12" customHeight="1" thickBot="1">
      <c r="A21" s="16" t="s">
        <v>114</v>
      </c>
      <c r="B21" s="252" t="s">
        <v>255</v>
      </c>
      <c r="C21" s="358"/>
      <c r="D21" s="358"/>
      <c r="E21" s="224"/>
    </row>
    <row r="22" spans="1:5" s="1" customFormat="1" ht="12" customHeight="1" thickBot="1">
      <c r="A22" s="20" t="s">
        <v>19</v>
      </c>
      <c r="B22" s="21" t="s">
        <v>256</v>
      </c>
      <c r="C22" s="355">
        <f>+C23+C24+C25+C26+C27</f>
        <v>214318682</v>
      </c>
      <c r="D22" s="355">
        <f>+D23+D24+D25+D26+D27</f>
        <v>110086440</v>
      </c>
      <c r="E22" s="221">
        <f>+E23+E24+E25+E26+E27</f>
        <v>410952958</v>
      </c>
    </row>
    <row r="23" spans="1:5" s="1" customFormat="1" ht="12" customHeight="1">
      <c r="A23" s="15" t="s">
        <v>84</v>
      </c>
      <c r="B23" s="373" t="s">
        <v>257</v>
      </c>
      <c r="C23" s="357"/>
      <c r="D23" s="357"/>
      <c r="E23" s="223"/>
    </row>
    <row r="24" spans="1:5" s="1" customFormat="1" ht="12" customHeight="1">
      <c r="A24" s="14" t="s">
        <v>85</v>
      </c>
      <c r="B24" s="374" t="s">
        <v>258</v>
      </c>
      <c r="C24" s="356"/>
      <c r="D24" s="356"/>
      <c r="E24" s="222"/>
    </row>
    <row r="25" spans="1:5" s="1" customFormat="1" ht="12" customHeight="1">
      <c r="A25" s="14" t="s">
        <v>86</v>
      </c>
      <c r="B25" s="374" t="s">
        <v>416</v>
      </c>
      <c r="C25" s="356"/>
      <c r="D25" s="356"/>
      <c r="E25" s="222"/>
    </row>
    <row r="26" spans="1:5" s="1" customFormat="1" ht="12" customHeight="1">
      <c r="A26" s="14" t="s">
        <v>87</v>
      </c>
      <c r="B26" s="374" t="s">
        <v>417</v>
      </c>
      <c r="C26" s="356"/>
      <c r="D26" s="356"/>
      <c r="E26" s="222"/>
    </row>
    <row r="27" spans="1:5" s="1" customFormat="1" ht="12" customHeight="1">
      <c r="A27" s="14" t="s">
        <v>166</v>
      </c>
      <c r="B27" s="374" t="s">
        <v>259</v>
      </c>
      <c r="C27" s="356">
        <v>214318682</v>
      </c>
      <c r="D27" s="356">
        <v>110086440</v>
      </c>
      <c r="E27" s="222">
        <v>410952958</v>
      </c>
    </row>
    <row r="28" spans="1:5" s="1" customFormat="1" ht="12" customHeight="1" thickBot="1">
      <c r="A28" s="16" t="s">
        <v>167</v>
      </c>
      <c r="B28" s="375" t="s">
        <v>260</v>
      </c>
      <c r="C28" s="358"/>
      <c r="D28" s="358"/>
      <c r="E28" s="224"/>
    </row>
    <row r="29" spans="1:5" s="1" customFormat="1" ht="12" customHeight="1" thickBot="1">
      <c r="A29" s="20" t="s">
        <v>168</v>
      </c>
      <c r="B29" s="21" t="s">
        <v>261</v>
      </c>
      <c r="C29" s="362">
        <f>SUM(C30:C36)</f>
        <v>1172934405</v>
      </c>
      <c r="D29" s="362">
        <f>SUM(D30:D36)</f>
        <v>1295422085</v>
      </c>
      <c r="E29" s="404">
        <f>SUM(E30:E36)</f>
        <v>1363000000</v>
      </c>
    </row>
    <row r="30" spans="1:5" s="1" customFormat="1" ht="12" customHeight="1">
      <c r="A30" s="15" t="s">
        <v>262</v>
      </c>
      <c r="B30" s="373" t="str">
        <f ca="1">KV_1.1.sz.mell.!B32</f>
        <v>Építményadó</v>
      </c>
      <c r="C30" s="357">
        <v>76272103</v>
      </c>
      <c r="D30" s="357">
        <v>83041902</v>
      </c>
      <c r="E30" s="256">
        <v>95000000</v>
      </c>
    </row>
    <row r="31" spans="1:5" s="1" customFormat="1" ht="12" customHeight="1">
      <c r="A31" s="14" t="s">
        <v>263</v>
      </c>
      <c r="B31" s="373" t="str">
        <f ca="1">KV_1.1.sz.mell.!B33</f>
        <v>Idegenforgalmi adó</v>
      </c>
      <c r="C31" s="356">
        <v>2213175</v>
      </c>
      <c r="D31" s="356">
        <v>4109200</v>
      </c>
      <c r="E31" s="257">
        <v>6000000</v>
      </c>
    </row>
    <row r="32" spans="1:5" s="1" customFormat="1" ht="12" customHeight="1">
      <c r="A32" s="14" t="s">
        <v>264</v>
      </c>
      <c r="B32" s="373" t="str">
        <f ca="1">KV_1.1.sz.mell.!B34</f>
        <v>Iparűzési adó</v>
      </c>
      <c r="C32" s="356">
        <v>945244853</v>
      </c>
      <c r="D32" s="356">
        <v>1042564692</v>
      </c>
      <c r="E32" s="257">
        <v>1100000000</v>
      </c>
    </row>
    <row r="33" spans="1:5" s="1" customFormat="1" ht="12" customHeight="1">
      <c r="A33" s="14" t="s">
        <v>265</v>
      </c>
      <c r="B33" s="373" t="str">
        <f ca="1">KV_1.1.sz.mell.!B35</f>
        <v>Talajterhelési díj</v>
      </c>
      <c r="C33" s="356">
        <v>11636907</v>
      </c>
      <c r="D33" s="356">
        <v>10323846</v>
      </c>
      <c r="E33" s="257">
        <v>2000000</v>
      </c>
    </row>
    <row r="34" spans="1:5" s="1" customFormat="1" ht="12" customHeight="1">
      <c r="A34" s="14" t="s">
        <v>544</v>
      </c>
      <c r="B34" s="373" t="str">
        <f ca="1">KV_1.1.sz.mell.!B36</f>
        <v>Gépjárműadó</v>
      </c>
      <c r="C34" s="356">
        <v>92518701</v>
      </c>
      <c r="D34" s="356">
        <v>97552702</v>
      </c>
      <c r="E34" s="257">
        <v>90000000</v>
      </c>
    </row>
    <row r="35" spans="1:5" s="1" customFormat="1" ht="12" customHeight="1">
      <c r="A35" s="14" t="s">
        <v>545</v>
      </c>
      <c r="B35" s="373" t="str">
        <f ca="1">KV_1.1.sz.mell.!B37</f>
        <v>Telekadó</v>
      </c>
      <c r="C35" s="356"/>
      <c r="D35" s="356"/>
      <c r="E35" s="257"/>
    </row>
    <row r="36" spans="1:5" s="1" customFormat="1" ht="12" customHeight="1" thickBot="1">
      <c r="A36" s="16" t="s">
        <v>546</v>
      </c>
      <c r="B36" s="373" t="str">
        <f ca="1">KV_1.1.sz.mell.!B38</f>
        <v>Kommunális adó</v>
      </c>
      <c r="C36" s="358">
        <v>45048666</v>
      </c>
      <c r="D36" s="358">
        <v>57829743</v>
      </c>
      <c r="E36" s="263">
        <v>70000000</v>
      </c>
    </row>
    <row r="37" spans="1:5" s="1" customFormat="1" ht="12" customHeight="1" thickBot="1">
      <c r="A37" s="20" t="s">
        <v>21</v>
      </c>
      <c r="B37" s="21" t="s">
        <v>426</v>
      </c>
      <c r="C37" s="355">
        <f>SUM(C38:C48)</f>
        <v>352033654</v>
      </c>
      <c r="D37" s="355">
        <f>SUM(D38:D48)</f>
        <v>424650556</v>
      </c>
      <c r="E37" s="221">
        <f>SUM(E38:E48)</f>
        <v>305391567</v>
      </c>
    </row>
    <row r="38" spans="1:5" s="1" customFormat="1" ht="12" customHeight="1">
      <c r="A38" s="15" t="s">
        <v>88</v>
      </c>
      <c r="B38" s="373" t="s">
        <v>269</v>
      </c>
      <c r="C38" s="357">
        <v>709273</v>
      </c>
      <c r="D38" s="357">
        <v>1143498</v>
      </c>
      <c r="E38" s="223"/>
    </row>
    <row r="39" spans="1:5" s="1" customFormat="1" ht="12" customHeight="1">
      <c r="A39" s="14" t="s">
        <v>89</v>
      </c>
      <c r="B39" s="374" t="s">
        <v>270</v>
      </c>
      <c r="C39" s="356">
        <v>186603304</v>
      </c>
      <c r="D39" s="356">
        <v>232270491</v>
      </c>
      <c r="E39" s="222">
        <v>159288181</v>
      </c>
    </row>
    <row r="40" spans="1:5" s="1" customFormat="1" ht="12" customHeight="1">
      <c r="A40" s="14" t="s">
        <v>90</v>
      </c>
      <c r="B40" s="374" t="s">
        <v>271</v>
      </c>
      <c r="C40" s="356">
        <v>30419805</v>
      </c>
      <c r="D40" s="356">
        <v>37552781</v>
      </c>
      <c r="E40" s="222">
        <v>23874016</v>
      </c>
    </row>
    <row r="41" spans="1:5" s="1" customFormat="1" ht="12" customHeight="1">
      <c r="A41" s="14" t="s">
        <v>170</v>
      </c>
      <c r="B41" s="374" t="s">
        <v>272</v>
      </c>
      <c r="C41" s="356">
        <v>399391</v>
      </c>
      <c r="D41" s="356">
        <v>676103</v>
      </c>
      <c r="E41" s="222"/>
    </row>
    <row r="42" spans="1:5" s="1" customFormat="1" ht="12" customHeight="1">
      <c r="A42" s="14" t="s">
        <v>171</v>
      </c>
      <c r="B42" s="374" t="s">
        <v>273</v>
      </c>
      <c r="C42" s="356">
        <v>56713630</v>
      </c>
      <c r="D42" s="356">
        <v>64116769</v>
      </c>
      <c r="E42" s="222">
        <v>70427218</v>
      </c>
    </row>
    <row r="43" spans="1:5" s="1" customFormat="1" ht="12" customHeight="1">
      <c r="A43" s="14" t="s">
        <v>172</v>
      </c>
      <c r="B43" s="374" t="s">
        <v>274</v>
      </c>
      <c r="C43" s="356">
        <v>60447368</v>
      </c>
      <c r="D43" s="356">
        <v>73325661</v>
      </c>
      <c r="E43" s="222">
        <v>51082152</v>
      </c>
    </row>
    <row r="44" spans="1:5" s="1" customFormat="1" ht="12" customHeight="1">
      <c r="A44" s="14" t="s">
        <v>173</v>
      </c>
      <c r="B44" s="374" t="s">
        <v>275</v>
      </c>
      <c r="C44" s="356">
        <v>12664115</v>
      </c>
      <c r="D44" s="356">
        <v>12383160</v>
      </c>
      <c r="E44" s="222"/>
    </row>
    <row r="45" spans="1:5" s="1" customFormat="1" ht="12" customHeight="1">
      <c r="A45" s="14" t="s">
        <v>174</v>
      </c>
      <c r="B45" s="374" t="s">
        <v>551</v>
      </c>
      <c r="C45" s="356">
        <v>66604</v>
      </c>
      <c r="D45" s="356">
        <v>166585</v>
      </c>
      <c r="E45" s="222"/>
    </row>
    <row r="46" spans="1:5" s="1" customFormat="1" ht="12" customHeight="1">
      <c r="A46" s="14" t="s">
        <v>267</v>
      </c>
      <c r="B46" s="374" t="s">
        <v>277</v>
      </c>
      <c r="C46" s="359"/>
      <c r="D46" s="359"/>
      <c r="E46" s="225"/>
    </row>
    <row r="47" spans="1:5" s="1" customFormat="1" ht="12" customHeight="1">
      <c r="A47" s="16" t="s">
        <v>268</v>
      </c>
      <c r="B47" s="375" t="s">
        <v>428</v>
      </c>
      <c r="C47" s="360">
        <v>674244</v>
      </c>
      <c r="D47" s="360">
        <v>538260</v>
      </c>
      <c r="E47" s="226"/>
    </row>
    <row r="48" spans="1:5" s="1" customFormat="1" ht="12" customHeight="1" thickBot="1">
      <c r="A48" s="16" t="s">
        <v>427</v>
      </c>
      <c r="B48" s="252" t="s">
        <v>278</v>
      </c>
      <c r="C48" s="360">
        <v>3335920</v>
      </c>
      <c r="D48" s="360">
        <v>2477248</v>
      </c>
      <c r="E48" s="226">
        <v>720000</v>
      </c>
    </row>
    <row r="49" spans="1:5" s="1" customFormat="1" ht="12" customHeight="1" thickBot="1">
      <c r="A49" s="20" t="s">
        <v>22</v>
      </c>
      <c r="B49" s="21" t="s">
        <v>279</v>
      </c>
      <c r="C49" s="355">
        <f>SUM(C50:C54)</f>
        <v>25999924</v>
      </c>
      <c r="D49" s="355">
        <f>SUM(D50:D54)</f>
        <v>47517180</v>
      </c>
      <c r="E49" s="221">
        <f>SUM(E50:E54)</f>
        <v>40000000</v>
      </c>
    </row>
    <row r="50" spans="1:5" s="1" customFormat="1" ht="12" customHeight="1">
      <c r="A50" s="15" t="s">
        <v>91</v>
      </c>
      <c r="B50" s="373" t="s">
        <v>283</v>
      </c>
      <c r="C50" s="419"/>
      <c r="D50" s="419"/>
      <c r="E50" s="248"/>
    </row>
    <row r="51" spans="1:5" s="1" customFormat="1" ht="12" customHeight="1">
      <c r="A51" s="14" t="s">
        <v>92</v>
      </c>
      <c r="B51" s="374" t="s">
        <v>284</v>
      </c>
      <c r="C51" s="359">
        <v>25763704</v>
      </c>
      <c r="D51" s="359">
        <v>45784897</v>
      </c>
      <c r="E51" s="225">
        <v>40000000</v>
      </c>
    </row>
    <row r="52" spans="1:5" s="1" customFormat="1" ht="12" customHeight="1">
      <c r="A52" s="14" t="s">
        <v>280</v>
      </c>
      <c r="B52" s="374" t="s">
        <v>285</v>
      </c>
      <c r="C52" s="359">
        <v>236220</v>
      </c>
      <c r="D52" s="359">
        <v>1732283</v>
      </c>
      <c r="E52" s="225"/>
    </row>
    <row r="53" spans="1:5" s="1" customFormat="1" ht="12" customHeight="1">
      <c r="A53" s="14" t="s">
        <v>281</v>
      </c>
      <c r="B53" s="374" t="s">
        <v>286</v>
      </c>
      <c r="C53" s="359"/>
      <c r="D53" s="359"/>
      <c r="E53" s="225"/>
    </row>
    <row r="54" spans="1:5" s="1" customFormat="1" ht="12" customHeight="1" thickBot="1">
      <c r="A54" s="16" t="s">
        <v>282</v>
      </c>
      <c r="B54" s="252" t="s">
        <v>287</v>
      </c>
      <c r="C54" s="360"/>
      <c r="D54" s="360"/>
      <c r="E54" s="226"/>
    </row>
    <row r="55" spans="1:5" s="1" customFormat="1" ht="12" customHeight="1" thickBot="1">
      <c r="A55" s="20" t="s">
        <v>175</v>
      </c>
      <c r="B55" s="21" t="s">
        <v>288</v>
      </c>
      <c r="C55" s="355">
        <f>SUM(C56:C58)</f>
        <v>29100087</v>
      </c>
      <c r="D55" s="355">
        <f>SUM(D56:D58)</f>
        <v>17890973</v>
      </c>
      <c r="E55" s="221">
        <f>SUM(E56:E58)</f>
        <v>0</v>
      </c>
    </row>
    <row r="56" spans="1:5" s="1" customFormat="1" ht="12" customHeight="1">
      <c r="A56" s="15" t="s">
        <v>93</v>
      </c>
      <c r="B56" s="373" t="s">
        <v>289</v>
      </c>
      <c r="C56" s="357"/>
      <c r="D56" s="357"/>
      <c r="E56" s="223"/>
    </row>
    <row r="57" spans="1:5" s="1" customFormat="1" ht="12" customHeight="1">
      <c r="A57" s="14" t="s">
        <v>94</v>
      </c>
      <c r="B57" s="374" t="s">
        <v>418</v>
      </c>
      <c r="C57" s="356"/>
      <c r="D57" s="356"/>
      <c r="E57" s="222"/>
    </row>
    <row r="58" spans="1:5" s="1" customFormat="1" ht="12" customHeight="1">
      <c r="A58" s="14" t="s">
        <v>292</v>
      </c>
      <c r="B58" s="374" t="s">
        <v>290</v>
      </c>
      <c r="C58" s="356">
        <v>29100087</v>
      </c>
      <c r="D58" s="356">
        <v>17890973</v>
      </c>
      <c r="E58" s="222"/>
    </row>
    <row r="59" spans="1:5" s="1" customFormat="1" ht="12" customHeight="1" thickBot="1">
      <c r="A59" s="16" t="s">
        <v>293</v>
      </c>
      <c r="B59" s="252" t="s">
        <v>291</v>
      </c>
      <c r="C59" s="358"/>
      <c r="D59" s="358"/>
      <c r="E59" s="224"/>
    </row>
    <row r="60" spans="1:5" s="1" customFormat="1" ht="12" customHeight="1" thickBot="1">
      <c r="A60" s="20" t="s">
        <v>24</v>
      </c>
      <c r="B60" s="250" t="s">
        <v>294</v>
      </c>
      <c r="C60" s="355">
        <f>SUM(C61:C63)</f>
        <v>62332302</v>
      </c>
      <c r="D60" s="355">
        <f>SUM(D61:D63)</f>
        <v>46389219</v>
      </c>
      <c r="E60" s="221">
        <f>SUM(E61:E63)</f>
        <v>0</v>
      </c>
    </row>
    <row r="61" spans="1:5" s="1" customFormat="1" ht="12" customHeight="1">
      <c r="A61" s="15" t="s">
        <v>176</v>
      </c>
      <c r="B61" s="373" t="s">
        <v>296</v>
      </c>
      <c r="C61" s="359"/>
      <c r="D61" s="359"/>
      <c r="E61" s="225"/>
    </row>
    <row r="62" spans="1:5" s="1" customFormat="1" ht="12" customHeight="1">
      <c r="A62" s="14" t="s">
        <v>177</v>
      </c>
      <c r="B62" s="374" t="s">
        <v>419</v>
      </c>
      <c r="C62" s="359"/>
      <c r="D62" s="359"/>
      <c r="E62" s="225"/>
    </row>
    <row r="63" spans="1:5" s="1" customFormat="1" ht="12" customHeight="1">
      <c r="A63" s="14" t="s">
        <v>225</v>
      </c>
      <c r="B63" s="374" t="s">
        <v>297</v>
      </c>
      <c r="C63" s="359">
        <v>62332302</v>
      </c>
      <c r="D63" s="359">
        <v>46389219</v>
      </c>
      <c r="E63" s="225"/>
    </row>
    <row r="64" spans="1:5" s="1" customFormat="1" ht="12" customHeight="1" thickBot="1">
      <c r="A64" s="16" t="s">
        <v>295</v>
      </c>
      <c r="B64" s="252" t="s">
        <v>298</v>
      </c>
      <c r="C64" s="359"/>
      <c r="D64" s="359"/>
      <c r="E64" s="225"/>
    </row>
    <row r="65" spans="1:7" s="1" customFormat="1" ht="12" customHeight="1" thickBot="1">
      <c r="A65" s="439" t="s">
        <v>468</v>
      </c>
      <c r="B65" s="21" t="s">
        <v>299</v>
      </c>
      <c r="C65" s="362">
        <f>+C8+C15+C22+C29+C37+C49+C55+C60</f>
        <v>3932537093</v>
      </c>
      <c r="D65" s="362">
        <f>+D8+D15+D22+D29+D37+D49+D55+D60</f>
        <v>4148904702</v>
      </c>
      <c r="E65" s="404">
        <f>+E8+E15+E22+E29+E37+E49+E55+E60</f>
        <v>4121173918</v>
      </c>
    </row>
    <row r="66" spans="1:7" s="1" customFormat="1" ht="12" customHeight="1" thickBot="1">
      <c r="A66" s="420" t="s">
        <v>300</v>
      </c>
      <c r="B66" s="250" t="s">
        <v>535</v>
      </c>
      <c r="C66" s="355">
        <f>SUM(C67:C69)</f>
        <v>0</v>
      </c>
      <c r="D66" s="355">
        <f>SUM(D67:D69)</f>
        <v>0</v>
      </c>
      <c r="E66" s="221">
        <f>SUM(E67:E69)</f>
        <v>0</v>
      </c>
    </row>
    <row r="67" spans="1:7" s="1" customFormat="1" ht="12" customHeight="1">
      <c r="A67" s="15" t="s">
        <v>329</v>
      </c>
      <c r="B67" s="373" t="s">
        <v>302</v>
      </c>
      <c r="C67" s="359"/>
      <c r="D67" s="359"/>
      <c r="E67" s="225"/>
    </row>
    <row r="68" spans="1:7" s="1" customFormat="1" ht="12" customHeight="1">
      <c r="A68" s="14" t="s">
        <v>338</v>
      </c>
      <c r="B68" s="374" t="s">
        <v>303</v>
      </c>
      <c r="C68" s="359"/>
      <c r="D68" s="359"/>
      <c r="E68" s="225"/>
    </row>
    <row r="69" spans="1:7" s="1" customFormat="1" ht="12" customHeight="1" thickBot="1">
      <c r="A69" s="16" t="s">
        <v>339</v>
      </c>
      <c r="B69" s="433" t="s">
        <v>453</v>
      </c>
      <c r="C69" s="359"/>
      <c r="D69" s="359"/>
      <c r="E69" s="225"/>
    </row>
    <row r="70" spans="1:7" s="1" customFormat="1" ht="12" customHeight="1" thickBot="1">
      <c r="A70" s="420" t="s">
        <v>305</v>
      </c>
      <c r="B70" s="250" t="s">
        <v>306</v>
      </c>
      <c r="C70" s="355">
        <f>SUM(C71:C74)</f>
        <v>0</v>
      </c>
      <c r="D70" s="355">
        <f>SUM(D71:D74)</f>
        <v>0</v>
      </c>
      <c r="E70" s="221">
        <f>SUM(E71:E74)</f>
        <v>0</v>
      </c>
    </row>
    <row r="71" spans="1:7" s="1" customFormat="1" ht="12" customHeight="1">
      <c r="A71" s="15" t="s">
        <v>144</v>
      </c>
      <c r="B71" s="511" t="s">
        <v>307</v>
      </c>
      <c r="C71" s="359"/>
      <c r="D71" s="359"/>
      <c r="E71" s="225"/>
    </row>
    <row r="72" spans="1:7" s="1" customFormat="1" ht="13.5" customHeight="1">
      <c r="A72" s="14" t="s">
        <v>145</v>
      </c>
      <c r="B72" s="511" t="s">
        <v>561</v>
      </c>
      <c r="C72" s="359"/>
      <c r="D72" s="359"/>
      <c r="E72" s="225"/>
      <c r="G72" s="37"/>
    </row>
    <row r="73" spans="1:7" s="1" customFormat="1" ht="12" customHeight="1">
      <c r="A73" s="14" t="s">
        <v>330</v>
      </c>
      <c r="B73" s="511" t="s">
        <v>308</v>
      </c>
      <c r="C73" s="359"/>
      <c r="D73" s="359"/>
      <c r="E73" s="225"/>
    </row>
    <row r="74" spans="1:7" s="1" customFormat="1" ht="12" customHeight="1" thickBot="1">
      <c r="A74" s="16" t="s">
        <v>331</v>
      </c>
      <c r="B74" s="512" t="s">
        <v>562</v>
      </c>
      <c r="C74" s="359"/>
      <c r="D74" s="359"/>
      <c r="E74" s="225"/>
    </row>
    <row r="75" spans="1:7" s="1" customFormat="1" ht="12" customHeight="1" thickBot="1">
      <c r="A75" s="420" t="s">
        <v>309</v>
      </c>
      <c r="B75" s="250" t="s">
        <v>310</v>
      </c>
      <c r="C75" s="355">
        <f>SUM(C76:C77)</f>
        <v>508417515</v>
      </c>
      <c r="D75" s="355">
        <f>SUM(D76:D77)</f>
        <v>874596912</v>
      </c>
      <c r="E75" s="221">
        <f>SUM(E76:E77)</f>
        <v>336700000</v>
      </c>
    </row>
    <row r="76" spans="1:7" s="1" customFormat="1" ht="12" customHeight="1">
      <c r="A76" s="15" t="s">
        <v>332</v>
      </c>
      <c r="B76" s="373" t="s">
        <v>311</v>
      </c>
      <c r="C76" s="359">
        <v>508417515</v>
      </c>
      <c r="D76" s="359">
        <v>874596912</v>
      </c>
      <c r="E76" s="225">
        <v>336700000</v>
      </c>
    </row>
    <row r="77" spans="1:7" s="1" customFormat="1" ht="12" customHeight="1" thickBot="1">
      <c r="A77" s="16" t="s">
        <v>333</v>
      </c>
      <c r="B77" s="252" t="s">
        <v>312</v>
      </c>
      <c r="C77" s="359"/>
      <c r="D77" s="359"/>
      <c r="E77" s="225"/>
    </row>
    <row r="78" spans="1:7" s="1" customFormat="1" ht="12" customHeight="1" thickBot="1">
      <c r="A78" s="420" t="s">
        <v>313</v>
      </c>
      <c r="B78" s="250" t="s">
        <v>314</v>
      </c>
      <c r="C78" s="355">
        <f>SUM(C79:C81)</f>
        <v>30294665</v>
      </c>
      <c r="D78" s="355">
        <f>SUM(D79:D81)</f>
        <v>30294665</v>
      </c>
      <c r="E78" s="221">
        <f>SUM(E79:E81)</f>
        <v>0</v>
      </c>
    </row>
    <row r="79" spans="1:7" s="1" customFormat="1" ht="12" customHeight="1">
      <c r="A79" s="15" t="s">
        <v>334</v>
      </c>
      <c r="B79" s="373" t="s">
        <v>315</v>
      </c>
      <c r="C79" s="359">
        <v>30294665</v>
      </c>
      <c r="D79" s="359">
        <v>30294665</v>
      </c>
      <c r="E79" s="225"/>
    </row>
    <row r="80" spans="1:7" s="1" customFormat="1" ht="12" customHeight="1">
      <c r="A80" s="14" t="s">
        <v>335</v>
      </c>
      <c r="B80" s="374" t="s">
        <v>316</v>
      </c>
      <c r="C80" s="359"/>
      <c r="D80" s="359"/>
      <c r="E80" s="225"/>
    </row>
    <row r="81" spans="1:6" s="1" customFormat="1" ht="12" customHeight="1" thickBot="1">
      <c r="A81" s="16" t="s">
        <v>336</v>
      </c>
      <c r="B81" s="252" t="s">
        <v>563</v>
      </c>
      <c r="C81" s="359"/>
      <c r="D81" s="359"/>
      <c r="E81" s="225"/>
    </row>
    <row r="82" spans="1:6" s="1" customFormat="1" ht="12" customHeight="1" thickBot="1">
      <c r="A82" s="420" t="s">
        <v>317</v>
      </c>
      <c r="B82" s="250" t="s">
        <v>337</v>
      </c>
      <c r="C82" s="355">
        <f>SUM(C83:C86)</f>
        <v>0</v>
      </c>
      <c r="D82" s="355">
        <f>SUM(D83:D86)</f>
        <v>0</v>
      </c>
      <c r="E82" s="221">
        <f>SUM(E83:E86)</f>
        <v>0</v>
      </c>
    </row>
    <row r="83" spans="1:6" s="1" customFormat="1" ht="12" customHeight="1">
      <c r="A83" s="377" t="s">
        <v>318</v>
      </c>
      <c r="B83" s="373" t="s">
        <v>319</v>
      </c>
      <c r="C83" s="359"/>
      <c r="D83" s="359"/>
      <c r="E83" s="225"/>
    </row>
    <row r="84" spans="1:6" s="1" customFormat="1" ht="12" customHeight="1">
      <c r="A84" s="378" t="s">
        <v>320</v>
      </c>
      <c r="B84" s="374" t="s">
        <v>321</v>
      </c>
      <c r="C84" s="359"/>
      <c r="D84" s="359"/>
      <c r="E84" s="225"/>
    </row>
    <row r="85" spans="1:6" s="1" customFormat="1" ht="12" customHeight="1">
      <c r="A85" s="378" t="s">
        <v>322</v>
      </c>
      <c r="B85" s="374" t="s">
        <v>323</v>
      </c>
      <c r="C85" s="359"/>
      <c r="D85" s="359"/>
      <c r="E85" s="225"/>
    </row>
    <row r="86" spans="1:6" s="1" customFormat="1" ht="12" customHeight="1" thickBot="1">
      <c r="A86" s="379" t="s">
        <v>324</v>
      </c>
      <c r="B86" s="252" t="s">
        <v>325</v>
      </c>
      <c r="C86" s="359"/>
      <c r="D86" s="359"/>
      <c r="E86" s="225"/>
    </row>
    <row r="87" spans="1:6" s="1" customFormat="1" ht="12" customHeight="1" thickBot="1">
      <c r="A87" s="420" t="s">
        <v>326</v>
      </c>
      <c r="B87" s="250" t="s">
        <v>467</v>
      </c>
      <c r="C87" s="422"/>
      <c r="D87" s="422"/>
      <c r="E87" s="423"/>
    </row>
    <row r="88" spans="1:6" s="1" customFormat="1" ht="12" customHeight="1" thickBot="1">
      <c r="A88" s="420" t="s">
        <v>328</v>
      </c>
      <c r="B88" s="250" t="s">
        <v>327</v>
      </c>
      <c r="C88" s="422"/>
      <c r="D88" s="422"/>
      <c r="E88" s="423"/>
    </row>
    <row r="89" spans="1:6" s="1" customFormat="1" ht="12" customHeight="1" thickBot="1">
      <c r="A89" s="420" t="s">
        <v>340</v>
      </c>
      <c r="B89" s="380" t="s">
        <v>470</v>
      </c>
      <c r="C89" s="362">
        <f>+C66+C70+C75+C78+C82+C88+C87</f>
        <v>538712180</v>
      </c>
      <c r="D89" s="362">
        <f>+D66+D70+D75+D78+D82+D88+D87</f>
        <v>904891577</v>
      </c>
      <c r="E89" s="404">
        <f>+E66+E70+E75+E78+E82+E88+E87</f>
        <v>336700000</v>
      </c>
    </row>
    <row r="90" spans="1:6" s="1" customFormat="1" ht="12" customHeight="1" thickBot="1">
      <c r="A90" s="421" t="s">
        <v>469</v>
      </c>
      <c r="B90" s="381" t="s">
        <v>471</v>
      </c>
      <c r="C90" s="362">
        <f>+C65+C89</f>
        <v>4471249273</v>
      </c>
      <c r="D90" s="362">
        <f>+D65+D89</f>
        <v>5053796279</v>
      </c>
      <c r="E90" s="404">
        <f>+E65+E89</f>
        <v>4457873918</v>
      </c>
    </row>
    <row r="91" spans="1:6" s="1" customFormat="1" ht="12" customHeight="1">
      <c r="A91" s="327"/>
      <c r="B91" s="328"/>
      <c r="C91" s="329"/>
      <c r="D91" s="330"/>
      <c r="E91" s="331"/>
    </row>
    <row r="92" spans="1:6" s="1" customFormat="1" ht="12" customHeight="1">
      <c r="A92" s="765" t="s">
        <v>46</v>
      </c>
      <c r="B92" s="765"/>
      <c r="C92" s="765"/>
      <c r="D92" s="765"/>
      <c r="E92" s="765"/>
    </row>
    <row r="93" spans="1:6" s="1" customFormat="1" ht="12" customHeight="1" thickBot="1">
      <c r="A93" s="762" t="s">
        <v>148</v>
      </c>
      <c r="B93" s="762"/>
      <c r="C93" s="342"/>
      <c r="D93" s="114"/>
      <c r="E93" s="265">
        <f ca="1">E5</f>
        <v>0</v>
      </c>
    </row>
    <row r="94" spans="1:6" s="1" customFormat="1" ht="24" customHeight="1" thickBot="1">
      <c r="A94" s="23" t="s">
        <v>15</v>
      </c>
      <c r="B94" s="24" t="s">
        <v>47</v>
      </c>
      <c r="C94" s="24" t="str">
        <f ca="1">+C6</f>
        <v>2018. évi tény</v>
      </c>
      <c r="D94" s="24" t="str">
        <f ca="1">+D6</f>
        <v>2019. évi várható</v>
      </c>
      <c r="E94" s="132" t="str">
        <f ca="1">+E6</f>
        <v>2020. évi előirányzat</v>
      </c>
      <c r="F94" s="122"/>
    </row>
    <row r="95" spans="1:6" s="1" customFormat="1" ht="12" customHeight="1" thickBot="1">
      <c r="A95" s="29" t="s">
        <v>485</v>
      </c>
      <c r="B95" s="30" t="s">
        <v>486</v>
      </c>
      <c r="C95" s="30" t="s">
        <v>487</v>
      </c>
      <c r="D95" s="30" t="s">
        <v>489</v>
      </c>
      <c r="E95" s="405" t="s">
        <v>488</v>
      </c>
      <c r="F95" s="122"/>
    </row>
    <row r="96" spans="1:6" s="1" customFormat="1" ht="15.2" customHeight="1" thickBot="1">
      <c r="A96" s="22" t="s">
        <v>17</v>
      </c>
      <c r="B96" s="26" t="s">
        <v>429</v>
      </c>
      <c r="C96" s="354">
        <f>C97+C98+C99+C100+C101+C114</f>
        <v>3044643440</v>
      </c>
      <c r="D96" s="354">
        <f>D97+D98+D99+D100+D101+D114</f>
        <v>3389853704</v>
      </c>
      <c r="E96" s="442">
        <f>E97+E98+E99+E100+E101+E114</f>
        <v>3438969099</v>
      </c>
      <c r="F96" s="122"/>
    </row>
    <row r="97" spans="1:5" s="1" customFormat="1" ht="12.95" customHeight="1">
      <c r="A97" s="17" t="s">
        <v>95</v>
      </c>
      <c r="B97" s="10" t="s">
        <v>48</v>
      </c>
      <c r="C97" s="449">
        <v>1122102328</v>
      </c>
      <c r="D97" s="449">
        <v>1252169927</v>
      </c>
      <c r="E97" s="443">
        <v>1337603099</v>
      </c>
    </row>
    <row r="98" spans="1:5" ht="16.5" customHeight="1">
      <c r="A98" s="14" t="s">
        <v>96</v>
      </c>
      <c r="B98" s="8" t="s">
        <v>178</v>
      </c>
      <c r="C98" s="356">
        <v>227929290</v>
      </c>
      <c r="D98" s="356">
        <v>239701683</v>
      </c>
      <c r="E98" s="222">
        <v>248892910</v>
      </c>
    </row>
    <row r="99" spans="1:5">
      <c r="A99" s="14" t="s">
        <v>97</v>
      </c>
      <c r="B99" s="8" t="s">
        <v>135</v>
      </c>
      <c r="C99" s="358">
        <v>1298285803</v>
      </c>
      <c r="D99" s="358">
        <v>1452279385</v>
      </c>
      <c r="E99" s="224">
        <v>1343397634</v>
      </c>
    </row>
    <row r="100" spans="1:5" s="36" customFormat="1" ht="12" customHeight="1">
      <c r="A100" s="14" t="s">
        <v>98</v>
      </c>
      <c r="B100" s="11" t="s">
        <v>179</v>
      </c>
      <c r="C100" s="358">
        <v>63211839</v>
      </c>
      <c r="D100" s="358">
        <v>64546534</v>
      </c>
      <c r="E100" s="224">
        <v>61500000</v>
      </c>
    </row>
    <row r="101" spans="1:5" ht="12" customHeight="1">
      <c r="A101" s="14" t="s">
        <v>109</v>
      </c>
      <c r="B101" s="19" t="s">
        <v>180</v>
      </c>
      <c r="C101" s="358">
        <v>333114180</v>
      </c>
      <c r="D101" s="358">
        <v>381156175</v>
      </c>
      <c r="E101" s="224">
        <v>298432456</v>
      </c>
    </row>
    <row r="102" spans="1:5" ht="12" customHeight="1">
      <c r="A102" s="14" t="s">
        <v>99</v>
      </c>
      <c r="B102" s="8" t="s">
        <v>434</v>
      </c>
      <c r="C102" s="358"/>
      <c r="D102" s="358"/>
      <c r="E102" s="224"/>
    </row>
    <row r="103" spans="1:5" ht="12" customHeight="1">
      <c r="A103" s="14" t="s">
        <v>100</v>
      </c>
      <c r="B103" s="118" t="s">
        <v>433</v>
      </c>
      <c r="C103" s="358"/>
      <c r="D103" s="358"/>
      <c r="E103" s="224"/>
    </row>
    <row r="104" spans="1:5" ht="12" customHeight="1">
      <c r="A104" s="14" t="s">
        <v>110</v>
      </c>
      <c r="B104" s="118" t="s">
        <v>432</v>
      </c>
      <c r="C104" s="358"/>
      <c r="D104" s="358"/>
      <c r="E104" s="224"/>
    </row>
    <row r="105" spans="1:5" ht="12" customHeight="1">
      <c r="A105" s="14" t="s">
        <v>111</v>
      </c>
      <c r="B105" s="116" t="s">
        <v>343</v>
      </c>
      <c r="C105" s="358"/>
      <c r="D105" s="358"/>
      <c r="E105" s="224"/>
    </row>
    <row r="106" spans="1:5" ht="12" customHeight="1">
      <c r="A106" s="14" t="s">
        <v>112</v>
      </c>
      <c r="B106" s="117" t="s">
        <v>344</v>
      </c>
      <c r="C106" s="358"/>
      <c r="D106" s="358"/>
      <c r="E106" s="224"/>
    </row>
    <row r="107" spans="1:5" ht="12" customHeight="1">
      <c r="A107" s="14" t="s">
        <v>113</v>
      </c>
      <c r="B107" s="117" t="s">
        <v>345</v>
      </c>
      <c r="C107" s="358"/>
      <c r="D107" s="358"/>
      <c r="E107" s="224"/>
    </row>
    <row r="108" spans="1:5" ht="12" customHeight="1">
      <c r="A108" s="14" t="s">
        <v>115</v>
      </c>
      <c r="B108" s="116" t="s">
        <v>346</v>
      </c>
      <c r="C108" s="358"/>
      <c r="D108" s="358"/>
      <c r="E108" s="224"/>
    </row>
    <row r="109" spans="1:5" ht="12" customHeight="1">
      <c r="A109" s="14" t="s">
        <v>181</v>
      </c>
      <c r="B109" s="116" t="s">
        <v>347</v>
      </c>
      <c r="C109" s="358"/>
      <c r="D109" s="358"/>
      <c r="E109" s="224"/>
    </row>
    <row r="110" spans="1:5" ht="12" customHeight="1">
      <c r="A110" s="14" t="s">
        <v>341</v>
      </c>
      <c r="B110" s="117" t="s">
        <v>348</v>
      </c>
      <c r="C110" s="358"/>
      <c r="D110" s="358"/>
      <c r="E110" s="224"/>
    </row>
    <row r="111" spans="1:5" ht="12" customHeight="1">
      <c r="A111" s="13" t="s">
        <v>342</v>
      </c>
      <c r="B111" s="118" t="s">
        <v>349</v>
      </c>
      <c r="C111" s="358"/>
      <c r="D111" s="358"/>
      <c r="E111" s="224"/>
    </row>
    <row r="112" spans="1:5" ht="12" customHeight="1">
      <c r="A112" s="14" t="s">
        <v>430</v>
      </c>
      <c r="B112" s="118" t="s">
        <v>350</v>
      </c>
      <c r="C112" s="358"/>
      <c r="D112" s="358"/>
      <c r="E112" s="224"/>
    </row>
    <row r="113" spans="1:5" ht="12" customHeight="1">
      <c r="A113" s="16" t="s">
        <v>431</v>
      </c>
      <c r="B113" s="118" t="s">
        <v>351</v>
      </c>
      <c r="C113" s="358"/>
      <c r="D113" s="358"/>
      <c r="E113" s="224"/>
    </row>
    <row r="114" spans="1:5" ht="12" customHeight="1">
      <c r="A114" s="14" t="s">
        <v>435</v>
      </c>
      <c r="B114" s="11" t="s">
        <v>49</v>
      </c>
      <c r="C114" s="356"/>
      <c r="D114" s="356"/>
      <c r="E114" s="222">
        <v>149143000</v>
      </c>
    </row>
    <row r="115" spans="1:5" ht="12" customHeight="1">
      <c r="A115" s="14" t="s">
        <v>436</v>
      </c>
      <c r="B115" s="8" t="s">
        <v>438</v>
      </c>
      <c r="C115" s="356"/>
      <c r="D115" s="356"/>
      <c r="E115" s="222"/>
    </row>
    <row r="116" spans="1:5" ht="12" customHeight="1" thickBot="1">
      <c r="A116" s="18" t="s">
        <v>437</v>
      </c>
      <c r="B116" s="437" t="s">
        <v>439</v>
      </c>
      <c r="C116" s="450"/>
      <c r="D116" s="450"/>
      <c r="E116" s="444"/>
    </row>
    <row r="117" spans="1:5" ht="12" customHeight="1" thickBot="1">
      <c r="A117" s="434" t="s">
        <v>18</v>
      </c>
      <c r="B117" s="435" t="s">
        <v>352</v>
      </c>
      <c r="C117" s="451">
        <f>+C118+C120+C122</f>
        <v>522750931</v>
      </c>
      <c r="D117" s="451">
        <f>+D118+D120+D122</f>
        <v>809083105</v>
      </c>
      <c r="E117" s="445">
        <f>+E118+E120+E122</f>
        <v>1018904819</v>
      </c>
    </row>
    <row r="118" spans="1:5" ht="12" customHeight="1">
      <c r="A118" s="15" t="s">
        <v>101</v>
      </c>
      <c r="B118" s="8" t="s">
        <v>224</v>
      </c>
      <c r="C118" s="357">
        <v>265634252</v>
      </c>
      <c r="D118" s="357">
        <v>292057443</v>
      </c>
      <c r="E118" s="223">
        <v>628847207</v>
      </c>
    </row>
    <row r="119" spans="1:5">
      <c r="A119" s="15" t="s">
        <v>102</v>
      </c>
      <c r="B119" s="12" t="s">
        <v>356</v>
      </c>
      <c r="C119" s="357"/>
      <c r="D119" s="357"/>
      <c r="E119" s="223"/>
    </row>
    <row r="120" spans="1:5" ht="12" customHeight="1">
      <c r="A120" s="15" t="s">
        <v>103</v>
      </c>
      <c r="B120" s="12" t="s">
        <v>182</v>
      </c>
      <c r="C120" s="356">
        <v>162959105</v>
      </c>
      <c r="D120" s="356">
        <v>378995482</v>
      </c>
      <c r="E120" s="222">
        <v>262557612</v>
      </c>
    </row>
    <row r="121" spans="1:5" ht="12" customHeight="1">
      <c r="A121" s="15" t="s">
        <v>104</v>
      </c>
      <c r="B121" s="12" t="s">
        <v>357</v>
      </c>
      <c r="C121" s="356"/>
      <c r="D121" s="356"/>
      <c r="E121" s="222"/>
    </row>
    <row r="122" spans="1:5" ht="12" customHeight="1">
      <c r="A122" s="15" t="s">
        <v>105</v>
      </c>
      <c r="B122" s="252" t="s">
        <v>226</v>
      </c>
      <c r="C122" s="356">
        <v>94157574</v>
      </c>
      <c r="D122" s="356">
        <v>138030180</v>
      </c>
      <c r="E122" s="222">
        <v>127500000</v>
      </c>
    </row>
    <row r="123" spans="1:5" ht="12" customHeight="1">
      <c r="A123" s="15" t="s">
        <v>114</v>
      </c>
      <c r="B123" s="251" t="s">
        <v>420</v>
      </c>
      <c r="C123" s="356"/>
      <c r="D123" s="356"/>
      <c r="E123" s="222"/>
    </row>
    <row r="124" spans="1:5" ht="12" customHeight="1">
      <c r="A124" s="15" t="s">
        <v>116</v>
      </c>
      <c r="B124" s="369" t="s">
        <v>362</v>
      </c>
      <c r="C124" s="356"/>
      <c r="D124" s="356"/>
      <c r="E124" s="222"/>
    </row>
    <row r="125" spans="1:5" ht="12" customHeight="1">
      <c r="A125" s="15" t="s">
        <v>183</v>
      </c>
      <c r="B125" s="117" t="s">
        <v>345</v>
      </c>
      <c r="C125" s="356"/>
      <c r="D125" s="356"/>
      <c r="E125" s="222"/>
    </row>
    <row r="126" spans="1:5" ht="12" customHeight="1">
      <c r="A126" s="15" t="s">
        <v>184</v>
      </c>
      <c r="B126" s="117" t="s">
        <v>361</v>
      </c>
      <c r="C126" s="356"/>
      <c r="D126" s="356"/>
      <c r="E126" s="222"/>
    </row>
    <row r="127" spans="1:5" ht="12" customHeight="1">
      <c r="A127" s="15" t="s">
        <v>185</v>
      </c>
      <c r="B127" s="117" t="s">
        <v>360</v>
      </c>
      <c r="C127" s="356"/>
      <c r="D127" s="356"/>
      <c r="E127" s="222"/>
    </row>
    <row r="128" spans="1:5" ht="12" customHeight="1">
      <c r="A128" s="15" t="s">
        <v>353</v>
      </c>
      <c r="B128" s="117" t="s">
        <v>348</v>
      </c>
      <c r="C128" s="356"/>
      <c r="D128" s="356"/>
      <c r="E128" s="222"/>
    </row>
    <row r="129" spans="1:5" ht="12" customHeight="1">
      <c r="A129" s="15" t="s">
        <v>354</v>
      </c>
      <c r="B129" s="117" t="s">
        <v>359</v>
      </c>
      <c r="C129" s="356"/>
      <c r="D129" s="356"/>
      <c r="E129" s="222"/>
    </row>
    <row r="130" spans="1:5" ht="12" customHeight="1" thickBot="1">
      <c r="A130" s="13" t="s">
        <v>355</v>
      </c>
      <c r="B130" s="117" t="s">
        <v>358</v>
      </c>
      <c r="C130" s="358"/>
      <c r="D130" s="358"/>
      <c r="E130" s="224"/>
    </row>
    <row r="131" spans="1:5" ht="12" customHeight="1" thickBot="1">
      <c r="A131" s="20" t="s">
        <v>19</v>
      </c>
      <c r="B131" s="98" t="s">
        <v>440</v>
      </c>
      <c r="C131" s="355">
        <f>+C96+C117</f>
        <v>3567394371</v>
      </c>
      <c r="D131" s="355">
        <f>+D96+D117</f>
        <v>4198936809</v>
      </c>
      <c r="E131" s="221">
        <f>+E96+E117</f>
        <v>4457873918</v>
      </c>
    </row>
    <row r="132" spans="1:5" ht="12" customHeight="1" thickBot="1">
      <c r="A132" s="20" t="s">
        <v>20</v>
      </c>
      <c r="B132" s="98" t="s">
        <v>441</v>
      </c>
      <c r="C132" s="355">
        <f>+C133+C134+C135</f>
        <v>0</v>
      </c>
      <c r="D132" s="355">
        <f>+D133+D134+D135</f>
        <v>0</v>
      </c>
      <c r="E132" s="221">
        <f>+E133+E134+E135</f>
        <v>0</v>
      </c>
    </row>
    <row r="133" spans="1:5" ht="12" customHeight="1">
      <c r="A133" s="15" t="s">
        <v>262</v>
      </c>
      <c r="B133" s="12" t="s">
        <v>448</v>
      </c>
      <c r="C133" s="356"/>
      <c r="D133" s="356"/>
      <c r="E133" s="222"/>
    </row>
    <row r="134" spans="1:5" ht="12" customHeight="1">
      <c r="A134" s="15" t="s">
        <v>263</v>
      </c>
      <c r="B134" s="12" t="s">
        <v>449</v>
      </c>
      <c r="C134" s="356"/>
      <c r="D134" s="356"/>
      <c r="E134" s="222"/>
    </row>
    <row r="135" spans="1:5" ht="12" customHeight="1" thickBot="1">
      <c r="A135" s="13" t="s">
        <v>264</v>
      </c>
      <c r="B135" s="12" t="s">
        <v>450</v>
      </c>
      <c r="C135" s="356"/>
      <c r="D135" s="356"/>
      <c r="E135" s="222"/>
    </row>
    <row r="136" spans="1:5" ht="12" customHeight="1" thickBot="1">
      <c r="A136" s="20" t="s">
        <v>21</v>
      </c>
      <c r="B136" s="98" t="s">
        <v>442</v>
      </c>
      <c r="C136" s="355">
        <f>SUM(C137:C142)</f>
        <v>0</v>
      </c>
      <c r="D136" s="355">
        <f>SUM(D137:D142)</f>
        <v>0</v>
      </c>
      <c r="E136" s="221">
        <f>SUM(E137:E142)</f>
        <v>0</v>
      </c>
    </row>
    <row r="137" spans="1:5" ht="12" customHeight="1">
      <c r="A137" s="15" t="s">
        <v>88</v>
      </c>
      <c r="B137" s="9" t="s">
        <v>451</v>
      </c>
      <c r="C137" s="356"/>
      <c r="D137" s="356"/>
      <c r="E137" s="222"/>
    </row>
    <row r="138" spans="1:5" ht="12" customHeight="1">
      <c r="A138" s="15" t="s">
        <v>89</v>
      </c>
      <c r="B138" s="9" t="s">
        <v>443</v>
      </c>
      <c r="C138" s="356"/>
      <c r="D138" s="356"/>
      <c r="E138" s="222"/>
    </row>
    <row r="139" spans="1:5" ht="12" customHeight="1">
      <c r="A139" s="15" t="s">
        <v>90</v>
      </c>
      <c r="B139" s="9" t="s">
        <v>444</v>
      </c>
      <c r="C139" s="356"/>
      <c r="D139" s="356"/>
      <c r="E139" s="222"/>
    </row>
    <row r="140" spans="1:5" ht="12" customHeight="1">
      <c r="A140" s="15" t="s">
        <v>170</v>
      </c>
      <c r="B140" s="9" t="s">
        <v>445</v>
      </c>
      <c r="C140" s="356"/>
      <c r="D140" s="356"/>
      <c r="E140" s="222"/>
    </row>
    <row r="141" spans="1:5" ht="12" customHeight="1">
      <c r="A141" s="15" t="s">
        <v>171</v>
      </c>
      <c r="B141" s="9" t="s">
        <v>446</v>
      </c>
      <c r="C141" s="356"/>
      <c r="D141" s="356"/>
      <c r="E141" s="222"/>
    </row>
    <row r="142" spans="1:5" ht="12" customHeight="1" thickBot="1">
      <c r="A142" s="13" t="s">
        <v>172</v>
      </c>
      <c r="B142" s="9" t="s">
        <v>447</v>
      </c>
      <c r="C142" s="356"/>
      <c r="D142" s="356"/>
      <c r="E142" s="222"/>
    </row>
    <row r="143" spans="1:5" ht="12" customHeight="1" thickBot="1">
      <c r="A143" s="20" t="s">
        <v>22</v>
      </c>
      <c r="B143" s="98" t="s">
        <v>455</v>
      </c>
      <c r="C143" s="362">
        <f>+C144+C145+C146+C147</f>
        <v>0</v>
      </c>
      <c r="D143" s="362">
        <f>+D144+D145+D146+D147</f>
        <v>0</v>
      </c>
      <c r="E143" s="404">
        <f>+E144+E145+E146+E147</f>
        <v>0</v>
      </c>
    </row>
    <row r="144" spans="1:5" ht="12" customHeight="1">
      <c r="A144" s="15" t="s">
        <v>91</v>
      </c>
      <c r="B144" s="9" t="s">
        <v>363</v>
      </c>
      <c r="C144" s="356"/>
      <c r="D144" s="356"/>
      <c r="E144" s="222"/>
    </row>
    <row r="145" spans="1:6" ht="12" customHeight="1">
      <c r="A145" s="15" t="s">
        <v>92</v>
      </c>
      <c r="B145" s="9" t="s">
        <v>364</v>
      </c>
      <c r="C145" s="356"/>
      <c r="D145" s="356"/>
      <c r="E145" s="222"/>
    </row>
    <row r="146" spans="1:6" ht="12" customHeight="1">
      <c r="A146" s="15" t="s">
        <v>280</v>
      </c>
      <c r="B146" s="9" t="s">
        <v>456</v>
      </c>
      <c r="C146" s="356"/>
      <c r="D146" s="356"/>
      <c r="E146" s="222"/>
    </row>
    <row r="147" spans="1:6" ht="12" customHeight="1" thickBot="1">
      <c r="A147" s="13" t="s">
        <v>281</v>
      </c>
      <c r="B147" s="7" t="s">
        <v>382</v>
      </c>
      <c r="C147" s="356"/>
      <c r="D147" s="356"/>
      <c r="E147" s="222"/>
    </row>
    <row r="148" spans="1:6" ht="12" customHeight="1" thickBot="1">
      <c r="A148" s="20" t="s">
        <v>23</v>
      </c>
      <c r="B148" s="98" t="s">
        <v>457</v>
      </c>
      <c r="C148" s="452">
        <f>SUM(C149:C153)</f>
        <v>0</v>
      </c>
      <c r="D148" s="452">
        <f>SUM(D149:D153)</f>
        <v>0</v>
      </c>
      <c r="E148" s="446">
        <f>SUM(E149:E153)</f>
        <v>0</v>
      </c>
    </row>
    <row r="149" spans="1:6" ht="12" customHeight="1">
      <c r="A149" s="15" t="s">
        <v>93</v>
      </c>
      <c r="B149" s="9" t="s">
        <v>452</v>
      </c>
      <c r="C149" s="356"/>
      <c r="D149" s="356"/>
      <c r="E149" s="222"/>
    </row>
    <row r="150" spans="1:6" ht="12" customHeight="1">
      <c r="A150" s="15" t="s">
        <v>94</v>
      </c>
      <c r="B150" s="9" t="s">
        <v>459</v>
      </c>
      <c r="C150" s="356"/>
      <c r="D150" s="356"/>
      <c r="E150" s="222"/>
    </row>
    <row r="151" spans="1:6" ht="12" customHeight="1">
      <c r="A151" s="15" t="s">
        <v>292</v>
      </c>
      <c r="B151" s="9" t="s">
        <v>454</v>
      </c>
      <c r="C151" s="356"/>
      <c r="D151" s="356"/>
      <c r="E151" s="222"/>
    </row>
    <row r="152" spans="1:6" ht="12" customHeight="1">
      <c r="A152" s="15" t="s">
        <v>293</v>
      </c>
      <c r="B152" s="9" t="s">
        <v>460</v>
      </c>
      <c r="C152" s="356"/>
      <c r="D152" s="356"/>
      <c r="E152" s="222"/>
    </row>
    <row r="153" spans="1:6" ht="12" customHeight="1" thickBot="1">
      <c r="A153" s="15" t="s">
        <v>458</v>
      </c>
      <c r="B153" s="9" t="s">
        <v>461</v>
      </c>
      <c r="C153" s="356"/>
      <c r="D153" s="356"/>
      <c r="E153" s="222"/>
    </row>
    <row r="154" spans="1:6" ht="12" customHeight="1" thickBot="1">
      <c r="A154" s="20" t="s">
        <v>24</v>
      </c>
      <c r="B154" s="98" t="s">
        <v>462</v>
      </c>
      <c r="C154" s="453"/>
      <c r="D154" s="453"/>
      <c r="E154" s="447"/>
    </row>
    <row r="155" spans="1:6" ht="12" customHeight="1" thickBot="1">
      <c r="A155" s="20" t="s">
        <v>25</v>
      </c>
      <c r="B155" s="98" t="s">
        <v>463</v>
      </c>
      <c r="C155" s="453"/>
      <c r="D155" s="453"/>
      <c r="E155" s="447"/>
    </row>
    <row r="156" spans="1:6" ht="15.2" customHeight="1" thickBot="1">
      <c r="A156" s="20" t="s">
        <v>26</v>
      </c>
      <c r="B156" s="98" t="s">
        <v>465</v>
      </c>
      <c r="C156" s="454">
        <f>+C132+C136+C143+C148+C154+C155</f>
        <v>0</v>
      </c>
      <c r="D156" s="454">
        <f>+D132+D136+D143+D148+D154+D155</f>
        <v>0</v>
      </c>
      <c r="E156" s="448">
        <f>+E132+E136+E143+E148+E154+E155</f>
        <v>0</v>
      </c>
      <c r="F156" s="99"/>
    </row>
    <row r="157" spans="1:6" s="1" customFormat="1" ht="12.95" customHeight="1" thickBot="1">
      <c r="A157" s="253" t="s">
        <v>27</v>
      </c>
      <c r="B157" s="338" t="s">
        <v>464</v>
      </c>
      <c r="C157" s="454">
        <f>+C131+C156</f>
        <v>3567394371</v>
      </c>
      <c r="D157" s="454">
        <f>+D131+D156</f>
        <v>4198936809</v>
      </c>
      <c r="E157" s="448">
        <f>+E131+E156</f>
        <v>4457873918</v>
      </c>
    </row>
    <row r="158" spans="1:6">
      <c r="C158" s="341"/>
      <c r="E158" s="597">
        <f>E90-E157</f>
        <v>0</v>
      </c>
    </row>
    <row r="159" spans="1:6">
      <c r="C159" s="341"/>
    </row>
    <row r="160" spans="1:6">
      <c r="C160" s="341"/>
    </row>
    <row r="161" spans="3:3" ht="16.5" customHeight="1">
      <c r="C161" s="341"/>
    </row>
    <row r="162" spans="3:3">
      <c r="C162" s="341"/>
    </row>
    <row r="163" spans="3:3">
      <c r="C163" s="341"/>
    </row>
    <row r="164" spans="3:3">
      <c r="C164" s="341"/>
    </row>
    <row r="165" spans="3:3">
      <c r="C165" s="341"/>
    </row>
    <row r="166" spans="3:3">
      <c r="C166" s="341"/>
    </row>
    <row r="167" spans="3:3">
      <c r="C167" s="341"/>
    </row>
    <row r="168" spans="3:3">
      <c r="C168" s="341"/>
    </row>
    <row r="169" spans="3:3">
      <c r="C169" s="341"/>
    </row>
    <row r="170" spans="3:3">
      <c r="C170" s="341"/>
    </row>
  </sheetData>
  <sheetProtection sheet="1"/>
  <mergeCells count="6">
    <mergeCell ref="A4:E4"/>
    <mergeCell ref="A92:E92"/>
    <mergeCell ref="A93:B93"/>
    <mergeCell ref="A5:B5"/>
    <mergeCell ref="A2:E2"/>
    <mergeCell ref="A3:E3"/>
  </mergeCells>
  <phoneticPr fontId="29" type="noConversion"/>
  <printOptions horizontalCentered="1"/>
  <pageMargins left="0.78740157480314965" right="0.78740157480314965" top="0.6692913385826772" bottom="0.47244094488188981" header="0.39370078740157483" footer="0.19685039370078741"/>
  <pageSetup paperSize="9" scale="65" fitToWidth="3" fitToHeight="2" orientation="portrait" r:id="rId1"/>
  <headerFooter alignWithMargins="0"/>
  <rowBreaks count="1" manualBreakCount="1">
    <brk id="91" max="4" man="1"/>
  </rowBreaks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92D050"/>
  </sheetPr>
  <dimension ref="A1:J18"/>
  <sheetViews>
    <sheetView zoomScale="120" zoomScaleNormal="120" workbookViewId="0">
      <selection activeCell="D2" sqref="D2"/>
    </sheetView>
  </sheetViews>
  <sheetFormatPr defaultRowHeight="12.75"/>
  <cols>
    <col min="1" max="1" width="6.83203125" style="158" customWidth="1"/>
    <col min="2" max="2" width="42.83203125" style="46" customWidth="1"/>
    <col min="3" max="8" width="12.83203125" style="46" customWidth="1"/>
    <col min="9" max="9" width="14.33203125" style="46" customWidth="1"/>
    <col min="10" max="10" width="4.33203125" style="46" customWidth="1"/>
    <col min="11" max="16384" width="9.33203125" style="46"/>
  </cols>
  <sheetData>
    <row r="1" spans="1:10" ht="27.75" customHeight="1">
      <c r="A1" s="825" t="s">
        <v>4</v>
      </c>
      <c r="B1" s="825"/>
      <c r="C1" s="825"/>
      <c r="D1" s="825"/>
      <c r="E1" s="825"/>
      <c r="F1" s="825"/>
      <c r="G1" s="825"/>
      <c r="H1" s="825"/>
      <c r="I1" s="825"/>
      <c r="J1" s="824" t="str">
        <f ca="1">CONCATENATE("2. tájékoztató tábla ",ALAPADATOK!A7," ",ALAPADATOK!B7," ",ALAPADATOK!C7," ",ALAPADATOK!D7," ",ALAPADATOK!E7," ",ALAPADATOK!F7," ",ALAPADATOK!G7," ",ALAPADATOK!H7)</f>
        <v>2. tájékoztató tábla a 5 / 2020 ( (II.18.) ) önkormányzati rendelethez</v>
      </c>
    </row>
    <row r="2" spans="1:10" ht="20.45" customHeight="1" thickBot="1">
      <c r="D2" s="46" t="s">
        <v>711</v>
      </c>
      <c r="I2" s="427">
        <f ca="1">KV_1.sz.tájékoztató_t.!E5</f>
        <v>0</v>
      </c>
      <c r="J2" s="824"/>
    </row>
    <row r="3" spans="1:10" s="428" customFormat="1" ht="26.45" customHeight="1">
      <c r="A3" s="833" t="s">
        <v>66</v>
      </c>
      <c r="B3" s="828" t="s">
        <v>82</v>
      </c>
      <c r="C3" s="833" t="s">
        <v>83</v>
      </c>
      <c r="D3" s="833" t="str">
        <f ca="1">+CONCATENATE(LEFT(KV_ÖSSZEFÜGGÉSEK!A5,4)," előtti kifizetés")</f>
        <v>2020 előtti kifizetés</v>
      </c>
      <c r="E3" s="830" t="s">
        <v>65</v>
      </c>
      <c r="F3" s="831"/>
      <c r="G3" s="831"/>
      <c r="H3" s="832"/>
      <c r="I3" s="828" t="s">
        <v>50</v>
      </c>
      <c r="J3" s="824"/>
    </row>
    <row r="4" spans="1:10" s="429" customFormat="1" ht="32.450000000000003" customHeight="1" thickBot="1">
      <c r="A4" s="834"/>
      <c r="B4" s="829"/>
      <c r="C4" s="829"/>
      <c r="D4" s="834"/>
      <c r="E4" s="227" t="str">
        <f ca="1">+CONCATENATE(LEFT(KV_ÖSSZEFÜGGÉSEK!A5,4),".")</f>
        <v>2020.</v>
      </c>
      <c r="F4" s="227" t="str">
        <f ca="1">+CONCATENATE(LEFT(KV_ÖSSZEFÜGGÉSEK!A5,4)+1,".")</f>
        <v>2021.</v>
      </c>
      <c r="G4" s="227" t="str">
        <f ca="1">+CONCATENATE(LEFT(KV_ÖSSZEFÜGGÉSEK!A5,4)+2,".")</f>
        <v>2022.</v>
      </c>
      <c r="H4" s="228" t="str">
        <f ca="1">+CONCATENATE(LEFT(KV_ÖSSZEFÜGGÉSEK!A5,4)+2,".",CHAR(10)," után")</f>
        <v>2022.
 után</v>
      </c>
      <c r="I4" s="829"/>
      <c r="J4" s="824"/>
    </row>
    <row r="5" spans="1:10" s="430" customFormat="1" ht="12.95" customHeight="1" thickBot="1">
      <c r="A5" s="229" t="s">
        <v>485</v>
      </c>
      <c r="B5" s="230" t="s">
        <v>486</v>
      </c>
      <c r="C5" s="231" t="s">
        <v>487</v>
      </c>
      <c r="D5" s="230" t="s">
        <v>489</v>
      </c>
      <c r="E5" s="229" t="s">
        <v>488</v>
      </c>
      <c r="F5" s="231" t="s">
        <v>490</v>
      </c>
      <c r="G5" s="231" t="s">
        <v>491</v>
      </c>
      <c r="H5" s="232" t="s">
        <v>492</v>
      </c>
      <c r="I5" s="233" t="s">
        <v>493</v>
      </c>
      <c r="J5" s="824"/>
    </row>
    <row r="6" spans="1:10" ht="24.75" customHeight="1" thickBot="1">
      <c r="A6" s="234" t="s">
        <v>17</v>
      </c>
      <c r="B6" s="235" t="s">
        <v>5</v>
      </c>
      <c r="C6" s="477"/>
      <c r="D6" s="478">
        <f>+D7+D8</f>
        <v>0</v>
      </c>
      <c r="E6" s="479">
        <f>+E7+E8</f>
        <v>0</v>
      </c>
      <c r="F6" s="480">
        <f>+F7+F8</f>
        <v>0</v>
      </c>
      <c r="G6" s="480">
        <f>+G7+G8</f>
        <v>0</v>
      </c>
      <c r="H6" s="481">
        <f>+H7+H8</f>
        <v>0</v>
      </c>
      <c r="I6" s="49">
        <f t="shared" ref="I6:I17" si="0">SUM(D6:H6)</f>
        <v>0</v>
      </c>
      <c r="J6" s="824"/>
    </row>
    <row r="7" spans="1:10" ht="20.100000000000001" customHeight="1">
      <c r="A7" s="236" t="s">
        <v>18</v>
      </c>
      <c r="B7" s="50" t="s">
        <v>67</v>
      </c>
      <c r="C7" s="482"/>
      <c r="D7" s="483"/>
      <c r="E7" s="484"/>
      <c r="F7" s="485"/>
      <c r="G7" s="485"/>
      <c r="H7" s="486"/>
      <c r="I7" s="237">
        <f t="shared" si="0"/>
        <v>0</v>
      </c>
      <c r="J7" s="824"/>
    </row>
    <row r="8" spans="1:10" ht="20.100000000000001" customHeight="1" thickBot="1">
      <c r="A8" s="236" t="s">
        <v>19</v>
      </c>
      <c r="B8" s="50" t="s">
        <v>67</v>
      </c>
      <c r="C8" s="482"/>
      <c r="D8" s="483"/>
      <c r="E8" s="484"/>
      <c r="F8" s="485"/>
      <c r="G8" s="485"/>
      <c r="H8" s="486"/>
      <c r="I8" s="237">
        <f t="shared" si="0"/>
        <v>0</v>
      </c>
      <c r="J8" s="824"/>
    </row>
    <row r="9" spans="1:10" ht="26.1" customHeight="1" thickBot="1">
      <c r="A9" s="234" t="s">
        <v>20</v>
      </c>
      <c r="B9" s="235" t="s">
        <v>6</v>
      </c>
      <c r="C9" s="477"/>
      <c r="D9" s="478">
        <f>+D10+D11</f>
        <v>0</v>
      </c>
      <c r="E9" s="479">
        <f>+E10+E11</f>
        <v>0</v>
      </c>
      <c r="F9" s="480">
        <f>+F10+F11</f>
        <v>0</v>
      </c>
      <c r="G9" s="480">
        <f>+G10+G11</f>
        <v>0</v>
      </c>
      <c r="H9" s="481">
        <f>+H10+H11</f>
        <v>0</v>
      </c>
      <c r="I9" s="49">
        <f t="shared" si="0"/>
        <v>0</v>
      </c>
      <c r="J9" s="824"/>
    </row>
    <row r="10" spans="1:10" ht="20.100000000000001" customHeight="1">
      <c r="A10" s="236" t="s">
        <v>21</v>
      </c>
      <c r="B10" s="50" t="s">
        <v>67</v>
      </c>
      <c r="C10" s="482"/>
      <c r="D10" s="483"/>
      <c r="E10" s="484"/>
      <c r="F10" s="485"/>
      <c r="G10" s="485"/>
      <c r="H10" s="486"/>
      <c r="I10" s="237">
        <f t="shared" si="0"/>
        <v>0</v>
      </c>
      <c r="J10" s="824"/>
    </row>
    <row r="11" spans="1:10" ht="20.100000000000001" customHeight="1" thickBot="1">
      <c r="A11" s="236" t="s">
        <v>22</v>
      </c>
      <c r="B11" s="50" t="s">
        <v>67</v>
      </c>
      <c r="C11" s="482"/>
      <c r="D11" s="483"/>
      <c r="E11" s="484"/>
      <c r="F11" s="485"/>
      <c r="G11" s="485"/>
      <c r="H11" s="486"/>
      <c r="I11" s="237">
        <f t="shared" si="0"/>
        <v>0</v>
      </c>
      <c r="J11" s="824"/>
    </row>
    <row r="12" spans="1:10" ht="20.100000000000001" customHeight="1" thickBot="1">
      <c r="A12" s="234" t="s">
        <v>23</v>
      </c>
      <c r="B12" s="235" t="s">
        <v>201</v>
      </c>
      <c r="C12" s="477"/>
      <c r="D12" s="478">
        <f>+D13</f>
        <v>0</v>
      </c>
      <c r="E12" s="479">
        <f>+E13</f>
        <v>0</v>
      </c>
      <c r="F12" s="480">
        <f>+F13</f>
        <v>0</v>
      </c>
      <c r="G12" s="480">
        <f>+G13</f>
        <v>0</v>
      </c>
      <c r="H12" s="481">
        <f>+H13</f>
        <v>0</v>
      </c>
      <c r="I12" s="49">
        <f t="shared" si="0"/>
        <v>0</v>
      </c>
      <c r="J12" s="824"/>
    </row>
    <row r="13" spans="1:10" ht="20.100000000000001" customHeight="1" thickBot="1">
      <c r="A13" s="236" t="s">
        <v>24</v>
      </c>
      <c r="B13" s="50" t="s">
        <v>67</v>
      </c>
      <c r="C13" s="482"/>
      <c r="D13" s="483"/>
      <c r="E13" s="484"/>
      <c r="F13" s="485"/>
      <c r="G13" s="485"/>
      <c r="H13" s="486"/>
      <c r="I13" s="237">
        <f t="shared" si="0"/>
        <v>0</v>
      </c>
      <c r="J13" s="824"/>
    </row>
    <row r="14" spans="1:10" ht="20.100000000000001" customHeight="1" thickBot="1">
      <c r="A14" s="234" t="s">
        <v>25</v>
      </c>
      <c r="B14" s="235" t="s">
        <v>202</v>
      </c>
      <c r="C14" s="477"/>
      <c r="D14" s="478">
        <f>+D15</f>
        <v>0</v>
      </c>
      <c r="E14" s="479">
        <f>+E15</f>
        <v>0</v>
      </c>
      <c r="F14" s="480">
        <f>+F15</f>
        <v>0</v>
      </c>
      <c r="G14" s="480">
        <f>+G15</f>
        <v>0</v>
      </c>
      <c r="H14" s="481">
        <f>+H15</f>
        <v>0</v>
      </c>
      <c r="I14" s="49">
        <f t="shared" si="0"/>
        <v>0</v>
      </c>
      <c r="J14" s="824"/>
    </row>
    <row r="15" spans="1:10" ht="20.100000000000001" customHeight="1" thickBot="1">
      <c r="A15" s="238" t="s">
        <v>26</v>
      </c>
      <c r="B15" s="51" t="s">
        <v>67</v>
      </c>
      <c r="C15" s="487"/>
      <c r="D15" s="488"/>
      <c r="E15" s="489"/>
      <c r="F15" s="490"/>
      <c r="G15" s="490"/>
      <c r="H15" s="491"/>
      <c r="I15" s="239">
        <f t="shared" si="0"/>
        <v>0</v>
      </c>
      <c r="J15" s="824"/>
    </row>
    <row r="16" spans="1:10" ht="20.100000000000001" customHeight="1" thickBot="1">
      <c r="A16" s="234" t="s">
        <v>27</v>
      </c>
      <c r="B16" s="240" t="s">
        <v>203</v>
      </c>
      <c r="C16" s="477"/>
      <c r="D16" s="478">
        <f>+D17</f>
        <v>0</v>
      </c>
      <c r="E16" s="479">
        <f>+E17</f>
        <v>0</v>
      </c>
      <c r="F16" s="480">
        <f>+F17</f>
        <v>0</v>
      </c>
      <c r="G16" s="480">
        <f>+G17</f>
        <v>0</v>
      </c>
      <c r="H16" s="481">
        <f>+H17</f>
        <v>0</v>
      </c>
      <c r="I16" s="49">
        <f t="shared" si="0"/>
        <v>0</v>
      </c>
      <c r="J16" s="824"/>
    </row>
    <row r="17" spans="1:10" ht="20.100000000000001" customHeight="1" thickBot="1">
      <c r="A17" s="241" t="s">
        <v>28</v>
      </c>
      <c r="B17" s="52" t="s">
        <v>67</v>
      </c>
      <c r="C17" s="492"/>
      <c r="D17" s="493"/>
      <c r="E17" s="494"/>
      <c r="F17" s="495"/>
      <c r="G17" s="495"/>
      <c r="H17" s="496"/>
      <c r="I17" s="242">
        <f t="shared" si="0"/>
        <v>0</v>
      </c>
      <c r="J17" s="824"/>
    </row>
    <row r="18" spans="1:10" ht="20.100000000000001" customHeight="1" thickBot="1">
      <c r="A18" s="826" t="s">
        <v>141</v>
      </c>
      <c r="B18" s="827"/>
      <c r="C18" s="497"/>
      <c r="D18" s="478">
        <f t="shared" ref="D18:I18" si="1">+D6+D9+D12+D14+D16</f>
        <v>0</v>
      </c>
      <c r="E18" s="479">
        <f t="shared" si="1"/>
        <v>0</v>
      </c>
      <c r="F18" s="480">
        <f t="shared" si="1"/>
        <v>0</v>
      </c>
      <c r="G18" s="480">
        <f t="shared" si="1"/>
        <v>0</v>
      </c>
      <c r="H18" s="481">
        <f t="shared" si="1"/>
        <v>0</v>
      </c>
      <c r="I18" s="49">
        <f t="shared" si="1"/>
        <v>0</v>
      </c>
      <c r="J18" s="824"/>
    </row>
  </sheetData>
  <mergeCells count="9">
    <mergeCell ref="J1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92D050"/>
  </sheetPr>
  <dimension ref="A1:D33"/>
  <sheetViews>
    <sheetView topLeftCell="A7" zoomScale="120" zoomScaleNormal="120" workbookViewId="0">
      <selection activeCell="D15" sqref="D15"/>
    </sheetView>
  </sheetViews>
  <sheetFormatPr defaultRowHeight="12.75"/>
  <cols>
    <col min="1" max="1" width="5.83203125" style="66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14.85" customHeight="1">
      <c r="D1" s="596" t="str">
        <f ca="1">CONCATENATE("3. tájékoztató tábla ",ALAPADATOK!A7," ",ALAPADATOK!B7," ",ALAPADATOK!C7," ",ALAPADATOK!D7," ",ALAPADATOK!E7," ",ALAPADATOK!F7," ",ALAPADATOK!G7," ",ALAPADATOK!H7)</f>
        <v>3. tájékoztató tábla a 5 / 2020 ( (II.18.) ) önkormányzati rendelethez</v>
      </c>
    </row>
    <row r="3" spans="1:4" ht="31.5" customHeight="1">
      <c r="B3" s="836" t="s">
        <v>7</v>
      </c>
      <c r="C3" s="836"/>
      <c r="D3" s="836"/>
    </row>
    <row r="4" spans="1:4" s="54" customFormat="1" ht="16.5" thickBot="1">
      <c r="A4" s="53"/>
      <c r="B4" s="332"/>
      <c r="D4" s="38">
        <f ca="1">KV_2.sz.tájékoztató_t.!I2</f>
        <v>0</v>
      </c>
    </row>
    <row r="5" spans="1:4" s="56" customFormat="1" ht="48" customHeight="1" thickBot="1">
      <c r="A5" s="55" t="s">
        <v>15</v>
      </c>
      <c r="B5" s="162" t="s">
        <v>16</v>
      </c>
      <c r="C5" s="162" t="s">
        <v>68</v>
      </c>
      <c r="D5" s="163" t="s">
        <v>69</v>
      </c>
    </row>
    <row r="6" spans="1:4" s="56" customFormat="1" ht="14.1" customHeight="1" thickBot="1">
      <c r="A6" s="32" t="s">
        <v>485</v>
      </c>
      <c r="B6" s="165" t="s">
        <v>486</v>
      </c>
      <c r="C6" s="165" t="s">
        <v>487</v>
      </c>
      <c r="D6" s="166" t="s">
        <v>489</v>
      </c>
    </row>
    <row r="7" spans="1:4" ht="18" customHeight="1">
      <c r="A7" s="108" t="s">
        <v>17</v>
      </c>
      <c r="B7" s="167" t="s">
        <v>162</v>
      </c>
      <c r="C7" s="106"/>
      <c r="D7" s="57"/>
    </row>
    <row r="8" spans="1:4" ht="18" customHeight="1">
      <c r="A8" s="58" t="s">
        <v>18</v>
      </c>
      <c r="B8" s="168" t="s">
        <v>163</v>
      </c>
      <c r="C8" s="107"/>
      <c r="D8" s="60"/>
    </row>
    <row r="9" spans="1:4" ht="18" customHeight="1">
      <c r="A9" s="58" t="s">
        <v>19</v>
      </c>
      <c r="B9" s="168" t="s">
        <v>117</v>
      </c>
      <c r="C9" s="107"/>
      <c r="D9" s="60"/>
    </row>
    <row r="10" spans="1:4" ht="18" customHeight="1">
      <c r="A10" s="58" t="s">
        <v>20</v>
      </c>
      <c r="B10" s="168" t="s">
        <v>118</v>
      </c>
      <c r="C10" s="107"/>
      <c r="D10" s="60"/>
    </row>
    <row r="11" spans="1:4" ht="18" customHeight="1">
      <c r="A11" s="58" t="s">
        <v>21</v>
      </c>
      <c r="B11" s="168" t="s">
        <v>155</v>
      </c>
      <c r="C11" s="107"/>
      <c r="D11" s="60"/>
    </row>
    <row r="12" spans="1:4" ht="18" customHeight="1">
      <c r="A12" s="58" t="s">
        <v>22</v>
      </c>
      <c r="B12" s="168" t="s">
        <v>156</v>
      </c>
      <c r="C12" s="107"/>
      <c r="D12" s="60"/>
    </row>
    <row r="13" spans="1:4" ht="18" customHeight="1">
      <c r="A13" s="58" t="s">
        <v>23</v>
      </c>
      <c r="B13" s="169" t="s">
        <v>157</v>
      </c>
      <c r="C13" s="107"/>
      <c r="D13" s="60"/>
    </row>
    <row r="14" spans="1:4" ht="18" customHeight="1">
      <c r="A14" s="58" t="s">
        <v>25</v>
      </c>
      <c r="B14" s="169" t="s">
        <v>158</v>
      </c>
      <c r="C14" s="107">
        <v>74000000</v>
      </c>
      <c r="D14" s="60">
        <v>24000000</v>
      </c>
    </row>
    <row r="15" spans="1:4" ht="18" customHeight="1">
      <c r="A15" s="58" t="s">
        <v>26</v>
      </c>
      <c r="B15" s="169" t="s">
        <v>159</v>
      </c>
      <c r="C15" s="107"/>
      <c r="D15" s="60"/>
    </row>
    <row r="16" spans="1:4" ht="18" customHeight="1">
      <c r="A16" s="58" t="s">
        <v>27</v>
      </c>
      <c r="B16" s="169" t="s">
        <v>160</v>
      </c>
      <c r="C16" s="107"/>
      <c r="D16" s="60"/>
    </row>
    <row r="17" spans="1:4" ht="22.5" customHeight="1">
      <c r="A17" s="58" t="s">
        <v>28</v>
      </c>
      <c r="B17" s="169" t="s">
        <v>161</v>
      </c>
      <c r="C17" s="107"/>
      <c r="D17" s="60"/>
    </row>
    <row r="18" spans="1:4" ht="18" customHeight="1">
      <c r="A18" s="58" t="s">
        <v>29</v>
      </c>
      <c r="B18" s="168" t="s">
        <v>119</v>
      </c>
      <c r="C18" s="107"/>
      <c r="D18" s="60"/>
    </row>
    <row r="19" spans="1:4" ht="18" customHeight="1">
      <c r="A19" s="58" t="s">
        <v>30</v>
      </c>
      <c r="B19" s="168" t="s">
        <v>9</v>
      </c>
      <c r="C19" s="107">
        <v>292326754</v>
      </c>
      <c r="D19" s="60">
        <v>218226754</v>
      </c>
    </row>
    <row r="20" spans="1:4" ht="18" customHeight="1">
      <c r="A20" s="58" t="s">
        <v>31</v>
      </c>
      <c r="B20" s="168" t="s">
        <v>8</v>
      </c>
      <c r="C20" s="107"/>
      <c r="D20" s="60"/>
    </row>
    <row r="21" spans="1:4" ht="18" customHeight="1">
      <c r="A21" s="58" t="s">
        <v>32</v>
      </c>
      <c r="B21" s="168" t="s">
        <v>120</v>
      </c>
      <c r="C21" s="107"/>
      <c r="D21" s="60"/>
    </row>
    <row r="22" spans="1:4" ht="18" customHeight="1">
      <c r="A22" s="58" t="s">
        <v>33</v>
      </c>
      <c r="B22" s="168" t="s">
        <v>121</v>
      </c>
      <c r="C22" s="107"/>
      <c r="D22" s="60"/>
    </row>
    <row r="23" spans="1:4" ht="18" customHeight="1">
      <c r="A23" s="58" t="s">
        <v>34</v>
      </c>
      <c r="B23" s="97"/>
      <c r="C23" s="59"/>
      <c r="D23" s="60"/>
    </row>
    <row r="24" spans="1:4" ht="18" customHeight="1">
      <c r="A24" s="58" t="s">
        <v>35</v>
      </c>
      <c r="B24" s="61"/>
      <c r="C24" s="59"/>
      <c r="D24" s="60"/>
    </row>
    <row r="25" spans="1:4" ht="18" customHeight="1">
      <c r="A25" s="58" t="s">
        <v>36</v>
      </c>
      <c r="B25" s="61"/>
      <c r="C25" s="59"/>
      <c r="D25" s="60"/>
    </row>
    <row r="26" spans="1:4" ht="18" customHeight="1">
      <c r="A26" s="58" t="s">
        <v>37</v>
      </c>
      <c r="B26" s="61"/>
      <c r="C26" s="59"/>
      <c r="D26" s="60"/>
    </row>
    <row r="27" spans="1:4" ht="18" customHeight="1">
      <c r="A27" s="58" t="s">
        <v>38</v>
      </c>
      <c r="B27" s="61"/>
      <c r="C27" s="59"/>
      <c r="D27" s="60"/>
    </row>
    <row r="28" spans="1:4" ht="18" customHeight="1">
      <c r="A28" s="58" t="s">
        <v>39</v>
      </c>
      <c r="B28" s="61"/>
      <c r="C28" s="59"/>
      <c r="D28" s="60"/>
    </row>
    <row r="29" spans="1:4" ht="18" customHeight="1">
      <c r="A29" s="58" t="s">
        <v>40</v>
      </c>
      <c r="B29" s="61"/>
      <c r="C29" s="59"/>
      <c r="D29" s="60"/>
    </row>
    <row r="30" spans="1:4" ht="18" customHeight="1">
      <c r="A30" s="58" t="s">
        <v>41</v>
      </c>
      <c r="B30" s="61"/>
      <c r="C30" s="59"/>
      <c r="D30" s="60"/>
    </row>
    <row r="31" spans="1:4" ht="18" customHeight="1" thickBot="1">
      <c r="A31" s="109" t="s">
        <v>42</v>
      </c>
      <c r="B31" s="62"/>
      <c r="C31" s="63"/>
      <c r="D31" s="64"/>
    </row>
    <row r="32" spans="1:4" ht="18" customHeight="1" thickBot="1">
      <c r="A32" s="33" t="s">
        <v>43</v>
      </c>
      <c r="B32" s="173" t="s">
        <v>52</v>
      </c>
      <c r="C32" s="174">
        <f>+C7+C8+C9+C10+C11+C18+C19+C20+C21+C22+C23+C24+C25+C26+C27+C28+C29+C30+C31</f>
        <v>292326754</v>
      </c>
      <c r="D32" s="175">
        <f>+D7+D8+D9+D10+D11+D18+D19+D20+D21+D22+D23+D24+D25+D26+D27+D28+D29+D30+D31</f>
        <v>218226754</v>
      </c>
    </row>
    <row r="33" spans="1:4" ht="8.4499999999999993" customHeight="1">
      <c r="A33" s="65"/>
      <c r="B33" s="835"/>
      <c r="C33" s="835"/>
      <c r="D33" s="835"/>
    </row>
  </sheetData>
  <sheetProtection sheet="1"/>
  <mergeCells count="2">
    <mergeCell ref="B33:D33"/>
    <mergeCell ref="B3:D3"/>
  </mergeCells>
  <phoneticPr fontId="29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Munka25">
    <tabColor rgb="FF92D050"/>
  </sheetPr>
  <dimension ref="A1:Q82"/>
  <sheetViews>
    <sheetView zoomScale="120" zoomScaleNormal="120" workbookViewId="0">
      <selection activeCell="O27" sqref="O27"/>
    </sheetView>
  </sheetViews>
  <sheetFormatPr defaultRowHeight="15.75"/>
  <cols>
    <col min="1" max="1" width="4.83203125" style="76" customWidth="1"/>
    <col min="2" max="2" width="31.1640625" style="89" customWidth="1"/>
    <col min="3" max="4" width="9" style="89" customWidth="1"/>
    <col min="5" max="5" width="9.5" style="89" customWidth="1"/>
    <col min="6" max="6" width="8.83203125" style="89" customWidth="1"/>
    <col min="7" max="7" width="8.6640625" style="89" customWidth="1"/>
    <col min="8" max="8" width="8.83203125" style="89" customWidth="1"/>
    <col min="9" max="9" width="8.1640625" style="89" customWidth="1"/>
    <col min="10" max="14" width="9.5" style="89" customWidth="1"/>
    <col min="15" max="15" width="12.6640625" style="76" customWidth="1"/>
    <col min="16" max="16384" width="9.33203125" style="89"/>
  </cols>
  <sheetData>
    <row r="1" spans="1:17">
      <c r="M1" s="590"/>
      <c r="N1" s="541"/>
      <c r="O1" s="596" t="str">
        <f ca="1">CONCATENATE("4. tájékoztató tábla ",ALAPADATOK!A7," ",ALAPADATOK!B7," ",ALAPADATOK!C7," ",ALAPADATOK!D7," ",ALAPADATOK!E7," ",ALAPADATOK!F7," ",ALAPADATOK!G7," ",ALAPADATOK!H7)</f>
        <v>4. tájékoztató tábla a 5 / 2020 ( (II.18.) ) önkormányzati rendelethez</v>
      </c>
    </row>
    <row r="2" spans="1:17" ht="31.5" customHeight="1">
      <c r="A2" s="840" t="str">
        <f ca="1">+CONCATENATE("Előirányzat-felhasználási terv",CHAR(10),LEFT(KV_ÖSSZEFÜGGÉSEK!A5,4),". évre")</f>
        <v>Előirányzat-felhasználási terv
2020. évre</v>
      </c>
      <c r="B2" s="841"/>
      <c r="C2" s="841"/>
      <c r="D2" s="841"/>
      <c r="E2" s="841"/>
      <c r="F2" s="841"/>
      <c r="G2" s="841"/>
      <c r="H2" s="841"/>
      <c r="I2" s="841"/>
      <c r="J2" s="841"/>
      <c r="K2" s="841"/>
      <c r="L2" s="841"/>
      <c r="M2" s="841"/>
      <c r="N2" s="841"/>
      <c r="O2" s="841"/>
    </row>
    <row r="3" spans="1:17" ht="16.5" thickBot="1">
      <c r="O3" s="4">
        <f ca="1">KV_3.sz.tájékoztató_t.!D4</f>
        <v>0</v>
      </c>
    </row>
    <row r="4" spans="1:17" s="76" customFormat="1" ht="26.1" customHeight="1" thickBot="1">
      <c r="A4" s="73" t="s">
        <v>15</v>
      </c>
      <c r="B4" s="74" t="s">
        <v>60</v>
      </c>
      <c r="C4" s="74" t="s">
        <v>70</v>
      </c>
      <c r="D4" s="74" t="s">
        <v>71</v>
      </c>
      <c r="E4" s="74" t="s">
        <v>72</v>
      </c>
      <c r="F4" s="74" t="s">
        <v>73</v>
      </c>
      <c r="G4" s="74" t="s">
        <v>74</v>
      </c>
      <c r="H4" s="74" t="s">
        <v>75</v>
      </c>
      <c r="I4" s="74" t="s">
        <v>76</v>
      </c>
      <c r="J4" s="74" t="s">
        <v>77</v>
      </c>
      <c r="K4" s="74" t="s">
        <v>78</v>
      </c>
      <c r="L4" s="74" t="s">
        <v>79</v>
      </c>
      <c r="M4" s="74" t="s">
        <v>80</v>
      </c>
      <c r="N4" s="74" t="s">
        <v>81</v>
      </c>
      <c r="O4" s="75" t="s">
        <v>52</v>
      </c>
    </row>
    <row r="5" spans="1:17" s="78" customFormat="1" ht="15.2" customHeight="1" thickBot="1">
      <c r="A5" s="77" t="s">
        <v>17</v>
      </c>
      <c r="B5" s="837" t="s">
        <v>55</v>
      </c>
      <c r="C5" s="838"/>
      <c r="D5" s="838"/>
      <c r="E5" s="838"/>
      <c r="F5" s="838"/>
      <c r="G5" s="838"/>
      <c r="H5" s="838"/>
      <c r="I5" s="838"/>
      <c r="J5" s="838"/>
      <c r="K5" s="838"/>
      <c r="L5" s="838"/>
      <c r="M5" s="838"/>
      <c r="N5" s="838"/>
      <c r="O5" s="839"/>
    </row>
    <row r="6" spans="1:17" s="78" customFormat="1" ht="22.5">
      <c r="A6" s="79" t="s">
        <v>18</v>
      </c>
      <c r="B6" s="431" t="s">
        <v>366</v>
      </c>
      <c r="C6" s="498">
        <v>79899116</v>
      </c>
      <c r="D6" s="498">
        <v>79899116</v>
      </c>
      <c r="E6" s="498">
        <v>79899116</v>
      </c>
      <c r="F6" s="498">
        <v>79899116</v>
      </c>
      <c r="G6" s="498">
        <v>79899116</v>
      </c>
      <c r="H6" s="498">
        <v>79899116</v>
      </c>
      <c r="I6" s="498">
        <v>79899116</v>
      </c>
      <c r="J6" s="498">
        <v>79899116</v>
      </c>
      <c r="K6" s="498">
        <v>79899116</v>
      </c>
      <c r="L6" s="498">
        <v>79899116</v>
      </c>
      <c r="M6" s="498">
        <v>79899116</v>
      </c>
      <c r="N6" s="498">
        <v>79899117</v>
      </c>
      <c r="O6" s="80">
        <f t="shared" ref="O6:O26" si="0">SUM(C6:N6)</f>
        <v>958789393</v>
      </c>
      <c r="Q6" s="594"/>
    </row>
    <row r="7" spans="1:17" s="83" customFormat="1" ht="22.5">
      <c r="A7" s="81" t="s">
        <v>19</v>
      </c>
      <c r="B7" s="245" t="s">
        <v>411</v>
      </c>
      <c r="C7" s="499">
        <v>86920000</v>
      </c>
      <c r="D7" s="499">
        <v>86920000</v>
      </c>
      <c r="E7" s="499">
        <v>86920000</v>
      </c>
      <c r="F7" s="499">
        <v>86920000</v>
      </c>
      <c r="G7" s="499">
        <v>86920000</v>
      </c>
      <c r="H7" s="499">
        <v>86920000</v>
      </c>
      <c r="I7" s="499">
        <v>86920000</v>
      </c>
      <c r="J7" s="499">
        <v>86920000</v>
      </c>
      <c r="K7" s="499">
        <v>86920000</v>
      </c>
      <c r="L7" s="499">
        <v>86920000</v>
      </c>
      <c r="M7" s="499">
        <v>86920000</v>
      </c>
      <c r="N7" s="499">
        <v>86920000</v>
      </c>
      <c r="O7" s="82">
        <f t="shared" si="0"/>
        <v>1043040000</v>
      </c>
    </row>
    <row r="8" spans="1:17" s="83" customFormat="1" ht="22.5">
      <c r="A8" s="81" t="s">
        <v>20</v>
      </c>
      <c r="B8" s="244" t="s">
        <v>412</v>
      </c>
      <c r="C8" s="500">
        <v>200000000</v>
      </c>
      <c r="D8" s="500"/>
      <c r="E8" s="500"/>
      <c r="F8" s="500"/>
      <c r="G8" s="500"/>
      <c r="H8" s="500"/>
      <c r="I8" s="500"/>
      <c r="J8" s="500"/>
      <c r="K8" s="500">
        <v>210952958</v>
      </c>
      <c r="L8" s="500"/>
      <c r="M8" s="500"/>
      <c r="N8" s="500"/>
      <c r="O8" s="84">
        <f t="shared" si="0"/>
        <v>410952958</v>
      </c>
    </row>
    <row r="9" spans="1:17" s="83" customFormat="1" ht="14.1" customHeight="1">
      <c r="A9" s="81" t="s">
        <v>21</v>
      </c>
      <c r="B9" s="243" t="s">
        <v>169</v>
      </c>
      <c r="C9" s="499"/>
      <c r="D9" s="499"/>
      <c r="E9" s="499">
        <v>681500000</v>
      </c>
      <c r="F9" s="499"/>
      <c r="G9" s="499"/>
      <c r="H9" s="499"/>
      <c r="I9" s="499"/>
      <c r="J9" s="499"/>
      <c r="K9" s="499">
        <v>681500000</v>
      </c>
      <c r="L9" s="499"/>
      <c r="M9" s="499"/>
      <c r="N9" s="499"/>
      <c r="O9" s="82">
        <f t="shared" si="0"/>
        <v>1363000000</v>
      </c>
    </row>
    <row r="10" spans="1:17" s="83" customFormat="1" ht="14.1" customHeight="1">
      <c r="A10" s="81" t="s">
        <v>22</v>
      </c>
      <c r="B10" s="243" t="s">
        <v>413</v>
      </c>
      <c r="C10" s="499">
        <v>25449297</v>
      </c>
      <c r="D10" s="499">
        <v>25449297</v>
      </c>
      <c r="E10" s="499">
        <v>25449297</v>
      </c>
      <c r="F10" s="499">
        <v>25449297</v>
      </c>
      <c r="G10" s="499">
        <v>25449297</v>
      </c>
      <c r="H10" s="499">
        <v>25449297</v>
      </c>
      <c r="I10" s="499">
        <v>25449297</v>
      </c>
      <c r="J10" s="499">
        <v>25449297</v>
      </c>
      <c r="K10" s="499">
        <v>25449297</v>
      </c>
      <c r="L10" s="499">
        <v>25449297</v>
      </c>
      <c r="M10" s="499">
        <v>25449297</v>
      </c>
      <c r="N10" s="499">
        <v>25449300</v>
      </c>
      <c r="O10" s="82">
        <f t="shared" si="0"/>
        <v>305391567</v>
      </c>
    </row>
    <row r="11" spans="1:17" s="83" customFormat="1" ht="14.1" customHeight="1">
      <c r="A11" s="81" t="s">
        <v>23</v>
      </c>
      <c r="B11" s="243" t="s">
        <v>10</v>
      </c>
      <c r="C11" s="499"/>
      <c r="D11" s="499"/>
      <c r="E11" s="499"/>
      <c r="F11" s="499"/>
      <c r="G11" s="499"/>
      <c r="H11" s="499"/>
      <c r="I11" s="499"/>
      <c r="J11" s="499"/>
      <c r="K11" s="499">
        <v>40000000</v>
      </c>
      <c r="L11" s="499"/>
      <c r="M11" s="499"/>
      <c r="N11" s="499"/>
      <c r="O11" s="82">
        <f t="shared" si="0"/>
        <v>40000000</v>
      </c>
    </row>
    <row r="12" spans="1:17" s="83" customFormat="1" ht="14.1" customHeight="1">
      <c r="A12" s="81" t="s">
        <v>24</v>
      </c>
      <c r="B12" s="243" t="s">
        <v>368</v>
      </c>
      <c r="C12" s="499"/>
      <c r="D12" s="499"/>
      <c r="E12" s="499"/>
      <c r="F12" s="499"/>
      <c r="G12" s="499"/>
      <c r="H12" s="499"/>
      <c r="I12" s="499"/>
      <c r="J12" s="499"/>
      <c r="K12" s="499"/>
      <c r="L12" s="499"/>
      <c r="M12" s="499"/>
      <c r="N12" s="499"/>
      <c r="O12" s="82">
        <f t="shared" si="0"/>
        <v>0</v>
      </c>
    </row>
    <row r="13" spans="1:17" s="83" customFormat="1" ht="22.5">
      <c r="A13" s="81" t="s">
        <v>25</v>
      </c>
      <c r="B13" s="245" t="s">
        <v>399</v>
      </c>
      <c r="C13" s="499"/>
      <c r="D13" s="499"/>
      <c r="E13" s="499"/>
      <c r="F13" s="499"/>
      <c r="G13" s="499"/>
      <c r="H13" s="499"/>
      <c r="I13" s="499"/>
      <c r="J13" s="499"/>
      <c r="K13" s="499"/>
      <c r="L13" s="499"/>
      <c r="M13" s="499"/>
      <c r="N13" s="499"/>
      <c r="O13" s="82">
        <f t="shared" si="0"/>
        <v>0</v>
      </c>
    </row>
    <row r="14" spans="1:17" s="83" customFormat="1" ht="14.1" customHeight="1" thickBot="1">
      <c r="A14" s="81" t="s">
        <v>26</v>
      </c>
      <c r="B14" s="243" t="s">
        <v>11</v>
      </c>
      <c r="C14" s="499">
        <v>336700000</v>
      </c>
      <c r="D14" s="499"/>
      <c r="E14" s="499"/>
      <c r="F14" s="499"/>
      <c r="G14" s="499"/>
      <c r="H14" s="499"/>
      <c r="I14" s="499"/>
      <c r="J14" s="499"/>
      <c r="K14" s="499"/>
      <c r="L14" s="499"/>
      <c r="M14" s="499"/>
      <c r="N14" s="499"/>
      <c r="O14" s="82">
        <f t="shared" si="0"/>
        <v>336700000</v>
      </c>
    </row>
    <row r="15" spans="1:17" s="78" customFormat="1" ht="15.95" customHeight="1" thickBot="1">
      <c r="A15" s="77" t="s">
        <v>27</v>
      </c>
      <c r="B15" s="34" t="s">
        <v>106</v>
      </c>
      <c r="C15" s="501">
        <f t="shared" ref="C15:N15" si="1">SUM(C6:C14)</f>
        <v>728968413</v>
      </c>
      <c r="D15" s="501">
        <f t="shared" si="1"/>
        <v>192268413</v>
      </c>
      <c r="E15" s="501">
        <f t="shared" si="1"/>
        <v>873768413</v>
      </c>
      <c r="F15" s="501">
        <f t="shared" si="1"/>
        <v>192268413</v>
      </c>
      <c r="G15" s="501">
        <f t="shared" si="1"/>
        <v>192268413</v>
      </c>
      <c r="H15" s="501">
        <f t="shared" si="1"/>
        <v>192268413</v>
      </c>
      <c r="I15" s="501">
        <f t="shared" si="1"/>
        <v>192268413</v>
      </c>
      <c r="J15" s="501">
        <f t="shared" si="1"/>
        <v>192268413</v>
      </c>
      <c r="K15" s="501">
        <f t="shared" si="1"/>
        <v>1124721371</v>
      </c>
      <c r="L15" s="501">
        <f t="shared" si="1"/>
        <v>192268413</v>
      </c>
      <c r="M15" s="501">
        <f t="shared" si="1"/>
        <v>192268413</v>
      </c>
      <c r="N15" s="501">
        <f t="shared" si="1"/>
        <v>192268417</v>
      </c>
      <c r="O15" s="85">
        <f>SUM(C15:N15)</f>
        <v>4457873918</v>
      </c>
    </row>
    <row r="16" spans="1:17" s="78" customFormat="1" ht="15.2" customHeight="1" thickBot="1">
      <c r="A16" s="77" t="s">
        <v>28</v>
      </c>
      <c r="B16" s="837" t="s">
        <v>56</v>
      </c>
      <c r="C16" s="838"/>
      <c r="D16" s="838"/>
      <c r="E16" s="838"/>
      <c r="F16" s="838"/>
      <c r="G16" s="838"/>
      <c r="H16" s="838"/>
      <c r="I16" s="838"/>
      <c r="J16" s="838"/>
      <c r="K16" s="838"/>
      <c r="L16" s="838"/>
      <c r="M16" s="838"/>
      <c r="N16" s="838"/>
      <c r="O16" s="839"/>
    </row>
    <row r="17" spans="1:15" s="83" customFormat="1" ht="14.1" customHeight="1">
      <c r="A17" s="86" t="s">
        <v>29</v>
      </c>
      <c r="B17" s="246" t="s">
        <v>61</v>
      </c>
      <c r="C17" s="500">
        <v>111466925</v>
      </c>
      <c r="D17" s="500">
        <v>111466925</v>
      </c>
      <c r="E17" s="500">
        <v>111466925</v>
      </c>
      <c r="F17" s="500">
        <v>111466925</v>
      </c>
      <c r="G17" s="500">
        <v>111466925</v>
      </c>
      <c r="H17" s="500">
        <v>111466925</v>
      </c>
      <c r="I17" s="500">
        <v>111466925</v>
      </c>
      <c r="J17" s="500">
        <v>111466925</v>
      </c>
      <c r="K17" s="500">
        <v>111466925</v>
      </c>
      <c r="L17" s="500">
        <v>111466925</v>
      </c>
      <c r="M17" s="500">
        <v>111466925</v>
      </c>
      <c r="N17" s="500">
        <v>111466924</v>
      </c>
      <c r="O17" s="84">
        <f t="shared" si="0"/>
        <v>1337603099</v>
      </c>
    </row>
    <row r="18" spans="1:15" s="83" customFormat="1" ht="27.2" customHeight="1">
      <c r="A18" s="81" t="s">
        <v>30</v>
      </c>
      <c r="B18" s="245" t="s">
        <v>178</v>
      </c>
      <c r="C18" s="499">
        <v>20741075</v>
      </c>
      <c r="D18" s="499">
        <v>20741075</v>
      </c>
      <c r="E18" s="499">
        <v>20741075</v>
      </c>
      <c r="F18" s="499">
        <v>20741075</v>
      </c>
      <c r="G18" s="499">
        <v>20741075</v>
      </c>
      <c r="H18" s="499">
        <v>20741075</v>
      </c>
      <c r="I18" s="499">
        <v>20741075</v>
      </c>
      <c r="J18" s="499">
        <v>20741075</v>
      </c>
      <c r="K18" s="499">
        <v>20741075</v>
      </c>
      <c r="L18" s="499">
        <v>20741075</v>
      </c>
      <c r="M18" s="499">
        <v>20741075</v>
      </c>
      <c r="N18" s="499">
        <v>20741085</v>
      </c>
      <c r="O18" s="82">
        <f t="shared" si="0"/>
        <v>248892910</v>
      </c>
    </row>
    <row r="19" spans="1:15" s="83" customFormat="1" ht="14.1" customHeight="1">
      <c r="A19" s="81" t="s">
        <v>31</v>
      </c>
      <c r="B19" s="243" t="s">
        <v>135</v>
      </c>
      <c r="C19" s="499">
        <v>111949803</v>
      </c>
      <c r="D19" s="499">
        <v>111949803</v>
      </c>
      <c r="E19" s="499">
        <v>111949803</v>
      </c>
      <c r="F19" s="499">
        <v>111949803</v>
      </c>
      <c r="G19" s="499">
        <v>111949803</v>
      </c>
      <c r="H19" s="499">
        <v>111949803</v>
      </c>
      <c r="I19" s="499">
        <v>111949803</v>
      </c>
      <c r="J19" s="499">
        <v>111949803</v>
      </c>
      <c r="K19" s="499">
        <v>111949803</v>
      </c>
      <c r="L19" s="499">
        <v>111949803</v>
      </c>
      <c r="M19" s="499">
        <v>111949803</v>
      </c>
      <c r="N19" s="499">
        <v>111949801</v>
      </c>
      <c r="O19" s="82">
        <f t="shared" si="0"/>
        <v>1343397634</v>
      </c>
    </row>
    <row r="20" spans="1:15" s="83" customFormat="1" ht="14.1" customHeight="1">
      <c r="A20" s="81" t="s">
        <v>32</v>
      </c>
      <c r="B20" s="243" t="s">
        <v>179</v>
      </c>
      <c r="C20" s="499">
        <v>5125000</v>
      </c>
      <c r="D20" s="499">
        <v>5125000</v>
      </c>
      <c r="E20" s="499">
        <v>5125000</v>
      </c>
      <c r="F20" s="499">
        <v>5125000</v>
      </c>
      <c r="G20" s="499">
        <v>5125000</v>
      </c>
      <c r="H20" s="499">
        <v>5125000</v>
      </c>
      <c r="I20" s="499">
        <v>5125000</v>
      </c>
      <c r="J20" s="499">
        <v>5125000</v>
      </c>
      <c r="K20" s="499">
        <v>5125000</v>
      </c>
      <c r="L20" s="499">
        <v>5125000</v>
      </c>
      <c r="M20" s="499">
        <v>5125000</v>
      </c>
      <c r="N20" s="499">
        <v>5125000</v>
      </c>
      <c r="O20" s="82">
        <f t="shared" si="0"/>
        <v>61500000</v>
      </c>
    </row>
    <row r="21" spans="1:15" s="83" customFormat="1" ht="14.1" customHeight="1">
      <c r="A21" s="81" t="s">
        <v>33</v>
      </c>
      <c r="B21" s="243" t="s">
        <v>12</v>
      </c>
      <c r="C21" s="499">
        <v>24869371</v>
      </c>
      <c r="D21" s="499">
        <v>24869371</v>
      </c>
      <c r="E21" s="499">
        <v>24869371</v>
      </c>
      <c r="F21" s="499">
        <v>24869371</v>
      </c>
      <c r="G21" s="499">
        <v>24869371</v>
      </c>
      <c r="H21" s="499">
        <v>24869371</v>
      </c>
      <c r="I21" s="499">
        <v>24869371</v>
      </c>
      <c r="J21" s="499">
        <v>24869371</v>
      </c>
      <c r="K21" s="499">
        <v>24869371</v>
      </c>
      <c r="L21" s="499">
        <v>24869371</v>
      </c>
      <c r="M21" s="499">
        <v>24869371</v>
      </c>
      <c r="N21" s="499">
        <v>24869375</v>
      </c>
      <c r="O21" s="82">
        <f t="shared" si="0"/>
        <v>298432456</v>
      </c>
    </row>
    <row r="22" spans="1:15" s="83" customFormat="1" ht="14.1" customHeight="1">
      <c r="A22" s="81" t="s">
        <v>34</v>
      </c>
      <c r="B22" s="243" t="s">
        <v>224</v>
      </c>
      <c r="C22" s="499"/>
      <c r="D22" s="499"/>
      <c r="E22" s="499"/>
      <c r="F22" s="499">
        <v>314423603</v>
      </c>
      <c r="G22" s="499"/>
      <c r="H22" s="499"/>
      <c r="I22" s="499"/>
      <c r="J22" s="499"/>
      <c r="K22" s="499"/>
      <c r="L22" s="499">
        <v>314423604</v>
      </c>
      <c r="M22" s="499"/>
      <c r="N22" s="499"/>
      <c r="O22" s="82">
        <f t="shared" si="0"/>
        <v>628847207</v>
      </c>
    </row>
    <row r="23" spans="1:15" s="83" customFormat="1">
      <c r="A23" s="81" t="s">
        <v>35</v>
      </c>
      <c r="B23" s="245" t="s">
        <v>182</v>
      </c>
      <c r="C23" s="499"/>
      <c r="D23" s="499"/>
      <c r="E23" s="499"/>
      <c r="F23" s="499">
        <v>131278806</v>
      </c>
      <c r="G23" s="499"/>
      <c r="H23" s="499"/>
      <c r="I23" s="499"/>
      <c r="J23" s="499"/>
      <c r="K23" s="499"/>
      <c r="L23" s="499">
        <v>131278806</v>
      </c>
      <c r="M23" s="499"/>
      <c r="N23" s="499"/>
      <c r="O23" s="82">
        <f t="shared" si="0"/>
        <v>262557612</v>
      </c>
    </row>
    <row r="24" spans="1:15" s="83" customFormat="1" ht="14.1" customHeight="1">
      <c r="A24" s="81" t="s">
        <v>36</v>
      </c>
      <c r="B24" s="243" t="s">
        <v>226</v>
      </c>
      <c r="C24" s="499"/>
      <c r="D24" s="499"/>
      <c r="E24" s="499"/>
      <c r="F24" s="499">
        <v>100000000</v>
      </c>
      <c r="G24" s="499"/>
      <c r="H24" s="499"/>
      <c r="I24" s="499"/>
      <c r="J24" s="499"/>
      <c r="K24" s="499"/>
      <c r="L24" s="499">
        <v>27500000</v>
      </c>
      <c r="M24" s="499"/>
      <c r="N24" s="499"/>
      <c r="O24" s="82">
        <f t="shared" si="0"/>
        <v>127500000</v>
      </c>
    </row>
    <row r="25" spans="1:15" s="83" customFormat="1" ht="14.1" customHeight="1" thickBot="1">
      <c r="A25" s="81" t="s">
        <v>37</v>
      </c>
      <c r="B25" s="243" t="s">
        <v>13</v>
      </c>
      <c r="C25" s="499"/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>
        <v>149143000</v>
      </c>
      <c r="O25" s="82">
        <f t="shared" si="0"/>
        <v>149143000</v>
      </c>
    </row>
    <row r="26" spans="1:15" s="78" customFormat="1" ht="15.95" customHeight="1" thickBot="1">
      <c r="A26" s="87" t="s">
        <v>38</v>
      </c>
      <c r="B26" s="34" t="s">
        <v>107</v>
      </c>
      <c r="C26" s="501">
        <f t="shared" ref="C26:N26" si="2">SUM(C17:C25)</f>
        <v>274152174</v>
      </c>
      <c r="D26" s="501">
        <f t="shared" si="2"/>
        <v>274152174</v>
      </c>
      <c r="E26" s="501">
        <f t="shared" si="2"/>
        <v>274152174</v>
      </c>
      <c r="F26" s="501">
        <f t="shared" si="2"/>
        <v>819854583</v>
      </c>
      <c r="G26" s="501">
        <f t="shared" si="2"/>
        <v>274152174</v>
      </c>
      <c r="H26" s="501">
        <f t="shared" si="2"/>
        <v>274152174</v>
      </c>
      <c r="I26" s="501">
        <f t="shared" si="2"/>
        <v>274152174</v>
      </c>
      <c r="J26" s="501">
        <f t="shared" si="2"/>
        <v>274152174</v>
      </c>
      <c r="K26" s="501">
        <f t="shared" si="2"/>
        <v>274152174</v>
      </c>
      <c r="L26" s="501">
        <f t="shared" si="2"/>
        <v>747354584</v>
      </c>
      <c r="M26" s="501">
        <f t="shared" si="2"/>
        <v>274152174</v>
      </c>
      <c r="N26" s="501">
        <f t="shared" si="2"/>
        <v>423295185</v>
      </c>
      <c r="O26" s="85">
        <f t="shared" si="0"/>
        <v>4457873918</v>
      </c>
    </row>
    <row r="27" spans="1:15" ht="16.5" thickBot="1">
      <c r="A27" s="87" t="s">
        <v>39</v>
      </c>
      <c r="B27" s="247" t="s">
        <v>108</v>
      </c>
      <c r="C27" s="502">
        <f t="shared" ref="C27:O27" si="3">C15-C26</f>
        <v>454816239</v>
      </c>
      <c r="D27" s="502">
        <f t="shared" si="3"/>
        <v>-81883761</v>
      </c>
      <c r="E27" s="502">
        <f t="shared" si="3"/>
        <v>599616239</v>
      </c>
      <c r="F27" s="502">
        <f t="shared" si="3"/>
        <v>-627586170</v>
      </c>
      <c r="G27" s="502">
        <f t="shared" si="3"/>
        <v>-81883761</v>
      </c>
      <c r="H27" s="502">
        <f t="shared" si="3"/>
        <v>-81883761</v>
      </c>
      <c r="I27" s="502">
        <f t="shared" si="3"/>
        <v>-81883761</v>
      </c>
      <c r="J27" s="502">
        <f t="shared" si="3"/>
        <v>-81883761</v>
      </c>
      <c r="K27" s="502">
        <f t="shared" si="3"/>
        <v>850569197</v>
      </c>
      <c r="L27" s="502">
        <f t="shared" si="3"/>
        <v>-555086171</v>
      </c>
      <c r="M27" s="502">
        <f t="shared" si="3"/>
        <v>-81883761</v>
      </c>
      <c r="N27" s="502">
        <f t="shared" si="3"/>
        <v>-231026768</v>
      </c>
      <c r="O27" s="88">
        <f t="shared" si="3"/>
        <v>0</v>
      </c>
    </row>
    <row r="28" spans="1:15">
      <c r="A28" s="90"/>
    </row>
    <row r="29" spans="1:15">
      <c r="B29" s="91"/>
      <c r="C29" s="92"/>
      <c r="D29" s="92"/>
      <c r="O29" s="89"/>
    </row>
    <row r="30" spans="1:15">
      <c r="O30" s="89"/>
    </row>
    <row r="31" spans="1:15">
      <c r="O31" s="89"/>
    </row>
    <row r="32" spans="1:15">
      <c r="O32" s="89"/>
    </row>
    <row r="33" spans="15:15">
      <c r="O33" s="89"/>
    </row>
    <row r="34" spans="15:15">
      <c r="O34" s="89"/>
    </row>
    <row r="35" spans="15:15">
      <c r="O35" s="89"/>
    </row>
    <row r="36" spans="15:15">
      <c r="O36" s="89"/>
    </row>
    <row r="37" spans="15:15">
      <c r="O37" s="89"/>
    </row>
    <row r="38" spans="15:15">
      <c r="O38" s="89"/>
    </row>
    <row r="39" spans="15:15">
      <c r="O39" s="89"/>
    </row>
    <row r="40" spans="15:15">
      <c r="O40" s="89"/>
    </row>
    <row r="41" spans="15:15">
      <c r="O41" s="89"/>
    </row>
    <row r="42" spans="15:15">
      <c r="O42" s="89"/>
    </row>
    <row r="43" spans="15:15">
      <c r="O43" s="89"/>
    </row>
    <row r="44" spans="15:15">
      <c r="O44" s="89"/>
    </row>
    <row r="45" spans="15:15">
      <c r="O45" s="89"/>
    </row>
    <row r="46" spans="15:15">
      <c r="O46" s="89"/>
    </row>
    <row r="47" spans="15:15">
      <c r="O47" s="89"/>
    </row>
    <row r="48" spans="15:15">
      <c r="O48" s="89"/>
    </row>
    <row r="49" spans="15:15">
      <c r="O49" s="89"/>
    </row>
    <row r="50" spans="15:15">
      <c r="O50" s="89"/>
    </row>
    <row r="51" spans="15:15">
      <c r="O51" s="89"/>
    </row>
    <row r="52" spans="15:15">
      <c r="O52" s="89"/>
    </row>
    <row r="53" spans="15:15">
      <c r="O53" s="89"/>
    </row>
    <row r="54" spans="15:15">
      <c r="O54" s="89"/>
    </row>
    <row r="55" spans="15:15">
      <c r="O55" s="89"/>
    </row>
    <row r="56" spans="15:15">
      <c r="O56" s="89"/>
    </row>
    <row r="57" spans="15:15">
      <c r="O57" s="89"/>
    </row>
    <row r="58" spans="15:15">
      <c r="O58" s="89"/>
    </row>
    <row r="59" spans="15:15">
      <c r="O59" s="89"/>
    </row>
    <row r="60" spans="15:15">
      <c r="O60" s="89"/>
    </row>
    <row r="61" spans="15:15">
      <c r="O61" s="89"/>
    </row>
    <row r="62" spans="15:15">
      <c r="O62" s="89"/>
    </row>
    <row r="63" spans="15:15">
      <c r="O63" s="89"/>
    </row>
    <row r="64" spans="15:15">
      <c r="O64" s="89"/>
    </row>
    <row r="65" spans="15:15">
      <c r="O65" s="89"/>
    </row>
    <row r="66" spans="15:15">
      <c r="O66" s="89"/>
    </row>
    <row r="67" spans="15:15">
      <c r="O67" s="89"/>
    </row>
    <row r="68" spans="15:15">
      <c r="O68" s="89"/>
    </row>
    <row r="69" spans="15:15">
      <c r="O69" s="89"/>
    </row>
    <row r="70" spans="15:15">
      <c r="O70" s="89"/>
    </row>
    <row r="71" spans="15:15">
      <c r="O71" s="89"/>
    </row>
    <row r="72" spans="15:15">
      <c r="O72" s="89"/>
    </row>
    <row r="73" spans="15:15">
      <c r="O73" s="89"/>
    </row>
    <row r="74" spans="15:15">
      <c r="O74" s="89"/>
    </row>
    <row r="75" spans="15:15">
      <c r="O75" s="89"/>
    </row>
    <row r="76" spans="15:15">
      <c r="O76" s="89"/>
    </row>
    <row r="77" spans="15:15">
      <c r="O77" s="89"/>
    </row>
    <row r="78" spans="15:15">
      <c r="O78" s="89"/>
    </row>
    <row r="79" spans="15:15">
      <c r="O79" s="89"/>
    </row>
    <row r="80" spans="15:15">
      <c r="O80" s="89"/>
    </row>
    <row r="81" spans="15:15">
      <c r="O81" s="89"/>
    </row>
    <row r="82" spans="15:15">
      <c r="O82" s="89"/>
    </row>
  </sheetData>
  <sheetProtection sheet="1"/>
  <mergeCells count="3">
    <mergeCell ref="B5:O5"/>
    <mergeCell ref="B16:O16"/>
    <mergeCell ref="A2:O2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K27"/>
  <sheetViews>
    <sheetView zoomScale="120" zoomScaleNormal="120" zoomScalePageLayoutView="120" workbookViewId="0">
      <selection activeCell="J8" sqref="J8"/>
    </sheetView>
  </sheetViews>
  <sheetFormatPr defaultRowHeight="12.75"/>
  <cols>
    <col min="1" max="1" width="13.83203125" style="40" customWidth="1"/>
    <col min="2" max="2" width="88.6640625" style="40" customWidth="1"/>
    <col min="3" max="3" width="16.83203125" style="40" customWidth="1"/>
    <col min="4" max="4" width="4.83203125" style="618" customWidth="1"/>
    <col min="5" max="5" width="12.1640625" style="40" bestFit="1" customWidth="1"/>
    <col min="6" max="10" width="9.33203125" style="40"/>
    <col min="11" max="11" width="12.1640625" style="40" bestFit="1" customWidth="1"/>
    <col min="12" max="16384" width="9.33203125" style="40"/>
  </cols>
  <sheetData>
    <row r="1" spans="1:11" ht="47.25" customHeight="1">
      <c r="B1" s="842" t="str">
        <f ca="1">+CONCATENATE("A ",LEFT(KV_ÖSSZEFÜGGÉSEK!A5,4),". évi általános működés és ágazati feladatok támogatásának alakulása jogcímenként")</f>
        <v>A 2020. évi általános működés és ágazati feladatok támogatásának alakulása jogcímenként</v>
      </c>
      <c r="C1" s="842"/>
      <c r="D1" s="843" t="str">
        <f ca="1">CONCATENATE("5. tájékoztató tábla ",ALAPADATOK!A7," ",ALAPADATOK!B7," ",ALAPADATOK!C7," ",ALAPADATOK!D7," ",ALAPADATOK!E7," ",ALAPADATOK!F7," ",ALAPADATOK!G7," ",ALAPADATOK!H7)</f>
        <v>5. tájékoztató tábla a 5 / 2020 ( (II.18.) ) önkormányzati rendelethez</v>
      </c>
    </row>
    <row r="2" spans="1:11" ht="22.5" customHeight="1" thickBot="1">
      <c r="B2" s="334"/>
      <c r="C2" s="615" t="s">
        <v>662</v>
      </c>
      <c r="D2" s="843"/>
    </row>
    <row r="3" spans="1:11" s="41" customFormat="1" ht="62.25" customHeight="1" thickBot="1">
      <c r="A3" s="616" t="s">
        <v>667</v>
      </c>
      <c r="B3" s="249" t="s">
        <v>51</v>
      </c>
      <c r="C3" s="600" t="str">
        <f ca="1">+CONCATENATE(LEFT(KV_ÖSSZEFÜGGÉSEK!A5,4),". évi tervezett támogatás összesen")</f>
        <v>2020. évi tervezett támogatás összesen</v>
      </c>
      <c r="D3" s="843"/>
      <c r="H3" s="596"/>
    </row>
    <row r="4" spans="1:11" s="42" customFormat="1" ht="13.5" thickBot="1">
      <c r="A4" s="617" t="s">
        <v>485</v>
      </c>
      <c r="B4" s="156" t="s">
        <v>486</v>
      </c>
      <c r="C4" s="157" t="s">
        <v>487</v>
      </c>
      <c r="D4" s="843"/>
    </row>
    <row r="5" spans="1:11">
      <c r="A5" s="676" t="s">
        <v>716</v>
      </c>
      <c r="B5" s="677" t="s">
        <v>717</v>
      </c>
      <c r="C5" s="678">
        <v>131352375</v>
      </c>
      <c r="D5" s="843"/>
      <c r="K5" s="681"/>
    </row>
    <row r="6" spans="1:11" ht="12.75" customHeight="1">
      <c r="A6" s="679" t="s">
        <v>718</v>
      </c>
      <c r="B6" s="680" t="s">
        <v>719</v>
      </c>
      <c r="C6" s="678">
        <v>461139350</v>
      </c>
      <c r="D6" s="843"/>
    </row>
    <row r="7" spans="1:11">
      <c r="A7" s="679" t="s">
        <v>720</v>
      </c>
      <c r="B7" s="680" t="s">
        <v>721</v>
      </c>
      <c r="C7" s="678">
        <v>71589000</v>
      </c>
      <c r="D7" s="843"/>
      <c r="E7" s="681"/>
    </row>
    <row r="8" spans="1:11" ht="22.5">
      <c r="A8" s="679" t="s">
        <v>722</v>
      </c>
      <c r="B8" s="680" t="s">
        <v>723</v>
      </c>
      <c r="C8" s="678">
        <v>11107600</v>
      </c>
      <c r="D8" s="843"/>
    </row>
    <row r="9" spans="1:11">
      <c r="A9" s="679" t="s">
        <v>724</v>
      </c>
      <c r="B9" s="680" t="s">
        <v>725</v>
      </c>
      <c r="C9" s="678">
        <v>10550800</v>
      </c>
      <c r="D9" s="843"/>
    </row>
    <row r="10" spans="1:11">
      <c r="A10" s="679" t="s">
        <v>726</v>
      </c>
      <c r="B10" s="680" t="s">
        <v>727</v>
      </c>
      <c r="C10" s="678">
        <v>0</v>
      </c>
      <c r="D10" s="843"/>
    </row>
    <row r="11" spans="1:11">
      <c r="A11" s="679" t="s">
        <v>728</v>
      </c>
      <c r="B11" s="680" t="s">
        <v>729</v>
      </c>
      <c r="C11" s="678">
        <v>77413056</v>
      </c>
      <c r="D11" s="843"/>
    </row>
    <row r="12" spans="1:11">
      <c r="A12" s="679" t="s">
        <v>740</v>
      </c>
      <c r="B12" s="680" t="s">
        <v>741</v>
      </c>
      <c r="C12" s="678">
        <v>15158000</v>
      </c>
      <c r="D12" s="843"/>
    </row>
    <row r="13" spans="1:11">
      <c r="A13" s="679" t="s">
        <v>738</v>
      </c>
      <c r="B13" s="680" t="s">
        <v>730</v>
      </c>
      <c r="C13" s="678">
        <v>14000000</v>
      </c>
      <c r="D13" s="843"/>
    </row>
    <row r="14" spans="1:11" ht="12.95" customHeight="1">
      <c r="A14" s="679" t="s">
        <v>739</v>
      </c>
      <c r="B14" s="680" t="s">
        <v>731</v>
      </c>
      <c r="C14" s="678">
        <v>11016000</v>
      </c>
      <c r="D14" s="843"/>
    </row>
    <row r="15" spans="1:11">
      <c r="A15" s="679" t="s">
        <v>737</v>
      </c>
      <c r="B15" s="680" t="s">
        <v>732</v>
      </c>
      <c r="C15" s="678">
        <v>26132025</v>
      </c>
      <c r="D15" s="843"/>
    </row>
    <row r="16" spans="1:11">
      <c r="A16" s="679" t="s">
        <v>733</v>
      </c>
      <c r="B16" s="680" t="s">
        <v>734</v>
      </c>
      <c r="C16" s="678">
        <v>107871533</v>
      </c>
      <c r="D16" s="843"/>
    </row>
    <row r="17" spans="1:4">
      <c r="A17" s="679" t="s">
        <v>735</v>
      </c>
      <c r="B17" s="680" t="s">
        <v>736</v>
      </c>
      <c r="C17" s="678">
        <v>21459654</v>
      </c>
      <c r="D17" s="843"/>
    </row>
    <row r="18" spans="1:4">
      <c r="A18" s="620"/>
      <c r="B18" s="93"/>
      <c r="C18" s="364"/>
      <c r="D18" s="843"/>
    </row>
    <row r="19" spans="1:4">
      <c r="A19" s="620"/>
      <c r="B19" s="93"/>
      <c r="C19" s="364"/>
      <c r="D19" s="843"/>
    </row>
    <row r="20" spans="1:4">
      <c r="A20" s="620"/>
      <c r="B20" s="93"/>
      <c r="C20" s="364"/>
      <c r="D20" s="843"/>
    </row>
    <row r="21" spans="1:4">
      <c r="A21" s="620"/>
      <c r="B21" s="93"/>
      <c r="C21" s="364"/>
      <c r="D21" s="843"/>
    </row>
    <row r="22" spans="1:4">
      <c r="A22" s="620"/>
      <c r="B22" s="93"/>
      <c r="C22" s="364"/>
      <c r="D22" s="843"/>
    </row>
    <row r="23" spans="1:4">
      <c r="A23" s="620"/>
      <c r="B23" s="93"/>
      <c r="C23" s="364"/>
      <c r="D23" s="843"/>
    </row>
    <row r="24" spans="1:4">
      <c r="A24" s="620"/>
      <c r="B24" s="93"/>
      <c r="C24" s="364"/>
      <c r="D24" s="843"/>
    </row>
    <row r="25" spans="1:4" ht="13.5" thickBot="1">
      <c r="A25" s="621"/>
      <c r="B25" s="94"/>
      <c r="C25" s="364"/>
      <c r="D25" s="843"/>
    </row>
    <row r="26" spans="1:4" s="44" customFormat="1" ht="19.5" customHeight="1" thickBot="1">
      <c r="A26" s="622"/>
      <c r="B26" s="31" t="s">
        <v>52</v>
      </c>
      <c r="C26" s="43">
        <f>SUM(C5:C25)</f>
        <v>958789393</v>
      </c>
      <c r="D26" s="843"/>
    </row>
    <row r="27" spans="1:4">
      <c r="A27" s="844" t="s">
        <v>668</v>
      </c>
      <c r="B27" s="844"/>
    </row>
  </sheetData>
  <mergeCells count="3">
    <mergeCell ref="B1:C1"/>
    <mergeCell ref="D1:D26"/>
    <mergeCell ref="A27:B27"/>
  </mergeCells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92D050"/>
  </sheetPr>
  <dimension ref="A1:F42"/>
  <sheetViews>
    <sheetView zoomScale="120" zoomScaleNormal="120" workbookViewId="0">
      <selection activeCell="E32" sqref="E32"/>
    </sheetView>
  </sheetViews>
  <sheetFormatPr defaultRowHeight="12.75"/>
  <cols>
    <col min="1" max="1" width="6.6640625" customWidth="1"/>
    <col min="2" max="2" width="43.33203125" customWidth="1"/>
    <col min="3" max="3" width="31.1640625" customWidth="1"/>
    <col min="4" max="6" width="14.83203125" customWidth="1"/>
  </cols>
  <sheetData>
    <row r="1" spans="1:6" ht="15">
      <c r="C1" s="588"/>
      <c r="D1" s="595" t="str">
        <f ca="1">CONCATENATE("6. tájékoztató tábla ",ALAPADATOK!A7," ",ALAPADATOK!B7," ",ALAPADATOK!C7," ",ALAPADATOK!D7," ",ALAPADATOK!E7," ",ALAPADATOK!F7," ",ALAPADATOK!G7," ",ALAPADATOK!H7)</f>
        <v>6. tájékoztató tábla a 5 / 2020 ( (II.18.) ) önkormányzati rendelethez</v>
      </c>
      <c r="E1" s="595"/>
      <c r="F1" s="595"/>
    </row>
    <row r="2" spans="1:6" ht="45.2" customHeight="1">
      <c r="A2" s="848" t="str">
        <f ca="1">+CONCATENATE("K I M U T A T Á S",CHAR(10),"a ",LEFT(KV_ÖSSZEFÜGGÉSEK!A5,4),". évben céljelleggel juttatott támogatásokról")</f>
        <v>K I M U T A T Á S
a 2020. évben céljelleggel juttatott támogatásokról</v>
      </c>
      <c r="B2" s="848"/>
      <c r="C2" s="848"/>
      <c r="D2" s="848"/>
    </row>
    <row r="3" spans="1:6" ht="17.25" customHeight="1">
      <c r="A3" s="333"/>
      <c r="B3" s="333"/>
      <c r="C3" s="333"/>
      <c r="D3" s="333"/>
      <c r="E3" s="333"/>
      <c r="F3" s="333"/>
    </row>
    <row r="4" spans="1:6" ht="13.5" thickBot="1">
      <c r="A4" s="176"/>
      <c r="B4" s="176"/>
      <c r="C4" s="845"/>
      <c r="D4" s="845"/>
      <c r="F4" s="745" t="s">
        <v>783</v>
      </c>
    </row>
    <row r="5" spans="1:6" ht="42.75" customHeight="1" thickBot="1">
      <c r="A5" s="335" t="s">
        <v>66</v>
      </c>
      <c r="B5" s="336" t="s">
        <v>122</v>
      </c>
      <c r="C5" s="336" t="s">
        <v>123</v>
      </c>
      <c r="D5" s="337" t="s">
        <v>784</v>
      </c>
      <c r="E5" s="337" t="s">
        <v>780</v>
      </c>
      <c r="F5" s="337" t="s">
        <v>785</v>
      </c>
    </row>
    <row r="6" spans="1:6" ht="15.95" customHeight="1">
      <c r="A6" s="177" t="s">
        <v>17</v>
      </c>
      <c r="B6" s="686" t="s">
        <v>742</v>
      </c>
      <c r="C6" s="27"/>
      <c r="D6" s="687">
        <v>330000</v>
      </c>
      <c r="E6" s="687"/>
      <c r="F6" s="687">
        <v>330000</v>
      </c>
    </row>
    <row r="7" spans="1:6" ht="15.95" customHeight="1">
      <c r="A7" s="178" t="s">
        <v>18</v>
      </c>
      <c r="B7" s="682" t="s">
        <v>743</v>
      </c>
      <c r="C7" s="28"/>
      <c r="D7" s="688">
        <v>370000</v>
      </c>
      <c r="E7" s="688"/>
      <c r="F7" s="688">
        <v>370000</v>
      </c>
    </row>
    <row r="8" spans="1:6" ht="15.95" customHeight="1">
      <c r="A8" s="178" t="s">
        <v>19</v>
      </c>
      <c r="B8" s="682" t="s">
        <v>744</v>
      </c>
      <c r="C8" s="28"/>
      <c r="D8" s="688">
        <v>6800000</v>
      </c>
      <c r="E8" s="688"/>
      <c r="F8" s="688">
        <v>6800000</v>
      </c>
    </row>
    <row r="9" spans="1:6" ht="15.95" customHeight="1">
      <c r="A9" s="178" t="s">
        <v>20</v>
      </c>
      <c r="B9" s="682" t="s">
        <v>745</v>
      </c>
      <c r="C9" s="28"/>
      <c r="D9" s="688">
        <v>27000000</v>
      </c>
      <c r="E9" s="688"/>
      <c r="F9" s="688">
        <v>27000000</v>
      </c>
    </row>
    <row r="10" spans="1:6" ht="15.95" customHeight="1">
      <c r="A10" s="178" t="s">
        <v>21</v>
      </c>
      <c r="B10" s="682" t="s">
        <v>746</v>
      </c>
      <c r="C10" s="28"/>
      <c r="D10" s="688">
        <v>30000000</v>
      </c>
      <c r="E10" s="688"/>
      <c r="F10" s="688">
        <v>30000000</v>
      </c>
    </row>
    <row r="11" spans="1:6" ht="15.95" customHeight="1">
      <c r="A11" s="178" t="s">
        <v>22</v>
      </c>
      <c r="B11" s="682" t="s">
        <v>747</v>
      </c>
      <c r="C11" s="28"/>
      <c r="D11" s="688">
        <v>3000000</v>
      </c>
      <c r="E11" s="688"/>
      <c r="F11" s="688">
        <v>3000000</v>
      </c>
    </row>
    <row r="12" spans="1:6" ht="15.95" customHeight="1">
      <c r="A12" s="178" t="s">
        <v>23</v>
      </c>
      <c r="B12" s="682" t="s">
        <v>748</v>
      </c>
      <c r="C12" s="28"/>
      <c r="D12" s="688">
        <v>524455</v>
      </c>
      <c r="E12" s="688"/>
      <c r="F12" s="688">
        <v>524455</v>
      </c>
    </row>
    <row r="13" spans="1:6" ht="15.95" customHeight="1">
      <c r="A13" s="178" t="s">
        <v>24</v>
      </c>
      <c r="B13" s="682" t="s">
        <v>749</v>
      </c>
      <c r="C13" s="28"/>
      <c r="D13" s="688">
        <v>51527000</v>
      </c>
      <c r="E13" s="688"/>
      <c r="F13" s="688">
        <v>51527000</v>
      </c>
    </row>
    <row r="14" spans="1:6" ht="15.95" customHeight="1">
      <c r="A14" s="178" t="s">
        <v>25</v>
      </c>
      <c r="B14" s="683" t="s">
        <v>750</v>
      </c>
      <c r="C14" s="28"/>
      <c r="D14" s="688">
        <v>109986081</v>
      </c>
      <c r="E14" s="688"/>
      <c r="F14" s="688">
        <v>109986081</v>
      </c>
    </row>
    <row r="15" spans="1:6" ht="15.95" customHeight="1">
      <c r="A15" s="178" t="s">
        <v>26</v>
      </c>
      <c r="B15" s="683" t="s">
        <v>751</v>
      </c>
      <c r="C15" s="28"/>
      <c r="D15" s="688">
        <v>21959774</v>
      </c>
      <c r="E15" s="688"/>
      <c r="F15" s="688">
        <v>21959774</v>
      </c>
    </row>
    <row r="16" spans="1:6" ht="15.95" customHeight="1">
      <c r="A16" s="178" t="s">
        <v>27</v>
      </c>
      <c r="B16" s="683" t="s">
        <v>752</v>
      </c>
      <c r="C16" s="28"/>
      <c r="D16" s="688">
        <v>3259260</v>
      </c>
      <c r="E16" s="688"/>
      <c r="F16" s="688">
        <v>3259260</v>
      </c>
    </row>
    <row r="17" spans="1:6" ht="15.95" customHeight="1">
      <c r="A17" s="178" t="s">
        <v>28</v>
      </c>
      <c r="B17" s="683" t="s">
        <v>753</v>
      </c>
      <c r="C17" s="28"/>
      <c r="D17" s="688">
        <v>15158000</v>
      </c>
      <c r="E17" s="688"/>
      <c r="F17" s="688">
        <v>15158000</v>
      </c>
    </row>
    <row r="18" spans="1:6" ht="15.95" customHeight="1">
      <c r="A18" s="178" t="s">
        <v>29</v>
      </c>
      <c r="B18" s="683" t="s">
        <v>753</v>
      </c>
      <c r="C18" s="28"/>
      <c r="D18" s="688">
        <v>12008646</v>
      </c>
      <c r="E18" s="688"/>
      <c r="F18" s="688">
        <v>12008646</v>
      </c>
    </row>
    <row r="19" spans="1:6" ht="15.95" customHeight="1">
      <c r="A19" s="178" t="s">
        <v>30</v>
      </c>
      <c r="B19" s="683" t="s">
        <v>760</v>
      </c>
      <c r="C19" s="28"/>
      <c r="D19" s="688">
        <v>3232660</v>
      </c>
      <c r="E19" s="688"/>
      <c r="F19" s="688">
        <v>3232660</v>
      </c>
    </row>
    <row r="20" spans="1:6" ht="15.95" customHeight="1">
      <c r="A20" s="178" t="s">
        <v>31</v>
      </c>
      <c r="B20" s="684" t="s">
        <v>754</v>
      </c>
      <c r="C20" s="28"/>
      <c r="D20" s="688">
        <v>1856580</v>
      </c>
      <c r="E20" s="688">
        <v>186120</v>
      </c>
      <c r="F20" s="688">
        <f>D20+E20</f>
        <v>2042700</v>
      </c>
    </row>
    <row r="21" spans="1:6" ht="15.95" customHeight="1">
      <c r="A21" s="178" t="s">
        <v>32</v>
      </c>
      <c r="B21" s="683" t="s">
        <v>755</v>
      </c>
      <c r="C21" s="28"/>
      <c r="D21" s="688">
        <v>500000</v>
      </c>
      <c r="E21" s="688"/>
      <c r="F21" s="688">
        <v>500000</v>
      </c>
    </row>
    <row r="22" spans="1:6" ht="15.95" customHeight="1">
      <c r="A22" s="178" t="s">
        <v>33</v>
      </c>
      <c r="B22" s="683" t="s">
        <v>756</v>
      </c>
      <c r="C22" s="28"/>
      <c r="D22" s="688">
        <v>750000</v>
      </c>
      <c r="E22" s="688"/>
      <c r="F22" s="688">
        <v>750000</v>
      </c>
    </row>
    <row r="23" spans="1:6" ht="15.95" customHeight="1">
      <c r="A23" s="178" t="s">
        <v>34</v>
      </c>
      <c r="B23" s="683" t="s">
        <v>758</v>
      </c>
      <c r="C23" s="28"/>
      <c r="D23" s="688">
        <v>5000000</v>
      </c>
      <c r="E23" s="688"/>
      <c r="F23" s="688">
        <v>5000000</v>
      </c>
    </row>
    <row r="24" spans="1:6" ht="15.95" customHeight="1">
      <c r="A24" s="178" t="s">
        <v>35</v>
      </c>
      <c r="B24" s="689" t="s">
        <v>757</v>
      </c>
      <c r="C24" s="689"/>
      <c r="D24" s="693">
        <v>5000000</v>
      </c>
      <c r="E24" s="693"/>
      <c r="F24" s="693">
        <v>5000000</v>
      </c>
    </row>
    <row r="25" spans="1:6" ht="15.95" customHeight="1">
      <c r="A25" s="178" t="s">
        <v>36</v>
      </c>
      <c r="B25" s="694" t="s">
        <v>761</v>
      </c>
      <c r="C25" s="28"/>
      <c r="D25" s="695">
        <v>170000</v>
      </c>
      <c r="E25" s="695"/>
      <c r="F25" s="695">
        <v>170000</v>
      </c>
    </row>
    <row r="26" spans="1:6" ht="15.95" customHeight="1">
      <c r="A26" s="178" t="s">
        <v>37</v>
      </c>
      <c r="B26" s="28"/>
      <c r="C26" s="28"/>
      <c r="D26" s="503"/>
      <c r="E26" s="503"/>
      <c r="F26" s="503"/>
    </row>
    <row r="27" spans="1:6" ht="15.95" customHeight="1">
      <c r="A27" s="178" t="s">
        <v>38</v>
      </c>
      <c r="B27" s="28"/>
      <c r="C27" s="28"/>
      <c r="D27" s="503"/>
      <c r="E27" s="503"/>
      <c r="F27" s="503"/>
    </row>
    <row r="28" spans="1:6" ht="15.95" customHeight="1">
      <c r="A28" s="178" t="s">
        <v>39</v>
      </c>
      <c r="B28" s="28"/>
      <c r="C28" s="28"/>
      <c r="D28" s="503"/>
      <c r="E28" s="503"/>
      <c r="F28" s="503"/>
    </row>
    <row r="29" spans="1:6" ht="15.95" customHeight="1">
      <c r="A29" s="178" t="s">
        <v>40</v>
      </c>
      <c r="B29" s="28"/>
      <c r="C29" s="28"/>
      <c r="D29" s="503"/>
      <c r="E29" s="503"/>
      <c r="F29" s="503"/>
    </row>
    <row r="30" spans="1:6" ht="15.95" customHeight="1">
      <c r="A30" s="178" t="s">
        <v>41</v>
      </c>
      <c r="B30" s="28"/>
      <c r="C30" s="28"/>
      <c r="D30" s="503"/>
      <c r="E30" s="503"/>
      <c r="F30" s="503"/>
    </row>
    <row r="31" spans="1:6" ht="15.95" customHeight="1">
      <c r="A31" s="178" t="s">
        <v>42</v>
      </c>
      <c r="B31" s="28"/>
      <c r="C31" s="28"/>
      <c r="D31" s="503"/>
      <c r="E31" s="503"/>
      <c r="F31" s="503"/>
    </row>
    <row r="32" spans="1:6" ht="15.95" customHeight="1">
      <c r="A32" s="178" t="s">
        <v>43</v>
      </c>
      <c r="B32" s="28"/>
      <c r="C32" s="28"/>
      <c r="D32" s="503"/>
      <c r="E32" s="503"/>
      <c r="F32" s="503"/>
    </row>
    <row r="33" spans="1:6" ht="15.95" customHeight="1">
      <c r="A33" s="178" t="s">
        <v>44</v>
      </c>
      <c r="B33" s="28"/>
      <c r="C33" s="28"/>
      <c r="D33" s="503"/>
      <c r="E33" s="503"/>
      <c r="F33" s="503"/>
    </row>
    <row r="34" spans="1:6" ht="15.95" customHeight="1">
      <c r="A34" s="178" t="s">
        <v>45</v>
      </c>
      <c r="B34" s="28"/>
      <c r="C34" s="28"/>
      <c r="D34" s="503"/>
      <c r="E34" s="503"/>
      <c r="F34" s="503"/>
    </row>
    <row r="35" spans="1:6" ht="15.95" customHeight="1">
      <c r="A35" s="178" t="s">
        <v>124</v>
      </c>
      <c r="B35" s="28"/>
      <c r="C35" s="28"/>
      <c r="D35" s="503"/>
      <c r="E35" s="503"/>
      <c r="F35" s="503"/>
    </row>
    <row r="36" spans="1:6" ht="15.95" customHeight="1">
      <c r="A36" s="178" t="s">
        <v>125</v>
      </c>
      <c r="B36" s="28"/>
      <c r="C36" s="28"/>
      <c r="D36" s="504"/>
      <c r="E36" s="504"/>
      <c r="F36" s="504"/>
    </row>
    <row r="37" spans="1:6" ht="15.95" customHeight="1">
      <c r="A37" s="178" t="s">
        <v>126</v>
      </c>
      <c r="B37" s="28"/>
      <c r="C37" s="28"/>
      <c r="D37" s="504"/>
      <c r="E37" s="504"/>
      <c r="F37" s="504"/>
    </row>
    <row r="38" spans="1:6" ht="15.95" customHeight="1">
      <c r="A38" s="178" t="s">
        <v>127</v>
      </c>
      <c r="B38" s="28"/>
      <c r="C38" s="28"/>
      <c r="D38" s="504"/>
      <c r="E38" s="504"/>
      <c r="F38" s="504"/>
    </row>
    <row r="39" spans="1:6" ht="15.95" customHeight="1" thickBot="1">
      <c r="A39" s="690" t="s">
        <v>759</v>
      </c>
      <c r="B39" s="691"/>
      <c r="C39" s="691"/>
      <c r="D39" s="692"/>
      <c r="E39" s="692"/>
      <c r="F39" s="692"/>
    </row>
    <row r="40" spans="1:6" ht="15.95" customHeight="1" thickBot="1">
      <c r="A40" s="846" t="s">
        <v>52</v>
      </c>
      <c r="B40" s="847"/>
      <c r="C40" s="179"/>
      <c r="D40" s="505">
        <f>SUM(D6:D39)</f>
        <v>298432456</v>
      </c>
      <c r="E40" s="505">
        <f>SUM(E6:E39)</f>
        <v>186120</v>
      </c>
      <c r="F40" s="505">
        <f>SUM(F6:F39)</f>
        <v>298618576</v>
      </c>
    </row>
    <row r="41" spans="1:6">
      <c r="A41" t="s">
        <v>196</v>
      </c>
    </row>
    <row r="42" spans="1:6">
      <c r="D42" s="685"/>
      <c r="E42" s="685"/>
      <c r="F42" s="685"/>
    </row>
  </sheetData>
  <mergeCells count="3">
    <mergeCell ref="C4:D4"/>
    <mergeCell ref="A40:B40"/>
    <mergeCell ref="A2:D2"/>
  </mergeCells>
  <phoneticPr fontId="29" type="noConversion"/>
  <conditionalFormatting sqref="D40">
    <cfRule type="cellIs" dxfId="2" priority="3" stopIfTrue="1" operator="equal">
      <formula>0</formula>
    </cfRule>
  </conditionalFormatting>
  <conditionalFormatting sqref="E40">
    <cfRule type="cellIs" dxfId="1" priority="2" stopIfTrue="1" operator="equal">
      <formula>0</formula>
    </cfRule>
  </conditionalFormatting>
  <conditionalFormatting sqref="F40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75" orientation="portrait" horizontalDpi="360" verticalDpi="36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92D050"/>
  </sheetPr>
  <dimension ref="A1:G51"/>
  <sheetViews>
    <sheetView zoomScale="120" zoomScaleNormal="120" zoomScaleSheetLayoutView="100" workbookViewId="0">
      <selection activeCell="E34" sqref="E34"/>
    </sheetView>
  </sheetViews>
  <sheetFormatPr defaultRowHeight="15.75"/>
  <cols>
    <col min="1" max="1" width="9" style="339" customWidth="1"/>
    <col min="2" max="2" width="66.33203125" style="339" bestFit="1" customWidth="1"/>
    <col min="3" max="3" width="15.5" style="340" customWidth="1"/>
    <col min="4" max="5" width="15.5" style="339" customWidth="1"/>
    <col min="6" max="6" width="9" style="370" customWidth="1"/>
    <col min="7" max="16384" width="9.33203125" style="370"/>
  </cols>
  <sheetData>
    <row r="1" spans="1:5">
      <c r="C1" s="591"/>
      <c r="D1" s="588"/>
      <c r="E1" s="595" t="str">
        <f ca="1">CONCATENATE("7. tájékoztató tábla ",ALAPADATOK!A7," ",ALAPADATOK!B7," ",ALAPADATOK!C7," ",ALAPADATOK!D7," ",ALAPADATOK!E7," ",ALAPADATOK!F7," ",ALAPADATOK!G7," ",ALAPADATOK!H7)</f>
        <v>7. tájékoztató tábla a 5 / 2020 ( (II.18.) ) önkormányzati rendelethez</v>
      </c>
    </row>
    <row r="2" spans="1:5">
      <c r="A2" s="849" t="str">
        <f ca="1">CONCATENATE(ALAPADATOK!A3)</f>
        <v>DABAS VÁROS ÖNKORMÁNYZATA</v>
      </c>
      <c r="B2" s="850"/>
      <c r="C2" s="850"/>
      <c r="D2" s="850"/>
      <c r="E2" s="850"/>
    </row>
    <row r="3" spans="1:5">
      <c r="A3" s="822" t="str">
        <f ca="1">CONCATENATE(ALAPADATOK!D7,". ÉVI KÖLTSÉGVETÉSI ÉVET KÖVETŐ 3 ÉV TERVEZETT")</f>
        <v>2020. ÉVI KÖLTSÉGVETÉSI ÉVET KÖVETŐ 3 ÉV TERVEZETT</v>
      </c>
      <c r="B3" s="851"/>
      <c r="C3" s="851"/>
      <c r="D3" s="851"/>
      <c r="E3" s="851"/>
    </row>
    <row r="4" spans="1:5" ht="15.95" customHeight="1">
      <c r="A4" s="765" t="s">
        <v>591</v>
      </c>
      <c r="B4" s="765"/>
      <c r="C4" s="765"/>
      <c r="D4" s="765"/>
      <c r="E4" s="765"/>
    </row>
    <row r="5" spans="1:5" ht="15.95" customHeight="1" thickBot="1">
      <c r="A5" s="764" t="s">
        <v>147</v>
      </c>
      <c r="B5" s="764"/>
      <c r="D5" s="114"/>
      <c r="E5" s="265">
        <f ca="1">KV_4.sz.tájékoztató_t.!O3</f>
        <v>0</v>
      </c>
    </row>
    <row r="6" spans="1:5" ht="38.1" customHeight="1" thickBot="1">
      <c r="A6" s="23" t="s">
        <v>66</v>
      </c>
      <c r="B6" s="24" t="s">
        <v>16</v>
      </c>
      <c r="C6" s="24" t="str">
        <f ca="1">+CONCATENATE(LEFT(KV_ÖSSZEFÜGGÉSEK!A5,4)+1,". évi")</f>
        <v>2021. évi</v>
      </c>
      <c r="D6" s="363" t="str">
        <f ca="1">+CONCATENATE(LEFT(KV_ÖSSZEFÜGGÉSEK!A5,4)+2,". évi")</f>
        <v>2022. évi</v>
      </c>
      <c r="E6" s="132" t="str">
        <f ca="1">+CONCATENATE(LEFT(KV_ÖSSZEFÜGGÉSEK!A5,4)+3,". évi")</f>
        <v>2023. évi</v>
      </c>
    </row>
    <row r="7" spans="1:5" s="371" customFormat="1" ht="12" customHeight="1" thickBot="1">
      <c r="A7" s="29" t="s">
        <v>485</v>
      </c>
      <c r="B7" s="30" t="s">
        <v>486</v>
      </c>
      <c r="C7" s="30" t="s">
        <v>487</v>
      </c>
      <c r="D7" s="30" t="s">
        <v>489</v>
      </c>
      <c r="E7" s="405" t="s">
        <v>488</v>
      </c>
    </row>
    <row r="8" spans="1:5" s="372" customFormat="1" ht="12" customHeight="1" thickBot="1">
      <c r="A8" s="20" t="s">
        <v>17</v>
      </c>
      <c r="B8" s="21" t="s">
        <v>523</v>
      </c>
      <c r="C8" s="422">
        <v>900000000</v>
      </c>
      <c r="D8" s="422">
        <v>890000000</v>
      </c>
      <c r="E8" s="423">
        <v>850000000</v>
      </c>
    </row>
    <row r="9" spans="1:5" s="372" customFormat="1" ht="12" customHeight="1" thickBot="1">
      <c r="A9" s="20" t="s">
        <v>18</v>
      </c>
      <c r="B9" s="250" t="s">
        <v>367</v>
      </c>
      <c r="C9" s="422">
        <v>1100000000</v>
      </c>
      <c r="D9" s="422">
        <v>1150000000</v>
      </c>
      <c r="E9" s="423">
        <v>1200000000</v>
      </c>
    </row>
    <row r="10" spans="1:5" s="372" customFormat="1" ht="12" customHeight="1" thickBot="1">
      <c r="A10" s="20" t="s">
        <v>19</v>
      </c>
      <c r="B10" s="21" t="s">
        <v>374</v>
      </c>
      <c r="C10" s="422">
        <v>400000000</v>
      </c>
      <c r="D10" s="422">
        <v>450000000</v>
      </c>
      <c r="E10" s="423">
        <v>500000000</v>
      </c>
    </row>
    <row r="11" spans="1:5" s="372" customFormat="1" ht="12" customHeight="1" thickBot="1">
      <c r="A11" s="20" t="s">
        <v>168</v>
      </c>
      <c r="B11" s="21" t="s">
        <v>261</v>
      </c>
      <c r="C11" s="362">
        <f>SUM(C12:C18)</f>
        <v>1426000000</v>
      </c>
      <c r="D11" s="362">
        <f>SUM(D12:D18)</f>
        <v>1502000000</v>
      </c>
      <c r="E11" s="404">
        <f>SUM(E12:E18)</f>
        <v>1578000000</v>
      </c>
    </row>
    <row r="12" spans="1:5" s="372" customFormat="1" ht="12" customHeight="1">
      <c r="A12" s="15" t="s">
        <v>262</v>
      </c>
      <c r="B12" s="373" t="str">
        <f ca="1">KV_1.1.sz.mell.!B32</f>
        <v>Építményadó</v>
      </c>
      <c r="C12" s="357">
        <v>100000000</v>
      </c>
      <c r="D12" s="357">
        <v>120000000</v>
      </c>
      <c r="E12" s="223">
        <v>140000000</v>
      </c>
    </row>
    <row r="13" spans="1:5" s="372" customFormat="1" ht="12" customHeight="1">
      <c r="A13" s="14" t="s">
        <v>263</v>
      </c>
      <c r="B13" s="374" t="str">
        <f ca="1">KV_1.1.sz.mell.!B33</f>
        <v>Idegenforgalmi adó</v>
      </c>
      <c r="C13" s="356">
        <v>6000000</v>
      </c>
      <c r="D13" s="356">
        <v>7000000</v>
      </c>
      <c r="E13" s="222">
        <v>8000000</v>
      </c>
    </row>
    <row r="14" spans="1:5" s="372" customFormat="1" ht="12" customHeight="1">
      <c r="A14" s="14" t="s">
        <v>264</v>
      </c>
      <c r="B14" s="374" t="str">
        <f ca="1">KV_1.1.sz.mell.!B34</f>
        <v>Iparűzési adó</v>
      </c>
      <c r="C14" s="356">
        <v>1150000000</v>
      </c>
      <c r="D14" s="356">
        <v>1200000000</v>
      </c>
      <c r="E14" s="222">
        <v>1250000000</v>
      </c>
    </row>
    <row r="15" spans="1:5" s="372" customFormat="1" ht="12" customHeight="1">
      <c r="A15" s="14" t="s">
        <v>265</v>
      </c>
      <c r="B15" s="374" t="str">
        <f ca="1">KV_1.1.sz.mell.!B35</f>
        <v>Talajterhelési díj</v>
      </c>
      <c r="C15" s="356"/>
      <c r="D15" s="356"/>
      <c r="E15" s="222"/>
    </row>
    <row r="16" spans="1:5" s="372" customFormat="1" ht="12" customHeight="1">
      <c r="A16" s="14" t="s">
        <v>544</v>
      </c>
      <c r="B16" s="374" t="str">
        <f ca="1">KV_1.1.sz.mell.!B36</f>
        <v>Gépjárműadó</v>
      </c>
      <c r="C16" s="356">
        <v>95000000</v>
      </c>
      <c r="D16" s="356">
        <v>100000000</v>
      </c>
      <c r="E16" s="222">
        <v>105000000</v>
      </c>
    </row>
    <row r="17" spans="1:6" s="372" customFormat="1" ht="12" customHeight="1">
      <c r="A17" s="14" t="s">
        <v>545</v>
      </c>
      <c r="B17" s="374" t="str">
        <f ca="1">KV_1.1.sz.mell.!B37</f>
        <v>Telekadó</v>
      </c>
      <c r="C17" s="356"/>
      <c r="D17" s="356"/>
      <c r="E17" s="222"/>
    </row>
    <row r="18" spans="1:6" s="372" customFormat="1" ht="12" customHeight="1" thickBot="1">
      <c r="A18" s="16" t="s">
        <v>546</v>
      </c>
      <c r="B18" s="375" t="str">
        <f ca="1">KV_1.1.sz.mell.!B38</f>
        <v>Kommunális adó</v>
      </c>
      <c r="C18" s="358">
        <v>75000000</v>
      </c>
      <c r="D18" s="358">
        <v>75000000</v>
      </c>
      <c r="E18" s="224">
        <v>75000000</v>
      </c>
    </row>
    <row r="19" spans="1:6" s="372" customFormat="1" ht="12" customHeight="1" thickBot="1">
      <c r="A19" s="20" t="s">
        <v>21</v>
      </c>
      <c r="B19" s="21" t="s">
        <v>526</v>
      </c>
      <c r="C19" s="422">
        <v>320000000</v>
      </c>
      <c r="D19" s="422">
        <v>350000000</v>
      </c>
      <c r="E19" s="423">
        <v>380000000</v>
      </c>
    </row>
    <row r="20" spans="1:6" s="372" customFormat="1" ht="12" customHeight="1" thickBot="1">
      <c r="A20" s="20" t="s">
        <v>22</v>
      </c>
      <c r="B20" s="21" t="s">
        <v>10</v>
      </c>
      <c r="C20" s="422">
        <v>50000000</v>
      </c>
      <c r="D20" s="422">
        <v>60000000</v>
      </c>
      <c r="E20" s="423">
        <v>65000000</v>
      </c>
    </row>
    <row r="21" spans="1:6" s="372" customFormat="1" ht="12" customHeight="1" thickBot="1">
      <c r="A21" s="20" t="s">
        <v>175</v>
      </c>
      <c r="B21" s="21" t="s">
        <v>525</v>
      </c>
      <c r="C21" s="422"/>
      <c r="D21" s="422"/>
      <c r="E21" s="423"/>
    </row>
    <row r="22" spans="1:6" s="372" customFormat="1" ht="12" customHeight="1" thickBot="1">
      <c r="A22" s="20" t="s">
        <v>24</v>
      </c>
      <c r="B22" s="250" t="s">
        <v>524</v>
      </c>
      <c r="C22" s="422"/>
      <c r="D22" s="422"/>
      <c r="E22" s="423"/>
    </row>
    <row r="23" spans="1:6" s="372" customFormat="1" ht="12" customHeight="1" thickBot="1">
      <c r="A23" s="20" t="s">
        <v>25</v>
      </c>
      <c r="B23" s="21" t="s">
        <v>299</v>
      </c>
      <c r="C23" s="362">
        <f>+C8+C9+C10+C11+C19+C20+C21+C22</f>
        <v>4196000000</v>
      </c>
      <c r="D23" s="362">
        <f>+D8+D9+D10+D11+D19+D20+D21+D22</f>
        <v>4402000000</v>
      </c>
      <c r="E23" s="261">
        <f>+E8+E9+E10+E11+E19+E20+E21+E22</f>
        <v>4573000000</v>
      </c>
    </row>
    <row r="24" spans="1:6" s="372" customFormat="1" ht="12" customHeight="1" thickBot="1">
      <c r="A24" s="20" t="s">
        <v>26</v>
      </c>
      <c r="B24" s="21" t="s">
        <v>527</v>
      </c>
      <c r="C24" s="462"/>
      <c r="D24" s="462"/>
      <c r="E24" s="463"/>
    </row>
    <row r="25" spans="1:6" s="372" customFormat="1" ht="12" customHeight="1" thickBot="1">
      <c r="A25" s="20" t="s">
        <v>27</v>
      </c>
      <c r="B25" s="21" t="s">
        <v>528</v>
      </c>
      <c r="C25" s="362">
        <f>+C23+C24</f>
        <v>4196000000</v>
      </c>
      <c r="D25" s="362">
        <f>+D23+D24</f>
        <v>4402000000</v>
      </c>
      <c r="E25" s="404">
        <f>+E23+E24</f>
        <v>4573000000</v>
      </c>
    </row>
    <row r="26" spans="1:6" s="372" customFormat="1" ht="12" customHeight="1">
      <c r="A26" s="327"/>
      <c r="B26" s="328"/>
      <c r="C26" s="329"/>
      <c r="D26" s="459"/>
      <c r="E26" s="460"/>
    </row>
    <row r="27" spans="1:6" s="372" customFormat="1" ht="12" customHeight="1">
      <c r="A27" s="765" t="s">
        <v>46</v>
      </c>
      <c r="B27" s="765"/>
      <c r="C27" s="765"/>
      <c r="D27" s="765"/>
      <c r="E27" s="765"/>
    </row>
    <row r="28" spans="1:6" s="372" customFormat="1" ht="12" customHeight="1" thickBot="1">
      <c r="A28" s="762" t="s">
        <v>148</v>
      </c>
      <c r="B28" s="762"/>
      <c r="C28" s="340"/>
      <c r="D28" s="114"/>
      <c r="E28" s="265">
        <f ca="1">E5</f>
        <v>0</v>
      </c>
    </row>
    <row r="29" spans="1:6" s="372" customFormat="1" ht="24" customHeight="1" thickBot="1">
      <c r="A29" s="23" t="s">
        <v>15</v>
      </c>
      <c r="B29" s="24" t="s">
        <v>47</v>
      </c>
      <c r="C29" s="24" t="str">
        <f ca="1">+C6</f>
        <v>2021. évi</v>
      </c>
      <c r="D29" s="24" t="str">
        <f ca="1">+D6</f>
        <v>2022. évi</v>
      </c>
      <c r="E29" s="132" t="str">
        <f ca="1">+E6</f>
        <v>2023. évi</v>
      </c>
      <c r="F29" s="461"/>
    </row>
    <row r="30" spans="1:6" s="372" customFormat="1" ht="12" customHeight="1" thickBot="1">
      <c r="A30" s="367" t="s">
        <v>485</v>
      </c>
      <c r="B30" s="368" t="s">
        <v>486</v>
      </c>
      <c r="C30" s="368" t="s">
        <v>487</v>
      </c>
      <c r="D30" s="368" t="s">
        <v>489</v>
      </c>
      <c r="E30" s="455" t="s">
        <v>488</v>
      </c>
      <c r="F30" s="461"/>
    </row>
    <row r="31" spans="1:6" s="372" customFormat="1" ht="15.2" customHeight="1" thickBot="1">
      <c r="A31" s="20" t="s">
        <v>17</v>
      </c>
      <c r="B31" s="25" t="s">
        <v>529</v>
      </c>
      <c r="C31" s="422">
        <v>3784000000</v>
      </c>
      <c r="D31" s="422">
        <v>4162000000</v>
      </c>
      <c r="E31" s="418">
        <v>4370000000</v>
      </c>
      <c r="F31" s="461"/>
    </row>
    <row r="32" spans="1:6" ht="12" customHeight="1" thickBot="1">
      <c r="A32" s="434" t="s">
        <v>18</v>
      </c>
      <c r="B32" s="456" t="s">
        <v>534</v>
      </c>
      <c r="C32" s="457">
        <f>+C33+C34+C35</f>
        <v>412000000</v>
      </c>
      <c r="D32" s="457">
        <f>+D33+D34+D35</f>
        <v>240000000</v>
      </c>
      <c r="E32" s="458">
        <f>+E33+E34+E35</f>
        <v>203000000</v>
      </c>
    </row>
    <row r="33" spans="1:7" ht="12" customHeight="1">
      <c r="A33" s="15" t="s">
        <v>101</v>
      </c>
      <c r="B33" s="8" t="s">
        <v>224</v>
      </c>
      <c r="C33" s="357">
        <v>200000000</v>
      </c>
      <c r="D33" s="357">
        <v>100000000</v>
      </c>
      <c r="E33" s="223">
        <v>100000000</v>
      </c>
    </row>
    <row r="34" spans="1:7" ht="12" customHeight="1">
      <c r="A34" s="15" t="s">
        <v>102</v>
      </c>
      <c r="B34" s="12" t="s">
        <v>182</v>
      </c>
      <c r="C34" s="356">
        <v>124000000</v>
      </c>
      <c r="D34" s="356">
        <v>90000000</v>
      </c>
      <c r="E34" s="222">
        <v>73000000</v>
      </c>
    </row>
    <row r="35" spans="1:7" ht="12" customHeight="1" thickBot="1">
      <c r="A35" s="15" t="s">
        <v>103</v>
      </c>
      <c r="B35" s="252" t="s">
        <v>226</v>
      </c>
      <c r="C35" s="356">
        <v>88000000</v>
      </c>
      <c r="D35" s="356">
        <v>50000000</v>
      </c>
      <c r="E35" s="222">
        <v>30000000</v>
      </c>
    </row>
    <row r="36" spans="1:7" ht="12" customHeight="1" thickBot="1">
      <c r="A36" s="20" t="s">
        <v>19</v>
      </c>
      <c r="B36" s="98" t="s">
        <v>440</v>
      </c>
      <c r="C36" s="355">
        <f>+C31+C32</f>
        <v>4196000000</v>
      </c>
      <c r="D36" s="355">
        <f>+D31+D32</f>
        <v>4402000000</v>
      </c>
      <c r="E36" s="221">
        <f>+E31+E32</f>
        <v>4573000000</v>
      </c>
    </row>
    <row r="37" spans="1:7" ht="15.2" customHeight="1" thickBot="1">
      <c r="A37" s="20" t="s">
        <v>20</v>
      </c>
      <c r="B37" s="98" t="s">
        <v>530</v>
      </c>
      <c r="C37" s="464"/>
      <c r="D37" s="464"/>
      <c r="E37" s="465"/>
      <c r="F37" s="385"/>
    </row>
    <row r="38" spans="1:7" s="372" customFormat="1" ht="12.95" customHeight="1" thickBot="1">
      <c r="A38" s="253" t="s">
        <v>21</v>
      </c>
      <c r="B38" s="338" t="s">
        <v>531</v>
      </c>
      <c r="C38" s="454">
        <f>+C36+C37</f>
        <v>4196000000</v>
      </c>
      <c r="D38" s="454">
        <f>+D36+D37</f>
        <v>4402000000</v>
      </c>
      <c r="E38" s="448">
        <f>+E36+E37</f>
        <v>4573000000</v>
      </c>
    </row>
    <row r="39" spans="1:7">
      <c r="C39" s="601">
        <f>C25-C38</f>
        <v>0</v>
      </c>
      <c r="D39" s="601">
        <f>D25-D38</f>
        <v>0</v>
      </c>
      <c r="E39" s="601">
        <f>E25-E38</f>
        <v>0</v>
      </c>
    </row>
    <row r="40" spans="1:7">
      <c r="C40" s="339"/>
    </row>
    <row r="41" spans="1:7">
      <c r="C41" s="339"/>
    </row>
    <row r="42" spans="1:7" ht="16.5" customHeight="1">
      <c r="C42" s="339"/>
    </row>
    <row r="43" spans="1:7">
      <c r="C43" s="339"/>
    </row>
    <row r="44" spans="1:7">
      <c r="C44" s="339"/>
    </row>
    <row r="45" spans="1:7" s="339" customFormat="1">
      <c r="F45" s="370"/>
      <c r="G45" s="370"/>
    </row>
    <row r="46" spans="1:7" s="339" customFormat="1">
      <c r="F46" s="370"/>
      <c r="G46" s="370"/>
    </row>
    <row r="47" spans="1:7" s="339" customFormat="1">
      <c r="F47" s="370"/>
      <c r="G47" s="370"/>
    </row>
    <row r="48" spans="1:7" s="339" customFormat="1">
      <c r="F48" s="370"/>
      <c r="G48" s="370"/>
    </row>
    <row r="49" spans="6:7" s="339" customFormat="1">
      <c r="F49" s="370"/>
      <c r="G49" s="370"/>
    </row>
    <row r="50" spans="6:7" s="339" customFormat="1">
      <c r="F50" s="370"/>
      <c r="G50" s="370"/>
    </row>
    <row r="51" spans="6:7" s="339" customFormat="1">
      <c r="F51" s="370"/>
      <c r="G51" s="370"/>
    </row>
  </sheetData>
  <sheetProtection sheet="1"/>
  <mergeCells count="6">
    <mergeCell ref="A4:E4"/>
    <mergeCell ref="A5:B5"/>
    <mergeCell ref="A27:E27"/>
    <mergeCell ref="A28:B28"/>
    <mergeCell ref="A2:E2"/>
    <mergeCell ref="A3:E3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52</vt:i4>
      </vt:variant>
      <vt:variant>
        <vt:lpstr>Névvel ellátott tartományok</vt:lpstr>
      </vt:variant>
      <vt:variant>
        <vt:i4>35</vt:i4>
      </vt:variant>
    </vt:vector>
  </HeadingPairs>
  <TitlesOfParts>
    <vt:vector size="87" baseType="lpstr">
      <vt:lpstr>TARTALOMJEGYZÉK</vt:lpstr>
      <vt:lpstr>ALAPADATOK</vt:lpstr>
      <vt:lpstr>KV_ÖSSZEFÜGGÉSEK</vt:lpstr>
      <vt:lpstr>KV_1.1.sz.mell.</vt:lpstr>
      <vt:lpstr>KV_1.2.sz.mell.</vt:lpstr>
      <vt:lpstr>KV_1.3.sz.mell.</vt:lpstr>
      <vt:lpstr>KV_1.4.sz.mell.</vt:lpstr>
      <vt:lpstr>KV_2.1.sz.mell.</vt:lpstr>
      <vt:lpstr>KV_2.2.sz.mell.</vt:lpstr>
      <vt:lpstr>KV_ELLENŐRZÉS</vt:lpstr>
      <vt:lpstr>KV_3.sz.mell.</vt:lpstr>
      <vt:lpstr>KV_4.sz.mell.</vt:lpstr>
      <vt:lpstr>KV_5.sz.mell.</vt:lpstr>
      <vt:lpstr>KV_6.sz.mell.</vt:lpstr>
      <vt:lpstr>KV_7.sz.mell.</vt:lpstr>
      <vt:lpstr>KV_8.sz.mell.</vt:lpstr>
      <vt:lpstr>KV_9.1.sz.mell</vt:lpstr>
      <vt:lpstr>KV_9.1.1.sz.mell</vt:lpstr>
      <vt:lpstr>KV_9.1.2.sz.mell.</vt:lpstr>
      <vt:lpstr>KV_9.1.3.sz.mell</vt:lpstr>
      <vt:lpstr>KV_9.2.sz.mell</vt:lpstr>
      <vt:lpstr>KV_9.2.1.sz.mell</vt:lpstr>
      <vt:lpstr>KV_9.2.2.sz.mell</vt:lpstr>
      <vt:lpstr>KV_9.2.3.sz.mell</vt:lpstr>
      <vt:lpstr>KV_9.3.sz.mell</vt:lpstr>
      <vt:lpstr>KV_9.3.1.sz.mell</vt:lpstr>
      <vt:lpstr>KV_9.3.2.sz.mell</vt:lpstr>
      <vt:lpstr>KV_9.3.3.sz.mell</vt:lpstr>
      <vt:lpstr>KV_9.4.sz.mell</vt:lpstr>
      <vt:lpstr>KV_9.4.1.sz.mell</vt:lpstr>
      <vt:lpstr>KV_9.4.2.sz.mell</vt:lpstr>
      <vt:lpstr>KV_9.4.3.sz.mell</vt:lpstr>
      <vt:lpstr>KV_9.5.sz.mell</vt:lpstr>
      <vt:lpstr>KV_9.5.1.sz.mell</vt:lpstr>
      <vt:lpstr>KV_9.5.2.sz.mell</vt:lpstr>
      <vt:lpstr>KV_9.5.3.sz.mell</vt:lpstr>
      <vt:lpstr>KV_9.6.sz.mell</vt:lpstr>
      <vt:lpstr>KV_9.6.1.sz.mell</vt:lpstr>
      <vt:lpstr>KV_9.6.2.sz.mell</vt:lpstr>
      <vt:lpstr>KV_9.6.3.sz.mell</vt:lpstr>
      <vt:lpstr>KV_9.7.sz.mell</vt:lpstr>
      <vt:lpstr>KV_9.7.1.sz.mell</vt:lpstr>
      <vt:lpstr>KV_9.7.2.sz.mell</vt:lpstr>
      <vt:lpstr>KV_9.7.3.sz.mell</vt:lpstr>
      <vt:lpstr>KV_10.sz.mell</vt:lpstr>
      <vt:lpstr>KV_1.sz.tájékoztató_t.</vt:lpstr>
      <vt:lpstr>KV_2.sz.tájékoztató_t.</vt:lpstr>
      <vt:lpstr>KV_3.sz.tájékoztató_t.</vt:lpstr>
      <vt:lpstr>KV_4.sz.tájékoztató_t.</vt:lpstr>
      <vt:lpstr>KV_5.sz.tájékoztató_t</vt:lpstr>
      <vt:lpstr>KV_6.sz.tájékoztató_t.</vt:lpstr>
      <vt:lpstr>KV_7.sz.tájékoztató_t.</vt:lpstr>
      <vt:lpstr>KV_9.1.1.sz.mell!Nyomtatási_cím</vt:lpstr>
      <vt:lpstr>KV_9.1.2.sz.mell.!Nyomtatási_cím</vt:lpstr>
      <vt:lpstr>KV_9.1.3.sz.mell!Nyomtatási_cím</vt:lpstr>
      <vt:lpstr>KV_9.1.sz.mell!Nyomtatási_cím</vt:lpstr>
      <vt:lpstr>KV_9.2.1.sz.mell!Nyomtatási_cím</vt:lpstr>
      <vt:lpstr>KV_9.2.2.sz.mell!Nyomtatási_cím</vt:lpstr>
      <vt:lpstr>KV_9.2.3.sz.mell!Nyomtatási_cím</vt:lpstr>
      <vt:lpstr>KV_9.2.sz.mell!Nyomtatási_cím</vt:lpstr>
      <vt:lpstr>KV_9.3.1.sz.mell!Nyomtatási_cím</vt:lpstr>
      <vt:lpstr>KV_9.3.2.sz.mell!Nyomtatási_cím</vt:lpstr>
      <vt:lpstr>KV_9.3.3.sz.mell!Nyomtatási_cím</vt:lpstr>
      <vt:lpstr>KV_9.3.sz.mell!Nyomtatási_cím</vt:lpstr>
      <vt:lpstr>KV_9.4.1.sz.mell!Nyomtatási_cím</vt:lpstr>
      <vt:lpstr>KV_9.4.2.sz.mell!Nyomtatási_cím</vt:lpstr>
      <vt:lpstr>KV_9.4.3.sz.mell!Nyomtatási_cím</vt:lpstr>
      <vt:lpstr>KV_9.4.sz.mell!Nyomtatási_cím</vt:lpstr>
      <vt:lpstr>KV_9.5.1.sz.mell!Nyomtatási_cím</vt:lpstr>
      <vt:lpstr>KV_9.5.2.sz.mell!Nyomtatási_cím</vt:lpstr>
      <vt:lpstr>KV_9.5.3.sz.mell!Nyomtatási_cím</vt:lpstr>
      <vt:lpstr>KV_9.5.sz.mell!Nyomtatási_cím</vt:lpstr>
      <vt:lpstr>KV_9.6.1.sz.mell!Nyomtatási_cím</vt:lpstr>
      <vt:lpstr>KV_9.6.2.sz.mell!Nyomtatási_cím</vt:lpstr>
      <vt:lpstr>KV_9.6.3.sz.mell!Nyomtatási_cím</vt:lpstr>
      <vt:lpstr>KV_9.6.sz.mell!Nyomtatási_cím</vt:lpstr>
      <vt:lpstr>KV_9.7.1.sz.mell!Nyomtatási_cím</vt:lpstr>
      <vt:lpstr>KV_9.7.2.sz.mell!Nyomtatási_cím</vt:lpstr>
      <vt:lpstr>KV_9.7.3.sz.mell!Nyomtatási_cím</vt:lpstr>
      <vt:lpstr>KV_9.7.sz.mell!Nyomtatási_cím</vt:lpstr>
      <vt:lpstr>KV_1.1.sz.mell.!Nyomtatási_terület</vt:lpstr>
      <vt:lpstr>KV_1.2.sz.mell.!Nyomtatási_terület</vt:lpstr>
      <vt:lpstr>KV_1.3.sz.mell.!Nyomtatási_terület</vt:lpstr>
      <vt:lpstr>KV_1.4.sz.mell.!Nyomtatási_terület</vt:lpstr>
      <vt:lpstr>KV_1.sz.tájékoztató_t.!Nyomtatási_terület</vt:lpstr>
      <vt:lpstr>KV_7.sz.tájékoztató_t.!Nyomtatási_terület</vt:lpstr>
      <vt:lpstr>TARTALOMJEGYZÉK!Nyomtatási_terület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Batka Brigitta</dc:creator>
  <cp:lastModifiedBy>maczak_istvanne</cp:lastModifiedBy>
  <cp:lastPrinted>2020-05-26T08:37:55Z</cp:lastPrinted>
  <dcterms:created xsi:type="dcterms:W3CDTF">1999-10-30T10:30:45Z</dcterms:created>
  <dcterms:modified xsi:type="dcterms:W3CDTF">2020-05-28T08:35:04Z</dcterms:modified>
</cp:coreProperties>
</file>