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803" activeTab="5"/>
  </bookViews>
  <sheets>
    <sheet name="önként2020." sheetId="1" r:id="rId1"/>
    <sheet name="kötelező2020." sheetId="2" r:id="rId2"/>
    <sheet name="önként2020.felh." sheetId="3" r:id="rId3"/>
    <sheet name="kötelező2020.felh." sheetId="4" r:id="rId4"/>
    <sheet name="önkét2020.finansz." sheetId="5" r:id="rId5"/>
    <sheet name="kötelező2020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'kötelező2020.'!$A$1:$M$45</definedName>
    <definedName name="_xlnm.Print_Area" localSheetId="3">'kötelező2020.felh.'!$A$1:$M$43</definedName>
    <definedName name="_xlnm.Print_Area" localSheetId="5">'kötelező2020.finansz.'!$A$1:$M$10</definedName>
    <definedName name="_xlnm.Print_Area" localSheetId="0">'önként2020.'!$A$1:$L$31</definedName>
    <definedName name="_xlnm.Print_Area" localSheetId="2">'önként2020.felh.'!$A$1:$L$32</definedName>
    <definedName name="_xlnm.Print_Area" localSheetId="4">'önkét2020.finansz.'!$A$1:$L$10</definedName>
  </definedNames>
  <calcPr fullCalcOnLoad="1"/>
</workbook>
</file>

<file path=xl/sharedStrings.xml><?xml version="1.0" encoding="utf-8"?>
<sst xmlns="http://schemas.openxmlformats.org/spreadsheetml/2006/main" count="228" uniqueCount="113">
  <si>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</si>
  <si>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</si>
  <si>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</si>
  <si>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</si>
  <si>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</si>
  <si>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</si>
  <si>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</si>
  <si>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</si>
  <si>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</si>
  <si>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Szociális étkeztetés</t>
  </si>
  <si>
    <t>Közcélú foglalkoztatás</t>
  </si>
  <si>
    <t>Családsegítő és gyermekjóléti szolgálat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</si>
  <si>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</si>
  <si>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</si>
  <si>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</si>
  <si>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</si>
  <si>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</si>
  <si>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</si>
  <si>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</si>
  <si>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</si>
  <si>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</si>
  <si>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</si>
  <si>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</si>
  <si>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</si>
  <si>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</si>
  <si>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</si>
  <si>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Ügyeleti szolgálat (óra)</t>
  </si>
  <si>
    <t>Közoktatási feladatok működési kiadásai</t>
  </si>
  <si>
    <t>3.számú melléklet</t>
  </si>
  <si>
    <t>4. számú melléklet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</si>
  <si>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</si>
  <si>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</si>
  <si>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</si>
  <si>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</si>
  <si>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</si>
  <si>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</si>
  <si>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</si>
  <si>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</si>
  <si>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</si>
  <si>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</si>
  <si>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</si>
  <si>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</si>
  <si>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</si>
  <si>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</si>
  <si>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</si>
  <si>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</si>
  <si>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</si>
  <si>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</si>
  <si>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</si>
  <si>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</si>
  <si>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</si>
  <si>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</si>
  <si>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</si>
  <si>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</si>
  <si>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</si>
  <si>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</si>
  <si>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</si>
  <si>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</si>
  <si>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</si>
  <si>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</si>
  <si>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</si>
  <si>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</si>
  <si>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</si>
  <si>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</si>
  <si>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</si>
  <si>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</si>
  <si>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</si>
  <si>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</si>
  <si>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</si>
  <si>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</si>
  <si>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</si>
  <si>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</si>
  <si>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</si>
  <si>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</si>
  <si>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</si>
  <si>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</si>
  <si>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</si>
  <si>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</si>
  <si>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</si>
  <si>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</si>
  <si>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</si>
  <si>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</si>
  <si>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</si>
  <si>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</si>
  <si>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</si>
  <si>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</si>
  <si>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</si>
  <si>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</si>
  <si>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</si>
  <si>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</si>
  <si>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</si>
  <si>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</si>
  <si>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</si>
  <si>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</si>
  <si>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</si>
  <si>
    <t>Házi segítségnyújtás</t>
  </si>
  <si>
    <t>Időskorúak átmeneti ellátása</t>
  </si>
  <si>
    <t>Pszichiátriai betegek közösségi ellátása</t>
  </si>
  <si>
    <t>NEAK fin. +átvett pe.</t>
  </si>
  <si>
    <t>Támogatás ÁH-n belülről</t>
  </si>
  <si>
    <t>tárgyévi tervezett kiadás</t>
  </si>
  <si>
    <t>2020. Működési költségvetés  -  Kötelezően előírt feladatkörök</t>
  </si>
  <si>
    <t>2020. Működési költségvetés -  Önként vállalt feladatkörök</t>
  </si>
  <si>
    <t>Fogorvosi szakellátás</t>
  </si>
  <si>
    <t>Fizikoterápiás szolgáltatás</t>
  </si>
  <si>
    <t>Fogorvosi alapellátás</t>
  </si>
  <si>
    <t>Ifjúságeü.gondozás</t>
  </si>
  <si>
    <t>Család- és nővédelmi eü.gondozás</t>
  </si>
  <si>
    <t>Felhalmozási támogatás</t>
  </si>
  <si>
    <t>2020. Felhalmozási költségvetés -  Önként vállalt feladatkörök</t>
  </si>
  <si>
    <t>2020. Felhalmozási költségvetés  -  Kötelezően előírt feladatkörök</t>
  </si>
  <si>
    <t>2020. Finanszírozási kiadások -  Önként vállalt feladatkörök</t>
  </si>
  <si>
    <t>2020. Finanszírozási kiadások  -  Kötelezően előírt feladatkörök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</si>
</sst>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0.0%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_-* #,##0.0000\ _F_t_-;\-* #,##0.0000\ _F_t_-;_-* &quot;-&quot;??\ _F_t_-;_-@_-"/>
    <numFmt numFmtId="172" formatCode="0.000"/>
    <numFmt numFmtId="173" formatCode="0.0000"/>
    <numFmt numFmtId="174" formatCode="#,##0.00\ _F_t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 shrinkToFit="1"/>
    </xf>
    <xf numFmtId="3" fontId="9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shrinkToFit="1"/>
    </xf>
    <xf numFmtId="2" fontId="9" fillId="0" borderId="17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3" fontId="10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shrinkToFit="1"/>
    </xf>
    <xf numFmtId="2" fontId="3" fillId="0" borderId="18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4" xfId="0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6" fontId="2" fillId="0" borderId="2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9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9" fillId="0" borderId="2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12" fillId="0" borderId="25" xfId="0" applyFont="1" applyFill="1" applyBorder="1" applyAlignment="1">
      <alignment shrinkToFit="1"/>
    </xf>
    <xf numFmtId="174" fontId="10" fillId="0" borderId="14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12" fillId="0" borderId="26" xfId="0" applyFont="1" applyFill="1" applyBorder="1" applyAlignment="1">
      <alignment shrinkToFit="1"/>
    </xf>
    <xf numFmtId="174" fontId="9" fillId="0" borderId="1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4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0" fontId="9" fillId="0" borderId="16" xfId="0" applyFont="1" applyFill="1" applyBorder="1" applyAlignment="1">
      <alignment shrinkToFit="1"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9" fillId="0" borderId="17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center" vertical="center"/>
    </xf>
    <xf numFmtId="174" fontId="10" fillId="0" borderId="14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 shrinkToFit="1"/>
    </xf>
    <xf numFmtId="174" fontId="10" fillId="0" borderId="19" xfId="0" applyNumberFormat="1" applyFont="1" applyFill="1" applyBorder="1" applyAlignment="1">
      <alignment horizontal="right"/>
    </xf>
    <xf numFmtId="174" fontId="10" fillId="0" borderId="18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shrinkToFit="1"/>
    </xf>
    <xf numFmtId="3" fontId="12" fillId="0" borderId="17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 horizontal="right"/>
    </xf>
    <xf numFmtId="2" fontId="9" fillId="0" borderId="28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0" fontId="12" fillId="0" borderId="31" xfId="0" applyFont="1" applyFill="1" applyBorder="1" applyAlignment="1">
      <alignment shrinkToFit="1"/>
    </xf>
    <xf numFmtId="3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/>
    </xf>
    <xf numFmtId="0" fontId="12" fillId="0" borderId="31" xfId="0" applyFont="1" applyFill="1" applyBorder="1" applyAlignment="1">
      <alignment shrinkToFit="1"/>
    </xf>
    <xf numFmtId="0" fontId="3" fillId="0" borderId="32" xfId="0" applyFont="1" applyFill="1" applyBorder="1" applyAlignment="1">
      <alignment shrinkToFit="1"/>
    </xf>
    <xf numFmtId="3" fontId="10" fillId="0" borderId="28" xfId="0" applyNumberFormat="1" applyFont="1" applyFill="1" applyBorder="1" applyAlignment="1">
      <alignment/>
    </xf>
    <xf numFmtId="0" fontId="12" fillId="0" borderId="21" xfId="0" applyFont="1" applyFill="1" applyBorder="1" applyAlignment="1">
      <alignment shrinkToFit="1"/>
    </xf>
    <xf numFmtId="3" fontId="9" fillId="0" borderId="2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 shrinkToFit="1"/>
    </xf>
    <xf numFmtId="3" fontId="3" fillId="0" borderId="0" xfId="0" applyNumberFormat="1" applyFont="1" applyFill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shrinkToFit="1"/>
    </xf>
    <xf numFmtId="3" fontId="3" fillId="0" borderId="15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 shrinkToFit="1"/>
    </xf>
    <xf numFmtId="3" fontId="9" fillId="0" borderId="23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 shrinkToFit="1"/>
    </xf>
    <xf numFmtId="3" fontId="3" fillId="0" borderId="2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shrinkToFit="1"/>
    </xf>
    <xf numFmtId="3" fontId="3" fillId="0" borderId="12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 shrinkToFit="1"/>
    </xf>
    <xf numFmtId="3" fontId="3" fillId="0" borderId="21" xfId="0" applyNumberFormat="1" applyFont="1" applyFill="1" applyBorder="1" applyAlignment="1">
      <alignment shrinkToFit="1"/>
    </xf>
    <xf numFmtId="3" fontId="3" fillId="0" borderId="22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shrinkToFit="1"/>
    </xf>
    <xf numFmtId="3" fontId="12" fillId="0" borderId="2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shrinkToFit="1"/>
    </xf>
    <xf numFmtId="3" fontId="3" fillId="0" borderId="30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0" fillId="0" borderId="26" xfId="0" applyNumberFormat="1" applyFont="1" applyFill="1" applyBorder="1" applyAlignment="1">
      <alignment shrinkToFit="1"/>
    </xf>
    <xf numFmtId="3" fontId="10" fillId="0" borderId="27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shrinkToFit="1"/>
    </xf>
    <xf numFmtId="3" fontId="10" fillId="0" borderId="28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 shrinkToFit="1"/>
    </xf>
    <xf numFmtId="3" fontId="9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/>
    </xf>
    <xf numFmtId="174" fontId="10" fillId="0" borderId="11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26" xfId="0" applyFont="1" applyFill="1" applyBorder="1" applyAlignment="1">
      <alignment shrinkToFit="1"/>
    </xf>
    <xf numFmtId="174" fontId="10" fillId="0" borderId="27" xfId="0" applyNumberFormat="1" applyFont="1" applyFill="1" applyBorder="1" applyAlignment="1">
      <alignment horizontal="right"/>
    </xf>
    <xf numFmtId="2" fontId="3" fillId="0" borderId="30" xfId="0" applyNumberFormat="1" applyFont="1" applyFill="1" applyBorder="1" applyAlignment="1">
      <alignment/>
    </xf>
    <xf numFmtId="0" fontId="12" fillId="0" borderId="25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3" fontId="9" fillId="0" borderId="14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0" fontId="12" fillId="0" borderId="16" xfId="0" applyFont="1" applyFill="1" applyBorder="1" applyAlignment="1">
      <alignment shrinkToFit="1"/>
    </xf>
    <xf numFmtId="2" fontId="10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10" fillId="0" borderId="27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 vertical="justify"/>
    </xf>
    <xf numFmtId="3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vertical="justify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zoomScalePageLayoutView="0" workbookViewId="0" topLeftCell="A4">
      <selection activeCell="B35" sqref="B35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10.75390625" style="1" customWidth="1"/>
    <col min="4" max="4" width="9.625" style="73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36"/>
      <c r="B1" s="36"/>
      <c r="C1" s="36"/>
      <c r="D1" s="70"/>
      <c r="E1" s="36"/>
      <c r="F1" s="36"/>
      <c r="G1" s="36"/>
      <c r="H1" s="36"/>
      <c r="I1" s="36"/>
      <c r="J1" s="36"/>
      <c r="K1" s="221" t="s">
        <v>29</v>
      </c>
      <c r="L1" s="221"/>
    </row>
    <row r="2" spans="1:12" ht="12.75">
      <c r="A2" s="222" t="s">
        <v>102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2.7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3.5" thickBot="1">
      <c r="A4" s="57"/>
      <c r="B4" s="57"/>
      <c r="C4" s="57"/>
      <c r="D4" s="71"/>
      <c r="E4" s="42"/>
      <c r="F4" s="43"/>
      <c r="G4" s="42"/>
      <c r="H4" s="43"/>
      <c r="I4" s="43"/>
      <c r="J4" s="43"/>
      <c r="K4" s="44"/>
      <c r="L4" s="53" t="s">
        <v>0</v>
      </c>
    </row>
    <row r="5" spans="1:12" ht="92.25" customHeight="1" thickBot="1">
      <c r="A5" s="37" t="s">
        <v>3</v>
      </c>
      <c r="B5" s="45" t="s">
        <v>66</v>
      </c>
      <c r="C5" s="45" t="s">
        <v>61</v>
      </c>
      <c r="D5" s="46" t="s">
        <v>67</v>
      </c>
      <c r="E5" s="45" t="s">
        <v>57</v>
      </c>
      <c r="F5" s="46" t="s">
        <v>68</v>
      </c>
      <c r="G5" s="45" t="s">
        <v>69</v>
      </c>
      <c r="H5" s="46" t="s">
        <v>70</v>
      </c>
      <c r="I5" s="46" t="s">
        <v>73</v>
      </c>
      <c r="J5" s="46" t="s">
        <v>45</v>
      </c>
      <c r="K5" s="47" t="s">
        <v>71</v>
      </c>
      <c r="L5" s="54" t="s">
        <v>72</v>
      </c>
    </row>
    <row r="6" spans="1:12" ht="12.75">
      <c r="A6" s="14" t="s">
        <v>18</v>
      </c>
      <c r="B6" s="15">
        <f>86113+14796+28540+4000+319376</f>
        <v>452825</v>
      </c>
      <c r="C6" s="15"/>
      <c r="D6" s="201">
        <f aca="true" t="shared" si="0" ref="D6:D15">SUM(C6/B6)*100</f>
        <v>0</v>
      </c>
      <c r="E6" s="16"/>
      <c r="F6" s="17">
        <f aca="true" t="shared" si="1" ref="F6:F14">SUM(E6/B6)*100</f>
        <v>0</v>
      </c>
      <c r="G6" s="16"/>
      <c r="H6" s="17">
        <f aca="true" t="shared" si="2" ref="H6:H15">SUM(G6/B6*100)</f>
        <v>0</v>
      </c>
      <c r="I6" s="16"/>
      <c r="J6" s="17">
        <f>SUM(I6/B6*100)</f>
        <v>0</v>
      </c>
      <c r="K6" s="21">
        <f>SUM(B6-C6-E6-G6-I6)</f>
        <v>452825</v>
      </c>
      <c r="L6" s="18">
        <f aca="true" t="shared" si="3" ref="L6:L14">SUM(K6/B6)*100</f>
        <v>100</v>
      </c>
    </row>
    <row r="7" spans="1:12" ht="12.75">
      <c r="A7" s="14" t="s">
        <v>19</v>
      </c>
      <c r="B7" s="20">
        <f>4162025-'kötelező2020.'!C11</f>
        <v>1261215</v>
      </c>
      <c r="C7" s="20">
        <f>50800+189+1422+18500+2688</f>
        <v>73599</v>
      </c>
      <c r="D7" s="119">
        <f t="shared" si="0"/>
        <v>5.835563325840559</v>
      </c>
      <c r="E7" s="21"/>
      <c r="F7" s="22">
        <f t="shared" si="1"/>
        <v>0</v>
      </c>
      <c r="G7" s="21"/>
      <c r="H7" s="22">
        <f t="shared" si="2"/>
        <v>0</v>
      </c>
      <c r="I7" s="21"/>
      <c r="J7" s="17">
        <f aca="true" t="shared" si="4" ref="J7:J28">SUM(I7/B7*100)</f>
        <v>0</v>
      </c>
      <c r="K7" s="21">
        <f aca="true" t="shared" si="5" ref="K7:K14">SUM(B7-C7-E7-G7-I7)</f>
        <v>1187616</v>
      </c>
      <c r="L7" s="23">
        <f t="shared" si="3"/>
        <v>94.16443667415945</v>
      </c>
    </row>
    <row r="8" spans="1:12" ht="12.75">
      <c r="A8" s="14" t="s">
        <v>1</v>
      </c>
      <c r="B8" s="20">
        <v>100000</v>
      </c>
      <c r="C8" s="20"/>
      <c r="D8" s="119">
        <f t="shared" si="0"/>
        <v>0</v>
      </c>
      <c r="E8" s="21"/>
      <c r="F8" s="22">
        <f t="shared" si="1"/>
        <v>0</v>
      </c>
      <c r="G8" s="21"/>
      <c r="H8" s="22">
        <f t="shared" si="2"/>
        <v>0</v>
      </c>
      <c r="I8" s="21"/>
      <c r="J8" s="17">
        <f t="shared" si="4"/>
        <v>0</v>
      </c>
      <c r="K8" s="21">
        <f t="shared" si="5"/>
        <v>100000</v>
      </c>
      <c r="L8" s="23">
        <f t="shared" si="3"/>
        <v>100</v>
      </c>
    </row>
    <row r="9" spans="1:12" ht="12.75">
      <c r="A9" s="19" t="s">
        <v>23</v>
      </c>
      <c r="B9" s="20">
        <v>839049</v>
      </c>
      <c r="C9" s="20"/>
      <c r="D9" s="119">
        <f t="shared" si="0"/>
        <v>0</v>
      </c>
      <c r="E9" s="21"/>
      <c r="F9" s="22">
        <f t="shared" si="1"/>
        <v>0</v>
      </c>
      <c r="G9" s="21"/>
      <c r="H9" s="22">
        <f t="shared" si="2"/>
        <v>0</v>
      </c>
      <c r="I9" s="21">
        <v>100000</v>
      </c>
      <c r="J9" s="17">
        <f t="shared" si="4"/>
        <v>11.918255072111403</v>
      </c>
      <c r="K9" s="21">
        <f t="shared" si="5"/>
        <v>739049</v>
      </c>
      <c r="L9" s="23">
        <f t="shared" si="3"/>
        <v>88.0817449278886</v>
      </c>
    </row>
    <row r="10" spans="1:12" ht="12.75">
      <c r="A10" s="19" t="s">
        <v>55</v>
      </c>
      <c r="B10" s="120">
        <f>1458968-'kötelező2020.'!C12-B31</f>
        <v>1099639</v>
      </c>
      <c r="C10" s="20">
        <v>11905</v>
      </c>
      <c r="D10" s="119">
        <f t="shared" si="0"/>
        <v>1.0826280261067496</v>
      </c>
      <c r="E10" s="21"/>
      <c r="F10" s="22">
        <f t="shared" si="1"/>
        <v>0</v>
      </c>
      <c r="G10" s="21"/>
      <c r="H10" s="22">
        <f t="shared" si="2"/>
        <v>0</v>
      </c>
      <c r="I10" s="21"/>
      <c r="J10" s="17">
        <f t="shared" si="4"/>
        <v>0</v>
      </c>
      <c r="K10" s="21">
        <f t="shared" si="5"/>
        <v>1087734</v>
      </c>
      <c r="L10" s="23">
        <f t="shared" si="3"/>
        <v>98.91737197389325</v>
      </c>
    </row>
    <row r="11" spans="1:12" ht="12.75">
      <c r="A11" s="19" t="s">
        <v>15</v>
      </c>
      <c r="B11" s="20">
        <f>724423-'kötelező2020.'!C10</f>
        <v>135684</v>
      </c>
      <c r="C11" s="20"/>
      <c r="D11" s="119">
        <f t="shared" si="0"/>
        <v>0</v>
      </c>
      <c r="E11" s="21"/>
      <c r="F11" s="22">
        <f>SUM(E11/B11)*100</f>
        <v>0</v>
      </c>
      <c r="G11" s="21"/>
      <c r="H11" s="22">
        <f t="shared" si="2"/>
        <v>0</v>
      </c>
      <c r="I11" s="21"/>
      <c r="J11" s="17">
        <f>SUM(I11/B11*100)</f>
        <v>0</v>
      </c>
      <c r="K11" s="21">
        <f>SUM(B11-C11-E11-G11-I11)</f>
        <v>135684</v>
      </c>
      <c r="L11" s="23">
        <f t="shared" si="3"/>
        <v>100</v>
      </c>
    </row>
    <row r="12" spans="1:12" ht="12.75">
      <c r="A12" s="19" t="s">
        <v>2</v>
      </c>
      <c r="B12" s="20">
        <v>15000</v>
      </c>
      <c r="C12" s="20"/>
      <c r="D12" s="119">
        <f t="shared" si="0"/>
        <v>0</v>
      </c>
      <c r="E12" s="21"/>
      <c r="F12" s="22">
        <f t="shared" si="1"/>
        <v>0</v>
      </c>
      <c r="G12" s="21"/>
      <c r="H12" s="22">
        <f t="shared" si="2"/>
        <v>0</v>
      </c>
      <c r="I12" s="21"/>
      <c r="J12" s="17">
        <f t="shared" si="4"/>
        <v>0</v>
      </c>
      <c r="K12" s="21">
        <f t="shared" si="5"/>
        <v>15000</v>
      </c>
      <c r="L12" s="23">
        <f t="shared" si="3"/>
        <v>100</v>
      </c>
    </row>
    <row r="13" spans="1:12" ht="12.75">
      <c r="A13" s="19" t="s">
        <v>24</v>
      </c>
      <c r="B13" s="20">
        <v>66180</v>
      </c>
      <c r="C13" s="20"/>
      <c r="D13" s="119">
        <f t="shared" si="0"/>
        <v>0</v>
      </c>
      <c r="E13" s="21"/>
      <c r="F13" s="22">
        <f t="shared" si="1"/>
        <v>0</v>
      </c>
      <c r="G13" s="21"/>
      <c r="H13" s="22">
        <f t="shared" si="2"/>
        <v>0</v>
      </c>
      <c r="I13" s="21"/>
      <c r="J13" s="17">
        <f t="shared" si="4"/>
        <v>0</v>
      </c>
      <c r="K13" s="21">
        <f t="shared" si="5"/>
        <v>66180</v>
      </c>
      <c r="L13" s="23">
        <f t="shared" si="3"/>
        <v>100</v>
      </c>
    </row>
    <row r="14" spans="1:12" ht="13.5" thickBot="1">
      <c r="A14" s="19" t="s">
        <v>25</v>
      </c>
      <c r="B14" s="20">
        <f>595020-'kötelező2020.'!C6</f>
        <v>530860</v>
      </c>
      <c r="C14" s="20"/>
      <c r="D14" s="119">
        <f t="shared" si="0"/>
        <v>0</v>
      </c>
      <c r="E14" s="21"/>
      <c r="F14" s="22">
        <f t="shared" si="1"/>
        <v>0</v>
      </c>
      <c r="G14" s="21"/>
      <c r="H14" s="22">
        <f t="shared" si="2"/>
        <v>0</v>
      </c>
      <c r="I14" s="21"/>
      <c r="J14" s="17">
        <f t="shared" si="4"/>
        <v>0</v>
      </c>
      <c r="K14" s="21">
        <f t="shared" si="5"/>
        <v>530860</v>
      </c>
      <c r="L14" s="23">
        <f t="shared" si="3"/>
        <v>100</v>
      </c>
    </row>
    <row r="15" spans="1:12" s="30" customFormat="1" ht="13.5" thickBot="1">
      <c r="A15" s="28" t="s">
        <v>36</v>
      </c>
      <c r="B15" s="25">
        <f>SUM(B6:B14)</f>
        <v>4500452</v>
      </c>
      <c r="C15" s="25">
        <f>SUM(C6:C14)</f>
        <v>85504</v>
      </c>
      <c r="D15" s="121">
        <f t="shared" si="0"/>
        <v>1.8998980546842852</v>
      </c>
      <c r="E15" s="25">
        <f>SUM(E6:E14)</f>
        <v>0</v>
      </c>
      <c r="F15" s="56">
        <f>SUM(E15/B15*100)</f>
        <v>0</v>
      </c>
      <c r="G15" s="25">
        <f>SUM(G6:G14)</f>
        <v>0</v>
      </c>
      <c r="H15" s="29">
        <f t="shared" si="2"/>
        <v>0</v>
      </c>
      <c r="I15" s="25">
        <f>SUM(I6:I14)</f>
        <v>100000</v>
      </c>
      <c r="J15" s="29">
        <f t="shared" si="4"/>
        <v>2.2219990347636194</v>
      </c>
      <c r="K15" s="25">
        <f>SUM(K6:K14)</f>
        <v>4314948</v>
      </c>
      <c r="L15" s="41">
        <f>SUM(K15/B15)*100</f>
        <v>95.8781029105521</v>
      </c>
    </row>
    <row r="16" spans="1:12" ht="12.75">
      <c r="A16" s="202" t="s">
        <v>20</v>
      </c>
      <c r="B16" s="15">
        <v>71344</v>
      </c>
      <c r="C16" s="15">
        <v>139</v>
      </c>
      <c r="D16" s="201">
        <f aca="true" t="shared" si="6" ref="D16:D28">SUM(C16/B16)*100</f>
        <v>0.19483067952455707</v>
      </c>
      <c r="E16" s="186"/>
      <c r="F16" s="17">
        <f aca="true" t="shared" si="7" ref="F16:F28">SUM(E16/B16)*100</f>
        <v>0</v>
      </c>
      <c r="G16" s="186">
        <v>100034</v>
      </c>
      <c r="H16" s="17">
        <f aca="true" t="shared" si="8" ref="H16:H24">SUM(G16/B16*100)</f>
        <v>140.21361291769455</v>
      </c>
      <c r="I16" s="16"/>
      <c r="J16" s="17">
        <f t="shared" si="4"/>
        <v>0</v>
      </c>
      <c r="K16" s="16">
        <f aca="true" t="shared" si="9" ref="K16:K23">SUM(B16-C16-E16-G16-I16)</f>
        <v>-28829</v>
      </c>
      <c r="L16" s="18">
        <f aca="true" t="shared" si="10" ref="L16:L27">SUM(K16/B16)*100</f>
        <v>-40.408443597219105</v>
      </c>
    </row>
    <row r="17" spans="1:12" ht="12.75">
      <c r="A17" s="203" t="s">
        <v>30</v>
      </c>
      <c r="B17" s="20">
        <v>1127943</v>
      </c>
      <c r="C17" s="20">
        <v>52704</v>
      </c>
      <c r="D17" s="119">
        <f t="shared" si="6"/>
        <v>4.672576539771957</v>
      </c>
      <c r="E17" s="185"/>
      <c r="F17" s="22">
        <f t="shared" si="7"/>
        <v>0</v>
      </c>
      <c r="G17" s="185">
        <v>608603</v>
      </c>
      <c r="H17" s="22">
        <f t="shared" si="8"/>
        <v>53.95689321180237</v>
      </c>
      <c r="I17" s="16"/>
      <c r="J17" s="17">
        <f t="shared" si="4"/>
        <v>0</v>
      </c>
      <c r="K17" s="16">
        <f t="shared" si="9"/>
        <v>466636</v>
      </c>
      <c r="L17" s="23">
        <f t="shared" si="10"/>
        <v>41.37053024842567</v>
      </c>
    </row>
    <row r="18" spans="1:12" ht="12.75">
      <c r="A18" s="203" t="s">
        <v>103</v>
      </c>
      <c r="B18" s="20">
        <v>21133</v>
      </c>
      <c r="C18" s="20">
        <v>959</v>
      </c>
      <c r="D18" s="119">
        <f t="shared" si="6"/>
        <v>4.537926465717125</v>
      </c>
      <c r="E18" s="185"/>
      <c r="F18" s="22">
        <f t="shared" si="7"/>
        <v>0</v>
      </c>
      <c r="G18" s="185">
        <v>5959</v>
      </c>
      <c r="H18" s="22">
        <f t="shared" si="8"/>
        <v>28.197605640467515</v>
      </c>
      <c r="I18" s="16"/>
      <c r="J18" s="17">
        <f t="shared" si="4"/>
        <v>0</v>
      </c>
      <c r="K18" s="16">
        <f t="shared" si="9"/>
        <v>14215</v>
      </c>
      <c r="L18" s="23"/>
    </row>
    <row r="19" spans="1:12" ht="12.75">
      <c r="A19" s="203" t="s">
        <v>21</v>
      </c>
      <c r="B19" s="20">
        <v>126517</v>
      </c>
      <c r="C19" s="20">
        <v>17489</v>
      </c>
      <c r="D19" s="119">
        <f t="shared" si="6"/>
        <v>13.823438747362015</v>
      </c>
      <c r="E19" s="185"/>
      <c r="F19" s="22">
        <f t="shared" si="7"/>
        <v>0</v>
      </c>
      <c r="G19" s="185">
        <v>97394</v>
      </c>
      <c r="H19" s="22">
        <f t="shared" si="8"/>
        <v>76.98095908059787</v>
      </c>
      <c r="I19" s="16"/>
      <c r="J19" s="17">
        <f t="shared" si="4"/>
        <v>0</v>
      </c>
      <c r="K19" s="16">
        <f t="shared" si="9"/>
        <v>11634</v>
      </c>
      <c r="L19" s="23">
        <f t="shared" si="10"/>
        <v>9.195602172040122</v>
      </c>
    </row>
    <row r="20" spans="1:12" ht="12.75">
      <c r="A20" s="203" t="s">
        <v>22</v>
      </c>
      <c r="B20" s="20">
        <v>62502</v>
      </c>
      <c r="C20" s="20">
        <v>18071</v>
      </c>
      <c r="D20" s="119">
        <f t="shared" si="6"/>
        <v>28.912674794406577</v>
      </c>
      <c r="E20" s="185"/>
      <c r="F20" s="22">
        <f t="shared" si="7"/>
        <v>0</v>
      </c>
      <c r="G20" s="185">
        <v>60552</v>
      </c>
      <c r="H20" s="22">
        <f t="shared" si="8"/>
        <v>96.88009983680523</v>
      </c>
      <c r="I20" s="16"/>
      <c r="J20" s="17">
        <f t="shared" si="4"/>
        <v>0</v>
      </c>
      <c r="K20" s="16">
        <f t="shared" si="9"/>
        <v>-16121</v>
      </c>
      <c r="L20" s="23">
        <f t="shared" si="10"/>
        <v>-25.792774631211802</v>
      </c>
    </row>
    <row r="21" spans="1:12" ht="12.75">
      <c r="A21" s="203" t="s">
        <v>104</v>
      </c>
      <c r="B21" s="20">
        <v>31898</v>
      </c>
      <c r="C21" s="20"/>
      <c r="D21" s="119">
        <f t="shared" si="6"/>
        <v>0</v>
      </c>
      <c r="E21" s="185"/>
      <c r="F21" s="22">
        <f t="shared" si="7"/>
        <v>0</v>
      </c>
      <c r="G21" s="185">
        <v>6792</v>
      </c>
      <c r="H21" s="22">
        <f t="shared" si="8"/>
        <v>21.29287102639664</v>
      </c>
      <c r="I21" s="16"/>
      <c r="J21" s="17">
        <f t="shared" si="4"/>
        <v>0</v>
      </c>
      <c r="K21" s="16">
        <f t="shared" si="9"/>
        <v>25106</v>
      </c>
      <c r="L21" s="23">
        <f t="shared" si="10"/>
        <v>78.70712897360336</v>
      </c>
    </row>
    <row r="22" spans="1:12" ht="12.75">
      <c r="A22" s="203" t="s">
        <v>31</v>
      </c>
      <c r="B22" s="20">
        <v>21402</v>
      </c>
      <c r="C22" s="20">
        <v>21154</v>
      </c>
      <c r="D22" s="119">
        <f t="shared" si="6"/>
        <v>98.84122979160827</v>
      </c>
      <c r="E22" s="185"/>
      <c r="F22" s="22">
        <f t="shared" si="7"/>
        <v>0</v>
      </c>
      <c r="G22" s="185">
        <v>3015</v>
      </c>
      <c r="H22" s="22">
        <f t="shared" si="8"/>
        <v>14.087468460891506</v>
      </c>
      <c r="I22" s="16"/>
      <c r="J22" s="17">
        <f t="shared" si="4"/>
        <v>0</v>
      </c>
      <c r="K22" s="16">
        <f t="shared" si="9"/>
        <v>-2767</v>
      </c>
      <c r="L22" s="23">
        <f t="shared" si="10"/>
        <v>-12.928698252499766</v>
      </c>
    </row>
    <row r="23" spans="1:12" ht="13.5" thickBot="1">
      <c r="A23" s="204" t="s">
        <v>32</v>
      </c>
      <c r="B23" s="120">
        <v>109862</v>
      </c>
      <c r="C23" s="120"/>
      <c r="D23" s="205">
        <f t="shared" si="6"/>
        <v>0</v>
      </c>
      <c r="E23" s="189"/>
      <c r="F23" s="122">
        <f t="shared" si="7"/>
        <v>0</v>
      </c>
      <c r="G23" s="189">
        <v>21510</v>
      </c>
      <c r="H23" s="122">
        <f t="shared" si="8"/>
        <v>19.579108335912327</v>
      </c>
      <c r="I23" s="32"/>
      <c r="J23" s="17">
        <f t="shared" si="4"/>
        <v>0</v>
      </c>
      <c r="K23" s="16">
        <f t="shared" si="9"/>
        <v>88352</v>
      </c>
      <c r="L23" s="206">
        <f t="shared" si="10"/>
        <v>80.42089166408766</v>
      </c>
    </row>
    <row r="24" spans="1:12" s="30" customFormat="1" ht="13.5" thickBot="1">
      <c r="A24" s="24" t="s">
        <v>40</v>
      </c>
      <c r="B24" s="25">
        <f>SUM(B16:B23)</f>
        <v>1572601</v>
      </c>
      <c r="C24" s="25">
        <f aca="true" t="shared" si="11" ref="C24:K24">SUM(C16:C23)</f>
        <v>110516</v>
      </c>
      <c r="D24" s="83">
        <f t="shared" si="6"/>
        <v>7.02759314028161</v>
      </c>
      <c r="E24" s="25">
        <f t="shared" si="11"/>
        <v>0</v>
      </c>
      <c r="F24" s="29">
        <f t="shared" si="7"/>
        <v>0</v>
      </c>
      <c r="G24" s="25">
        <f t="shared" si="11"/>
        <v>903859</v>
      </c>
      <c r="H24" s="29">
        <f t="shared" si="8"/>
        <v>57.475418113049656</v>
      </c>
      <c r="I24" s="25">
        <f>SUM(I16:I23)</f>
        <v>0</v>
      </c>
      <c r="J24" s="29">
        <f t="shared" si="4"/>
        <v>0</v>
      </c>
      <c r="K24" s="25">
        <f t="shared" si="11"/>
        <v>558226</v>
      </c>
      <c r="L24" s="41">
        <f t="shared" si="10"/>
        <v>35.496988746668734</v>
      </c>
    </row>
    <row r="25" spans="1:12" s="76" customFormat="1" ht="12.75">
      <c r="A25" s="123" t="s">
        <v>52</v>
      </c>
      <c r="B25" s="31">
        <f>2790304-'kötelező2020.'!C25-'kötelező2020.'!C26-B26</f>
        <v>946520</v>
      </c>
      <c r="C25" s="31"/>
      <c r="D25" s="124">
        <f t="shared" si="6"/>
        <v>0</v>
      </c>
      <c r="E25" s="31"/>
      <c r="F25" s="33">
        <f t="shared" si="7"/>
        <v>0</v>
      </c>
      <c r="G25" s="31"/>
      <c r="H25" s="33">
        <f>SUM(G25/B25*100)</f>
        <v>0</v>
      </c>
      <c r="I25" s="31"/>
      <c r="J25" s="33">
        <f t="shared" si="4"/>
        <v>0</v>
      </c>
      <c r="K25" s="32">
        <f>SUM(B25-C25-E25-G25-I25)</f>
        <v>946520</v>
      </c>
      <c r="L25" s="34">
        <f t="shared" si="10"/>
        <v>100</v>
      </c>
    </row>
    <row r="26" spans="1:12" ht="13.5" thickBot="1">
      <c r="A26" s="38" t="s">
        <v>33</v>
      </c>
      <c r="B26" s="26">
        <v>2550</v>
      </c>
      <c r="C26" s="26"/>
      <c r="D26" s="125">
        <f t="shared" si="6"/>
        <v>0</v>
      </c>
      <c r="E26" s="27"/>
      <c r="F26" s="39">
        <f t="shared" si="7"/>
        <v>0</v>
      </c>
      <c r="G26" s="27"/>
      <c r="H26" s="39">
        <f>SUM(G26/B26*100)</f>
        <v>0</v>
      </c>
      <c r="I26" s="27"/>
      <c r="J26" s="39">
        <f t="shared" si="4"/>
        <v>0</v>
      </c>
      <c r="K26" s="27">
        <f>SUM(B26-C26-E26-G26-I26)</f>
        <v>2550</v>
      </c>
      <c r="L26" s="40">
        <f t="shared" si="10"/>
        <v>100</v>
      </c>
    </row>
    <row r="27" spans="1:12" s="30" customFormat="1" ht="13.5" thickBot="1">
      <c r="A27" s="28" t="s">
        <v>37</v>
      </c>
      <c r="B27" s="25">
        <f>SUM(B25:B26)</f>
        <v>949070</v>
      </c>
      <c r="C27" s="25">
        <f>SUM(C25:C26)</f>
        <v>0</v>
      </c>
      <c r="D27" s="83">
        <f t="shared" si="6"/>
        <v>0</v>
      </c>
      <c r="E27" s="25">
        <f>SUM(E26)</f>
        <v>0</v>
      </c>
      <c r="F27" s="29">
        <f t="shared" si="7"/>
        <v>0</v>
      </c>
      <c r="G27" s="25">
        <f>SUM(G25:G26)</f>
        <v>0</v>
      </c>
      <c r="H27" s="29">
        <f>SUM(H26)</f>
        <v>0</v>
      </c>
      <c r="I27" s="25">
        <f>SUM(I25:I26)</f>
        <v>0</v>
      </c>
      <c r="J27" s="29">
        <f t="shared" si="4"/>
        <v>0</v>
      </c>
      <c r="K27" s="25">
        <f>SUM(K25:K26)</f>
        <v>949070</v>
      </c>
      <c r="L27" s="41">
        <f t="shared" si="10"/>
        <v>100</v>
      </c>
    </row>
    <row r="28" spans="1:15" s="30" customFormat="1" ht="13.5" thickBot="1">
      <c r="A28" s="24" t="s">
        <v>17</v>
      </c>
      <c r="B28" s="25">
        <f>SUM(B27,B24,B15)</f>
        <v>7022123</v>
      </c>
      <c r="C28" s="25">
        <f>SUM(C27,C24,C15)</f>
        <v>196020</v>
      </c>
      <c r="D28" s="83">
        <f t="shared" si="6"/>
        <v>2.7914634933053724</v>
      </c>
      <c r="E28" s="25">
        <f>SUM(E27,E24,E15)</f>
        <v>0</v>
      </c>
      <c r="F28" s="29">
        <f t="shared" si="7"/>
        <v>0</v>
      </c>
      <c r="G28" s="25">
        <f>SUM(G27,G24,G15)</f>
        <v>903859</v>
      </c>
      <c r="H28" s="29">
        <f>SUM(G28/B28*100)</f>
        <v>12.871591682458424</v>
      </c>
      <c r="I28" s="25">
        <f>SUM(I27,I24,I15)</f>
        <v>100000</v>
      </c>
      <c r="J28" s="29">
        <f t="shared" si="4"/>
        <v>1.4240707546706317</v>
      </c>
      <c r="K28" s="25">
        <f>SUM(K27,K24,K15)</f>
        <v>5822244</v>
      </c>
      <c r="L28" s="41">
        <f>SUM(K28/B28)*100</f>
        <v>82.91287406956556</v>
      </c>
      <c r="N28" s="35"/>
      <c r="O28" s="35"/>
    </row>
    <row r="29" spans="3:11" ht="12.75">
      <c r="C29" s="6"/>
      <c r="D29" s="72"/>
      <c r="E29" s="3"/>
      <c r="F29" s="2"/>
      <c r="G29" s="3"/>
      <c r="H29" s="2"/>
      <c r="I29" s="2"/>
      <c r="J29" s="2"/>
      <c r="K29" s="6"/>
    </row>
    <row r="30" spans="1:7" s="3" customFormat="1" ht="13.5" thickBot="1">
      <c r="A30" s="61" t="s">
        <v>53</v>
      </c>
      <c r="D30" s="84"/>
      <c r="G30" s="48"/>
    </row>
    <row r="31" spans="1:12" s="3" customFormat="1" ht="13.5" thickBot="1">
      <c r="A31" s="85" t="s">
        <v>54</v>
      </c>
      <c r="B31" s="86">
        <v>36000</v>
      </c>
      <c r="C31" s="86">
        <v>60000</v>
      </c>
      <c r="D31" s="87">
        <f>SUM(C31/B31)*100</f>
        <v>166.66666666666669</v>
      </c>
      <c r="E31" s="86"/>
      <c r="F31" s="86">
        <f>SUM(E31/B31)*100</f>
        <v>0</v>
      </c>
      <c r="G31" s="88"/>
      <c r="H31" s="86">
        <f>SUM(G31/B31*100)</f>
        <v>0</v>
      </c>
      <c r="I31" s="86"/>
      <c r="J31" s="86">
        <f>SUM(I31/B31*100)</f>
        <v>0</v>
      </c>
      <c r="K31" s="86">
        <f>SUM(B31-C31-E31-G31-I31)</f>
        <v>-24000</v>
      </c>
      <c r="L31" s="89">
        <f>SUM(K31/B31)*100</f>
        <v>-66.66666666666666</v>
      </c>
    </row>
    <row r="32" spans="4:7" s="3" customFormat="1" ht="12.75">
      <c r="D32" s="84"/>
      <c r="G32" s="48"/>
    </row>
    <row r="33" s="3" customFormat="1" ht="12.75">
      <c r="D33" s="84"/>
    </row>
    <row r="34" s="3" customFormat="1" ht="12.75">
      <c r="D34" s="84"/>
    </row>
    <row r="35" s="3" customFormat="1" ht="12.75"/>
    <row r="36" s="3" customFormat="1" ht="12.75">
      <c r="D36" s="84"/>
    </row>
    <row r="37" s="3" customFormat="1" ht="12.75">
      <c r="D37" s="84"/>
    </row>
    <row r="38" s="3" customFormat="1" ht="12.75">
      <c r="D38" s="84"/>
    </row>
    <row r="39" s="3" customFormat="1" ht="12.75">
      <c r="D39" s="84"/>
    </row>
    <row r="40" s="3" customFormat="1" ht="12.75">
      <c r="D40" s="84"/>
    </row>
    <row r="41" s="3" customFormat="1" ht="12.75">
      <c r="D41" s="84"/>
    </row>
    <row r="42" s="3" customFormat="1" ht="12.75">
      <c r="D42" s="84"/>
    </row>
    <row r="43" s="3" customFormat="1" ht="12.75">
      <c r="D43" s="84"/>
    </row>
    <row r="44" s="3" customFormat="1" ht="12.75">
      <c r="D44" s="84"/>
    </row>
    <row r="45" s="3" customFormat="1" ht="12.75">
      <c r="D45" s="84"/>
    </row>
    <row r="46" s="3" customFormat="1" ht="12.75">
      <c r="D46" s="84"/>
    </row>
    <row r="47" s="3" customFormat="1" ht="12.75">
      <c r="D47" s="84"/>
    </row>
    <row r="48" s="3" customFormat="1" ht="12.75">
      <c r="D48" s="84"/>
    </row>
    <row r="49" s="3" customFormat="1" ht="12.75">
      <c r="D49" s="84"/>
    </row>
    <row r="50" s="3" customFormat="1" ht="12.75">
      <c r="D50" s="84"/>
    </row>
    <row r="51" s="3" customFormat="1" ht="12.75">
      <c r="D51" s="84"/>
    </row>
    <row r="52" s="3" customFormat="1" ht="12.75">
      <c r="D52" s="84"/>
    </row>
    <row r="53" s="3" customFormat="1" ht="12.75">
      <c r="D53" s="84"/>
    </row>
    <row r="54" s="3" customFormat="1" ht="12.75">
      <c r="D54" s="84"/>
    </row>
    <row r="55" s="3" customFormat="1" ht="12.75">
      <c r="D55" s="84"/>
    </row>
    <row r="56" s="3" customFormat="1" ht="12.75">
      <c r="D56" s="84"/>
    </row>
    <row r="57" s="3" customFormat="1" ht="12.75">
      <c r="D57" s="84"/>
    </row>
    <row r="58" s="3" customFormat="1" ht="12.75">
      <c r="D58" s="84"/>
    </row>
    <row r="59" s="3" customFormat="1" ht="12.75">
      <c r="D59" s="84"/>
    </row>
    <row r="60" s="3" customFormat="1" ht="12.75">
      <c r="D60" s="84"/>
    </row>
    <row r="61" s="3" customFormat="1" ht="12.75">
      <c r="D61" s="84"/>
    </row>
    <row r="62" s="3" customFormat="1" ht="12.75">
      <c r="D62" s="84"/>
    </row>
    <row r="63" s="3" customFormat="1" ht="12.75">
      <c r="D63" s="84"/>
    </row>
    <row r="64" s="3" customFormat="1" ht="12.75">
      <c r="D64" s="84"/>
    </row>
    <row r="65" s="3" customFormat="1" ht="12.75">
      <c r="D65" s="84"/>
    </row>
    <row r="66" s="3" customFormat="1" ht="12.75">
      <c r="D66" s="84"/>
    </row>
    <row r="67" s="3" customFormat="1" ht="12.75">
      <c r="D67" s="84"/>
    </row>
    <row r="68" s="3" customFormat="1" ht="12.75">
      <c r="D68" s="84"/>
    </row>
    <row r="69" s="3" customFormat="1" ht="12.75">
      <c r="D69" s="84"/>
    </row>
    <row r="70" s="3" customFormat="1" ht="12.75">
      <c r="D70" s="84"/>
    </row>
    <row r="71" s="3" customFormat="1" ht="12.75">
      <c r="D71" s="84"/>
    </row>
    <row r="72" s="3" customFormat="1" ht="12.75">
      <c r="D72" s="84"/>
    </row>
    <row r="73" s="3" customFormat="1" ht="12.75">
      <c r="D73" s="84"/>
    </row>
    <row r="74" s="3" customFormat="1" ht="12.75">
      <c r="D74" s="84"/>
    </row>
    <row r="75" s="3" customFormat="1" ht="12.75">
      <c r="D75" s="84"/>
    </row>
    <row r="76" s="3" customFormat="1" ht="12.75">
      <c r="D76" s="84"/>
    </row>
    <row r="77" s="3" customFormat="1" ht="12.75">
      <c r="D77" s="84"/>
    </row>
    <row r="78" s="3" customFormat="1" ht="12.75">
      <c r="D78" s="84"/>
    </row>
    <row r="79" s="3" customFormat="1" ht="12.75">
      <c r="D79" s="84"/>
    </row>
    <row r="80" s="3" customFormat="1" ht="12.75">
      <c r="D80" s="84"/>
    </row>
    <row r="81" s="3" customFormat="1" ht="12.75">
      <c r="D81" s="84"/>
    </row>
    <row r="82" s="3" customFormat="1" ht="12.75">
      <c r="D82" s="84"/>
    </row>
    <row r="83" s="3" customFormat="1" ht="12.75">
      <c r="D83" s="84"/>
    </row>
    <row r="84" s="3" customFormat="1" ht="12.75">
      <c r="D84" s="84"/>
    </row>
    <row r="85" s="3" customFormat="1" ht="12.75">
      <c r="D85" s="84"/>
    </row>
    <row r="86" s="3" customFormat="1" ht="12.75">
      <c r="D86" s="84"/>
    </row>
    <row r="87" s="3" customFormat="1" ht="12.75">
      <c r="D87" s="84"/>
    </row>
    <row r="88" s="3" customFormat="1" ht="12.75">
      <c r="D88" s="84"/>
    </row>
    <row r="89" s="3" customFormat="1" ht="12.75">
      <c r="D89" s="84"/>
    </row>
    <row r="90" s="3" customFormat="1" ht="12.75">
      <c r="D90" s="84"/>
    </row>
    <row r="91" s="3" customFormat="1" ht="12.75">
      <c r="D91" s="84"/>
    </row>
    <row r="92" s="3" customFormat="1" ht="12.75">
      <c r="D92" s="84"/>
    </row>
    <row r="93" s="3" customFormat="1" ht="12.75">
      <c r="D93" s="84"/>
    </row>
    <row r="94" s="3" customFormat="1" ht="12.75">
      <c r="D94" s="84"/>
    </row>
    <row r="95" s="3" customFormat="1" ht="12.75">
      <c r="D95" s="84"/>
    </row>
    <row r="96" s="3" customFormat="1" ht="12.75">
      <c r="D96" s="84"/>
    </row>
    <row r="97" s="3" customFormat="1" ht="12.75">
      <c r="D97" s="84"/>
    </row>
    <row r="98" s="3" customFormat="1" ht="12.75">
      <c r="D98" s="84"/>
    </row>
    <row r="99" s="3" customFormat="1" ht="12.75">
      <c r="D99" s="84"/>
    </row>
    <row r="100" s="3" customFormat="1" ht="12.75">
      <c r="D100" s="84"/>
    </row>
    <row r="101" s="3" customFormat="1" ht="12.75">
      <c r="D101" s="84"/>
    </row>
    <row r="102" s="3" customFormat="1" ht="12.75">
      <c r="D102" s="84"/>
    </row>
    <row r="103" s="3" customFormat="1" ht="12.75">
      <c r="D103" s="84"/>
    </row>
    <row r="104" s="3" customFormat="1" ht="12.75">
      <c r="D104" s="84"/>
    </row>
    <row r="105" s="3" customFormat="1" ht="12.75">
      <c r="D105" s="84"/>
    </row>
    <row r="106" s="3" customFormat="1" ht="12.75">
      <c r="D106" s="84"/>
    </row>
    <row r="107" s="3" customFormat="1" ht="12.75">
      <c r="D107" s="84"/>
    </row>
    <row r="108" s="3" customFormat="1" ht="12.75">
      <c r="D108" s="84"/>
    </row>
    <row r="109" s="3" customFormat="1" ht="12.75">
      <c r="D109" s="84"/>
    </row>
    <row r="110" s="3" customFormat="1" ht="12.75">
      <c r="D110" s="84"/>
    </row>
    <row r="111" s="3" customFormat="1" ht="12.75">
      <c r="D111" s="84"/>
    </row>
    <row r="112" s="3" customFormat="1" ht="12.75">
      <c r="D112" s="84"/>
    </row>
    <row r="113" s="3" customFormat="1" ht="12.75">
      <c r="D113" s="84"/>
    </row>
    <row r="114" s="3" customFormat="1" ht="12.75">
      <c r="D114" s="84"/>
    </row>
    <row r="115" s="3" customFormat="1" ht="12.75">
      <c r="D115" s="84"/>
    </row>
    <row r="116" s="3" customFormat="1" ht="12.75">
      <c r="D116" s="84"/>
    </row>
    <row r="117" s="3" customFormat="1" ht="12.75">
      <c r="D117" s="84"/>
    </row>
    <row r="118" s="3" customFormat="1" ht="12.75">
      <c r="D118" s="84"/>
    </row>
    <row r="119" s="3" customFormat="1" ht="12.75">
      <c r="D119" s="84"/>
    </row>
    <row r="120" s="3" customFormat="1" ht="12.75">
      <c r="D120" s="84"/>
    </row>
    <row r="121" s="3" customFormat="1" ht="12.75">
      <c r="D121" s="84"/>
    </row>
    <row r="122" s="3" customFormat="1" ht="12.75">
      <c r="D122" s="84"/>
    </row>
    <row r="123" s="3" customFormat="1" ht="12.75">
      <c r="D123" s="84"/>
    </row>
    <row r="124" s="3" customFormat="1" ht="12.75">
      <c r="D124" s="84"/>
    </row>
    <row r="125" s="3" customFormat="1" ht="12.75">
      <c r="D125" s="84"/>
    </row>
    <row r="126" s="3" customFormat="1" ht="12.75">
      <c r="D126" s="84"/>
    </row>
    <row r="127" s="3" customFormat="1" ht="12.75">
      <c r="D127" s="84"/>
    </row>
    <row r="128" s="3" customFormat="1" ht="12.75">
      <c r="D128" s="84"/>
    </row>
    <row r="129" s="3" customFormat="1" ht="12.75">
      <c r="D129" s="84"/>
    </row>
    <row r="130" s="3" customFormat="1" ht="12.75">
      <c r="D130" s="84"/>
    </row>
    <row r="131" s="3" customFormat="1" ht="12.75">
      <c r="D131" s="84"/>
    </row>
    <row r="132" s="3" customFormat="1" ht="12.75">
      <c r="D132" s="84"/>
    </row>
    <row r="133" s="3" customFormat="1" ht="12.75">
      <c r="D133" s="84"/>
    </row>
    <row r="134" s="3" customFormat="1" ht="12.75">
      <c r="D134" s="84"/>
    </row>
    <row r="135" s="3" customFormat="1" ht="12.75">
      <c r="D135" s="84"/>
    </row>
    <row r="136" s="3" customFormat="1" ht="12.75">
      <c r="D136" s="84"/>
    </row>
    <row r="137" s="3" customFormat="1" ht="12.75">
      <c r="D137" s="84"/>
    </row>
    <row r="138" s="3" customFormat="1" ht="12.75">
      <c r="D138" s="84"/>
    </row>
    <row r="139" s="3" customFormat="1" ht="12.75">
      <c r="D139" s="84"/>
    </row>
    <row r="140" s="3" customFormat="1" ht="12.75">
      <c r="D140" s="84"/>
    </row>
    <row r="141" s="3" customFormat="1" ht="12.75">
      <c r="D141" s="84"/>
    </row>
    <row r="142" s="3" customFormat="1" ht="12.75">
      <c r="D142" s="84"/>
    </row>
    <row r="143" s="3" customFormat="1" ht="12.75">
      <c r="D143" s="84"/>
    </row>
    <row r="144" s="3" customFormat="1" ht="12.75">
      <c r="D144" s="84"/>
    </row>
    <row r="145" s="3" customFormat="1" ht="12.75">
      <c r="D145" s="84"/>
    </row>
    <row r="146" s="3" customFormat="1" ht="12.75">
      <c r="D146" s="84"/>
    </row>
    <row r="147" s="3" customFormat="1" ht="12.75">
      <c r="D147" s="84"/>
    </row>
    <row r="148" s="3" customFormat="1" ht="12.75">
      <c r="D148" s="84"/>
    </row>
    <row r="149" s="3" customFormat="1" ht="12.75">
      <c r="D149" s="84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PageLayoutView="0" workbookViewId="0" topLeftCell="B14">
      <selection activeCell="O45" sqref="O45:P45"/>
    </sheetView>
  </sheetViews>
  <sheetFormatPr defaultColWidth="9.00390625" defaultRowHeight="12.75"/>
  <cols>
    <col min="1" max="1" width="1.12109375" style="3" hidden="1" customWidth="1"/>
    <col min="2" max="2" width="33.25390625" style="3" customWidth="1"/>
    <col min="3" max="3" width="10.375" style="3" customWidth="1"/>
    <col min="4" max="4" width="9.75390625" style="3" bestFit="1" customWidth="1"/>
    <col min="5" max="5" width="9.75390625" style="3" customWidth="1"/>
    <col min="6" max="6" width="10.875" style="3" customWidth="1"/>
    <col min="7" max="7" width="10.125" style="3" customWidth="1"/>
    <col min="8" max="8" width="11.625" style="58" customWidth="1"/>
    <col min="9" max="9" width="8.375" style="58" customWidth="1"/>
    <col min="10" max="10" width="9.75390625" style="58" customWidth="1"/>
    <col min="11" max="11" width="10.00390625" style="58" customWidth="1"/>
    <col min="12" max="12" width="11.125" style="3" customWidth="1"/>
    <col min="13" max="13" width="13.00390625" style="3" customWidth="1"/>
    <col min="14" max="14" width="9.125" style="3" customWidth="1"/>
    <col min="15" max="15" width="10.125" style="3" bestFit="1" customWidth="1"/>
    <col min="16" max="16384" width="9.125" style="3" customWidth="1"/>
  </cols>
  <sheetData>
    <row r="1" spans="12:13" ht="12" customHeight="1">
      <c r="L1" s="224" t="s">
        <v>28</v>
      </c>
      <c r="M1" s="224"/>
    </row>
    <row r="2" spans="2:13" ht="14.25" customHeight="1">
      <c r="B2" s="223" t="s">
        <v>101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2:13" ht="12" customHeight="1" thickBot="1">
      <c r="B3" s="48"/>
      <c r="C3" s="48"/>
      <c r="D3" s="48"/>
      <c r="E3" s="48"/>
      <c r="F3" s="48"/>
      <c r="G3" s="48"/>
      <c r="H3" s="59"/>
      <c r="I3" s="59"/>
      <c r="J3" s="59"/>
      <c r="K3" s="59"/>
      <c r="L3" s="166"/>
      <c r="M3" s="165" t="s">
        <v>0</v>
      </c>
    </row>
    <row r="4" spans="2:13" s="118" customFormat="1" ht="41.25" customHeight="1" thickBot="1">
      <c r="B4" s="167" t="s">
        <v>3</v>
      </c>
      <c r="C4" s="45" t="s">
        <v>62</v>
      </c>
      <c r="D4" s="45" t="s">
        <v>61</v>
      </c>
      <c r="E4" s="45" t="s">
        <v>60</v>
      </c>
      <c r="F4" s="45" t="s">
        <v>59</v>
      </c>
      <c r="G4" s="45" t="s">
        <v>58</v>
      </c>
      <c r="H4" s="45" t="s">
        <v>98</v>
      </c>
      <c r="I4" s="45" t="s">
        <v>63</v>
      </c>
      <c r="J4" s="45" t="s">
        <v>56</v>
      </c>
      <c r="K4" s="45" t="s">
        <v>45</v>
      </c>
      <c r="L4" s="45" t="s">
        <v>64</v>
      </c>
      <c r="M4" s="168" t="s">
        <v>65</v>
      </c>
    </row>
    <row r="5" spans="2:13" ht="12" customHeight="1">
      <c r="B5" s="169" t="s">
        <v>34</v>
      </c>
      <c r="C5" s="20">
        <v>26500</v>
      </c>
      <c r="D5" s="21"/>
      <c r="E5" s="21">
        <f>SUM(D5/C5)*100</f>
        <v>0</v>
      </c>
      <c r="F5" s="21"/>
      <c r="G5" s="16">
        <f>SUM(F5/C5)*100</f>
        <v>0</v>
      </c>
      <c r="H5" s="21"/>
      <c r="I5" s="16">
        <f aca="true" t="shared" si="0" ref="I5:I20">SUM(H5/C5)*100</f>
        <v>0</v>
      </c>
      <c r="J5" s="16"/>
      <c r="K5" s="16">
        <f aca="true" t="shared" si="1" ref="K5:K20">SUM(J5/C5)*100</f>
        <v>0</v>
      </c>
      <c r="L5" s="16">
        <f aca="true" t="shared" si="2" ref="L5:L14">SUM(C5-D5-F5-H5-J5)</f>
        <v>26500</v>
      </c>
      <c r="M5" s="170">
        <f>SUM(L5/C5)*100</f>
        <v>100</v>
      </c>
    </row>
    <row r="6" spans="2:13" ht="12" customHeight="1">
      <c r="B6" s="169" t="s">
        <v>5</v>
      </c>
      <c r="C6" s="20">
        <v>64160</v>
      </c>
      <c r="D6" s="21"/>
      <c r="E6" s="21">
        <f>SUM(D6/C6)*100</f>
        <v>0</v>
      </c>
      <c r="F6" s="21"/>
      <c r="G6" s="16">
        <f>SUM(F6/C6)*100</f>
        <v>0</v>
      </c>
      <c r="H6" s="21"/>
      <c r="I6" s="16">
        <f t="shared" si="0"/>
        <v>0</v>
      </c>
      <c r="J6" s="16"/>
      <c r="K6" s="16">
        <f t="shared" si="1"/>
        <v>0</v>
      </c>
      <c r="L6" s="16">
        <f t="shared" si="2"/>
        <v>64160</v>
      </c>
      <c r="M6" s="170">
        <f>SUM(L6/C6)*100</f>
        <v>100</v>
      </c>
    </row>
    <row r="7" spans="2:13" ht="12" customHeight="1">
      <c r="B7" s="169" t="s">
        <v>6</v>
      </c>
      <c r="C7" s="20">
        <v>262900</v>
      </c>
      <c r="D7" s="21"/>
      <c r="E7" s="21">
        <f>SUM(D7/C7)*100</f>
        <v>0</v>
      </c>
      <c r="F7" s="21">
        <v>10671</v>
      </c>
      <c r="G7" s="16">
        <f>SUM(F7/C7)*100</f>
        <v>4.058957778623051</v>
      </c>
      <c r="H7" s="21"/>
      <c r="I7" s="16">
        <f t="shared" si="0"/>
        <v>0</v>
      </c>
      <c r="J7" s="16"/>
      <c r="K7" s="16">
        <f t="shared" si="1"/>
        <v>0</v>
      </c>
      <c r="L7" s="16">
        <f t="shared" si="2"/>
        <v>252229</v>
      </c>
      <c r="M7" s="170">
        <f>SUM(L7/C7)*100</f>
        <v>95.94104222137695</v>
      </c>
    </row>
    <row r="8" spans="2:13" ht="12" customHeight="1">
      <c r="B8" s="169" t="s">
        <v>13</v>
      </c>
      <c r="C8" s="20">
        <v>319261</v>
      </c>
      <c r="D8" s="21"/>
      <c r="E8" s="21">
        <f aca="true" t="shared" si="3" ref="E8:E15">SUM(D8/C8)*100</f>
        <v>0</v>
      </c>
      <c r="F8" s="21"/>
      <c r="G8" s="21">
        <f aca="true" t="shared" si="4" ref="G8:G15">SUM(F8/C8)*100</f>
        <v>0</v>
      </c>
      <c r="H8" s="21"/>
      <c r="I8" s="16">
        <f t="shared" si="0"/>
        <v>0</v>
      </c>
      <c r="J8" s="16"/>
      <c r="K8" s="16">
        <f t="shared" si="1"/>
        <v>0</v>
      </c>
      <c r="L8" s="16">
        <f t="shared" si="2"/>
        <v>319261</v>
      </c>
      <c r="M8" s="170">
        <f aca="true" t="shared" si="5" ref="M8:M15">SUM(L8/C8)*100</f>
        <v>100</v>
      </c>
    </row>
    <row r="9" spans="2:13" ht="12" customHeight="1">
      <c r="B9" s="169" t="s">
        <v>14</v>
      </c>
      <c r="C9" s="20">
        <v>710378</v>
      </c>
      <c r="D9" s="21"/>
      <c r="E9" s="21">
        <f t="shared" si="3"/>
        <v>0</v>
      </c>
      <c r="F9" s="21"/>
      <c r="G9" s="21">
        <f t="shared" si="4"/>
        <v>0</v>
      </c>
      <c r="H9" s="21"/>
      <c r="I9" s="16">
        <f t="shared" si="0"/>
        <v>0</v>
      </c>
      <c r="J9" s="16"/>
      <c r="K9" s="16">
        <f t="shared" si="1"/>
        <v>0</v>
      </c>
      <c r="L9" s="16">
        <f t="shared" si="2"/>
        <v>710378</v>
      </c>
      <c r="M9" s="170">
        <f t="shared" si="5"/>
        <v>100</v>
      </c>
    </row>
    <row r="10" spans="2:13" ht="12" customHeight="1">
      <c r="B10" s="169" t="s">
        <v>15</v>
      </c>
      <c r="C10" s="20">
        <v>588739</v>
      </c>
      <c r="D10" s="21"/>
      <c r="E10" s="21">
        <f t="shared" si="3"/>
        <v>0</v>
      </c>
      <c r="F10" s="21"/>
      <c r="G10" s="21">
        <f t="shared" si="4"/>
        <v>0</v>
      </c>
      <c r="H10" s="21"/>
      <c r="I10" s="16">
        <f t="shared" si="0"/>
        <v>0</v>
      </c>
      <c r="J10" s="16"/>
      <c r="K10" s="16">
        <f t="shared" si="1"/>
        <v>0</v>
      </c>
      <c r="L10" s="16">
        <f t="shared" si="2"/>
        <v>588739</v>
      </c>
      <c r="M10" s="170">
        <f t="shared" si="5"/>
        <v>100</v>
      </c>
    </row>
    <row r="11" spans="2:13" ht="12" customHeight="1">
      <c r="B11" s="169" t="s">
        <v>16</v>
      </c>
      <c r="C11" s="20">
        <v>2900810</v>
      </c>
      <c r="D11" s="21">
        <f>11499+219112+1536057+13298+14491+127+5156+28668+27843+23432+1426771+25702+56605-60000</f>
        <v>3328761</v>
      </c>
      <c r="E11" s="21">
        <f t="shared" si="3"/>
        <v>114.75281042191664</v>
      </c>
      <c r="F11" s="21"/>
      <c r="G11" s="21">
        <f t="shared" si="4"/>
        <v>0</v>
      </c>
      <c r="H11" s="21">
        <v>482</v>
      </c>
      <c r="I11" s="16">
        <f t="shared" si="0"/>
        <v>0.01661604862090244</v>
      </c>
      <c r="J11" s="16"/>
      <c r="K11" s="16">
        <f t="shared" si="1"/>
        <v>0</v>
      </c>
      <c r="L11" s="16">
        <f>SUM(C11-D11-F11-H11-J11)</f>
        <v>-428433</v>
      </c>
      <c r="M11" s="170">
        <f t="shared" si="5"/>
        <v>-14.769426470537539</v>
      </c>
    </row>
    <row r="12" spans="2:13" ht="12" customHeight="1">
      <c r="B12" s="169" t="s">
        <v>55</v>
      </c>
      <c r="C12" s="120">
        <v>323329</v>
      </c>
      <c r="D12" s="126">
        <v>732790</v>
      </c>
      <c r="E12" s="21">
        <f t="shared" si="3"/>
        <v>226.63911990573072</v>
      </c>
      <c r="F12" s="126"/>
      <c r="G12" s="21">
        <f t="shared" si="4"/>
        <v>0</v>
      </c>
      <c r="H12" s="126"/>
      <c r="I12" s="16">
        <f t="shared" si="0"/>
        <v>0</v>
      </c>
      <c r="J12" s="21"/>
      <c r="K12" s="16">
        <f t="shared" si="1"/>
        <v>0</v>
      </c>
      <c r="L12" s="16">
        <f>SUM(C12-D12-F12-H12-J12)</f>
        <v>-409461</v>
      </c>
      <c r="M12" s="170">
        <f t="shared" si="5"/>
        <v>-126.6391199057307</v>
      </c>
    </row>
    <row r="13" spans="2:13" ht="12" customHeight="1">
      <c r="B13" s="177" t="s">
        <v>50</v>
      </c>
      <c r="C13" s="120">
        <f>1603100+389000</f>
        <v>1992100</v>
      </c>
      <c r="D13" s="126">
        <f>3360000+140000</f>
        <v>3500000</v>
      </c>
      <c r="E13" s="126">
        <f t="shared" si="3"/>
        <v>175.6939912654987</v>
      </c>
      <c r="F13" s="126"/>
      <c r="G13" s="126">
        <f t="shared" si="4"/>
        <v>0</v>
      </c>
      <c r="H13" s="126"/>
      <c r="I13" s="16">
        <f t="shared" si="0"/>
        <v>0</v>
      </c>
      <c r="J13" s="32"/>
      <c r="K13" s="16">
        <f t="shared" si="1"/>
        <v>0</v>
      </c>
      <c r="L13" s="16">
        <f t="shared" si="2"/>
        <v>-1507900</v>
      </c>
      <c r="M13" s="183">
        <f t="shared" si="5"/>
        <v>-75.69399126549871</v>
      </c>
    </row>
    <row r="14" spans="2:13" ht="12" customHeight="1" thickBot="1">
      <c r="B14" s="177" t="s">
        <v>27</v>
      </c>
      <c r="C14" s="120">
        <v>238394</v>
      </c>
      <c r="D14" s="126">
        <v>62498</v>
      </c>
      <c r="E14" s="126">
        <f t="shared" si="3"/>
        <v>26.216263832143426</v>
      </c>
      <c r="F14" s="126">
        <f>16665+51113</f>
        <v>67778</v>
      </c>
      <c r="G14" s="126">
        <f t="shared" si="4"/>
        <v>28.431084674949876</v>
      </c>
      <c r="H14" s="126"/>
      <c r="I14" s="32">
        <f t="shared" si="0"/>
        <v>0</v>
      </c>
      <c r="J14" s="126"/>
      <c r="K14" s="32">
        <f t="shared" si="1"/>
        <v>0</v>
      </c>
      <c r="L14" s="32">
        <f t="shared" si="2"/>
        <v>108118</v>
      </c>
      <c r="M14" s="183">
        <f t="shared" si="5"/>
        <v>45.352651492906695</v>
      </c>
    </row>
    <row r="15" spans="2:13" s="35" customFormat="1" ht="12" customHeight="1" thickBot="1">
      <c r="B15" s="171" t="s">
        <v>36</v>
      </c>
      <c r="C15" s="25">
        <f>SUM(C5:C14)</f>
        <v>7426571</v>
      </c>
      <c r="D15" s="25">
        <f>SUM(D5:D14)</f>
        <v>7624049</v>
      </c>
      <c r="E15" s="25">
        <f t="shared" si="3"/>
        <v>102.65907375018699</v>
      </c>
      <c r="F15" s="25">
        <f>SUM(F5:F14)</f>
        <v>78449</v>
      </c>
      <c r="G15" s="25">
        <f t="shared" si="4"/>
        <v>1.0563286878964735</v>
      </c>
      <c r="H15" s="25">
        <f>SUM(H5:H14)</f>
        <v>482</v>
      </c>
      <c r="I15" s="25">
        <f t="shared" si="0"/>
        <v>0.006490209276932786</v>
      </c>
      <c r="J15" s="25">
        <f>SUM(J5:J14)</f>
        <v>0</v>
      </c>
      <c r="K15" s="25">
        <f t="shared" si="1"/>
        <v>0</v>
      </c>
      <c r="L15" s="25">
        <f>SUM(L5:L14)</f>
        <v>-276409</v>
      </c>
      <c r="M15" s="172">
        <f t="shared" si="5"/>
        <v>-3.721892647360404</v>
      </c>
    </row>
    <row r="16" spans="2:13" s="187" customFormat="1" ht="12" customHeight="1">
      <c r="B16" s="184" t="s">
        <v>12</v>
      </c>
      <c r="C16" s="20">
        <v>53675</v>
      </c>
      <c r="D16" s="185">
        <v>3639</v>
      </c>
      <c r="E16" s="21">
        <f aca="true" t="shared" si="6" ref="E16:E24">SUM(D16/C16)*100</f>
        <v>6.779692594317653</v>
      </c>
      <c r="F16" s="185"/>
      <c r="G16" s="185">
        <f aca="true" t="shared" si="7" ref="G16:G23">SUM(F16/C16)*100</f>
        <v>0</v>
      </c>
      <c r="H16" s="185"/>
      <c r="I16" s="185">
        <f t="shared" si="0"/>
        <v>0</v>
      </c>
      <c r="J16" s="186"/>
      <c r="K16" s="186">
        <f t="shared" si="1"/>
        <v>0</v>
      </c>
      <c r="L16" s="16">
        <f>SUM(C16-D16-F16-H16-J16)</f>
        <v>50036</v>
      </c>
      <c r="M16" s="170">
        <f aca="true" t="shared" si="8" ref="M16:M24">SUM(L16/C16)*100</f>
        <v>93.22030740568235</v>
      </c>
    </row>
    <row r="17" spans="2:13" s="187" customFormat="1" ht="12" customHeight="1">
      <c r="B17" s="184" t="s">
        <v>105</v>
      </c>
      <c r="C17" s="20">
        <v>70323</v>
      </c>
      <c r="D17" s="185">
        <v>20428</v>
      </c>
      <c r="E17" s="21">
        <f t="shared" si="6"/>
        <v>29.048817598794134</v>
      </c>
      <c r="F17" s="185"/>
      <c r="G17" s="185">
        <f t="shared" si="7"/>
        <v>0</v>
      </c>
      <c r="H17" s="185">
        <v>36994</v>
      </c>
      <c r="I17" s="185">
        <f t="shared" si="0"/>
        <v>52.6058330844816</v>
      </c>
      <c r="J17" s="186"/>
      <c r="K17" s="186">
        <f t="shared" si="1"/>
        <v>0</v>
      </c>
      <c r="L17" s="16">
        <f>SUM(C17-D17-F17-H17-J17)</f>
        <v>12901</v>
      </c>
      <c r="M17" s="170">
        <f t="shared" si="8"/>
        <v>18.345349316724256</v>
      </c>
    </row>
    <row r="18" spans="2:13" s="187" customFormat="1" ht="12" customHeight="1">
      <c r="B18" s="184" t="s">
        <v>107</v>
      </c>
      <c r="C18" s="20">
        <v>67389</v>
      </c>
      <c r="D18" s="185"/>
      <c r="E18" s="21">
        <f t="shared" si="6"/>
        <v>0</v>
      </c>
      <c r="F18" s="185"/>
      <c r="G18" s="185">
        <f t="shared" si="7"/>
        <v>0</v>
      </c>
      <c r="H18" s="185">
        <v>65921</v>
      </c>
      <c r="I18" s="185">
        <f t="shared" si="0"/>
        <v>97.8216029322293</v>
      </c>
      <c r="J18" s="186"/>
      <c r="K18" s="186">
        <f t="shared" si="1"/>
        <v>0</v>
      </c>
      <c r="L18" s="16">
        <f>SUM(C18-D18-F18-H18-J18)</f>
        <v>1468</v>
      </c>
      <c r="M18" s="170">
        <f t="shared" si="8"/>
        <v>2.178397067770704</v>
      </c>
    </row>
    <row r="19" spans="2:13" s="187" customFormat="1" ht="12" customHeight="1">
      <c r="B19" s="184" t="s">
        <v>106</v>
      </c>
      <c r="C19" s="20">
        <v>25620</v>
      </c>
      <c r="D19" s="185"/>
      <c r="E19" s="21">
        <f t="shared" si="6"/>
        <v>0</v>
      </c>
      <c r="F19" s="185"/>
      <c r="G19" s="185">
        <f t="shared" si="7"/>
        <v>0</v>
      </c>
      <c r="H19" s="185">
        <v>15982</v>
      </c>
      <c r="I19" s="185">
        <f t="shared" si="0"/>
        <v>62.38095238095238</v>
      </c>
      <c r="J19" s="186"/>
      <c r="K19" s="186">
        <f t="shared" si="1"/>
        <v>0</v>
      </c>
      <c r="L19" s="16">
        <f>SUM(C19-D19-F19-H19-J19)</f>
        <v>9638</v>
      </c>
      <c r="M19" s="170">
        <f t="shared" si="8"/>
        <v>37.61904761904762</v>
      </c>
    </row>
    <row r="20" spans="2:13" s="187" customFormat="1" ht="12" customHeight="1" thickBot="1">
      <c r="B20" s="188" t="s">
        <v>26</v>
      </c>
      <c r="C20" s="120">
        <v>1715</v>
      </c>
      <c r="D20" s="189">
        <v>2007</v>
      </c>
      <c r="E20" s="126">
        <f t="shared" si="6"/>
        <v>117.0262390670554</v>
      </c>
      <c r="F20" s="189"/>
      <c r="G20" s="189">
        <f t="shared" si="7"/>
        <v>0</v>
      </c>
      <c r="H20" s="189">
        <v>2135</v>
      </c>
      <c r="I20" s="185">
        <f t="shared" si="0"/>
        <v>124.48979591836735</v>
      </c>
      <c r="J20" s="190"/>
      <c r="K20" s="186">
        <f t="shared" si="1"/>
        <v>0</v>
      </c>
      <c r="L20" s="16">
        <f>SUM(C20-D20-F20-H20-J20)</f>
        <v>-2427</v>
      </c>
      <c r="M20" s="183">
        <f t="shared" si="8"/>
        <v>-141.51603498542272</v>
      </c>
    </row>
    <row r="21" spans="2:13" s="35" customFormat="1" ht="12" customHeight="1" thickBot="1">
      <c r="B21" s="171" t="s">
        <v>35</v>
      </c>
      <c r="C21" s="25">
        <f>SUM(C16:C20)</f>
        <v>218722</v>
      </c>
      <c r="D21" s="25">
        <f>SUM(D16:D20)</f>
        <v>26074</v>
      </c>
      <c r="E21" s="25">
        <f t="shared" si="6"/>
        <v>11.921068753943361</v>
      </c>
      <c r="F21" s="25">
        <f>SUM(F16:F20)</f>
        <v>0</v>
      </c>
      <c r="G21" s="25">
        <f t="shared" si="7"/>
        <v>0</v>
      </c>
      <c r="H21" s="25">
        <f>SUM(H16:H20)</f>
        <v>121032</v>
      </c>
      <c r="I21" s="25">
        <f aca="true" t="shared" si="9" ref="I21:I39">SUM(H21/C21)*100</f>
        <v>55.33599729336783</v>
      </c>
      <c r="J21" s="25">
        <f>SUM(J16:J20)</f>
        <v>0</v>
      </c>
      <c r="K21" s="25">
        <f aca="true" t="shared" si="10" ref="K21:K39">SUM(J21/C21)*100</f>
        <v>0</v>
      </c>
      <c r="L21" s="25">
        <f>SUM(L16:L20)</f>
        <v>71616</v>
      </c>
      <c r="M21" s="172">
        <f t="shared" si="8"/>
        <v>32.7429339526888</v>
      </c>
    </row>
    <row r="22" spans="2:13" ht="12" customHeight="1">
      <c r="B22" s="191" t="s">
        <v>47</v>
      </c>
      <c r="C22" s="192">
        <v>778597</v>
      </c>
      <c r="D22" s="193">
        <v>78000</v>
      </c>
      <c r="E22" s="193">
        <f t="shared" si="6"/>
        <v>10.01801959165011</v>
      </c>
      <c r="F22" s="193"/>
      <c r="G22" s="193">
        <f t="shared" si="7"/>
        <v>0</v>
      </c>
      <c r="H22" s="193"/>
      <c r="I22" s="193">
        <f>SUM(H22/C22)*100</f>
        <v>0</v>
      </c>
      <c r="J22" s="193"/>
      <c r="K22" s="193">
        <f>SUM(J22/C22)*100</f>
        <v>0</v>
      </c>
      <c r="L22" s="193">
        <f>SUM(C22-D22-F22-H22-J22)</f>
        <v>700597</v>
      </c>
      <c r="M22" s="194">
        <f t="shared" si="8"/>
        <v>89.9819804083499</v>
      </c>
    </row>
    <row r="23" spans="2:13" ht="12" customHeight="1" thickBot="1">
      <c r="B23" s="178" t="s">
        <v>48</v>
      </c>
      <c r="C23" s="26">
        <f>1139130-35000</f>
        <v>1104130</v>
      </c>
      <c r="D23" s="27">
        <f>818000-78000</f>
        <v>740000</v>
      </c>
      <c r="E23" s="27">
        <f t="shared" si="6"/>
        <v>67.0210935306531</v>
      </c>
      <c r="F23" s="27"/>
      <c r="G23" s="27">
        <f t="shared" si="7"/>
        <v>0</v>
      </c>
      <c r="H23" s="27"/>
      <c r="I23" s="27">
        <f>SUM(H23/C23)*100</f>
        <v>0</v>
      </c>
      <c r="J23" s="27"/>
      <c r="K23" s="27">
        <f>SUM(J23/C23)*100</f>
        <v>0</v>
      </c>
      <c r="L23" s="27">
        <f>SUM(C23-D23-F23-H23-J23)</f>
        <v>364130</v>
      </c>
      <c r="M23" s="179">
        <f t="shared" si="8"/>
        <v>32.97890646934691</v>
      </c>
    </row>
    <row r="24" spans="2:13" ht="12" customHeight="1" thickBot="1">
      <c r="B24" s="171" t="s">
        <v>49</v>
      </c>
      <c r="C24" s="25">
        <f>SUM(C22:C23)</f>
        <v>1882727</v>
      </c>
      <c r="D24" s="25">
        <f>SUM(D22:D23)</f>
        <v>818000</v>
      </c>
      <c r="E24" s="25">
        <f t="shared" si="6"/>
        <v>43.447616144029375</v>
      </c>
      <c r="F24" s="25">
        <f aca="true" t="shared" si="11" ref="F24:L24">SUM(F22:F23)</f>
        <v>0</v>
      </c>
      <c r="G24" s="25">
        <f t="shared" si="11"/>
        <v>0</v>
      </c>
      <c r="H24" s="25">
        <f t="shared" si="11"/>
        <v>0</v>
      </c>
      <c r="I24" s="25">
        <f t="shared" si="11"/>
        <v>0</v>
      </c>
      <c r="J24" s="25">
        <f t="shared" si="11"/>
        <v>0</v>
      </c>
      <c r="K24" s="25">
        <f t="shared" si="11"/>
        <v>0</v>
      </c>
      <c r="L24" s="25">
        <f t="shared" si="11"/>
        <v>1064727</v>
      </c>
      <c r="M24" s="172">
        <f t="shared" si="8"/>
        <v>56.552383855970625</v>
      </c>
    </row>
    <row r="25" spans="2:13" ht="12" customHeight="1">
      <c r="B25" s="173" t="s">
        <v>4</v>
      </c>
      <c r="C25" s="31">
        <f>777321+905138+157775</f>
        <v>1840234</v>
      </c>
      <c r="D25" s="32">
        <v>53070</v>
      </c>
      <c r="E25" s="32">
        <f aca="true" t="shared" si="12" ref="E25:E45">SUM(D25/C25)*100</f>
        <v>2.883872377099869</v>
      </c>
      <c r="F25" s="32">
        <v>322798</v>
      </c>
      <c r="G25" s="32">
        <f aca="true" t="shared" si="13" ref="G25:G45">SUM(F25/C25)*100</f>
        <v>17.541138789958232</v>
      </c>
      <c r="H25" s="32"/>
      <c r="I25" s="32">
        <f t="shared" si="9"/>
        <v>0</v>
      </c>
      <c r="J25" s="32">
        <v>45257</v>
      </c>
      <c r="K25" s="32">
        <f t="shared" si="10"/>
        <v>2.4593068055475555</v>
      </c>
      <c r="L25" s="32">
        <f>SUM(C25-D25-F25-H25-J25)</f>
        <v>1419109</v>
      </c>
      <c r="M25" s="174">
        <f aca="true" t="shared" si="14" ref="M25:M45">SUM(L25/C25)*100</f>
        <v>77.11568202739434</v>
      </c>
    </row>
    <row r="26" spans="2:13" ht="12" customHeight="1" thickBot="1">
      <c r="B26" s="169" t="s">
        <v>46</v>
      </c>
      <c r="C26" s="20">
        <v>1000</v>
      </c>
      <c r="D26" s="21"/>
      <c r="E26" s="21">
        <f t="shared" si="12"/>
        <v>0</v>
      </c>
      <c r="F26" s="21"/>
      <c r="G26" s="21">
        <f t="shared" si="13"/>
        <v>0</v>
      </c>
      <c r="H26" s="21"/>
      <c r="I26" s="21">
        <f t="shared" si="9"/>
        <v>0</v>
      </c>
      <c r="J26" s="21"/>
      <c r="K26" s="21">
        <f t="shared" si="10"/>
        <v>0</v>
      </c>
      <c r="L26" s="21">
        <f>SUM(C26-D26-F26-H26-J26)</f>
        <v>1000</v>
      </c>
      <c r="M26" s="170">
        <f t="shared" si="14"/>
        <v>100</v>
      </c>
    </row>
    <row r="27" spans="2:13" ht="12" customHeight="1" thickBot="1">
      <c r="B27" s="171" t="s">
        <v>37</v>
      </c>
      <c r="C27" s="25">
        <f>SUM(C25:C26)</f>
        <v>1841234</v>
      </c>
      <c r="D27" s="25">
        <f>SUM(D25:D26)</f>
        <v>53070</v>
      </c>
      <c r="E27" s="25">
        <f t="shared" si="12"/>
        <v>2.882306105579193</v>
      </c>
      <c r="F27" s="25">
        <f>SUM(F25:F26)</f>
        <v>322798</v>
      </c>
      <c r="G27" s="25">
        <f t="shared" si="13"/>
        <v>17.531611951549884</v>
      </c>
      <c r="H27" s="25">
        <f>SUM(H25:H26)</f>
        <v>0</v>
      </c>
      <c r="I27" s="25">
        <f t="shared" si="9"/>
        <v>0</v>
      </c>
      <c r="J27" s="25">
        <f>SUM(J25)</f>
        <v>45257</v>
      </c>
      <c r="K27" s="25">
        <f t="shared" si="10"/>
        <v>2.4579711215413145</v>
      </c>
      <c r="L27" s="25">
        <f>SUM(L25:L26)</f>
        <v>1420109</v>
      </c>
      <c r="M27" s="172">
        <f t="shared" si="14"/>
        <v>77.12811082132961</v>
      </c>
    </row>
    <row r="28" spans="2:13" s="108" customFormat="1" ht="12" customHeight="1" thickBot="1">
      <c r="B28" s="173" t="s">
        <v>7</v>
      </c>
      <c r="C28" s="31">
        <v>286082</v>
      </c>
      <c r="D28" s="32">
        <v>6000</v>
      </c>
      <c r="E28" s="32">
        <f t="shared" si="12"/>
        <v>2.0973007739039855</v>
      </c>
      <c r="F28" s="32">
        <f>32210+48609+29332+1452+4452</f>
        <v>116055</v>
      </c>
      <c r="G28" s="32">
        <f t="shared" si="13"/>
        <v>40.567040219237846</v>
      </c>
      <c r="H28" s="32"/>
      <c r="I28" s="32">
        <f t="shared" si="9"/>
        <v>0</v>
      </c>
      <c r="J28" s="32">
        <v>3232</v>
      </c>
      <c r="K28" s="32">
        <f t="shared" si="10"/>
        <v>1.1297460168762803</v>
      </c>
      <c r="L28" s="32">
        <f>SUM(C28-D28-F28-H28-J28)</f>
        <v>160795</v>
      </c>
      <c r="M28" s="174">
        <f t="shared" si="14"/>
        <v>56.2059129899819</v>
      </c>
    </row>
    <row r="29" spans="2:13" s="108" customFormat="1" ht="12" customHeight="1" thickBot="1">
      <c r="B29" s="171" t="s">
        <v>38</v>
      </c>
      <c r="C29" s="25">
        <f>SUM(C28)</f>
        <v>286082</v>
      </c>
      <c r="D29" s="128">
        <f>SUM(D28)</f>
        <v>6000</v>
      </c>
      <c r="E29" s="128">
        <f t="shared" si="12"/>
        <v>2.0973007739039855</v>
      </c>
      <c r="F29" s="128">
        <f>SUM(F28)</f>
        <v>116055</v>
      </c>
      <c r="G29" s="128">
        <f t="shared" si="13"/>
        <v>40.567040219237846</v>
      </c>
      <c r="H29" s="128">
        <f>SUM(H28)</f>
        <v>0</v>
      </c>
      <c r="I29" s="128">
        <f t="shared" si="9"/>
        <v>0</v>
      </c>
      <c r="J29" s="128">
        <f>SUM(J28)</f>
        <v>3232</v>
      </c>
      <c r="K29" s="128">
        <f t="shared" si="10"/>
        <v>1.1297460168762803</v>
      </c>
      <c r="L29" s="128">
        <f>SUM(L28)</f>
        <v>160795</v>
      </c>
      <c r="M29" s="181">
        <f t="shared" si="14"/>
        <v>56.2059129899819</v>
      </c>
    </row>
    <row r="30" spans="2:13" s="108" customFormat="1" ht="12" customHeight="1">
      <c r="B30" s="175" t="s">
        <v>8</v>
      </c>
      <c r="C30" s="15">
        <v>200000</v>
      </c>
      <c r="D30" s="16">
        <v>724</v>
      </c>
      <c r="E30" s="16">
        <f t="shared" si="12"/>
        <v>0.362</v>
      </c>
      <c r="F30" s="16">
        <v>64600</v>
      </c>
      <c r="G30" s="16">
        <f t="shared" si="13"/>
        <v>32.300000000000004</v>
      </c>
      <c r="H30" s="16"/>
      <c r="I30" s="16">
        <f t="shared" si="9"/>
        <v>0</v>
      </c>
      <c r="J30" s="16">
        <v>1798</v>
      </c>
      <c r="K30" s="16">
        <f t="shared" si="10"/>
        <v>0.899</v>
      </c>
      <c r="L30" s="16">
        <f>SUM(C30-D30-F30-H30-J30)</f>
        <v>132878</v>
      </c>
      <c r="M30" s="176">
        <f t="shared" si="14"/>
        <v>66.43900000000001</v>
      </c>
    </row>
    <row r="31" spans="2:13" s="108" customFormat="1" ht="12" customHeight="1">
      <c r="B31" s="169" t="s">
        <v>95</v>
      </c>
      <c r="C31" s="20">
        <v>90000</v>
      </c>
      <c r="D31" s="21">
        <v>14996</v>
      </c>
      <c r="E31" s="21">
        <f t="shared" si="12"/>
        <v>16.662222222222223</v>
      </c>
      <c r="F31" s="21">
        <v>22490</v>
      </c>
      <c r="G31" s="21">
        <f t="shared" si="13"/>
        <v>24.988888888888887</v>
      </c>
      <c r="H31" s="21"/>
      <c r="I31" s="16">
        <f t="shared" si="9"/>
        <v>0</v>
      </c>
      <c r="J31" s="16">
        <v>1625</v>
      </c>
      <c r="K31" s="16">
        <f t="shared" si="10"/>
        <v>1.8055555555555554</v>
      </c>
      <c r="L31" s="16">
        <f aca="true" t="shared" si="15" ref="L31:L39">SUM(C31-D31-F31-H31-J31)</f>
        <v>50889</v>
      </c>
      <c r="M31" s="170">
        <f t="shared" si="14"/>
        <v>56.54333333333334</v>
      </c>
    </row>
    <row r="32" spans="2:13" s="108" customFormat="1" ht="12" customHeight="1">
      <c r="B32" s="169" t="s">
        <v>96</v>
      </c>
      <c r="C32" s="20">
        <f>46149-8148</f>
        <v>38001</v>
      </c>
      <c r="D32" s="21">
        <v>11667</v>
      </c>
      <c r="E32" s="21">
        <f t="shared" si="12"/>
        <v>30.701823636220098</v>
      </c>
      <c r="F32" s="21">
        <f>15432+9406</f>
        <v>24838</v>
      </c>
      <c r="G32" s="21">
        <f t="shared" si="13"/>
        <v>65.3614378568985</v>
      </c>
      <c r="H32" s="21"/>
      <c r="I32" s="16">
        <f t="shared" si="9"/>
        <v>0</v>
      </c>
      <c r="J32" s="16">
        <v>469</v>
      </c>
      <c r="K32" s="16">
        <f t="shared" si="10"/>
        <v>1.2341780479461066</v>
      </c>
      <c r="L32" s="16">
        <f t="shared" si="15"/>
        <v>1027</v>
      </c>
      <c r="M32" s="170">
        <f t="shared" si="14"/>
        <v>2.702560458935291</v>
      </c>
    </row>
    <row r="33" spans="2:13" s="108" customFormat="1" ht="12" customHeight="1">
      <c r="B33" s="169" t="s">
        <v>9</v>
      </c>
      <c r="C33" s="20">
        <v>100000</v>
      </c>
      <c r="D33" s="21">
        <v>26015</v>
      </c>
      <c r="E33" s="21">
        <f t="shared" si="12"/>
        <v>26.015</v>
      </c>
      <c r="F33" s="21">
        <v>22876</v>
      </c>
      <c r="G33" s="21">
        <f t="shared" si="13"/>
        <v>22.875999999999998</v>
      </c>
      <c r="H33" s="21"/>
      <c r="I33" s="16">
        <f t="shared" si="9"/>
        <v>0</v>
      </c>
      <c r="J33" s="16">
        <v>87</v>
      </c>
      <c r="K33" s="16">
        <f t="shared" si="10"/>
        <v>0.087</v>
      </c>
      <c r="L33" s="16">
        <f t="shared" si="15"/>
        <v>51022</v>
      </c>
      <c r="M33" s="170">
        <f t="shared" si="14"/>
        <v>51.022</v>
      </c>
    </row>
    <row r="34" spans="2:13" s="108" customFormat="1" ht="12" customHeight="1">
      <c r="B34" s="169" t="s">
        <v>10</v>
      </c>
      <c r="C34" s="20">
        <v>1500</v>
      </c>
      <c r="D34" s="21"/>
      <c r="E34" s="21">
        <f t="shared" si="12"/>
        <v>0</v>
      </c>
      <c r="F34" s="21"/>
      <c r="G34" s="21">
        <f t="shared" si="13"/>
        <v>0</v>
      </c>
      <c r="H34" s="21"/>
      <c r="I34" s="16">
        <f t="shared" si="9"/>
        <v>0</v>
      </c>
      <c r="J34" s="16">
        <v>62</v>
      </c>
      <c r="K34" s="16">
        <f t="shared" si="10"/>
        <v>4.133333333333333</v>
      </c>
      <c r="L34" s="16">
        <f t="shared" si="15"/>
        <v>1438</v>
      </c>
      <c r="M34" s="170">
        <f t="shared" si="14"/>
        <v>95.86666666666666</v>
      </c>
    </row>
    <row r="35" spans="2:13" s="108" customFormat="1" ht="12" customHeight="1">
      <c r="B35" s="169" t="s">
        <v>93</v>
      </c>
      <c r="C35" s="20">
        <v>90000</v>
      </c>
      <c r="D35" s="21"/>
      <c r="E35" s="21">
        <f t="shared" si="12"/>
        <v>0</v>
      </c>
      <c r="F35" s="21">
        <v>10560</v>
      </c>
      <c r="G35" s="21">
        <f t="shared" si="13"/>
        <v>11.733333333333333</v>
      </c>
      <c r="H35" s="21"/>
      <c r="I35" s="16">
        <f t="shared" si="9"/>
        <v>0</v>
      </c>
      <c r="J35" s="16">
        <v>752</v>
      </c>
      <c r="K35" s="16">
        <f t="shared" si="10"/>
        <v>0.8355555555555555</v>
      </c>
      <c r="L35" s="16">
        <f t="shared" si="15"/>
        <v>78688</v>
      </c>
      <c r="M35" s="170">
        <f t="shared" si="14"/>
        <v>87.43111111111112</v>
      </c>
    </row>
    <row r="36" spans="2:13" s="108" customFormat="1" ht="12" customHeight="1">
      <c r="B36" s="169" t="s">
        <v>11</v>
      </c>
      <c r="C36" s="20">
        <v>290000</v>
      </c>
      <c r="D36" s="21">
        <v>8598</v>
      </c>
      <c r="E36" s="21">
        <f t="shared" si="12"/>
        <v>2.9648275862068965</v>
      </c>
      <c r="F36" s="21">
        <v>7480</v>
      </c>
      <c r="G36" s="21">
        <f t="shared" si="13"/>
        <v>2.579310344827586</v>
      </c>
      <c r="H36" s="21"/>
      <c r="I36" s="16">
        <f t="shared" si="9"/>
        <v>0</v>
      </c>
      <c r="J36" s="16">
        <v>387</v>
      </c>
      <c r="K36" s="16">
        <f t="shared" si="10"/>
        <v>0.13344827586206895</v>
      </c>
      <c r="L36" s="16">
        <f t="shared" si="15"/>
        <v>273535</v>
      </c>
      <c r="M36" s="170">
        <f t="shared" si="14"/>
        <v>94.32241379310344</v>
      </c>
    </row>
    <row r="37" spans="2:13" s="108" customFormat="1" ht="12" customHeight="1">
      <c r="B37" s="177" t="s">
        <v>94</v>
      </c>
      <c r="C37" s="120">
        <v>50000</v>
      </c>
      <c r="D37" s="126"/>
      <c r="E37" s="126">
        <f t="shared" si="12"/>
        <v>0</v>
      </c>
      <c r="F37" s="126">
        <v>18</v>
      </c>
      <c r="G37" s="21">
        <f t="shared" si="13"/>
        <v>0.036000000000000004</v>
      </c>
      <c r="H37" s="126"/>
      <c r="I37" s="32">
        <f t="shared" si="9"/>
        <v>0</v>
      </c>
      <c r="J37" s="32">
        <v>1092</v>
      </c>
      <c r="K37" s="16">
        <f t="shared" si="10"/>
        <v>2.1839999999999997</v>
      </c>
      <c r="L37" s="16">
        <f t="shared" si="15"/>
        <v>48890</v>
      </c>
      <c r="M37" s="170">
        <f t="shared" si="14"/>
        <v>97.78</v>
      </c>
    </row>
    <row r="38" spans="2:13" s="108" customFormat="1" ht="12" customHeight="1">
      <c r="B38" s="177" t="s">
        <v>51</v>
      </c>
      <c r="C38" s="120">
        <v>15000</v>
      </c>
      <c r="D38" s="126"/>
      <c r="E38" s="126">
        <f t="shared" si="12"/>
        <v>0</v>
      </c>
      <c r="F38" s="126"/>
      <c r="G38" s="21">
        <f t="shared" si="13"/>
        <v>0</v>
      </c>
      <c r="H38" s="126"/>
      <c r="I38" s="21">
        <f t="shared" si="9"/>
        <v>0</v>
      </c>
      <c r="J38" s="21">
        <v>104</v>
      </c>
      <c r="K38" s="21">
        <f t="shared" si="10"/>
        <v>0.6933333333333334</v>
      </c>
      <c r="L38" s="16">
        <f t="shared" si="15"/>
        <v>14896</v>
      </c>
      <c r="M38" s="170">
        <f t="shared" si="14"/>
        <v>99.30666666666667</v>
      </c>
    </row>
    <row r="39" spans="2:13" s="108" customFormat="1" ht="12" customHeight="1" thickBot="1">
      <c r="B39" s="178" t="s">
        <v>97</v>
      </c>
      <c r="C39" s="26">
        <v>20000</v>
      </c>
      <c r="D39" s="27"/>
      <c r="E39" s="27">
        <f t="shared" si="12"/>
        <v>0</v>
      </c>
      <c r="F39" s="27">
        <v>10036</v>
      </c>
      <c r="G39" s="27">
        <f t="shared" si="13"/>
        <v>50.18</v>
      </c>
      <c r="H39" s="27"/>
      <c r="I39" s="27">
        <f t="shared" si="9"/>
        <v>0</v>
      </c>
      <c r="J39" s="27">
        <v>278</v>
      </c>
      <c r="K39" s="27">
        <f t="shared" si="10"/>
        <v>1.39</v>
      </c>
      <c r="L39" s="27">
        <f t="shared" si="15"/>
        <v>9686</v>
      </c>
      <c r="M39" s="179">
        <f t="shared" si="14"/>
        <v>48.43</v>
      </c>
    </row>
    <row r="40" spans="2:13" s="35" customFormat="1" ht="12" customHeight="1" thickBot="1">
      <c r="B40" s="180" t="s">
        <v>39</v>
      </c>
      <c r="C40" s="25">
        <f>SUM(C30:C39)</f>
        <v>894501</v>
      </c>
      <c r="D40" s="128">
        <f>SUM(D30:D39)</f>
        <v>62000</v>
      </c>
      <c r="E40" s="128">
        <f t="shared" si="12"/>
        <v>6.931238757698427</v>
      </c>
      <c r="F40" s="128">
        <f>SUM(F30:F39)</f>
        <v>162898</v>
      </c>
      <c r="G40" s="128">
        <f t="shared" si="13"/>
        <v>18.211047276638038</v>
      </c>
      <c r="H40" s="128">
        <f>SUM(H30:H39)</f>
        <v>0</v>
      </c>
      <c r="I40" s="128">
        <f aca="true" t="shared" si="16" ref="I40:I45">SUM(H40/C40)*100</f>
        <v>0</v>
      </c>
      <c r="J40" s="128">
        <f>SUM(J30:J39)</f>
        <v>6654</v>
      </c>
      <c r="K40" s="128">
        <f aca="true" t="shared" si="17" ref="K40:K45">SUM(J40/C40)*100</f>
        <v>0.7438784305439569</v>
      </c>
      <c r="L40" s="128">
        <f>SUM(L30:L39)</f>
        <v>662949</v>
      </c>
      <c r="M40" s="181">
        <f t="shared" si="14"/>
        <v>74.11383553511958</v>
      </c>
    </row>
    <row r="41" spans="2:13" s="35" customFormat="1" ht="12" customHeight="1" thickBot="1">
      <c r="B41" s="195" t="s">
        <v>41</v>
      </c>
      <c r="C41" s="196">
        <v>215303</v>
      </c>
      <c r="D41" s="197">
        <v>4800</v>
      </c>
      <c r="E41" s="197">
        <f t="shared" si="12"/>
        <v>2.229416218074063</v>
      </c>
      <c r="F41" s="197">
        <f>93584+8661+1564+4797-3</f>
        <v>108603</v>
      </c>
      <c r="G41" s="197">
        <f t="shared" si="13"/>
        <v>50.44193531906197</v>
      </c>
      <c r="H41" s="197"/>
      <c r="I41" s="197">
        <f t="shared" si="16"/>
        <v>0</v>
      </c>
      <c r="J41" s="197">
        <v>2281</v>
      </c>
      <c r="K41" s="128">
        <f t="shared" si="17"/>
        <v>1.0594371652972787</v>
      </c>
      <c r="L41" s="197">
        <f>SUM(C41-D41-F41-H41-J41)</f>
        <v>99619</v>
      </c>
      <c r="M41" s="198">
        <f t="shared" si="14"/>
        <v>46.269211297566684</v>
      </c>
    </row>
    <row r="42" spans="2:13" s="35" customFormat="1" ht="12" customHeight="1" thickBot="1">
      <c r="B42" s="171" t="s">
        <v>42</v>
      </c>
      <c r="C42" s="25">
        <v>119652</v>
      </c>
      <c r="D42" s="128">
        <v>3000</v>
      </c>
      <c r="E42" s="128">
        <f t="shared" si="12"/>
        <v>2.5072710861498346</v>
      </c>
      <c r="F42" s="128">
        <f>52009+4330+1181+3622</f>
        <v>61142</v>
      </c>
      <c r="G42" s="128">
        <f t="shared" si="13"/>
        <v>51.09985624979107</v>
      </c>
      <c r="H42" s="128"/>
      <c r="I42" s="128">
        <f t="shared" si="16"/>
        <v>0</v>
      </c>
      <c r="J42" s="128">
        <v>1134</v>
      </c>
      <c r="K42" s="199">
        <f t="shared" si="17"/>
        <v>0.9477484705646374</v>
      </c>
      <c r="L42" s="128">
        <f>SUM(C42-D42-F42-H42-J42)</f>
        <v>54376</v>
      </c>
      <c r="M42" s="200">
        <f t="shared" si="14"/>
        <v>45.445124193494465</v>
      </c>
    </row>
    <row r="43" spans="2:13" s="35" customFormat="1" ht="12" customHeight="1" thickBot="1">
      <c r="B43" s="171" t="s">
        <v>43</v>
      </c>
      <c r="C43" s="25">
        <v>200653</v>
      </c>
      <c r="D43" s="128">
        <v>5500</v>
      </c>
      <c r="E43" s="128">
        <f t="shared" si="12"/>
        <v>2.741050470214749</v>
      </c>
      <c r="F43" s="128">
        <f>87217+7795+1608+4932</f>
        <v>101552</v>
      </c>
      <c r="G43" s="128">
        <f t="shared" si="13"/>
        <v>50.61075588204512</v>
      </c>
      <c r="H43" s="128"/>
      <c r="I43" s="128">
        <f t="shared" si="16"/>
        <v>0</v>
      </c>
      <c r="J43" s="128">
        <v>2176</v>
      </c>
      <c r="K43" s="199">
        <f t="shared" si="17"/>
        <v>1.0844592405795077</v>
      </c>
      <c r="L43" s="128">
        <f>SUM(C43-D43-F43-H43-J43)</f>
        <v>91425</v>
      </c>
      <c r="M43" s="200">
        <f t="shared" si="14"/>
        <v>45.563734407160624</v>
      </c>
    </row>
    <row r="44" spans="2:13" s="35" customFormat="1" ht="12" customHeight="1" thickBot="1">
      <c r="B44" s="195" t="s">
        <v>44</v>
      </c>
      <c r="C44" s="196">
        <v>175535</v>
      </c>
      <c r="D44" s="197">
        <v>3500</v>
      </c>
      <c r="E44" s="197">
        <f t="shared" si="12"/>
        <v>1.993904349559917</v>
      </c>
      <c r="F44" s="197">
        <f>76299+5196+986+3024</f>
        <v>85505</v>
      </c>
      <c r="G44" s="197">
        <f t="shared" si="13"/>
        <v>48.71108325974877</v>
      </c>
      <c r="H44" s="197"/>
      <c r="I44" s="197">
        <f t="shared" si="16"/>
        <v>0</v>
      </c>
      <c r="J44" s="197">
        <v>1776</v>
      </c>
      <c r="K44" s="128">
        <f t="shared" si="17"/>
        <v>1.0117640356624036</v>
      </c>
      <c r="L44" s="197">
        <f>SUM(C44-D44-F44-H44-J44)</f>
        <v>84754</v>
      </c>
      <c r="M44" s="198">
        <f t="shared" si="14"/>
        <v>48.28324835502891</v>
      </c>
    </row>
    <row r="45" spans="2:13" s="75" customFormat="1" ht="12" customHeight="1" thickBot="1">
      <c r="B45" s="182" t="s">
        <v>17</v>
      </c>
      <c r="C45" s="25">
        <f>SUM(C40,C29,C27,C21,C15,C41,C42,C43,C44,C24)</f>
        <v>13260980</v>
      </c>
      <c r="D45" s="25">
        <f>SUM(D40,D29,D27,D21,D15,D41,D42,D43,D44,D24)</f>
        <v>8605993</v>
      </c>
      <c r="E45" s="25">
        <f t="shared" si="12"/>
        <v>64.8971116765126</v>
      </c>
      <c r="F45" s="25">
        <f>SUM(F40,F29,F27,F21,F15,F41,F42,F43,F44,F24)</f>
        <v>1037002</v>
      </c>
      <c r="G45" s="25">
        <f t="shared" si="13"/>
        <v>7.819949958449526</v>
      </c>
      <c r="H45" s="25">
        <f>SUM(H40,H29,H27,H21,H15,H41,H42,H43,H44)</f>
        <v>121514</v>
      </c>
      <c r="I45" s="25">
        <f t="shared" si="16"/>
        <v>0.916327450912376</v>
      </c>
      <c r="J45" s="25">
        <f>SUM(J40,J29,J27,J21,J15,J41,J42,J43,J44,J24)</f>
        <v>62510</v>
      </c>
      <c r="K45" s="128">
        <f t="shared" si="17"/>
        <v>0.47138295963043453</v>
      </c>
      <c r="L45" s="25">
        <f>SUM(L40,L29,L27,L21,L15,L41,L42,L43,L44,L24)</f>
        <v>3433961</v>
      </c>
      <c r="M45" s="172">
        <f t="shared" si="14"/>
        <v>25.895227954495066</v>
      </c>
    </row>
  </sheetData>
  <sheetProtection/>
  <mergeCells count="2">
    <mergeCell ref="B2:M2"/>
    <mergeCell ref="L1:M1"/>
  </mergeCells>
  <printOptions/>
  <pageMargins left="0.5511811023622047" right="0.15748031496062992" top="0.5905511811023623" bottom="0.3937007874015748" header="0.2755905511811024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7">
      <selection activeCell="B33" sqref="B33"/>
    </sheetView>
  </sheetViews>
  <sheetFormatPr defaultColWidth="9.00390625" defaultRowHeight="12.75"/>
  <cols>
    <col min="1" max="1" width="26.00390625" style="76" customWidth="1"/>
    <col min="2" max="2" width="12.625" style="76" customWidth="1"/>
    <col min="3" max="3" width="11.25390625" style="76" customWidth="1"/>
    <col min="4" max="4" width="10.125" style="117" customWidth="1"/>
    <col min="5" max="5" width="11.375" style="76" customWidth="1"/>
    <col min="6" max="6" width="10.375" style="76" customWidth="1"/>
    <col min="7" max="7" width="11.875" style="76" customWidth="1"/>
    <col min="8" max="8" width="9.375" style="76" customWidth="1"/>
    <col min="9" max="9" width="11.25390625" style="76" customWidth="1"/>
    <col min="10" max="10" width="9.75390625" style="76" customWidth="1"/>
    <col min="11" max="11" width="11.75390625" style="76" customWidth="1"/>
    <col min="12" max="12" width="13.375" style="76" customWidth="1"/>
    <col min="13" max="16384" width="9.125" style="76" customWidth="1"/>
  </cols>
  <sheetData>
    <row r="1" spans="1:12" ht="12.75">
      <c r="A1" s="36"/>
      <c r="B1" s="36"/>
      <c r="C1" s="36"/>
      <c r="D1" s="112"/>
      <c r="E1" s="36"/>
      <c r="F1" s="36"/>
      <c r="G1" s="36"/>
      <c r="H1" s="36"/>
      <c r="I1" s="36"/>
      <c r="J1" s="36"/>
      <c r="K1" s="221" t="s">
        <v>29</v>
      </c>
      <c r="L1" s="221"/>
    </row>
    <row r="2" spans="1:12" ht="12.75">
      <c r="A2" s="222" t="s">
        <v>109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3.7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3.5" thickBot="1">
      <c r="A4" s="91"/>
      <c r="B4" s="91"/>
      <c r="C4" s="91"/>
      <c r="D4" s="113"/>
      <c r="E4" s="92"/>
      <c r="F4" s="93"/>
      <c r="G4" s="92"/>
      <c r="H4" s="93"/>
      <c r="I4" s="93"/>
      <c r="J4" s="93"/>
      <c r="K4" s="94"/>
      <c r="L4" s="53" t="s">
        <v>0</v>
      </c>
    </row>
    <row r="5" spans="1:12" ht="92.25" customHeight="1" thickBot="1">
      <c r="A5" s="95" t="s">
        <v>3</v>
      </c>
      <c r="B5" s="96" t="s">
        <v>66</v>
      </c>
      <c r="C5" s="96" t="s">
        <v>77</v>
      </c>
      <c r="D5" s="114" t="s">
        <v>67</v>
      </c>
      <c r="E5" s="96" t="s">
        <v>99</v>
      </c>
      <c r="F5" s="97" t="s">
        <v>68</v>
      </c>
      <c r="G5" s="96" t="s">
        <v>78</v>
      </c>
      <c r="H5" s="97" t="s">
        <v>70</v>
      </c>
      <c r="I5" s="97" t="s">
        <v>73</v>
      </c>
      <c r="J5" s="97" t="s">
        <v>45</v>
      </c>
      <c r="K5" s="98" t="s">
        <v>71</v>
      </c>
      <c r="L5" s="99" t="s">
        <v>72</v>
      </c>
    </row>
    <row r="6" spans="1:12" ht="12.75">
      <c r="A6" s="77" t="s">
        <v>74</v>
      </c>
      <c r="B6" s="129"/>
      <c r="C6" s="129"/>
      <c r="D6" s="130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75</v>
      </c>
      <c r="B7" s="129">
        <v>49684</v>
      </c>
      <c r="C7" s="129"/>
      <c r="D7" s="130"/>
      <c r="E7" s="16"/>
      <c r="F7" s="17"/>
      <c r="G7" s="16"/>
      <c r="H7" s="17"/>
      <c r="I7" s="16">
        <v>49684</v>
      </c>
      <c r="J7" s="17"/>
      <c r="K7" s="21"/>
      <c r="L7" s="18"/>
    </row>
    <row r="8" spans="1:12" ht="12.75">
      <c r="A8" s="14" t="s">
        <v>76</v>
      </c>
      <c r="B8" s="90">
        <v>8000</v>
      </c>
      <c r="C8" s="90"/>
      <c r="D8" s="115">
        <f>SUM(C8/B8)*100</f>
        <v>0</v>
      </c>
      <c r="E8" s="21"/>
      <c r="F8" s="22">
        <f>SUM(E8/B8)*100</f>
        <v>0</v>
      </c>
      <c r="G8" s="21">
        <v>8000</v>
      </c>
      <c r="H8" s="22">
        <f>SUM(G8/B8*100)</f>
        <v>100</v>
      </c>
      <c r="I8" s="21"/>
      <c r="J8" s="17">
        <f>SUM(I8/B8*100)</f>
        <v>0</v>
      </c>
      <c r="K8" s="21">
        <f>SUM(B8-C8-E8-G8-I8)</f>
        <v>0</v>
      </c>
      <c r="L8" s="23">
        <f>SUM(K8/B8)*100</f>
        <v>0</v>
      </c>
    </row>
    <row r="9" spans="1:12" ht="12.75">
      <c r="A9" s="78" t="s">
        <v>79</v>
      </c>
      <c r="B9" s="90"/>
      <c r="C9" s="90"/>
      <c r="D9" s="115"/>
      <c r="E9" s="21"/>
      <c r="F9" s="22"/>
      <c r="G9" s="21"/>
      <c r="H9" s="22"/>
      <c r="I9" s="21"/>
      <c r="J9" s="17"/>
      <c r="K9" s="21"/>
      <c r="L9" s="23"/>
    </row>
    <row r="10" spans="1:12" ht="12.75">
      <c r="A10" s="14" t="s">
        <v>75</v>
      </c>
      <c r="B10" s="90">
        <v>4309405</v>
      </c>
      <c r="C10" s="90"/>
      <c r="D10" s="115">
        <f>SUM(C10/B10)*100</f>
        <v>0</v>
      </c>
      <c r="E10" s="21"/>
      <c r="F10" s="22">
        <f>SUM(E10/B10)*100</f>
        <v>0</v>
      </c>
      <c r="G10" s="21"/>
      <c r="H10" s="22">
        <f aca="true" t="shared" si="0" ref="H10:H18">SUM(G10/B10*100)</f>
        <v>0</v>
      </c>
      <c r="I10" s="21">
        <v>4309405</v>
      </c>
      <c r="J10" s="17">
        <f>SUM(I10/B10*100)</f>
        <v>100</v>
      </c>
      <c r="K10" s="21">
        <f>SUM(B10-C10-E10-G10-I10)</f>
        <v>0</v>
      </c>
      <c r="L10" s="23">
        <f>SUM(K10/B10)*100</f>
        <v>0</v>
      </c>
    </row>
    <row r="11" spans="1:12" ht="12.75">
      <c r="A11" s="14" t="s">
        <v>100</v>
      </c>
      <c r="B11" s="90">
        <f>10000+5969+4285+1593+4000+5000+510000</f>
        <v>540847</v>
      </c>
      <c r="C11" s="90">
        <v>235645</v>
      </c>
      <c r="D11" s="115">
        <f>SUM(C11/B11)*100</f>
        <v>43.569623202125555</v>
      </c>
      <c r="E11" s="21">
        <v>300000</v>
      </c>
      <c r="F11" s="22">
        <f>SUM(E11/B11)*100</f>
        <v>55.468552104384415</v>
      </c>
      <c r="G11" s="21"/>
      <c r="H11" s="22">
        <f>SUM(G11/B11*100)</f>
        <v>0</v>
      </c>
      <c r="I11" s="21"/>
      <c r="J11" s="17">
        <f>SUM(I11/B11*100)</f>
        <v>0</v>
      </c>
      <c r="K11" s="21">
        <f>SUM(B11-C11-E11-G11-I11)</f>
        <v>5202</v>
      </c>
      <c r="L11" s="23">
        <f>SUM(K11/B11)*100</f>
        <v>0.9618246934900259</v>
      </c>
    </row>
    <row r="12" spans="1:12" ht="12.75">
      <c r="A12" s="78" t="s">
        <v>80</v>
      </c>
      <c r="B12" s="90"/>
      <c r="C12" s="90"/>
      <c r="D12" s="115"/>
      <c r="E12" s="21"/>
      <c r="F12" s="22"/>
      <c r="G12" s="21"/>
      <c r="H12" s="22"/>
      <c r="I12" s="21"/>
      <c r="J12" s="17"/>
      <c r="K12" s="21"/>
      <c r="L12" s="100"/>
    </row>
    <row r="13" spans="1:12" ht="12.75">
      <c r="A13" s="14" t="s">
        <v>75</v>
      </c>
      <c r="B13" s="90">
        <v>846649</v>
      </c>
      <c r="C13" s="90"/>
      <c r="D13" s="115">
        <f>SUM(C13/B13)*100</f>
        <v>0</v>
      </c>
      <c r="E13" s="21"/>
      <c r="F13" s="22">
        <f>SUM(E13/B13)*100</f>
        <v>0</v>
      </c>
      <c r="G13" s="21"/>
      <c r="H13" s="22">
        <f>SUM(G13/B13*100)</f>
        <v>0</v>
      </c>
      <c r="I13" s="21">
        <v>846649</v>
      </c>
      <c r="J13" s="17">
        <f>SUM(I13/B13*100)</f>
        <v>100</v>
      </c>
      <c r="K13" s="21">
        <f>SUM(B13-C13-E13-G13-I13)</f>
        <v>0</v>
      </c>
      <c r="L13" s="23">
        <f>SUM(K13/B13)*100</f>
        <v>0</v>
      </c>
    </row>
    <row r="14" spans="1:12" ht="12.75">
      <c r="A14" s="14" t="s">
        <v>76</v>
      </c>
      <c r="B14" s="90">
        <v>314350</v>
      </c>
      <c r="C14" s="90"/>
      <c r="D14" s="115">
        <f>SUM(C14/B14)*100</f>
        <v>0</v>
      </c>
      <c r="E14" s="21"/>
      <c r="F14" s="22">
        <f>SUM(E14/B14)*100</f>
        <v>0</v>
      </c>
      <c r="G14" s="21">
        <f>8726+5994</f>
        <v>14720</v>
      </c>
      <c r="H14" s="22">
        <f>SUM(G14/B14*100)</f>
        <v>4.682678543025291</v>
      </c>
      <c r="I14" s="21"/>
      <c r="J14" s="17">
        <f>SUM(I14/B14*100)</f>
        <v>0</v>
      </c>
      <c r="K14" s="21">
        <f>SUM(B14-C14-E14-G14-I14)</f>
        <v>299630</v>
      </c>
      <c r="L14" s="23">
        <f>SUM(K14/B14)*100</f>
        <v>95.31732145697471</v>
      </c>
    </row>
    <row r="15" spans="1:12" ht="12.75">
      <c r="A15" s="78" t="s">
        <v>81</v>
      </c>
      <c r="B15" s="90"/>
      <c r="C15" s="90"/>
      <c r="D15" s="115"/>
      <c r="E15" s="21"/>
      <c r="F15" s="22"/>
      <c r="G15" s="21"/>
      <c r="H15" s="22"/>
      <c r="I15" s="21"/>
      <c r="J15" s="17"/>
      <c r="K15" s="21"/>
      <c r="L15" s="23"/>
    </row>
    <row r="16" spans="1:12" ht="12.75">
      <c r="A16" s="14" t="s">
        <v>76</v>
      </c>
      <c r="B16" s="90">
        <v>10000</v>
      </c>
      <c r="C16" s="90"/>
      <c r="D16" s="115">
        <f>SUM(C16/B16)*100</f>
        <v>0</v>
      </c>
      <c r="E16" s="21"/>
      <c r="F16" s="22">
        <f>SUM(E16/B16)*100</f>
        <v>0</v>
      </c>
      <c r="G16" s="21">
        <v>10000</v>
      </c>
      <c r="H16" s="22">
        <f t="shared" si="0"/>
        <v>100</v>
      </c>
      <c r="I16" s="21"/>
      <c r="J16" s="17">
        <f>SUM(I16/B16*100)</f>
        <v>0</v>
      </c>
      <c r="K16" s="21">
        <f>SUM(B16-C16-E16-G16-I16)</f>
        <v>0</v>
      </c>
      <c r="L16" s="23">
        <f>SUM(K16/B16)*100</f>
        <v>0</v>
      </c>
    </row>
    <row r="17" spans="1:12" ht="13.5" thickBot="1">
      <c r="A17" s="79" t="s">
        <v>82</v>
      </c>
      <c r="B17" s="101">
        <v>2574484</v>
      </c>
      <c r="C17" s="101"/>
      <c r="D17" s="116">
        <f>SUM(C17/B17)*100</f>
        <v>0</v>
      </c>
      <c r="E17" s="32"/>
      <c r="F17" s="33">
        <f>SUM(E17/B17)*100</f>
        <v>0</v>
      </c>
      <c r="G17" s="32"/>
      <c r="H17" s="33">
        <f t="shared" si="0"/>
        <v>0</v>
      </c>
      <c r="I17" s="32"/>
      <c r="J17" s="33">
        <f>SUM(I17/B17*100)</f>
        <v>0</v>
      </c>
      <c r="K17" s="32">
        <f>SUM(B17-C17-E17-G17-I17)</f>
        <v>2574484</v>
      </c>
      <c r="L17" s="34">
        <f>SUM(K17/B17)*100</f>
        <v>100</v>
      </c>
    </row>
    <row r="18" spans="1:12" s="30" customFormat="1" ht="13.5" thickBot="1">
      <c r="A18" s="28" t="s">
        <v>36</v>
      </c>
      <c r="B18" s="102">
        <f>SUM(B6:B17)</f>
        <v>8653419</v>
      </c>
      <c r="C18" s="102">
        <f>SUM(C6:C17)</f>
        <v>235645</v>
      </c>
      <c r="D18" s="111">
        <f>SUM(C18/B18)*100</f>
        <v>2.723143303242337</v>
      </c>
      <c r="E18" s="102">
        <f>SUM(E6:E16)</f>
        <v>300000</v>
      </c>
      <c r="F18" s="103">
        <f>SUM(E18/B18*100)</f>
        <v>3.4668377897799703</v>
      </c>
      <c r="G18" s="102">
        <f>SUM(G6:G17)</f>
        <v>32720</v>
      </c>
      <c r="H18" s="104">
        <f t="shared" si="0"/>
        <v>0.3781164416053354</v>
      </c>
      <c r="I18" s="102">
        <f>SUM(I6:I17)</f>
        <v>5205738</v>
      </c>
      <c r="J18" s="104">
        <f>SUM(I18/B18*100)</f>
        <v>60.15816407364534</v>
      </c>
      <c r="K18" s="102">
        <f>SUM(K6:K17)</f>
        <v>2879316</v>
      </c>
      <c r="L18" s="105">
        <f>SUM(K18/B18)*100</f>
        <v>33.273738391727015</v>
      </c>
    </row>
    <row r="19" spans="1:12" ht="12.75">
      <c r="A19" s="78" t="s">
        <v>79</v>
      </c>
      <c r="B19" s="101"/>
      <c r="C19" s="101"/>
      <c r="D19" s="116"/>
      <c r="E19" s="101"/>
      <c r="F19" s="33"/>
      <c r="G19" s="101"/>
      <c r="H19" s="33"/>
      <c r="I19" s="101"/>
      <c r="J19" s="33"/>
      <c r="K19" s="32"/>
      <c r="L19" s="34"/>
    </row>
    <row r="20" spans="1:12" ht="12.75">
      <c r="A20" s="14" t="s">
        <v>75</v>
      </c>
      <c r="B20" s="90"/>
      <c r="C20" s="90"/>
      <c r="D20" s="115"/>
      <c r="E20" s="90"/>
      <c r="F20" s="22"/>
      <c r="G20" s="90"/>
      <c r="H20" s="22"/>
      <c r="I20" s="90"/>
      <c r="J20" s="22"/>
      <c r="K20" s="21"/>
      <c r="L20" s="23"/>
    </row>
    <row r="21" spans="1:12" ht="13.5" thickBot="1">
      <c r="A21" s="14" t="s">
        <v>76</v>
      </c>
      <c r="B21" s="131">
        <v>10000</v>
      </c>
      <c r="C21" s="131"/>
      <c r="D21" s="132">
        <f>SUM(C21/B21)*100</f>
        <v>0</v>
      </c>
      <c r="E21" s="27"/>
      <c r="F21" s="39">
        <f>SUM(E21/B21)*100</f>
        <v>0</v>
      </c>
      <c r="G21" s="27"/>
      <c r="H21" s="39">
        <f>SUM(G21/B21*100)</f>
        <v>0</v>
      </c>
      <c r="I21" s="27"/>
      <c r="J21" s="39">
        <f>SUM(I21/B21*100)</f>
        <v>0</v>
      </c>
      <c r="K21" s="27">
        <f>SUM(B21-C21-E21-G21-I21)</f>
        <v>10000</v>
      </c>
      <c r="L21" s="40">
        <f>SUM(K21/B21)*100</f>
        <v>100</v>
      </c>
    </row>
    <row r="22" spans="1:12" s="30" customFormat="1" ht="13.5" thickBot="1">
      <c r="A22" s="28" t="s">
        <v>37</v>
      </c>
      <c r="B22" s="102">
        <f>SUM(B19:B21)</f>
        <v>10000</v>
      </c>
      <c r="C22" s="102">
        <f>SUM(C19:C21)</f>
        <v>0</v>
      </c>
      <c r="D22" s="111">
        <f>SUM(C22/B22)*100</f>
        <v>0</v>
      </c>
      <c r="E22" s="102">
        <f>SUM(E21)</f>
        <v>0</v>
      </c>
      <c r="F22" s="104">
        <f>SUM(E22/B22)*100</f>
        <v>0</v>
      </c>
      <c r="G22" s="102">
        <f>SUM(G19:G21)</f>
        <v>0</v>
      </c>
      <c r="H22" s="104">
        <f>SUM(H21)</f>
        <v>0</v>
      </c>
      <c r="I22" s="102">
        <f>SUM(I19:I21)</f>
        <v>0</v>
      </c>
      <c r="J22" s="104">
        <f>SUM(I22/B22*100)</f>
        <v>0</v>
      </c>
      <c r="K22" s="102">
        <f>SUM(K19:K21)</f>
        <v>10000</v>
      </c>
      <c r="L22" s="105">
        <f>SUM(L21)</f>
        <v>100</v>
      </c>
    </row>
    <row r="23" spans="1:12" s="30" customFormat="1" ht="12.75">
      <c r="A23" s="207" t="s">
        <v>74</v>
      </c>
      <c r="B23" s="133"/>
      <c r="C23" s="133"/>
      <c r="D23" s="134"/>
      <c r="E23" s="133"/>
      <c r="F23" s="135"/>
      <c r="G23" s="133"/>
      <c r="H23" s="135"/>
      <c r="I23" s="133"/>
      <c r="J23" s="135"/>
      <c r="K23" s="133"/>
      <c r="L23" s="136"/>
    </row>
    <row r="24" spans="1:12" s="30" customFormat="1" ht="12.75">
      <c r="A24" s="208" t="s">
        <v>100</v>
      </c>
      <c r="B24" s="90">
        <v>51770</v>
      </c>
      <c r="C24" s="90"/>
      <c r="D24" s="137">
        <f>SUM(C24/B24)*100</f>
        <v>0</v>
      </c>
      <c r="E24" s="209"/>
      <c r="F24" s="210"/>
      <c r="G24" s="209"/>
      <c r="H24" s="210"/>
      <c r="I24" s="209"/>
      <c r="J24" s="210">
        <f>SUM(I24/B24*100)</f>
        <v>0</v>
      </c>
      <c r="K24" s="209">
        <f>SUM(B24-C24-E24-G24-I24)</f>
        <v>51770</v>
      </c>
      <c r="L24" s="211">
        <f>SUM(K24/B24)*100</f>
        <v>100</v>
      </c>
    </row>
    <row r="25" spans="1:12" s="30" customFormat="1" ht="12.75">
      <c r="A25" s="77" t="s">
        <v>79</v>
      </c>
      <c r="B25" s="138"/>
      <c r="C25" s="101"/>
      <c r="D25" s="137"/>
      <c r="E25" s="138"/>
      <c r="F25" s="139"/>
      <c r="G25" s="138"/>
      <c r="H25" s="139"/>
      <c r="I25" s="138"/>
      <c r="J25" s="139"/>
      <c r="K25" s="138"/>
      <c r="L25" s="140"/>
    </row>
    <row r="26" spans="1:12" s="30" customFormat="1" ht="13.5" thickBot="1">
      <c r="A26" s="127" t="s">
        <v>76</v>
      </c>
      <c r="B26" s="131">
        <v>91107</v>
      </c>
      <c r="C26" s="131"/>
      <c r="D26" s="137">
        <f>SUM(C26/B26)*100</f>
        <v>0</v>
      </c>
      <c r="E26" s="141"/>
      <c r="F26" s="142">
        <f>SUM(E26/B26)*100</f>
        <v>0</v>
      </c>
      <c r="G26" s="141"/>
      <c r="H26" s="142"/>
      <c r="I26" s="131"/>
      <c r="J26" s="142">
        <f>SUM(I26/B26*100)</f>
        <v>0</v>
      </c>
      <c r="K26" s="141">
        <f>SUM(B26-C26-E26-G26-I26)</f>
        <v>91107</v>
      </c>
      <c r="L26" s="143">
        <f>SUM(K26/B26)*100</f>
        <v>100</v>
      </c>
    </row>
    <row r="27" spans="1:12" s="30" customFormat="1" ht="13.5" thickBot="1">
      <c r="A27" s="212" t="s">
        <v>35</v>
      </c>
      <c r="B27" s="102">
        <f>SUM(B26,B24)</f>
        <v>142877</v>
      </c>
      <c r="C27" s="102">
        <f>SUM(C24:C26)</f>
        <v>0</v>
      </c>
      <c r="D27" s="111">
        <f>SUM(C27/B27)*100</f>
        <v>0</v>
      </c>
      <c r="E27" s="102"/>
      <c r="F27" s="104"/>
      <c r="G27" s="102"/>
      <c r="H27" s="104"/>
      <c r="I27" s="102">
        <f>SUM(I24:I26)</f>
        <v>0</v>
      </c>
      <c r="J27" s="104">
        <f>SUM(J26)</f>
        <v>0</v>
      </c>
      <c r="K27" s="102">
        <f>SUM(K24:K26)</f>
        <v>142877</v>
      </c>
      <c r="L27" s="105">
        <f>SUM(K27/B27)*100</f>
        <v>100</v>
      </c>
    </row>
    <row r="28" spans="1:12" s="30" customFormat="1" ht="12.75">
      <c r="A28" s="77" t="s">
        <v>74</v>
      </c>
      <c r="B28" s="133"/>
      <c r="C28" s="133"/>
      <c r="D28" s="134"/>
      <c r="E28" s="133"/>
      <c r="F28" s="135"/>
      <c r="G28" s="133"/>
      <c r="H28" s="135"/>
      <c r="I28" s="133"/>
      <c r="J28" s="135"/>
      <c r="K28" s="133"/>
      <c r="L28" s="136"/>
    </row>
    <row r="29" spans="1:12" s="30" customFormat="1" ht="13.5" thickBot="1">
      <c r="A29" s="14" t="s">
        <v>76</v>
      </c>
      <c r="B29" s="144"/>
      <c r="C29" s="144"/>
      <c r="D29" s="137"/>
      <c r="E29" s="145"/>
      <c r="F29" s="146"/>
      <c r="G29" s="145"/>
      <c r="H29" s="146"/>
      <c r="I29" s="145"/>
      <c r="J29" s="146"/>
      <c r="K29" s="145"/>
      <c r="L29" s="147"/>
    </row>
    <row r="30" spans="1:12" s="30" customFormat="1" ht="13.5" thickBot="1">
      <c r="A30" s="148" t="s">
        <v>49</v>
      </c>
      <c r="B30" s="149">
        <f>SUM(B29)</f>
        <v>0</v>
      </c>
      <c r="C30" s="149">
        <f aca="true" t="shared" si="1" ref="C30:K30">SUM(C29)</f>
        <v>0</v>
      </c>
      <c r="D30" s="150">
        <f t="shared" si="1"/>
        <v>0</v>
      </c>
      <c r="E30" s="149">
        <f t="shared" si="1"/>
        <v>0</v>
      </c>
      <c r="F30" s="149">
        <f t="shared" si="1"/>
        <v>0</v>
      </c>
      <c r="G30" s="149">
        <f t="shared" si="1"/>
        <v>0</v>
      </c>
      <c r="H30" s="149">
        <f t="shared" si="1"/>
        <v>0</v>
      </c>
      <c r="I30" s="149">
        <f t="shared" si="1"/>
        <v>0</v>
      </c>
      <c r="J30" s="149">
        <f t="shared" si="1"/>
        <v>0</v>
      </c>
      <c r="K30" s="149">
        <f t="shared" si="1"/>
        <v>0</v>
      </c>
      <c r="L30" s="151"/>
    </row>
    <row r="31" spans="1:14" s="30" customFormat="1" ht="13.5" thickBot="1">
      <c r="A31" s="106" t="s">
        <v>17</v>
      </c>
      <c r="B31" s="102">
        <f>SUM(B18,B22,B27)</f>
        <v>8806296</v>
      </c>
      <c r="C31" s="102">
        <f>SUM(C18,C22,C27)</f>
        <v>235645</v>
      </c>
      <c r="D31" s="111">
        <f>SUM(C31/B31)*100</f>
        <v>2.6758696278208225</v>
      </c>
      <c r="E31" s="102">
        <f>SUM(E22,E18)</f>
        <v>300000</v>
      </c>
      <c r="F31" s="104">
        <f>SUM(E31/B31)*100</f>
        <v>3.406653603285649</v>
      </c>
      <c r="G31" s="102">
        <f>SUM(G22,G18)</f>
        <v>32720</v>
      </c>
      <c r="H31" s="104">
        <f>SUM(H22)</f>
        <v>0</v>
      </c>
      <c r="I31" s="102">
        <f>SUM(I18)</f>
        <v>5205738</v>
      </c>
      <c r="J31" s="104">
        <f>SUM(I31/B31*100)</f>
        <v>59.113820384870095</v>
      </c>
      <c r="K31" s="102">
        <f>SUM(K18,K22,K27)</f>
        <v>3032193</v>
      </c>
      <c r="L31" s="105">
        <f>SUM(K31/B31)*100</f>
        <v>34.43210403102508</v>
      </c>
      <c r="M31" s="35"/>
      <c r="N31" s="35"/>
    </row>
    <row r="32" spans="3:11" ht="12.75">
      <c r="C32" s="107"/>
      <c r="E32" s="108"/>
      <c r="F32" s="109"/>
      <c r="G32" s="108"/>
      <c r="H32" s="109"/>
      <c r="I32" s="109"/>
      <c r="J32" s="109"/>
      <c r="K32" s="107"/>
    </row>
    <row r="33" ht="12.75">
      <c r="B33" s="108"/>
    </row>
    <row r="34" ht="12.75">
      <c r="B34" s="108"/>
    </row>
    <row r="36" ht="12.75">
      <c r="B36" s="108"/>
    </row>
  </sheetData>
  <sheetProtection/>
  <mergeCells count="2">
    <mergeCell ref="K1:L1"/>
    <mergeCell ref="A2:L3"/>
  </mergeCells>
  <printOptions/>
  <pageMargins left="0.35433070866141736" right="0.15748031496062992" top="0.5905511811023623" bottom="0.3937007874015748" header="0.2755905511811024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4"/>
  <sheetViews>
    <sheetView zoomScalePageLayoutView="0" workbookViewId="0" topLeftCell="B19">
      <selection activeCell="O43" sqref="O43:Q44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8" customWidth="1"/>
    <col min="9" max="9" width="8.375" style="62" customWidth="1"/>
    <col min="10" max="10" width="9.75390625" style="5" customWidth="1"/>
    <col min="11" max="11" width="10.00390625" style="67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225" t="s">
        <v>28</v>
      </c>
      <c r="M1" s="225"/>
    </row>
    <row r="2" spans="2:13" ht="18" customHeight="1">
      <c r="B2" s="226" t="s">
        <v>110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2:13" ht="12" customHeight="1" thickBot="1">
      <c r="B3" s="36"/>
      <c r="C3" s="48"/>
      <c r="D3" s="48"/>
      <c r="E3" s="49"/>
      <c r="F3" s="48"/>
      <c r="G3" s="50"/>
      <c r="H3" s="59"/>
      <c r="I3" s="63"/>
      <c r="J3" s="51"/>
      <c r="K3" s="68"/>
      <c r="L3" s="52"/>
      <c r="M3" s="53" t="s">
        <v>0</v>
      </c>
    </row>
    <row r="4" spans="2:13" s="55" customFormat="1" ht="51.75" customHeight="1" thickBot="1">
      <c r="B4" s="37" t="s">
        <v>3</v>
      </c>
      <c r="C4" s="45" t="s">
        <v>62</v>
      </c>
      <c r="D4" s="45" t="s">
        <v>77</v>
      </c>
      <c r="E4" s="46" t="s">
        <v>67</v>
      </c>
      <c r="F4" s="45" t="s">
        <v>57</v>
      </c>
      <c r="G4" s="46" t="s">
        <v>68</v>
      </c>
      <c r="H4" s="45" t="s">
        <v>78</v>
      </c>
      <c r="I4" s="46" t="s">
        <v>70</v>
      </c>
      <c r="J4" s="46" t="s">
        <v>73</v>
      </c>
      <c r="K4" s="46" t="s">
        <v>45</v>
      </c>
      <c r="L4" s="47" t="s">
        <v>71</v>
      </c>
      <c r="M4" s="54" t="s">
        <v>72</v>
      </c>
    </row>
    <row r="5" spans="2:15" ht="12" customHeight="1">
      <c r="B5" s="77" t="s">
        <v>74</v>
      </c>
      <c r="C5" s="20"/>
      <c r="D5" s="21"/>
      <c r="E5" s="22"/>
      <c r="F5" s="21"/>
      <c r="G5" s="17"/>
      <c r="H5" s="21"/>
      <c r="I5" s="64"/>
      <c r="J5" s="16"/>
      <c r="K5" s="17"/>
      <c r="L5" s="16">
        <f>SUM(C5-D5-F5-H5-J5)</f>
        <v>0</v>
      </c>
      <c r="M5" s="23"/>
      <c r="O5" s="75"/>
    </row>
    <row r="6" spans="2:15" ht="12" customHeight="1">
      <c r="B6" s="14" t="s">
        <v>75</v>
      </c>
      <c r="C6" s="20"/>
      <c r="D6" s="21"/>
      <c r="E6" s="22"/>
      <c r="F6" s="21"/>
      <c r="G6" s="17"/>
      <c r="H6" s="21"/>
      <c r="I6" s="64"/>
      <c r="J6" s="16"/>
      <c r="K6" s="17"/>
      <c r="L6" s="16">
        <f>SUM(C6-D6-F6-H6-J6)</f>
        <v>0</v>
      </c>
      <c r="M6" s="23"/>
      <c r="O6" s="75"/>
    </row>
    <row r="7" spans="2:17" ht="12" customHeight="1">
      <c r="B7" s="14" t="s">
        <v>76</v>
      </c>
      <c r="C7" s="20">
        <f>40000+30000+33655+8574+13445+5600</f>
        <v>131274</v>
      </c>
      <c r="D7" s="21"/>
      <c r="E7" s="22">
        <f>SUM(D7/C7)*100</f>
        <v>0</v>
      </c>
      <c r="F7" s="21"/>
      <c r="G7" s="17">
        <f>SUM(F7/C7)*100</f>
        <v>0</v>
      </c>
      <c r="H7" s="21">
        <v>131274</v>
      </c>
      <c r="I7" s="64">
        <f>SUM(H7/C7)*100</f>
        <v>100</v>
      </c>
      <c r="J7" s="16"/>
      <c r="K7" s="17">
        <f>SUM(J7/C7)*100</f>
        <v>0</v>
      </c>
      <c r="L7" s="16">
        <f>SUM(C7-D7-F7-H7-J7)</f>
        <v>0</v>
      </c>
      <c r="M7" s="23">
        <f>SUM(L7/C7)*100</f>
        <v>0</v>
      </c>
      <c r="O7" s="75"/>
      <c r="Q7" s="3"/>
    </row>
    <row r="8" spans="2:17" ht="12" customHeight="1">
      <c r="B8" s="78" t="s">
        <v>79</v>
      </c>
      <c r="C8" s="20"/>
      <c r="D8" s="21"/>
      <c r="E8" s="22"/>
      <c r="F8" s="21"/>
      <c r="G8" s="22"/>
      <c r="H8" s="21"/>
      <c r="I8" s="64"/>
      <c r="J8" s="16"/>
      <c r="K8" s="17"/>
      <c r="L8" s="16"/>
      <c r="M8" s="23"/>
      <c r="O8" s="75"/>
      <c r="Q8" s="3"/>
    </row>
    <row r="9" spans="2:17" ht="12" customHeight="1">
      <c r="B9" s="14" t="s">
        <v>75</v>
      </c>
      <c r="C9" s="20"/>
      <c r="D9" s="21"/>
      <c r="E9" s="22"/>
      <c r="F9" s="21"/>
      <c r="G9" s="22"/>
      <c r="H9" s="21"/>
      <c r="I9" s="64"/>
      <c r="J9" s="16"/>
      <c r="K9" s="17"/>
      <c r="L9" s="16"/>
      <c r="M9" s="23"/>
      <c r="O9" s="75"/>
      <c r="Q9" s="3"/>
    </row>
    <row r="10" spans="2:17" ht="12" customHeight="1">
      <c r="B10" s="14" t="s">
        <v>76</v>
      </c>
      <c r="C10" s="20">
        <f>13105+80000+19050+15000</f>
        <v>127155</v>
      </c>
      <c r="D10" s="21"/>
      <c r="E10" s="22">
        <f>SUM(D10/C10)*100</f>
        <v>0</v>
      </c>
      <c r="F10" s="21"/>
      <c r="G10" s="22">
        <f>SUM(F10/C10)*100</f>
        <v>0</v>
      </c>
      <c r="H10" s="21"/>
      <c r="I10" s="64">
        <f>SUM(H10/C10)*100</f>
        <v>0</v>
      </c>
      <c r="J10" s="16"/>
      <c r="K10" s="17">
        <f>SUM(J10/C10)*100</f>
        <v>0</v>
      </c>
      <c r="L10" s="16">
        <f>SUM(C10-D10-F10-H10-J10)</f>
        <v>127155</v>
      </c>
      <c r="M10" s="23">
        <f>SUM(L10/C10)*100</f>
        <v>100</v>
      </c>
      <c r="O10" s="75"/>
      <c r="Q10" s="3"/>
    </row>
    <row r="11" spans="2:17" ht="12" customHeight="1">
      <c r="B11" s="82" t="s">
        <v>80</v>
      </c>
      <c r="C11" s="31"/>
      <c r="D11" s="32"/>
      <c r="E11" s="33"/>
      <c r="F11" s="32"/>
      <c r="G11" s="33"/>
      <c r="H11" s="32"/>
      <c r="I11" s="110"/>
      <c r="J11" s="32"/>
      <c r="K11" s="33"/>
      <c r="L11" s="32"/>
      <c r="M11" s="34"/>
      <c r="O11" s="75"/>
      <c r="Q11" s="3"/>
    </row>
    <row r="12" spans="2:17" ht="12" customHeight="1">
      <c r="B12" s="14" t="s">
        <v>75</v>
      </c>
      <c r="C12" s="31"/>
      <c r="D12" s="32"/>
      <c r="E12" s="33"/>
      <c r="F12" s="32"/>
      <c r="G12" s="33"/>
      <c r="H12" s="32"/>
      <c r="I12" s="110"/>
      <c r="J12" s="32"/>
      <c r="K12" s="33"/>
      <c r="L12" s="32"/>
      <c r="M12" s="34"/>
      <c r="O12" s="75"/>
      <c r="Q12" s="3"/>
    </row>
    <row r="13" spans="2:17" ht="12" customHeight="1" thickBot="1">
      <c r="B13" s="38" t="s">
        <v>76</v>
      </c>
      <c r="C13" s="26"/>
      <c r="D13" s="27"/>
      <c r="E13" s="39"/>
      <c r="F13" s="27"/>
      <c r="G13" s="39"/>
      <c r="H13" s="27"/>
      <c r="I13" s="65"/>
      <c r="J13" s="27"/>
      <c r="K13" s="39"/>
      <c r="L13" s="27"/>
      <c r="M13" s="40"/>
      <c r="O13" s="75"/>
      <c r="Q13" s="3"/>
    </row>
    <row r="14" spans="2:17" s="30" customFormat="1" ht="12" customHeight="1" thickBot="1">
      <c r="B14" s="28" t="s">
        <v>36</v>
      </c>
      <c r="C14" s="25">
        <f>SUM(C6:C13)</f>
        <v>258429</v>
      </c>
      <c r="D14" s="25">
        <f>SUM(D7:D13)</f>
        <v>0</v>
      </c>
      <c r="E14" s="56">
        <f>SUM(D14/C14)*100</f>
        <v>0</v>
      </c>
      <c r="F14" s="25">
        <f>SUM(F5:F10)</f>
        <v>0</v>
      </c>
      <c r="G14" s="56">
        <f>SUM(F14/C14)*100</f>
        <v>0</v>
      </c>
      <c r="H14" s="25">
        <f>SUM(H5:H10)</f>
        <v>131274</v>
      </c>
      <c r="I14" s="56">
        <f>SUM(H14/C14)*100</f>
        <v>50.796930685023746</v>
      </c>
      <c r="J14" s="25">
        <f>SUM(J5:J13)</f>
        <v>0</v>
      </c>
      <c r="K14" s="29">
        <f>SUM(J14/C14)*100</f>
        <v>0</v>
      </c>
      <c r="L14" s="25">
        <f>SUM(L5:L10)</f>
        <v>127155</v>
      </c>
      <c r="M14" s="74">
        <f>SUM(L14/C14)*100</f>
        <v>49.20306931497626</v>
      </c>
      <c r="O14" s="75"/>
      <c r="Q14" s="3"/>
    </row>
    <row r="15" spans="2:17" s="216" customFormat="1" ht="12" customHeight="1">
      <c r="B15" s="77" t="s">
        <v>74</v>
      </c>
      <c r="C15" s="20"/>
      <c r="D15" s="185"/>
      <c r="E15" s="22"/>
      <c r="F15" s="185"/>
      <c r="G15" s="213"/>
      <c r="H15" s="185"/>
      <c r="I15" s="214"/>
      <c r="J15" s="186"/>
      <c r="K15" s="215"/>
      <c r="L15" s="16"/>
      <c r="M15" s="23"/>
      <c r="O15" s="75"/>
      <c r="Q15" s="3"/>
    </row>
    <row r="16" spans="2:17" s="216" customFormat="1" ht="12" customHeight="1">
      <c r="B16" s="14" t="s">
        <v>76</v>
      </c>
      <c r="C16" s="20">
        <v>36200</v>
      </c>
      <c r="D16" s="185"/>
      <c r="E16" s="22"/>
      <c r="F16" s="185"/>
      <c r="G16" s="213"/>
      <c r="H16" s="185"/>
      <c r="I16" s="214"/>
      <c r="J16" s="186"/>
      <c r="K16" s="215"/>
      <c r="L16" s="16">
        <f>SUM(C16-D16-F16-H16-J16)</f>
        <v>36200</v>
      </c>
      <c r="M16" s="23"/>
      <c r="O16" s="75"/>
      <c r="Q16" s="3"/>
    </row>
    <row r="17" spans="2:17" s="216" customFormat="1" ht="12" customHeight="1">
      <c r="B17" s="78" t="s">
        <v>79</v>
      </c>
      <c r="C17" s="20"/>
      <c r="D17" s="185"/>
      <c r="E17" s="22"/>
      <c r="F17" s="185"/>
      <c r="G17" s="213"/>
      <c r="H17" s="185"/>
      <c r="I17" s="214"/>
      <c r="J17" s="186"/>
      <c r="K17" s="215"/>
      <c r="L17" s="16">
        <f>SUM(C17-D17-F17-H17-J17)</f>
        <v>0</v>
      </c>
      <c r="M17" s="23"/>
      <c r="O17" s="75"/>
      <c r="Q17" s="3"/>
    </row>
    <row r="18" spans="2:17" s="216" customFormat="1" ht="12" customHeight="1">
      <c r="B18" s="14" t="s">
        <v>75</v>
      </c>
      <c r="C18" s="20"/>
      <c r="D18" s="185"/>
      <c r="E18" s="22"/>
      <c r="F18" s="185"/>
      <c r="G18" s="213"/>
      <c r="H18" s="185"/>
      <c r="I18" s="214"/>
      <c r="J18" s="186"/>
      <c r="K18" s="215"/>
      <c r="L18" s="16">
        <f>SUM(C18-D18-F18-H18-J18)</f>
        <v>0</v>
      </c>
      <c r="M18" s="23"/>
      <c r="O18" s="75"/>
      <c r="Q18" s="3"/>
    </row>
    <row r="19" spans="2:17" s="216" customFormat="1" ht="12" customHeight="1" thickBot="1">
      <c r="B19" s="14" t="s">
        <v>76</v>
      </c>
      <c r="C19" s="120">
        <v>1100</v>
      </c>
      <c r="D19" s="189"/>
      <c r="E19" s="122"/>
      <c r="F19" s="189"/>
      <c r="G19" s="217"/>
      <c r="H19" s="189"/>
      <c r="I19" s="214"/>
      <c r="J19" s="190"/>
      <c r="K19" s="215"/>
      <c r="L19" s="16">
        <f>SUM(C19-D19-F19-H19-J19)</f>
        <v>1100</v>
      </c>
      <c r="M19" s="206"/>
      <c r="O19" s="75"/>
      <c r="Q19" s="3"/>
    </row>
    <row r="20" spans="2:17" s="30" customFormat="1" ht="12" customHeight="1" thickBot="1">
      <c r="B20" s="28" t="s">
        <v>35</v>
      </c>
      <c r="C20" s="25">
        <f>SUM(C15:C19)</f>
        <v>37300</v>
      </c>
      <c r="D20" s="25">
        <f aca="true" t="shared" si="0" ref="D20:L20">SUM(D15:D19)</f>
        <v>0</v>
      </c>
      <c r="E20" s="29"/>
      <c r="F20" s="25">
        <f t="shared" si="0"/>
        <v>0</v>
      </c>
      <c r="G20" s="29"/>
      <c r="H20" s="25">
        <f t="shared" si="0"/>
        <v>0</v>
      </c>
      <c r="I20" s="56"/>
      <c r="J20" s="25">
        <f>SUM(J15:J19)</f>
        <v>0</v>
      </c>
      <c r="K20" s="29"/>
      <c r="L20" s="25">
        <f t="shared" si="0"/>
        <v>37300</v>
      </c>
      <c r="M20" s="41"/>
      <c r="O20" s="75"/>
      <c r="Q20" s="3"/>
    </row>
    <row r="21" spans="2:17" ht="12" customHeight="1">
      <c r="B21" s="78" t="s">
        <v>79</v>
      </c>
      <c r="C21" s="192"/>
      <c r="D21" s="193"/>
      <c r="E21" s="218"/>
      <c r="F21" s="193"/>
      <c r="G21" s="218"/>
      <c r="H21" s="193"/>
      <c r="I21" s="219"/>
      <c r="J21" s="193"/>
      <c r="K21" s="218"/>
      <c r="L21" s="193"/>
      <c r="M21" s="220"/>
      <c r="O21" s="75"/>
      <c r="Q21" s="3"/>
    </row>
    <row r="22" spans="2:17" ht="12" customHeight="1" thickBot="1">
      <c r="B22" s="14" t="s">
        <v>76</v>
      </c>
      <c r="C22" s="26">
        <v>35000</v>
      </c>
      <c r="D22" s="27"/>
      <c r="E22" s="39">
        <f>SUM(D22/C22)*100</f>
        <v>0</v>
      </c>
      <c r="F22" s="27"/>
      <c r="G22" s="39">
        <f>SUM(F22/C22)*100</f>
        <v>0</v>
      </c>
      <c r="H22" s="27"/>
      <c r="I22" s="65">
        <f>SUM(H22/C22)*100</f>
        <v>0</v>
      </c>
      <c r="J22" s="27"/>
      <c r="K22" s="39">
        <f>SUM(J22/C22)*100</f>
        <v>0</v>
      </c>
      <c r="L22" s="27">
        <f>SUM(C22-D22-F22-H22-J22)</f>
        <v>35000</v>
      </c>
      <c r="M22" s="40">
        <f>SUM(L22/C22)*100</f>
        <v>100</v>
      </c>
      <c r="O22" s="75"/>
      <c r="Q22" s="3"/>
    </row>
    <row r="23" spans="2:17" ht="12" customHeight="1" thickBot="1">
      <c r="B23" s="28" t="s">
        <v>49</v>
      </c>
      <c r="C23" s="25">
        <f>SUM(C21:C22)</f>
        <v>35000</v>
      </c>
      <c r="D23" s="25">
        <f>SUM(D21:D22)</f>
        <v>0</v>
      </c>
      <c r="E23" s="56">
        <f>SUM(D23/C23)*100</f>
        <v>0</v>
      </c>
      <c r="F23" s="25">
        <f aca="true" t="shared" si="1" ref="F23:L23">SUM(F21:F22)</f>
        <v>0</v>
      </c>
      <c r="G23" s="56">
        <f t="shared" si="1"/>
        <v>0</v>
      </c>
      <c r="H23" s="25">
        <f t="shared" si="1"/>
        <v>0</v>
      </c>
      <c r="I23" s="56">
        <f t="shared" si="1"/>
        <v>0</v>
      </c>
      <c r="J23" s="25">
        <f t="shared" si="1"/>
        <v>0</v>
      </c>
      <c r="K23" s="29">
        <f t="shared" si="1"/>
        <v>0</v>
      </c>
      <c r="L23" s="25">
        <f t="shared" si="1"/>
        <v>35000</v>
      </c>
      <c r="M23" s="74">
        <f>SUM(L23/C23)*100</f>
        <v>100</v>
      </c>
      <c r="O23" s="75"/>
      <c r="Q23" s="3"/>
    </row>
    <row r="24" spans="2:17" ht="12" customHeight="1">
      <c r="B24" s="77" t="s">
        <v>79</v>
      </c>
      <c r="C24" s="138"/>
      <c r="D24" s="156"/>
      <c r="E24" s="157"/>
      <c r="F24" s="156"/>
      <c r="G24" s="157"/>
      <c r="H24" s="156"/>
      <c r="I24" s="157"/>
      <c r="J24" s="156"/>
      <c r="K24" s="158"/>
      <c r="L24" s="156"/>
      <c r="M24" s="159"/>
      <c r="O24" s="75"/>
      <c r="Q24" s="3"/>
    </row>
    <row r="25" spans="2:17" ht="12" customHeight="1" thickBot="1">
      <c r="B25" s="127" t="s">
        <v>76</v>
      </c>
      <c r="C25" s="131">
        <v>2856</v>
      </c>
      <c r="D25" s="160"/>
      <c r="E25" s="161">
        <f>SUM(D25/C25)*100</f>
        <v>0</v>
      </c>
      <c r="F25" s="160"/>
      <c r="G25" s="161">
        <f>SUM(F25/C25)*100</f>
        <v>0</v>
      </c>
      <c r="H25" s="160"/>
      <c r="I25" s="161">
        <f>SUM(H25/C25)*100</f>
        <v>0</v>
      </c>
      <c r="J25" s="160"/>
      <c r="K25" s="162">
        <f>SUM(J25/C25)*100</f>
        <v>0</v>
      </c>
      <c r="L25" s="131">
        <f>SUM(C25-D25-F25-H25-J25)</f>
        <v>2856</v>
      </c>
      <c r="M25" s="163">
        <f>SUM(L25/C25)*100</f>
        <v>100</v>
      </c>
      <c r="O25" s="75"/>
      <c r="Q25" s="3"/>
    </row>
    <row r="26" spans="2:17" ht="12" customHeight="1" thickBot="1">
      <c r="B26" s="152" t="s">
        <v>86</v>
      </c>
      <c r="C26" s="102">
        <f>SUM(C25)</f>
        <v>2856</v>
      </c>
      <c r="D26" s="160"/>
      <c r="E26" s="161">
        <f aca="true" t="shared" si="2" ref="E26:E41">SUM(D26/C26)*100</f>
        <v>0</v>
      </c>
      <c r="F26" s="160"/>
      <c r="G26" s="161">
        <f aca="true" t="shared" si="3" ref="G26:G41">SUM(F26/C26)*100</f>
        <v>0</v>
      </c>
      <c r="H26" s="160"/>
      <c r="I26" s="161">
        <f aca="true" t="shared" si="4" ref="I26:I41">SUM(H26/C26)*100</f>
        <v>0</v>
      </c>
      <c r="J26" s="160"/>
      <c r="K26" s="162">
        <f aca="true" t="shared" si="5" ref="K26:K41">SUM(J26/C26)*100</f>
        <v>0</v>
      </c>
      <c r="L26" s="131">
        <f aca="true" t="shared" si="6" ref="L26:L41">SUM(C26-D26-F26-H26-J26)</f>
        <v>2856</v>
      </c>
      <c r="M26" s="163">
        <f aca="true" t="shared" si="7" ref="M26:M41">SUM(L26/C26)*100</f>
        <v>100</v>
      </c>
      <c r="O26" s="75"/>
      <c r="Q26" s="3"/>
    </row>
    <row r="27" spans="2:17" ht="12" customHeight="1" thickBot="1">
      <c r="B27" s="77" t="s">
        <v>79</v>
      </c>
      <c r="C27" s="133"/>
      <c r="D27" s="160"/>
      <c r="E27" s="161"/>
      <c r="F27" s="160"/>
      <c r="G27" s="161"/>
      <c r="H27" s="160"/>
      <c r="I27" s="161"/>
      <c r="J27" s="160"/>
      <c r="K27" s="162"/>
      <c r="L27" s="131"/>
      <c r="M27" s="163"/>
      <c r="O27" s="75"/>
      <c r="Q27" s="3"/>
    </row>
    <row r="28" spans="2:17" ht="12" customHeight="1" thickBot="1">
      <c r="B28" s="127" t="s">
        <v>76</v>
      </c>
      <c r="C28" s="131">
        <v>8148</v>
      </c>
      <c r="D28" s="160"/>
      <c r="E28" s="161">
        <f t="shared" si="2"/>
        <v>0</v>
      </c>
      <c r="F28" s="160"/>
      <c r="G28" s="161">
        <f t="shared" si="3"/>
        <v>0</v>
      </c>
      <c r="H28" s="160"/>
      <c r="I28" s="161">
        <f t="shared" si="4"/>
        <v>0</v>
      </c>
      <c r="J28" s="160"/>
      <c r="K28" s="162">
        <f t="shared" si="5"/>
        <v>0</v>
      </c>
      <c r="L28" s="131">
        <f t="shared" si="6"/>
        <v>8148</v>
      </c>
      <c r="M28" s="163">
        <f t="shared" si="7"/>
        <v>100</v>
      </c>
      <c r="O28" s="75"/>
      <c r="Q28" s="3"/>
    </row>
    <row r="29" spans="2:17" ht="12" customHeight="1" thickBot="1">
      <c r="B29" s="152" t="s">
        <v>83</v>
      </c>
      <c r="C29" s="102">
        <f>SUM(C28)</f>
        <v>8148</v>
      </c>
      <c r="D29" s="160"/>
      <c r="E29" s="161">
        <f t="shared" si="2"/>
        <v>0</v>
      </c>
      <c r="F29" s="160"/>
      <c r="G29" s="161">
        <f t="shared" si="3"/>
        <v>0</v>
      </c>
      <c r="H29" s="160"/>
      <c r="I29" s="161">
        <f t="shared" si="4"/>
        <v>0</v>
      </c>
      <c r="J29" s="160"/>
      <c r="K29" s="162">
        <f t="shared" si="5"/>
        <v>0</v>
      </c>
      <c r="L29" s="131">
        <f t="shared" si="6"/>
        <v>8148</v>
      </c>
      <c r="M29" s="163">
        <f t="shared" si="7"/>
        <v>100</v>
      </c>
      <c r="O29" s="75"/>
      <c r="Q29" s="3"/>
    </row>
    <row r="30" spans="2:17" ht="12" customHeight="1" thickBot="1">
      <c r="B30" s="77" t="s">
        <v>79</v>
      </c>
      <c r="C30" s="133"/>
      <c r="D30" s="160"/>
      <c r="E30" s="161"/>
      <c r="F30" s="160"/>
      <c r="G30" s="161"/>
      <c r="H30" s="160"/>
      <c r="I30" s="161"/>
      <c r="J30" s="160"/>
      <c r="K30" s="162"/>
      <c r="L30" s="131"/>
      <c r="M30" s="163"/>
      <c r="O30" s="75"/>
      <c r="Q30" s="3"/>
    </row>
    <row r="31" spans="2:17" ht="12" customHeight="1" thickBot="1">
      <c r="B31" s="127" t="s">
        <v>76</v>
      </c>
      <c r="C31" s="131">
        <v>1000</v>
      </c>
      <c r="D31" s="160"/>
      <c r="E31" s="161">
        <f t="shared" si="2"/>
        <v>0</v>
      </c>
      <c r="F31" s="160"/>
      <c r="G31" s="161">
        <f t="shared" si="3"/>
        <v>0</v>
      </c>
      <c r="H31" s="160"/>
      <c r="I31" s="161">
        <f t="shared" si="4"/>
        <v>0</v>
      </c>
      <c r="J31" s="160"/>
      <c r="K31" s="162">
        <f t="shared" si="5"/>
        <v>0</v>
      </c>
      <c r="L31" s="131">
        <f t="shared" si="6"/>
        <v>1000</v>
      </c>
      <c r="M31" s="163">
        <f t="shared" si="7"/>
        <v>100</v>
      </c>
      <c r="O31" s="75"/>
      <c r="Q31" s="3"/>
    </row>
    <row r="32" spans="2:17" ht="12" customHeight="1" thickBot="1">
      <c r="B32" s="152" t="s">
        <v>84</v>
      </c>
      <c r="C32" s="102">
        <f>SUM(C31)</f>
        <v>1000</v>
      </c>
      <c r="D32" s="160"/>
      <c r="E32" s="161">
        <f t="shared" si="2"/>
        <v>0</v>
      </c>
      <c r="F32" s="160"/>
      <c r="G32" s="161">
        <f t="shared" si="3"/>
        <v>0</v>
      </c>
      <c r="H32" s="160"/>
      <c r="I32" s="161">
        <f t="shared" si="4"/>
        <v>0</v>
      </c>
      <c r="J32" s="160"/>
      <c r="K32" s="162">
        <f t="shared" si="5"/>
        <v>0</v>
      </c>
      <c r="L32" s="131">
        <f t="shared" si="6"/>
        <v>1000</v>
      </c>
      <c r="M32" s="163">
        <f t="shared" si="7"/>
        <v>100</v>
      </c>
      <c r="O32" s="75"/>
      <c r="Q32" s="3"/>
    </row>
    <row r="33" spans="2:17" ht="12" customHeight="1" thickBot="1">
      <c r="B33" s="77" t="s">
        <v>79</v>
      </c>
      <c r="C33" s="133"/>
      <c r="D33" s="160"/>
      <c r="E33" s="161"/>
      <c r="F33" s="160"/>
      <c r="G33" s="161"/>
      <c r="H33" s="160"/>
      <c r="I33" s="161"/>
      <c r="J33" s="160"/>
      <c r="K33" s="162"/>
      <c r="L33" s="131"/>
      <c r="M33" s="163"/>
      <c r="O33" s="75"/>
      <c r="Q33" s="3"/>
    </row>
    <row r="34" spans="2:17" ht="12" customHeight="1" thickBot="1">
      <c r="B34" s="127" t="s">
        <v>76</v>
      </c>
      <c r="C34" s="144">
        <v>1200</v>
      </c>
      <c r="D34" s="160"/>
      <c r="E34" s="161">
        <f t="shared" si="2"/>
        <v>0</v>
      </c>
      <c r="F34" s="160"/>
      <c r="G34" s="161">
        <f t="shared" si="3"/>
        <v>0</v>
      </c>
      <c r="H34" s="160"/>
      <c r="I34" s="161">
        <f t="shared" si="4"/>
        <v>0</v>
      </c>
      <c r="J34" s="160"/>
      <c r="K34" s="162">
        <f t="shared" si="5"/>
        <v>0</v>
      </c>
      <c r="L34" s="131">
        <f t="shared" si="6"/>
        <v>1200</v>
      </c>
      <c r="M34" s="163">
        <f t="shared" si="7"/>
        <v>100</v>
      </c>
      <c r="O34" s="75"/>
      <c r="Q34" s="3"/>
    </row>
    <row r="35" spans="2:17" ht="12" customHeight="1" thickBot="1">
      <c r="B35" s="28" t="s">
        <v>85</v>
      </c>
      <c r="C35" s="102">
        <f>SUM(C34)</f>
        <v>1200</v>
      </c>
      <c r="D35" s="160"/>
      <c r="E35" s="161"/>
      <c r="F35" s="160"/>
      <c r="G35" s="161"/>
      <c r="H35" s="160"/>
      <c r="I35" s="161"/>
      <c r="J35" s="160"/>
      <c r="K35" s="162"/>
      <c r="L35" s="131">
        <f>SUM(L34)</f>
        <v>1200</v>
      </c>
      <c r="M35" s="163">
        <f t="shared" si="7"/>
        <v>100</v>
      </c>
      <c r="O35" s="75"/>
      <c r="Q35" s="3"/>
    </row>
    <row r="36" spans="2:17" ht="12" customHeight="1" thickBot="1">
      <c r="B36" s="77" t="s">
        <v>79</v>
      </c>
      <c r="C36" s="133"/>
      <c r="D36" s="160"/>
      <c r="E36" s="161"/>
      <c r="F36" s="160"/>
      <c r="G36" s="161"/>
      <c r="H36" s="160"/>
      <c r="I36" s="161"/>
      <c r="J36" s="160"/>
      <c r="K36" s="162"/>
      <c r="L36" s="131"/>
      <c r="M36" s="163"/>
      <c r="O36" s="75"/>
      <c r="Q36" s="3"/>
    </row>
    <row r="37" spans="2:17" ht="12" customHeight="1" thickBot="1">
      <c r="B37" s="127" t="s">
        <v>76</v>
      </c>
      <c r="C37" s="131">
        <v>1270</v>
      </c>
      <c r="D37" s="160"/>
      <c r="E37" s="161">
        <f t="shared" si="2"/>
        <v>0</v>
      </c>
      <c r="F37" s="160"/>
      <c r="G37" s="161">
        <f t="shared" si="3"/>
        <v>0</v>
      </c>
      <c r="H37" s="160"/>
      <c r="I37" s="161">
        <f t="shared" si="4"/>
        <v>0</v>
      </c>
      <c r="J37" s="160"/>
      <c r="K37" s="162">
        <f t="shared" si="5"/>
        <v>0</v>
      </c>
      <c r="L37" s="131">
        <f t="shared" si="6"/>
        <v>1270</v>
      </c>
      <c r="M37" s="163">
        <f t="shared" si="7"/>
        <v>100</v>
      </c>
      <c r="O37" s="75"/>
      <c r="Q37" s="3"/>
    </row>
    <row r="38" spans="2:17" ht="12" customHeight="1" thickBot="1">
      <c r="B38" s="28" t="s">
        <v>87</v>
      </c>
      <c r="C38" s="102">
        <f>SUM(C37)</f>
        <v>1270</v>
      </c>
      <c r="D38" s="160"/>
      <c r="E38" s="161">
        <f t="shared" si="2"/>
        <v>0</v>
      </c>
      <c r="F38" s="160"/>
      <c r="G38" s="161">
        <f t="shared" si="3"/>
        <v>0</v>
      </c>
      <c r="H38" s="160"/>
      <c r="I38" s="161">
        <f t="shared" si="4"/>
        <v>0</v>
      </c>
      <c r="J38" s="160"/>
      <c r="K38" s="162">
        <f t="shared" si="5"/>
        <v>0</v>
      </c>
      <c r="L38" s="131">
        <f t="shared" si="6"/>
        <v>1270</v>
      </c>
      <c r="M38" s="163">
        <f t="shared" si="7"/>
        <v>100</v>
      </c>
      <c r="O38" s="75"/>
      <c r="Q38" s="3"/>
    </row>
    <row r="39" spans="2:17" ht="12" customHeight="1" thickBot="1">
      <c r="B39" s="79" t="s">
        <v>79</v>
      </c>
      <c r="C39" s="102"/>
      <c r="D39" s="160"/>
      <c r="E39" s="161"/>
      <c r="F39" s="160"/>
      <c r="G39" s="161"/>
      <c r="H39" s="160"/>
      <c r="I39" s="161"/>
      <c r="J39" s="160"/>
      <c r="K39" s="162"/>
      <c r="L39" s="131"/>
      <c r="M39" s="163"/>
      <c r="O39" s="75"/>
      <c r="Q39" s="3"/>
    </row>
    <row r="40" spans="2:17" ht="12" customHeight="1" thickBot="1">
      <c r="B40" s="153" t="s">
        <v>76</v>
      </c>
      <c r="C40" s="154">
        <v>1500</v>
      </c>
      <c r="D40" s="160"/>
      <c r="E40" s="161">
        <f t="shared" si="2"/>
        <v>0</v>
      </c>
      <c r="F40" s="160"/>
      <c r="G40" s="161">
        <f t="shared" si="3"/>
        <v>0</v>
      </c>
      <c r="H40" s="160"/>
      <c r="I40" s="161">
        <f t="shared" si="4"/>
        <v>0</v>
      </c>
      <c r="J40" s="160"/>
      <c r="K40" s="162">
        <f t="shared" si="5"/>
        <v>0</v>
      </c>
      <c r="L40" s="131">
        <f t="shared" si="6"/>
        <v>1500</v>
      </c>
      <c r="M40" s="163">
        <f t="shared" si="7"/>
        <v>100</v>
      </c>
      <c r="O40" s="75"/>
      <c r="Q40" s="3"/>
    </row>
    <row r="41" spans="2:17" ht="12" customHeight="1" thickBot="1">
      <c r="B41" s="155" t="s">
        <v>88</v>
      </c>
      <c r="C41" s="141">
        <f>SUM(C40)</f>
        <v>1500</v>
      </c>
      <c r="D41" s="160"/>
      <c r="E41" s="161">
        <f t="shared" si="2"/>
        <v>0</v>
      </c>
      <c r="F41" s="160"/>
      <c r="G41" s="161">
        <f t="shared" si="3"/>
        <v>0</v>
      </c>
      <c r="H41" s="160"/>
      <c r="I41" s="161">
        <f t="shared" si="4"/>
        <v>0</v>
      </c>
      <c r="J41" s="160"/>
      <c r="K41" s="162">
        <f t="shared" si="5"/>
        <v>0</v>
      </c>
      <c r="L41" s="131">
        <f t="shared" si="6"/>
        <v>1500</v>
      </c>
      <c r="M41" s="163">
        <f t="shared" si="7"/>
        <v>100</v>
      </c>
      <c r="O41" s="75"/>
      <c r="Q41" s="3"/>
    </row>
    <row r="42" spans="2:17" ht="12" customHeight="1" thickBot="1">
      <c r="B42" s="28"/>
      <c r="C42" s="25"/>
      <c r="D42" s="160"/>
      <c r="E42" s="161"/>
      <c r="F42" s="160"/>
      <c r="G42" s="161"/>
      <c r="H42" s="160"/>
      <c r="I42" s="161"/>
      <c r="J42" s="160"/>
      <c r="K42" s="162"/>
      <c r="L42" s="131"/>
      <c r="M42" s="163"/>
      <c r="O42" s="75"/>
      <c r="Q42" s="3"/>
    </row>
    <row r="43" spans="2:17" s="4" customFormat="1" ht="12" customHeight="1" thickBot="1">
      <c r="B43" s="24" t="s">
        <v>17</v>
      </c>
      <c r="C43" s="25">
        <f>SUM(C23,C20,C14,C26,C29,C32,C35,C38,C41)</f>
        <v>346703</v>
      </c>
      <c r="D43" s="25">
        <f aca="true" t="shared" si="8" ref="D43:J43">SUM(D23,D20,D14)</f>
        <v>0</v>
      </c>
      <c r="E43" s="56">
        <f>SUM(D43/C43)*100</f>
        <v>0</v>
      </c>
      <c r="F43" s="25">
        <f t="shared" si="8"/>
        <v>0</v>
      </c>
      <c r="G43" s="56">
        <f>SUM(G22:G23)</f>
        <v>0</v>
      </c>
      <c r="H43" s="25">
        <f t="shared" si="8"/>
        <v>131274</v>
      </c>
      <c r="I43" s="56">
        <f>SUM(H43/C43)*100</f>
        <v>37.863531610629266</v>
      </c>
      <c r="J43" s="25">
        <f t="shared" si="8"/>
        <v>0</v>
      </c>
      <c r="K43" s="39">
        <f>SUM(J43/C43)*100</f>
        <v>0</v>
      </c>
      <c r="L43" s="25">
        <f>SUM(L41,L38,L35,L32,L29,L26,L23,L20,L14)</f>
        <v>215429</v>
      </c>
      <c r="M43" s="74">
        <f>SUM(L43/C43)*100</f>
        <v>62.13646838937073</v>
      </c>
      <c r="N43" s="75"/>
      <c r="O43" s="75"/>
      <c r="P43" s="75"/>
      <c r="Q43" s="3"/>
    </row>
    <row r="44" spans="2:17" ht="12.75">
      <c r="B44" s="8"/>
      <c r="C44" s="9"/>
      <c r="D44" s="9"/>
      <c r="E44" s="13"/>
      <c r="F44" s="9"/>
      <c r="G44" s="10"/>
      <c r="H44" s="60"/>
      <c r="I44" s="66"/>
      <c r="J44" s="11"/>
      <c r="K44" s="69"/>
      <c r="L44" s="12"/>
      <c r="M44" s="8"/>
      <c r="Q44" s="3"/>
    </row>
  </sheetData>
  <sheetProtection/>
  <mergeCells count="2">
    <mergeCell ref="L1:M1"/>
    <mergeCell ref="B2:M2"/>
  </mergeCells>
  <printOptions/>
  <pageMargins left="0.5511811023622047" right="0.15748031496062992" top="0.5905511811023623" bottom="0.3937007874015748" header="0.2755905511811024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73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36"/>
      <c r="B1" s="36"/>
      <c r="C1" s="36"/>
      <c r="D1" s="70"/>
      <c r="E1" s="36"/>
      <c r="F1" s="36"/>
      <c r="G1" s="36"/>
      <c r="H1" s="36"/>
      <c r="I1" s="36"/>
      <c r="J1" s="36"/>
      <c r="K1" s="221" t="s">
        <v>29</v>
      </c>
      <c r="L1" s="221"/>
    </row>
    <row r="2" spans="1:12" ht="12.75">
      <c r="A2" s="222" t="s">
        <v>111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2.7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13.5" thickBot="1">
      <c r="A4" s="57"/>
      <c r="B4" s="57"/>
      <c r="C4" s="57"/>
      <c r="D4" s="71"/>
      <c r="E4" s="42"/>
      <c r="F4" s="43"/>
      <c r="G4" s="42"/>
      <c r="H4" s="43"/>
      <c r="I4" s="43"/>
      <c r="J4" s="43"/>
      <c r="K4" s="44"/>
      <c r="L4" s="53" t="s">
        <v>0</v>
      </c>
    </row>
    <row r="5" spans="1:12" ht="92.25" customHeight="1" thickBot="1">
      <c r="A5" s="37" t="s">
        <v>3</v>
      </c>
      <c r="B5" s="45" t="s">
        <v>66</v>
      </c>
      <c r="C5" s="45" t="s">
        <v>77</v>
      </c>
      <c r="D5" s="46" t="s">
        <v>67</v>
      </c>
      <c r="E5" s="45" t="s">
        <v>57</v>
      </c>
      <c r="F5" s="46" t="s">
        <v>68</v>
      </c>
      <c r="G5" s="45" t="s">
        <v>78</v>
      </c>
      <c r="H5" s="46" t="s">
        <v>70</v>
      </c>
      <c r="I5" s="46" t="s">
        <v>73</v>
      </c>
      <c r="J5" s="46" t="s">
        <v>45</v>
      </c>
      <c r="K5" s="47" t="s">
        <v>71</v>
      </c>
      <c r="L5" s="54" t="s">
        <v>72</v>
      </c>
    </row>
    <row r="6" spans="1:12" s="76" customFormat="1" ht="12.75">
      <c r="A6" s="164" t="s">
        <v>89</v>
      </c>
      <c r="B6" s="129">
        <v>1507296</v>
      </c>
      <c r="C6" s="129"/>
      <c r="D6" s="80">
        <f>SUM(C6/B6)*100</f>
        <v>0</v>
      </c>
      <c r="E6" s="16"/>
      <c r="F6" s="22">
        <f>SUM(E6/B6)*100</f>
        <v>0</v>
      </c>
      <c r="G6" s="16"/>
      <c r="H6" s="22">
        <f>SUM(G6/B6*100)</f>
        <v>0</v>
      </c>
      <c r="I6" s="16"/>
      <c r="J6" s="17">
        <f>SUM(I6/B6*100)</f>
        <v>0</v>
      </c>
      <c r="K6" s="21">
        <f>SUM(B6-C6-E6-G6-I6)</f>
        <v>1507296</v>
      </c>
      <c r="L6" s="23">
        <f>SUM(K6/B6)*100</f>
        <v>100</v>
      </c>
    </row>
    <row r="7" spans="1:12" ht="13.5" thickBot="1">
      <c r="A7" s="14" t="s">
        <v>90</v>
      </c>
      <c r="B7" s="20">
        <f>241151-72300</f>
        <v>168851</v>
      </c>
      <c r="C7" s="20"/>
      <c r="D7" s="80">
        <f>SUM(C7/B7)*100</f>
        <v>0</v>
      </c>
      <c r="E7" s="21"/>
      <c r="F7" s="22">
        <f>SUM(E7/B7)*100</f>
        <v>0</v>
      </c>
      <c r="G7" s="21"/>
      <c r="H7" s="22">
        <f>SUM(G7/B7*100)</f>
        <v>0</v>
      </c>
      <c r="I7" s="21"/>
      <c r="J7" s="17">
        <f>SUM(I7/B7*100)</f>
        <v>0</v>
      </c>
      <c r="K7" s="21">
        <f>SUM(B7-C7-E7-G7-I7)</f>
        <v>168851</v>
      </c>
      <c r="L7" s="23">
        <f>SUM(K7/B7)*100</f>
        <v>100</v>
      </c>
    </row>
    <row r="8" spans="1:12" s="30" customFormat="1" ht="13.5" thickBot="1">
      <c r="A8" s="28" t="s">
        <v>36</v>
      </c>
      <c r="B8" s="25">
        <f>SUM(B6:B7)</f>
        <v>1676147</v>
      </c>
      <c r="C8" s="25">
        <f>SUM(C6:C7)</f>
        <v>0</v>
      </c>
      <c r="D8" s="81">
        <f>SUM(C8/B8)*100</f>
        <v>0</v>
      </c>
      <c r="E8" s="25">
        <f>SUM(E6:E7)</f>
        <v>0</v>
      </c>
      <c r="F8" s="56">
        <f>SUM(E8/B8*100)</f>
        <v>0</v>
      </c>
      <c r="G8" s="25">
        <f>SUM(G6:G7)</f>
        <v>0</v>
      </c>
      <c r="H8" s="29">
        <f>SUM(G8/B8*100)</f>
        <v>0</v>
      </c>
      <c r="I8" s="25">
        <f>SUM(I6:I7)</f>
        <v>0</v>
      </c>
      <c r="J8" s="29">
        <f>SUM(I8/B8*100)</f>
        <v>0</v>
      </c>
      <c r="K8" s="25">
        <f>SUM(K6:K7)</f>
        <v>1676147</v>
      </c>
      <c r="L8" s="41">
        <f>SUM(K8/B8)*100</f>
        <v>100</v>
      </c>
    </row>
    <row r="9" spans="3:11" ht="12.75">
      <c r="C9" s="6"/>
      <c r="D9" s="72"/>
      <c r="E9" s="3"/>
      <c r="F9" s="2"/>
      <c r="G9" s="3"/>
      <c r="H9" s="2"/>
      <c r="I9" s="2"/>
      <c r="J9" s="2"/>
      <c r="K9" s="6"/>
    </row>
    <row r="11" ht="12.75">
      <c r="B11" s="3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9"/>
  <sheetViews>
    <sheetView tabSelected="1" zoomScalePageLayoutView="0" workbookViewId="0" topLeftCell="B1">
      <selection activeCell="B11" sqref="A11:IV25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8" customWidth="1"/>
    <col min="9" max="9" width="8.375" style="62" customWidth="1"/>
    <col min="10" max="10" width="9.75390625" style="5" customWidth="1"/>
    <col min="11" max="11" width="10.00390625" style="67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225" t="s">
        <v>28</v>
      </c>
      <c r="M1" s="225"/>
    </row>
    <row r="2" spans="2:13" ht="18" customHeight="1">
      <c r="B2" s="226" t="s">
        <v>112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2:13" ht="12" customHeight="1" thickBot="1">
      <c r="B3" s="36"/>
      <c r="C3" s="48"/>
      <c r="D3" s="48"/>
      <c r="E3" s="49"/>
      <c r="F3" s="48"/>
      <c r="G3" s="50"/>
      <c r="H3" s="59"/>
      <c r="I3" s="63"/>
      <c r="J3" s="51"/>
      <c r="K3" s="68"/>
      <c r="L3" s="52"/>
      <c r="M3" s="53" t="s">
        <v>0</v>
      </c>
    </row>
    <row r="4" spans="2:13" s="55" customFormat="1" ht="51.75" customHeight="1" thickBot="1">
      <c r="B4" s="37" t="s">
        <v>3</v>
      </c>
      <c r="C4" s="45" t="s">
        <v>62</v>
      </c>
      <c r="D4" s="45" t="s">
        <v>77</v>
      </c>
      <c r="E4" s="46" t="s">
        <v>67</v>
      </c>
      <c r="F4" s="45" t="s">
        <v>57</v>
      </c>
      <c r="G4" s="46" t="s">
        <v>68</v>
      </c>
      <c r="H4" s="45" t="s">
        <v>78</v>
      </c>
      <c r="I4" s="46" t="s">
        <v>70</v>
      </c>
      <c r="J4" s="46" t="s">
        <v>73</v>
      </c>
      <c r="K4" s="46" t="s">
        <v>45</v>
      </c>
      <c r="L4" s="47" t="s">
        <v>71</v>
      </c>
      <c r="M4" s="54" t="s">
        <v>72</v>
      </c>
    </row>
    <row r="5" spans="2:13" ht="12" customHeight="1">
      <c r="B5" s="77" t="s">
        <v>92</v>
      </c>
      <c r="C5" s="20"/>
      <c r="D5" s="21"/>
      <c r="E5" s="22"/>
      <c r="F5" s="21"/>
      <c r="G5" s="17"/>
      <c r="H5" s="21"/>
      <c r="I5" s="64"/>
      <c r="J5" s="16"/>
      <c r="K5" s="17"/>
      <c r="L5" s="16">
        <f>SUM(C5-D5-F5-H5-J5)</f>
        <v>0</v>
      </c>
      <c r="M5" s="23"/>
    </row>
    <row r="6" spans="2:13" ht="12" customHeight="1">
      <c r="B6" s="14" t="s">
        <v>89</v>
      </c>
      <c r="C6" s="20">
        <f>6176219-'önkét2020.finansz.'!B6</f>
        <v>4668923</v>
      </c>
      <c r="D6" s="21"/>
      <c r="E6" s="22">
        <f>SUM(D6/C6)*100</f>
        <v>0</v>
      </c>
      <c r="F6" s="21"/>
      <c r="G6" s="17">
        <f>SUM(F6/C6)*100</f>
        <v>0</v>
      </c>
      <c r="H6" s="21"/>
      <c r="I6" s="64">
        <f>SUM(H6/C6)*100</f>
        <v>0</v>
      </c>
      <c r="J6" s="16"/>
      <c r="K6" s="17">
        <f>SUM(J6/C6)*100</f>
        <v>0</v>
      </c>
      <c r="L6" s="16">
        <f>SUM(C6-D6-F6-H6-J6)</f>
        <v>4668923</v>
      </c>
      <c r="M6" s="23">
        <f>SUM(L6/C6)*100</f>
        <v>100</v>
      </c>
    </row>
    <row r="7" spans="2:13" ht="12" customHeight="1">
      <c r="B7" s="14" t="s">
        <v>91</v>
      </c>
      <c r="C7" s="20">
        <v>110323</v>
      </c>
      <c r="D7" s="21"/>
      <c r="E7" s="22">
        <f>SUM(D7/C7)*100</f>
        <v>0</v>
      </c>
      <c r="F7" s="21"/>
      <c r="G7" s="22">
        <f>SUM(F7/C7)*100</f>
        <v>0</v>
      </c>
      <c r="H7" s="21"/>
      <c r="I7" s="64">
        <f>SUM(H7/C7)*100</f>
        <v>0</v>
      </c>
      <c r="J7" s="16"/>
      <c r="K7" s="17">
        <f>SUM(J7/C7)*100</f>
        <v>0</v>
      </c>
      <c r="L7" s="16">
        <f>SUM(C7-D7-F7-H7-J7)</f>
        <v>110323</v>
      </c>
      <c r="M7" s="23">
        <f>SUM(L7/C7)*100</f>
        <v>100</v>
      </c>
    </row>
    <row r="8" spans="2:13" ht="12" customHeight="1" thickBot="1">
      <c r="B8" s="127" t="s">
        <v>108</v>
      </c>
      <c r="C8" s="31">
        <v>72300</v>
      </c>
      <c r="D8" s="32"/>
      <c r="E8" s="22">
        <f>SUM(D8/C8)*100</f>
        <v>0</v>
      </c>
      <c r="F8" s="32"/>
      <c r="G8" s="22">
        <f>SUM(F8/C8)*100</f>
        <v>0</v>
      </c>
      <c r="H8" s="32"/>
      <c r="I8" s="64">
        <f>SUM(H8/C8)*100</f>
        <v>0</v>
      </c>
      <c r="J8" s="32"/>
      <c r="K8" s="17">
        <f>SUM(J8/C8)*100</f>
        <v>0</v>
      </c>
      <c r="L8" s="16">
        <f>SUM(C8-D8-F8-H8-J8)</f>
        <v>72300</v>
      </c>
      <c r="M8" s="23">
        <f>SUM(L8/C8)*100</f>
        <v>100</v>
      </c>
    </row>
    <row r="9" spans="2:13" s="30" customFormat="1" ht="12" customHeight="1" thickBot="1">
      <c r="B9" s="28" t="s">
        <v>36</v>
      </c>
      <c r="C9" s="25">
        <f>SUM(C5:C8)</f>
        <v>4851546</v>
      </c>
      <c r="D9" s="25">
        <f>SUM(D5:D7)</f>
        <v>0</v>
      </c>
      <c r="E9" s="56">
        <f>SUM(D9/C9)*100</f>
        <v>0</v>
      </c>
      <c r="F9" s="25">
        <f>SUM(F5:F7)</f>
        <v>0</v>
      </c>
      <c r="G9" s="56">
        <f>SUM(F9/C9)*100</f>
        <v>0</v>
      </c>
      <c r="H9" s="25">
        <f>SUM(H5:H7)</f>
        <v>0</v>
      </c>
      <c r="I9" s="56">
        <f>SUM(H9/C9)*100</f>
        <v>0</v>
      </c>
      <c r="J9" s="25">
        <f>SUM(J5:J7)</f>
        <v>0</v>
      </c>
      <c r="K9" s="29">
        <f>SUM(J9/C9)*100</f>
        <v>0</v>
      </c>
      <c r="L9" s="25">
        <f>SUM(L5:L7)</f>
        <v>4779246</v>
      </c>
      <c r="M9" s="74">
        <f>SUM(L9/C9)*100</f>
        <v>98.50975338582793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2020-01-20T09:24:12Z</cp:lastPrinted>
  <dcterms:created xsi:type="dcterms:W3CDTF">2009-02-04T11:37:44Z</dcterms:created>
  <dcterms:modified xsi:type="dcterms:W3CDTF">2020-01-27T12:23:25Z</dcterms:modified>
  <cp:category/>
  <cp:version/>
  <cp:contentType/>
  <cp:contentStatus/>
</cp:coreProperties>
</file>