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345" windowWidth="14400" windowHeight="6390"/>
  </bookViews>
  <sheets>
    <sheet name="1.sz.tábla " sheetId="42" r:id="rId1"/>
    <sheet name="2.sz.tábla" sheetId="41" r:id="rId2"/>
    <sheet name="2a. tábla" sheetId="82" r:id="rId3"/>
    <sheet name="3.sz.tábla " sheetId="40" r:id="rId4"/>
    <sheet name="4.sz.tábla" sheetId="83" r:id="rId5"/>
    <sheet name="5. sz. tábla" sheetId="50" r:id="rId6"/>
    <sheet name="6. sz. tábla" sheetId="87" r:id="rId7"/>
    <sheet name="7. sz. tábla" sheetId="88" r:id="rId8"/>
    <sheet name="8. sz. tábla" sheetId="89" r:id="rId9"/>
  </sheets>
  <externalReferences>
    <externalReference r:id="rId10"/>
    <externalReference r:id="rId11"/>
  </externalReferences>
  <definedNames>
    <definedName name="_xlnm.Print_Titles" localSheetId="1">'2.sz.tábla'!$3:$4</definedName>
    <definedName name="_xlnm.Print_Area" localSheetId="0">'1.sz.tábla '!$A$1:$F$33</definedName>
    <definedName name="_xlnm.Print_Area" localSheetId="1">'2.sz.tábla'!$A$3:$F$73</definedName>
    <definedName name="_xlnm.Print_Area" localSheetId="2">'2a. tábla'!$A$1:$I$47</definedName>
    <definedName name="_xlnm.Print_Area" localSheetId="3">'3.sz.tábla '!$A$2:$F$31</definedName>
    <definedName name="_xlnm.Print_Area" localSheetId="4">'4.sz.tábla'!$A$1:$F$23</definedName>
    <definedName name="_xlnm.Print_Area" localSheetId="5">'5. sz. tábla'!$A$1:$F$32</definedName>
    <definedName name="_xlnm.Print_Area" localSheetId="6">'6. sz. tábla'!$A$1:$L$60</definedName>
    <definedName name="_xlnm.Print_Area" localSheetId="7">'7. sz. tábla'!$A$1:$L$61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E16" i="41" l="1"/>
  <c r="F70" i="41"/>
  <c r="F69" i="41"/>
  <c r="F67" i="41"/>
  <c r="F66" i="41"/>
  <c r="F65" i="41"/>
  <c r="F64" i="41"/>
  <c r="F48" i="41"/>
  <c r="F46" i="41"/>
  <c r="F43" i="41"/>
  <c r="F41" i="41"/>
  <c r="F40" i="41"/>
  <c r="F18" i="41"/>
  <c r="F7" i="41"/>
  <c r="F8" i="41"/>
  <c r="F9" i="41"/>
  <c r="F6" i="41"/>
  <c r="F10" i="41"/>
  <c r="H47" i="82"/>
  <c r="I47" i="82"/>
  <c r="I34" i="82"/>
  <c r="I35" i="82"/>
  <c r="H35" i="82"/>
  <c r="K34" i="88"/>
  <c r="E38" i="88"/>
  <c r="E34" i="88"/>
  <c r="L23" i="88"/>
  <c r="L28" i="88"/>
  <c r="K31" i="88"/>
  <c r="K30" i="88"/>
  <c r="K28" i="88"/>
  <c r="K24" i="88"/>
  <c r="K23" i="88"/>
  <c r="K21" i="88"/>
  <c r="K19" i="88"/>
  <c r="K18" i="88"/>
  <c r="K17" i="88"/>
  <c r="K16" i="88"/>
  <c r="K15" i="88"/>
  <c r="K14" i="88"/>
  <c r="K13" i="88"/>
  <c r="K12" i="88"/>
  <c r="K11" i="88" s="1"/>
  <c r="K10" i="88"/>
  <c r="K9" i="88"/>
  <c r="K8" i="88"/>
  <c r="K7" i="88"/>
  <c r="E9" i="88"/>
  <c r="E8" i="88"/>
  <c r="K60" i="87"/>
  <c r="K56" i="87"/>
  <c r="K55" i="87"/>
  <c r="K52" i="87"/>
  <c r="K51" i="87"/>
  <c r="K50" i="87"/>
  <c r="E59" i="87"/>
  <c r="E58" i="87"/>
  <c r="E56" i="87"/>
  <c r="E55" i="87"/>
  <c r="E51" i="87"/>
  <c r="K49" i="87"/>
  <c r="E49" i="87"/>
  <c r="K32" i="87"/>
  <c r="K31" i="87"/>
  <c r="K29" i="87"/>
  <c r="E44" i="87"/>
  <c r="E41" i="87"/>
  <c r="E40" i="87"/>
  <c r="E39" i="87" s="1"/>
  <c r="E37" i="87"/>
  <c r="E29" i="87"/>
  <c r="K28" i="87"/>
  <c r="E28" i="87"/>
  <c r="K24" i="87"/>
  <c r="L24" i="87"/>
  <c r="K19" i="87"/>
  <c r="K18" i="87" s="1"/>
  <c r="K16" i="87"/>
  <c r="K15" i="87"/>
  <c r="K13" i="87"/>
  <c r="K12" i="87"/>
  <c r="K11" i="87"/>
  <c r="K9" i="87"/>
  <c r="K8" i="87"/>
  <c r="K7" i="87"/>
  <c r="K6" i="87"/>
  <c r="E23" i="87"/>
  <c r="E20" i="87" s="1"/>
  <c r="E19" i="87"/>
  <c r="E18" i="87" s="1"/>
  <c r="E8" i="87"/>
  <c r="E7" i="87"/>
  <c r="F33" i="42"/>
  <c r="F32" i="42"/>
  <c r="F31" i="42"/>
  <c r="F28" i="42"/>
  <c r="F27" i="42"/>
  <c r="F26" i="42"/>
  <c r="F25" i="42"/>
  <c r="F22" i="42"/>
  <c r="F23" i="42"/>
  <c r="F21" i="42"/>
  <c r="F20" i="42"/>
  <c r="F19" i="42"/>
  <c r="F18" i="42"/>
  <c r="F15" i="42"/>
  <c r="F14" i="42"/>
  <c r="F13" i="42"/>
  <c r="F6" i="42"/>
  <c r="F7" i="42"/>
  <c r="F8" i="42"/>
  <c r="F9" i="42"/>
  <c r="F10" i="42"/>
  <c r="F11" i="42"/>
  <c r="F8" i="40"/>
  <c r="F6" i="40"/>
  <c r="F32" i="50"/>
  <c r="F31" i="50"/>
  <c r="F30" i="50"/>
  <c r="F29" i="50"/>
  <c r="F28" i="50"/>
  <c r="F27" i="50"/>
  <c r="F26" i="50"/>
  <c r="F25" i="50"/>
  <c r="F23" i="50"/>
  <c r="F24" i="50"/>
  <c r="F22" i="50"/>
  <c r="F21" i="50"/>
  <c r="F14" i="50"/>
  <c r="F15" i="50"/>
  <c r="F16" i="50"/>
  <c r="F17" i="50"/>
  <c r="F18" i="50"/>
  <c r="F19" i="50"/>
  <c r="F13" i="50"/>
  <c r="F11" i="50"/>
  <c r="F9" i="50"/>
  <c r="F8" i="50"/>
  <c r="F4" i="50"/>
  <c r="E26" i="42"/>
  <c r="E25" i="42" s="1"/>
  <c r="E28" i="42" s="1"/>
  <c r="E33" i="42" s="1"/>
  <c r="E27" i="42"/>
  <c r="E32" i="42"/>
  <c r="E31" i="42"/>
  <c r="E30" i="42"/>
  <c r="E29" i="42"/>
  <c r="E23" i="42"/>
  <c r="E22" i="42"/>
  <c r="E21" i="42"/>
  <c r="E19" i="42"/>
  <c r="E18" i="42" s="1"/>
  <c r="E10" i="41"/>
  <c r="E17" i="50"/>
  <c r="H44" i="82"/>
  <c r="I44" i="82" s="1"/>
  <c r="I45" i="82"/>
  <c r="K54" i="87" l="1"/>
  <c r="E57" i="87"/>
  <c r="E54" i="87"/>
  <c r="K37" i="87"/>
  <c r="K38" i="87" s="1"/>
  <c r="K10" i="87"/>
  <c r="E20" i="42"/>
  <c r="F23" i="83"/>
  <c r="E23" i="83"/>
  <c r="F12" i="83"/>
  <c r="F11" i="83"/>
  <c r="F6" i="83"/>
  <c r="F7" i="83"/>
  <c r="F8" i="83"/>
  <c r="F9" i="83"/>
  <c r="F10" i="83"/>
  <c r="F5" i="83"/>
  <c r="E4" i="83"/>
  <c r="E7" i="40"/>
  <c r="F7" i="40" s="1"/>
  <c r="F29" i="40"/>
  <c r="F30" i="40"/>
  <c r="F28" i="40"/>
  <c r="E8" i="40"/>
  <c r="E31" i="40" s="1"/>
  <c r="E27" i="40"/>
  <c r="F27" i="40" s="1"/>
  <c r="F25" i="40"/>
  <c r="F26" i="40"/>
  <c r="F24" i="40"/>
  <c r="F23" i="40"/>
  <c r="E23" i="40"/>
  <c r="E19" i="40"/>
  <c r="F19" i="40" s="1"/>
  <c r="F11" i="40"/>
  <c r="F12" i="40"/>
  <c r="F13" i="40"/>
  <c r="F14" i="40"/>
  <c r="F15" i="40"/>
  <c r="F16" i="40"/>
  <c r="F17" i="40"/>
  <c r="F18" i="40"/>
  <c r="F20" i="40"/>
  <c r="F21" i="40"/>
  <c r="F22" i="40"/>
  <c r="F9" i="40"/>
  <c r="F10" i="40"/>
  <c r="E10" i="40"/>
  <c r="E6" i="40"/>
  <c r="F20" i="41"/>
  <c r="F19" i="41"/>
  <c r="F17" i="41"/>
  <c r="F16" i="41"/>
  <c r="K44" i="87" l="1"/>
  <c r="E15" i="42"/>
  <c r="E14" i="42"/>
  <c r="E13" i="42"/>
  <c r="E11" i="42"/>
  <c r="E10" i="42"/>
  <c r="E9" i="42"/>
  <c r="E8" i="42"/>
  <c r="E7" i="42"/>
  <c r="E6" i="42"/>
  <c r="E70" i="41"/>
  <c r="E67" i="41"/>
  <c r="E64" i="41"/>
  <c r="E59" i="41"/>
  <c r="E55" i="41"/>
  <c r="E50" i="41"/>
  <c r="E38" i="41"/>
  <c r="E25" i="41"/>
  <c r="E19" i="41"/>
  <c r="E18" i="41" s="1"/>
  <c r="E17" i="41"/>
  <c r="E9" i="41"/>
  <c r="E7" i="41"/>
  <c r="E28" i="50"/>
  <c r="E26" i="50"/>
  <c r="E22" i="50"/>
  <c r="E20" i="50" s="1"/>
  <c r="E4" i="50"/>
  <c r="E32" i="50" s="1"/>
  <c r="H41" i="82" l="1"/>
  <c r="H37" i="82"/>
  <c r="H34" i="82" s="1"/>
  <c r="H25" i="82"/>
  <c r="H22" i="82"/>
  <c r="H19" i="82"/>
  <c r="H10" i="82"/>
  <c r="E8" i="41" l="1"/>
  <c r="E6" i="41" s="1"/>
  <c r="E5" i="41" s="1"/>
  <c r="E5" i="42" s="1"/>
  <c r="H8" i="82"/>
  <c r="H7" i="82" s="1"/>
  <c r="H6" i="82" s="1"/>
  <c r="H5" i="82" s="1"/>
  <c r="B31" i="89"/>
  <c r="E63" i="41" l="1"/>
  <c r="F63" i="41" s="1"/>
  <c r="F5" i="41"/>
  <c r="E6" i="87"/>
  <c r="F25" i="89"/>
  <c r="O24" i="89"/>
  <c r="M23" i="89"/>
  <c r="O23" i="89"/>
  <c r="O22" i="89"/>
  <c r="E71" i="41" l="1"/>
  <c r="F71" i="41" s="1"/>
  <c r="E7" i="88"/>
  <c r="E16" i="87"/>
  <c r="F5" i="42"/>
  <c r="E12" i="42"/>
  <c r="M21" i="89"/>
  <c r="O21" i="89"/>
  <c r="M20" i="89"/>
  <c r="O20" i="89"/>
  <c r="O15" i="89"/>
  <c r="O12" i="89"/>
  <c r="M17" i="89"/>
  <c r="O17" i="89"/>
  <c r="B11" i="89"/>
  <c r="O8" i="89"/>
  <c r="O9" i="89"/>
  <c r="M7" i="89"/>
  <c r="L7" i="89"/>
  <c r="K7" i="89"/>
  <c r="J7" i="89"/>
  <c r="I7" i="89"/>
  <c r="H7" i="89"/>
  <c r="G7" i="89"/>
  <c r="F7" i="89"/>
  <c r="E7" i="89"/>
  <c r="D7" i="89"/>
  <c r="C7" i="89"/>
  <c r="B7" i="89"/>
  <c r="E16" i="42" l="1"/>
  <c r="F12" i="42"/>
  <c r="E50" i="87"/>
  <c r="E52" i="87" s="1"/>
  <c r="K17" i="87"/>
  <c r="E24" i="87"/>
  <c r="J58" i="88"/>
  <c r="D58" i="88"/>
  <c r="D61" i="88" s="1"/>
  <c r="D38" i="88"/>
  <c r="J87" i="88"/>
  <c r="D84" i="88"/>
  <c r="D87" i="88" s="1"/>
  <c r="D69" i="88"/>
  <c r="D64" i="88"/>
  <c r="J64" i="88" s="1"/>
  <c r="D34" i="88"/>
  <c r="J34" i="88" s="1"/>
  <c r="J19" i="87"/>
  <c r="J18" i="87" s="1"/>
  <c r="J55" i="87" s="1"/>
  <c r="F29" i="87"/>
  <c r="L15" i="87"/>
  <c r="I15" i="87"/>
  <c r="J15" i="87"/>
  <c r="H15" i="87"/>
  <c r="J18" i="88"/>
  <c r="J16" i="88"/>
  <c r="J15" i="88"/>
  <c r="D21" i="88"/>
  <c r="D28" i="88" s="1"/>
  <c r="J56" i="87"/>
  <c r="L56" i="87"/>
  <c r="H56" i="87"/>
  <c r="C55" i="87"/>
  <c r="D55" i="87"/>
  <c r="C56" i="87"/>
  <c r="D56" i="87"/>
  <c r="B56" i="87"/>
  <c r="B55" i="87"/>
  <c r="J49" i="87"/>
  <c r="D49" i="87"/>
  <c r="D59" i="87"/>
  <c r="D54" i="87"/>
  <c r="J32" i="87"/>
  <c r="J24" i="88" s="1"/>
  <c r="D41" i="87"/>
  <c r="D37" i="87"/>
  <c r="D51" i="87" s="1"/>
  <c r="D29" i="87"/>
  <c r="J28" i="87"/>
  <c r="D28" i="87"/>
  <c r="D23" i="87"/>
  <c r="D20" i="87" s="1"/>
  <c r="D58" i="87" s="1"/>
  <c r="D29" i="88" s="1"/>
  <c r="C23" i="87"/>
  <c r="D19" i="87"/>
  <c r="D18" i="87" s="1"/>
  <c r="J11" i="87"/>
  <c r="J12" i="88" s="1"/>
  <c r="J9" i="87"/>
  <c r="J10" i="88" s="1"/>
  <c r="J8" i="87"/>
  <c r="J9" i="88" s="1"/>
  <c r="J7" i="87"/>
  <c r="J8" i="88" s="1"/>
  <c r="J67" i="88" s="1"/>
  <c r="J6" i="87"/>
  <c r="D8" i="87"/>
  <c r="D9" i="88" s="1"/>
  <c r="D68" i="88" s="1"/>
  <c r="D7" i="87"/>
  <c r="D8" i="88" s="1"/>
  <c r="D67" i="88" s="1"/>
  <c r="F7" i="87"/>
  <c r="D8" i="40"/>
  <c r="D16" i="41"/>
  <c r="E34" i="42" l="1"/>
  <c r="F16" i="42"/>
  <c r="K53" i="87"/>
  <c r="E60" i="87"/>
  <c r="K61" i="87" s="1"/>
  <c r="J7" i="88"/>
  <c r="J66" i="88" s="1"/>
  <c r="J76" i="88" s="1"/>
  <c r="J78" i="88" s="1"/>
  <c r="D18" i="88"/>
  <c r="D30" i="88"/>
  <c r="J61" i="88"/>
  <c r="J54" i="87"/>
  <c r="D57" i="87"/>
  <c r="D17" i="40"/>
  <c r="D19" i="40"/>
  <c r="C16" i="41" l="1"/>
  <c r="D10" i="40"/>
  <c r="D17" i="41"/>
  <c r="D20" i="40"/>
  <c r="D22" i="50"/>
  <c r="D20" i="50" s="1"/>
  <c r="O29" i="89" l="1"/>
  <c r="J31" i="87"/>
  <c r="J23" i="88" s="1"/>
  <c r="D31" i="42"/>
  <c r="O33" i="89" s="1"/>
  <c r="D30" i="42"/>
  <c r="D29" i="42"/>
  <c r="D32" i="42" s="1"/>
  <c r="D25" i="42"/>
  <c r="D15" i="42"/>
  <c r="D14" i="42"/>
  <c r="D13" i="42"/>
  <c r="D40" i="87" s="1"/>
  <c r="D39" i="87" s="1"/>
  <c r="D44" i="87" s="1"/>
  <c r="D11" i="42"/>
  <c r="D10" i="42"/>
  <c r="D9" i="42"/>
  <c r="D8" i="42"/>
  <c r="D7" i="42"/>
  <c r="D70" i="41"/>
  <c r="D67" i="41"/>
  <c r="D64" i="41"/>
  <c r="D59" i="41"/>
  <c r="D55" i="41"/>
  <c r="D50" i="41"/>
  <c r="D38" i="41"/>
  <c r="F27" i="41"/>
  <c r="F28" i="41"/>
  <c r="F29" i="41"/>
  <c r="F30" i="41"/>
  <c r="F31" i="41"/>
  <c r="F32" i="41"/>
  <c r="F33" i="41"/>
  <c r="F34" i="41"/>
  <c r="F26" i="41"/>
  <c r="F25" i="41"/>
  <c r="D25" i="41"/>
  <c r="D18" i="41"/>
  <c r="D6" i="42" s="1"/>
  <c r="D19" i="41"/>
  <c r="F11" i="41"/>
  <c r="D9" i="41"/>
  <c r="I42" i="82"/>
  <c r="I38" i="82"/>
  <c r="I36" i="82"/>
  <c r="I30" i="82"/>
  <c r="I27" i="82"/>
  <c r="I28" i="82"/>
  <c r="I26" i="82"/>
  <c r="I24" i="82"/>
  <c r="I23" i="82"/>
  <c r="I21" i="82"/>
  <c r="I20" i="82"/>
  <c r="I12" i="82"/>
  <c r="I13" i="82"/>
  <c r="I14" i="82"/>
  <c r="I15" i="82"/>
  <c r="I16" i="82"/>
  <c r="I17" i="82"/>
  <c r="I18" i="82"/>
  <c r="I11" i="82"/>
  <c r="I9" i="82"/>
  <c r="G41" i="82"/>
  <c r="G37" i="82"/>
  <c r="G34" i="82" s="1"/>
  <c r="D8" i="41" s="1"/>
  <c r="G25" i="82"/>
  <c r="G22" i="82"/>
  <c r="G19" i="82"/>
  <c r="G10" i="82"/>
  <c r="D29" i="40"/>
  <c r="J13" i="87" s="1"/>
  <c r="J14" i="88" s="1"/>
  <c r="D28" i="40"/>
  <c r="J12" i="87" s="1"/>
  <c r="D23" i="40"/>
  <c r="F6" i="50"/>
  <c r="D28" i="50"/>
  <c r="D26" i="50"/>
  <c r="D22" i="42"/>
  <c r="D4" i="50"/>
  <c r="D23" i="42" l="1"/>
  <c r="O30" i="89"/>
  <c r="O28" i="89"/>
  <c r="J29" i="87"/>
  <c r="J13" i="88"/>
  <c r="J10" i="87"/>
  <c r="D21" i="42"/>
  <c r="D20" i="42" s="1"/>
  <c r="D32" i="50"/>
  <c r="G8" i="82"/>
  <c r="D27" i="40"/>
  <c r="O25" i="89" s="1"/>
  <c r="D26" i="42"/>
  <c r="D23" i="83"/>
  <c r="D4" i="83"/>
  <c r="J21" i="88" l="1"/>
  <c r="J28" i="88" s="1"/>
  <c r="J30" i="88" s="1"/>
  <c r="J37" i="87"/>
  <c r="D31" i="40"/>
  <c r="D19" i="42" s="1"/>
  <c r="D18" i="42" s="1"/>
  <c r="J16" i="87"/>
  <c r="J11" i="88"/>
  <c r="J17" i="88" s="1"/>
  <c r="J19" i="88" s="1"/>
  <c r="G7" i="82"/>
  <c r="G6" i="82" s="1"/>
  <c r="D28" i="42"/>
  <c r="C26" i="42"/>
  <c r="J44" i="87" l="1"/>
  <c r="J51" i="87"/>
  <c r="J38" i="87"/>
  <c r="J31" i="88"/>
  <c r="J88" i="88"/>
  <c r="J50" i="87"/>
  <c r="J52" i="87" s="1"/>
  <c r="J60" i="87" s="1"/>
  <c r="J24" i="87"/>
  <c r="G5" i="82"/>
  <c r="D7" i="41"/>
  <c r="D6" i="41" s="1"/>
  <c r="D5" i="41" s="1"/>
  <c r="D63" i="41" s="1"/>
  <c r="D71" i="41" s="1"/>
  <c r="O7" i="89"/>
  <c r="D33" i="42"/>
  <c r="C64" i="88"/>
  <c r="I64" i="88" s="1"/>
  <c r="F64" i="88"/>
  <c r="L64" i="88" s="1"/>
  <c r="B64" i="88"/>
  <c r="H64" i="88" s="1"/>
  <c r="C34" i="88"/>
  <c r="I34" i="88" s="1"/>
  <c r="F34" i="88"/>
  <c r="L34" i="88" s="1"/>
  <c r="B34" i="88"/>
  <c r="H34" i="88" s="1"/>
  <c r="H18" i="88"/>
  <c r="B29" i="88"/>
  <c r="L15" i="88"/>
  <c r="I15" i="88"/>
  <c r="H15" i="88"/>
  <c r="I32" i="87"/>
  <c r="I24" i="88" s="1"/>
  <c r="L32" i="87"/>
  <c r="L24" i="88" s="1"/>
  <c r="H32" i="87"/>
  <c r="H24" i="88" s="1"/>
  <c r="C29" i="87"/>
  <c r="C21" i="88" s="1"/>
  <c r="F21" i="88"/>
  <c r="B29" i="87"/>
  <c r="B21" i="88" s="1"/>
  <c r="I7" i="87"/>
  <c r="I8" i="88" s="1"/>
  <c r="L7" i="87"/>
  <c r="L8" i="88" s="1"/>
  <c r="H7" i="87"/>
  <c r="H8" i="88" s="1"/>
  <c r="L6" i="87"/>
  <c r="L7" i="88" s="1"/>
  <c r="I6" i="87"/>
  <c r="I7" i="88" s="1"/>
  <c r="H6" i="87"/>
  <c r="H7" i="88" s="1"/>
  <c r="I9" i="87"/>
  <c r="I10" i="88" s="1"/>
  <c r="L9" i="87"/>
  <c r="L10" i="88" s="1"/>
  <c r="H9" i="87"/>
  <c r="H10" i="88" s="1"/>
  <c r="I11" i="87"/>
  <c r="I12" i="88" s="1"/>
  <c r="L11" i="87"/>
  <c r="L12" i="88" s="1"/>
  <c r="H11" i="87"/>
  <c r="H12" i="88" s="1"/>
  <c r="I16" i="88"/>
  <c r="L16" i="88"/>
  <c r="H16" i="88"/>
  <c r="H19" i="87"/>
  <c r="B23" i="87"/>
  <c r="C19" i="87"/>
  <c r="C18" i="88" s="1"/>
  <c r="F19" i="87"/>
  <c r="F18" i="88" s="1"/>
  <c r="B19" i="87"/>
  <c r="B18" i="88" s="1"/>
  <c r="C8" i="87"/>
  <c r="C9" i="88" s="1"/>
  <c r="B8" i="87"/>
  <c r="B9" i="88" s="1"/>
  <c r="F8" i="88"/>
  <c r="I8" i="87"/>
  <c r="I9" i="88" s="1"/>
  <c r="L8" i="87"/>
  <c r="L9" i="88" s="1"/>
  <c r="H8" i="87"/>
  <c r="H9" i="88" s="1"/>
  <c r="C49" i="87"/>
  <c r="I49" i="87" s="1"/>
  <c r="F49" i="87"/>
  <c r="L49" i="87" s="1"/>
  <c r="B49" i="87"/>
  <c r="H49" i="87" s="1"/>
  <c r="C28" i="87"/>
  <c r="I28" i="87" s="1"/>
  <c r="F28" i="87"/>
  <c r="L28" i="87" s="1"/>
  <c r="B28" i="87"/>
  <c r="H28" i="87" s="1"/>
  <c r="C19" i="40"/>
  <c r="D6" i="87" l="1"/>
  <c r="D7" i="88" s="1"/>
  <c r="D5" i="42"/>
  <c r="D12" i="42" s="1"/>
  <c r="G47" i="82"/>
  <c r="D16" i="42"/>
  <c r="C16" i="40"/>
  <c r="D16" i="87" l="1"/>
  <c r="D50" i="87" s="1"/>
  <c r="D52" i="87" s="1"/>
  <c r="D66" i="88"/>
  <c r="D76" i="88" s="1"/>
  <c r="D78" i="88" s="1"/>
  <c r="D88" i="88" s="1"/>
  <c r="D17" i="88"/>
  <c r="D19" i="88" s="1"/>
  <c r="D31" i="88" s="1"/>
  <c r="D34" i="42"/>
  <c r="C20" i="40"/>
  <c r="F41" i="82"/>
  <c r="I41" i="82" s="1"/>
  <c r="F37" i="82"/>
  <c r="F25" i="82"/>
  <c r="I25" i="82" s="1"/>
  <c r="F22" i="82"/>
  <c r="I22" i="82" s="1"/>
  <c r="F19" i="82"/>
  <c r="I19" i="82" s="1"/>
  <c r="F10" i="82"/>
  <c r="I10" i="82" s="1"/>
  <c r="C69" i="41"/>
  <c r="C31" i="50"/>
  <c r="D24" i="87" l="1"/>
  <c r="F34" i="82"/>
  <c r="I37" i="82"/>
  <c r="J17" i="87"/>
  <c r="D60" i="87"/>
  <c r="J61" i="87" s="1"/>
  <c r="J53" i="87"/>
  <c r="I19" i="87"/>
  <c r="I18" i="88"/>
  <c r="C7" i="40"/>
  <c r="C6" i="40"/>
  <c r="C17" i="41"/>
  <c r="C8" i="41" l="1"/>
  <c r="L18" i="88"/>
  <c r="L19" i="87"/>
  <c r="C9" i="41"/>
  <c r="B9" i="41"/>
  <c r="B13" i="42"/>
  <c r="B19" i="41"/>
  <c r="F37" i="41"/>
  <c r="C29" i="40"/>
  <c r="B29" i="40"/>
  <c r="H13" i="87" s="1"/>
  <c r="H14" i="88" s="1"/>
  <c r="C4" i="83"/>
  <c r="C22" i="50"/>
  <c r="B20" i="50"/>
  <c r="H31" i="87" s="1"/>
  <c r="H23" i="88" s="1"/>
  <c r="C4" i="50"/>
  <c r="B4" i="50"/>
  <c r="H29" i="87" s="1"/>
  <c r="F8" i="82"/>
  <c r="F7" i="82" l="1"/>
  <c r="I7" i="82" s="1"/>
  <c r="I8" i="82"/>
  <c r="B40" i="87"/>
  <c r="B18" i="89"/>
  <c r="B19" i="89" s="1"/>
  <c r="I13" i="87"/>
  <c r="I14" i="88" s="1"/>
  <c r="H21" i="88"/>
  <c r="H28" i="88" s="1"/>
  <c r="H37" i="87"/>
  <c r="L29" i="87"/>
  <c r="L21" i="88" s="1"/>
  <c r="I29" i="87"/>
  <c r="I21" i="88" s="1"/>
  <c r="C20" i="50"/>
  <c r="F6" i="82"/>
  <c r="I6" i="82" s="1"/>
  <c r="L13" i="87"/>
  <c r="F5" i="82" l="1"/>
  <c r="I5" i="82" s="1"/>
  <c r="F20" i="50"/>
  <c r="L31" i="87" s="1"/>
  <c r="I31" i="87"/>
  <c r="I23" i="88" s="1"/>
  <c r="I28" i="88" s="1"/>
  <c r="F47" i="82"/>
  <c r="C7" i="41"/>
  <c r="M31" i="89"/>
  <c r="N20" i="89"/>
  <c r="B38" i="88" l="1"/>
  <c r="C38" i="88"/>
  <c r="C58" i="88"/>
  <c r="C61" i="88" s="1"/>
  <c r="F58" i="88"/>
  <c r="F61" i="88" s="1"/>
  <c r="F69" i="88"/>
  <c r="L46" i="88"/>
  <c r="L48" i="88" s="1"/>
  <c r="F38" i="88"/>
  <c r="L54" i="88"/>
  <c r="N7" i="89"/>
  <c r="E10" i="82" l="1"/>
  <c r="F41" i="87" l="1"/>
  <c r="F59" i="87" s="1"/>
  <c r="F37" i="87"/>
  <c r="F51" i="87" s="1"/>
  <c r="F28" i="88" l="1"/>
  <c r="F23" i="87"/>
  <c r="F20" i="87" s="1"/>
  <c r="L67" i="88"/>
  <c r="L66" i="88"/>
  <c r="L14" i="88" l="1"/>
  <c r="F38" i="41"/>
  <c r="F8" i="87" l="1"/>
  <c r="F9" i="88" s="1"/>
  <c r="F68" i="88" s="1"/>
  <c r="L18" i="87"/>
  <c r="C6" i="41"/>
  <c r="C30" i="42"/>
  <c r="F30" i="42" s="1"/>
  <c r="C29" i="42"/>
  <c r="F29" i="42" s="1"/>
  <c r="C67" i="41"/>
  <c r="C14" i="42" s="1"/>
  <c r="C5" i="41" l="1"/>
  <c r="C5" i="42"/>
  <c r="C25" i="42"/>
  <c r="C6" i="87" l="1"/>
  <c r="C7" i="88" s="1"/>
  <c r="L58" i="88"/>
  <c r="L61" i="88" s="1"/>
  <c r="C22" i="42" l="1"/>
  <c r="C8" i="40"/>
  <c r="B8" i="40"/>
  <c r="E41" i="82" l="1"/>
  <c r="L30" i="88" l="1"/>
  <c r="L37" i="87"/>
  <c r="I46" i="88"/>
  <c r="I48" i="88" s="1"/>
  <c r="I59" i="88"/>
  <c r="I58" i="88"/>
  <c r="I87" i="88"/>
  <c r="C84" i="88"/>
  <c r="C87" i="88" s="1"/>
  <c r="C69" i="88"/>
  <c r="I56" i="87"/>
  <c r="C41" i="87"/>
  <c r="C59" i="87" s="1"/>
  <c r="I18" i="87"/>
  <c r="I55" i="87" s="1"/>
  <c r="I67" i="88"/>
  <c r="L44" i="87" l="1"/>
  <c r="I61" i="88"/>
  <c r="I66" i="88"/>
  <c r="I76" i="88" s="1"/>
  <c r="I78" i="88" s="1"/>
  <c r="I54" i="87"/>
  <c r="C64" i="41"/>
  <c r="C13" i="42" s="1"/>
  <c r="C59" i="41"/>
  <c r="C11" i="42" s="1"/>
  <c r="C55" i="41"/>
  <c r="C10" i="42" s="1"/>
  <c r="C50" i="41"/>
  <c r="C9" i="42" s="1"/>
  <c r="C38" i="41"/>
  <c r="C8" i="42" s="1"/>
  <c r="C25" i="41"/>
  <c r="C19" i="41"/>
  <c r="C18" i="41" s="1"/>
  <c r="C23" i="40"/>
  <c r="C40" i="87" l="1"/>
  <c r="C39" i="87" s="1"/>
  <c r="F40" i="87"/>
  <c r="F39" i="87" s="1"/>
  <c r="F44" i="87" s="1"/>
  <c r="C7" i="42"/>
  <c r="C7" i="87"/>
  <c r="C8" i="88" s="1"/>
  <c r="C63" i="41"/>
  <c r="C6" i="42"/>
  <c r="C18" i="87"/>
  <c r="C15" i="42"/>
  <c r="C20" i="87"/>
  <c r="C28" i="88"/>
  <c r="C37" i="87"/>
  <c r="C28" i="40"/>
  <c r="C12" i="42" l="1"/>
  <c r="I12" i="87"/>
  <c r="I13" i="88" s="1"/>
  <c r="C27" i="40"/>
  <c r="C23" i="83"/>
  <c r="C67" i="88"/>
  <c r="C68" i="88"/>
  <c r="C44" i="87"/>
  <c r="C51" i="87"/>
  <c r="C70" i="41"/>
  <c r="C54" i="87"/>
  <c r="C16" i="42" l="1"/>
  <c r="C31" i="40"/>
  <c r="C19" i="42" s="1"/>
  <c r="I10" i="87"/>
  <c r="I11" i="88" s="1"/>
  <c r="I17" i="88" s="1"/>
  <c r="I19" i="88" s="1"/>
  <c r="C58" i="87"/>
  <c r="C71" i="41"/>
  <c r="C18" i="42" l="1"/>
  <c r="I16" i="87"/>
  <c r="I50" i="87" s="1"/>
  <c r="C57" i="87"/>
  <c r="C29" i="88"/>
  <c r="C30" i="88" s="1"/>
  <c r="I24" i="87" l="1"/>
  <c r="C16" i="87"/>
  <c r="C24" i="87" s="1"/>
  <c r="C66" i="88" l="1"/>
  <c r="C76" i="88" s="1"/>
  <c r="C78" i="88" s="1"/>
  <c r="C17" i="88"/>
  <c r="C19" i="88" s="1"/>
  <c r="C31" i="88" s="1"/>
  <c r="C50" i="87"/>
  <c r="C52" i="87" s="1"/>
  <c r="I17" i="87"/>
  <c r="N35" i="89"/>
  <c r="N33" i="89"/>
  <c r="K31" i="89"/>
  <c r="I31" i="89"/>
  <c r="G31" i="89"/>
  <c r="F31" i="89"/>
  <c r="E31" i="89"/>
  <c r="D31" i="89"/>
  <c r="C31" i="89"/>
  <c r="N30" i="89"/>
  <c r="N29" i="89"/>
  <c r="L31" i="89"/>
  <c r="J31" i="89"/>
  <c r="H31" i="89"/>
  <c r="L27" i="89"/>
  <c r="H27" i="89"/>
  <c r="F27" i="89"/>
  <c r="E27" i="89"/>
  <c r="D27" i="89"/>
  <c r="C27" i="89"/>
  <c r="B27" i="89"/>
  <c r="O26" i="89"/>
  <c r="N26" i="89"/>
  <c r="J27" i="89"/>
  <c r="N24" i="89"/>
  <c r="N23" i="89"/>
  <c r="N22" i="89"/>
  <c r="N21" i="89"/>
  <c r="M27" i="89"/>
  <c r="K27" i="89"/>
  <c r="I27" i="89"/>
  <c r="O18" i="89"/>
  <c r="N18" i="89"/>
  <c r="N17" i="89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O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N10" i="89"/>
  <c r="N9" i="89"/>
  <c r="N8" i="89"/>
  <c r="M11" i="89"/>
  <c r="M16" i="89" s="1"/>
  <c r="M19" i="89" s="1"/>
  <c r="L11" i="89"/>
  <c r="L16" i="89" s="1"/>
  <c r="L19" i="89" s="1"/>
  <c r="K11" i="89"/>
  <c r="K16" i="89" s="1"/>
  <c r="K19" i="89" s="1"/>
  <c r="J11" i="89"/>
  <c r="I11" i="89"/>
  <c r="I16" i="89" s="1"/>
  <c r="I19" i="89" s="1"/>
  <c r="H11" i="89"/>
  <c r="H16" i="89" s="1"/>
  <c r="H19" i="89" s="1"/>
  <c r="G11" i="89"/>
  <c r="G16" i="89" s="1"/>
  <c r="G19" i="89" s="1"/>
  <c r="L87" i="88"/>
  <c r="H87" i="88"/>
  <c r="F84" i="88"/>
  <c r="F87" i="88" s="1"/>
  <c r="B84" i="88"/>
  <c r="B87" i="88" s="1"/>
  <c r="L76" i="88"/>
  <c r="L78" i="88" s="1"/>
  <c r="H59" i="88"/>
  <c r="B59" i="88"/>
  <c r="H58" i="88"/>
  <c r="B52" i="88"/>
  <c r="B23" i="88" s="1"/>
  <c r="B51" i="88"/>
  <c r="H46" i="88"/>
  <c r="H48" i="88" s="1"/>
  <c r="B48" i="88"/>
  <c r="B10" i="88"/>
  <c r="B68" i="88"/>
  <c r="H67" i="88"/>
  <c r="H66" i="88"/>
  <c r="B41" i="87"/>
  <c r="H39" i="87"/>
  <c r="B31" i="87"/>
  <c r="B30" i="87"/>
  <c r="H22" i="87"/>
  <c r="B21" i="87"/>
  <c r="B18" i="87"/>
  <c r="B54" i="87" s="1"/>
  <c r="N31" i="89" l="1"/>
  <c r="N15" i="89"/>
  <c r="H76" i="88"/>
  <c r="H78" i="88" s="1"/>
  <c r="B69" i="88"/>
  <c r="D32" i="89"/>
  <c r="D34" i="89" s="1"/>
  <c r="F32" i="89"/>
  <c r="F34" i="89" s="1"/>
  <c r="J32" i="89"/>
  <c r="J34" i="89" s="1"/>
  <c r="L32" i="89"/>
  <c r="L34" i="89" s="1"/>
  <c r="I32" i="89"/>
  <c r="I34" i="89" s="1"/>
  <c r="H32" i="89"/>
  <c r="H34" i="89" s="1"/>
  <c r="E32" i="89"/>
  <c r="E34" i="89" s="1"/>
  <c r="C32" i="89"/>
  <c r="C34" i="89" s="1"/>
  <c r="J16" i="89"/>
  <c r="J19" i="89" s="1"/>
  <c r="C88" i="88"/>
  <c r="C60" i="87"/>
  <c r="H61" i="88"/>
  <c r="O31" i="89"/>
  <c r="B58" i="88"/>
  <c r="B61" i="88" s="1"/>
  <c r="H30" i="88"/>
  <c r="B20" i="87"/>
  <c r="B58" i="87" s="1"/>
  <c r="O27" i="89"/>
  <c r="O11" i="89"/>
  <c r="B37" i="87"/>
  <c r="B51" i="87" s="1"/>
  <c r="K32" i="89"/>
  <c r="K34" i="89" s="1"/>
  <c r="M32" i="89"/>
  <c r="N11" i="89"/>
  <c r="B16" i="89"/>
  <c r="G27" i="89"/>
  <c r="N27" i="89" s="1"/>
  <c r="N25" i="89"/>
  <c r="N28" i="89"/>
  <c r="B32" i="89"/>
  <c r="B34" i="89" s="1"/>
  <c r="B22" i="88"/>
  <c r="B59" i="87"/>
  <c r="H18" i="87"/>
  <c r="H55" i="87" s="1"/>
  <c r="H54" i="87" s="1"/>
  <c r="B39" i="87"/>
  <c r="M34" i="89" l="1"/>
  <c r="O16" i="89"/>
  <c r="O19" i="89" s="1"/>
  <c r="O32" i="89"/>
  <c r="O34" i="89" s="1"/>
  <c r="B57" i="87"/>
  <c r="B36" i="89"/>
  <c r="N16" i="89"/>
  <c r="G32" i="89"/>
  <c r="G34" i="89" s="1"/>
  <c r="B28" i="88"/>
  <c r="B44" i="87"/>
  <c r="H51" i="87"/>
  <c r="H44" i="87"/>
  <c r="H38" i="87"/>
  <c r="N32" i="89" l="1"/>
  <c r="L38" i="87"/>
  <c r="O36" i="89"/>
  <c r="N34" i="89"/>
  <c r="N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L55" i="87"/>
  <c r="L54" i="87" s="1"/>
  <c r="N36" i="89" l="1"/>
  <c r="C31" i="42" l="1"/>
  <c r="C26" i="50"/>
  <c r="C32" i="42" l="1"/>
  <c r="C23" i="42"/>
  <c r="C21" i="42"/>
  <c r="B23" i="40"/>
  <c r="C20" i="42" l="1"/>
  <c r="I37" i="87"/>
  <c r="I30" i="88"/>
  <c r="F58" i="87"/>
  <c r="C28" i="42" l="1"/>
  <c r="F29" i="88"/>
  <c r="F30" i="88" s="1"/>
  <c r="F57" i="87"/>
  <c r="I88" i="88"/>
  <c r="I31" i="88"/>
  <c r="I51" i="87"/>
  <c r="I52" i="87" s="1"/>
  <c r="I44" i="87"/>
  <c r="I38" i="87"/>
  <c r="B67" i="41"/>
  <c r="B14" i="42" s="1"/>
  <c r="B15" i="42" s="1"/>
  <c r="C33" i="42" l="1"/>
  <c r="I60" i="87"/>
  <c r="I61" i="87" s="1"/>
  <c r="I53" i="87"/>
  <c r="C34" i="42" l="1"/>
  <c r="C28" i="50"/>
  <c r="C32" i="50" l="1"/>
  <c r="B33" i="41"/>
  <c r="B25" i="42"/>
  <c r="B31" i="42"/>
  <c r="B30" i="42"/>
  <c r="B29" i="42"/>
  <c r="B28" i="50"/>
  <c r="B22" i="42"/>
  <c r="B64" i="41"/>
  <c r="B59" i="41"/>
  <c r="B50" i="41"/>
  <c r="B30" i="41"/>
  <c r="B26" i="41"/>
  <c r="E25" i="82"/>
  <c r="F18" i="87" l="1"/>
  <c r="F55" i="87" s="1"/>
  <c r="F54" i="87" s="1"/>
  <c r="B21" i="42"/>
  <c r="B38" i="41"/>
  <c r="B18" i="41"/>
  <c r="B6" i="42" s="1"/>
  <c r="B29" i="41"/>
  <c r="B32" i="42"/>
  <c r="B11" i="42"/>
  <c r="B9" i="42"/>
  <c r="B70" i="41"/>
  <c r="B25" i="41" l="1"/>
  <c r="B7" i="87" s="1"/>
  <c r="B8" i="88" s="1"/>
  <c r="B67" i="88" s="1"/>
  <c r="B8" i="42"/>
  <c r="F67" i="88" l="1"/>
  <c r="B7" i="42"/>
  <c r="B26" i="50" l="1"/>
  <c r="B32" i="50" s="1"/>
  <c r="B4" i="83"/>
  <c r="B28" i="40" l="1"/>
  <c r="F4" i="83"/>
  <c r="B23" i="83"/>
  <c r="B23" i="42"/>
  <c r="H12" i="87" l="1"/>
  <c r="B27" i="40"/>
  <c r="E37" i="82"/>
  <c r="E34" i="82" s="1"/>
  <c r="B8" i="41" s="1"/>
  <c r="L12" i="87" l="1"/>
  <c r="F31" i="40"/>
  <c r="H13" i="88"/>
  <c r="H10" i="87"/>
  <c r="B31" i="40"/>
  <c r="B19" i="42" s="1"/>
  <c r="H16" i="87" l="1"/>
  <c r="H11" i="88"/>
  <c r="H17" i="88" s="1"/>
  <c r="H19" i="88" s="1"/>
  <c r="L13" i="88"/>
  <c r="L10" i="87"/>
  <c r="B18" i="42"/>
  <c r="E22" i="82"/>
  <c r="E19" i="82"/>
  <c r="E8" i="82" s="1"/>
  <c r="E7" i="82" s="1"/>
  <c r="E6" i="82" l="1"/>
  <c r="H31" i="88"/>
  <c r="H88" i="88"/>
  <c r="H24" i="87"/>
  <c r="H50" i="87"/>
  <c r="H52" i="87" s="1"/>
  <c r="L11" i="88"/>
  <c r="L17" i="88" s="1"/>
  <c r="L19" i="88" s="1"/>
  <c r="L16" i="87"/>
  <c r="B7" i="41" l="1"/>
  <c r="B6" i="41" s="1"/>
  <c r="B5" i="41" s="1"/>
  <c r="E5" i="82"/>
  <c r="H60" i="87"/>
  <c r="L50" i="87"/>
  <c r="L31" i="88"/>
  <c r="L88" i="88"/>
  <c r="B5" i="42" l="1"/>
  <c r="B6" i="87"/>
  <c r="E47" i="82"/>
  <c r="B55" i="41"/>
  <c r="B20" i="42"/>
  <c r="B16" i="87" l="1"/>
  <c r="B7" i="88"/>
  <c r="B28" i="42"/>
  <c r="B10" i="42"/>
  <c r="B63" i="41"/>
  <c r="B71" i="41" s="1"/>
  <c r="F6" i="87" l="1"/>
  <c r="F7" i="88" s="1"/>
  <c r="B66" i="88"/>
  <c r="B76" i="88" s="1"/>
  <c r="B78" i="88" s="1"/>
  <c r="B17" i="88"/>
  <c r="B19" i="88" s="1"/>
  <c r="B31" i="88" s="1"/>
  <c r="F66" i="88"/>
  <c r="F76" i="88" s="1"/>
  <c r="B50" i="87"/>
  <c r="B52" i="87" s="1"/>
  <c r="B24" i="87"/>
  <c r="H17" i="87"/>
  <c r="B33" i="42"/>
  <c r="B12" i="42"/>
  <c r="B88" i="88" l="1"/>
  <c r="B60" i="87"/>
  <c r="H61" i="87" s="1"/>
  <c r="H53" i="87"/>
  <c r="F34" i="42"/>
  <c r="F16" i="87"/>
  <c r="F50" i="87" s="1"/>
  <c r="F17" i="88"/>
  <c r="F19" i="88" s="1"/>
  <c r="B16" i="42"/>
  <c r="L17" i="87" l="1"/>
  <c r="L51" i="87" s="1"/>
  <c r="L52" i="87" s="1"/>
  <c r="L60" i="87" s="1"/>
  <c r="F24" i="87"/>
  <c r="F52" i="87"/>
  <c r="B34" i="42"/>
  <c r="L53" i="87" l="1"/>
  <c r="F60" i="87"/>
  <c r="L61" i="87" s="1"/>
  <c r="F78" i="88"/>
  <c r="F31" i="88" l="1"/>
  <c r="F88" i="88" l="1"/>
</calcChain>
</file>

<file path=xl/sharedStrings.xml><?xml version="1.0" encoding="utf-8"?>
<sst xmlns="http://schemas.openxmlformats.org/spreadsheetml/2006/main" count="525" uniqueCount="347">
  <si>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</si>
  <si>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</si>
  <si>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</si>
  <si>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</si>
  <si>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</si>
  <si>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</si>
  <si>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</si>
  <si>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</si>
  <si>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</si>
  <si>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</si>
  <si>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</si>
  <si>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</si>
  <si>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</si>
  <si>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</si>
  <si>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</si>
  <si>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</si>
  <si>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</si>
  <si>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</si>
  <si>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</si>
  <si>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</si>
  <si>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</si>
  <si>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</si>
  <si>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</si>
  <si>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</si>
  <si>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</si>
  <si>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</si>
  <si>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</si>
  <si>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</si>
  <si>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</si>
  <si>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</si>
  <si>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</si>
  <si>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</si>
  <si>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</si>
  <si>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</si>
  <si>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</si>
  <si>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</si>
  <si>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</si>
  <si>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</si>
  <si>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</si>
  <si>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</si>
  <si>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</si>
  <si>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</si>
  <si>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</si>
  <si>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</si>
  <si>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</si>
  <si>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</si>
  <si>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</si>
  <si>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</si>
  <si>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</si>
  <si>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</si>
  <si>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</si>
  <si>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</si>
  <si>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</si>
  <si>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</si>
  <si>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</si>
  <si>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</si>
  <si>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</si>
  <si>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</si>
  <si>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</si>
  <si>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</si>
  <si>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</si>
  <si>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</si>
  <si>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</si>
  <si>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</si>
  <si>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</si>
  <si>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</si>
  <si>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</si>
  <si>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</si>
  <si>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</si>
  <si>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</si>
  <si>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</si>
  <si>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</si>
  <si>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</si>
  <si>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</si>
  <si>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</si>
  <si>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</si>
  <si>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</si>
  <si>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</si>
  <si>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</si>
  <si>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</si>
  <si>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</si>
  <si>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</si>
  <si>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</si>
  <si>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</si>
  <si>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</si>
  <si>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</si>
  <si>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</si>
  <si>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</si>
  <si>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</si>
  <si>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</si>
  <si>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</si>
  <si>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</si>
  <si>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</si>
  <si>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</si>
  <si>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</si>
  <si>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</si>
  <si>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</si>
  <si>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</si>
  <si>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</si>
  <si>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</si>
  <si>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</si>
  <si>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</si>
  <si>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</si>
  <si>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</si>
  <si>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</si>
  <si>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</si>
  <si>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Közüzemi díjak</t>
  </si>
  <si>
    <t>Vásárolt élelmezés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</si>
  <si>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</si>
  <si>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</si>
  <si>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</si>
  <si>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</si>
  <si>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</si>
  <si>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</si>
  <si>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</si>
  <si>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</si>
  <si>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</si>
  <si>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</si>
  <si>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</si>
  <si>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>Önkormányzati feladatok</t>
  </si>
  <si>
    <t>Reklám és propaganda</t>
  </si>
  <si>
    <t>4.  Ellátottak pénzbeli juttatásai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</si>
  <si>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</si>
  <si>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</si>
  <si>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</si>
  <si>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Falubuszra gumigarnitúra vásárlás</t>
  </si>
  <si>
    <t>Kisértékű eszközök beszerzése</t>
  </si>
  <si>
    <t>Könyvbeszerzés könyvtárba</t>
  </si>
  <si>
    <t>Víziszínpad felújítása</t>
  </si>
  <si>
    <t>Kultúrház felújítása</t>
  </si>
  <si>
    <t>Pécselyi iskolatető javítása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</si>
  <si>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</si>
  <si>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</si>
  <si>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</si>
  <si>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</si>
  <si>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</si>
  <si>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Közfoglalkoztatottak támogatás</t>
  </si>
  <si>
    <t>AZ ÖNKORMÁNYZAT FŐÖSSZESÍTŐJE</t>
  </si>
  <si>
    <t>BEVÉTELEK ELŐIRÁNYZATA</t>
  </si>
  <si>
    <t>Immateriális javak beszerzése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</si>
  <si>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</si>
  <si>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</si>
  <si>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</si>
  <si>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</si>
  <si>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Fajlagos</t>
  </si>
  <si>
    <t>Mutató</t>
  </si>
  <si>
    <t>Létszám</t>
  </si>
  <si>
    <t>I. Berházások</t>
  </si>
  <si>
    <t>II. Felújítások</t>
  </si>
  <si>
    <t>III. Egyéb felhalmozási kiadások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</si>
  <si>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</si>
  <si>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</si>
  <si>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</si>
  <si>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</si>
  <si>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</si>
  <si>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</si>
  <si>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</si>
  <si>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</si>
  <si>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</si>
  <si>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</si>
  <si>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</si>
  <si>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</si>
  <si>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</si>
  <si>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</si>
  <si>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</si>
  <si>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</si>
  <si>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</si>
  <si>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</si>
  <si>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</si>
  <si>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</si>
  <si>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</si>
  <si>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</si>
  <si>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</si>
  <si>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</si>
  <si>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</si>
  <si>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</si>
  <si>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</si>
  <si>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</si>
  <si>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</si>
  <si>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</si>
  <si>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</si>
  <si>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</si>
  <si>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</si>
  <si>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</si>
  <si>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</si>
  <si>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</si>
  <si>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</si>
  <si>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</si>
  <si>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</si>
  <si>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</si>
  <si>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</si>
  <si>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</si>
  <si>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</si>
  <si>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</si>
  <si>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</si>
  <si>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</si>
  <si>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</si>
  <si>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</si>
  <si>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</si>
  <si>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</si>
  <si>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</si>
  <si>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</si>
  <si>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</si>
  <si>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</si>
  <si>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</si>
  <si>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</si>
  <si>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</si>
  <si>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</si>
  <si>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</si>
  <si>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</si>
  <si>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</si>
  <si>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</si>
  <si>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</si>
  <si>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</si>
  <si>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</si>
  <si>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</si>
  <si>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</si>
  <si>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</si>
  <si>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</si>
  <si>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</si>
  <si>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</si>
  <si>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</si>
  <si>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</si>
  <si>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</si>
  <si>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</si>
  <si>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</si>
  <si>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</si>
  <si>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</si>
  <si>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</si>
  <si>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</si>
  <si>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</si>
  <si>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</si>
  <si>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</si>
  <si>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</si>
  <si>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</si>
  <si>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</si>
  <si>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</si>
  <si>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</si>
  <si>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</si>
  <si>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</si>
  <si>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</si>
  <si>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</si>
  <si>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</si>
  <si>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</si>
  <si>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</si>
  <si>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</si>
  <si>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</si>
  <si>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</si>
  <si>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</si>
  <si>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</si>
  <si>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</si>
  <si>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</si>
  <si>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</si>
  <si>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</si>
  <si>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</si>
  <si>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</si>
  <si>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</si>
  <si>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</si>
  <si>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</si>
  <si>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</si>
  <si>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</si>
  <si>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</si>
  <si>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</si>
  <si>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</si>
  <si>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</si>
  <si>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</si>
  <si>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</si>
  <si>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</si>
  <si>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</si>
  <si>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</si>
  <si>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</si>
  <si>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</si>
  <si>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</si>
  <si>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</si>
  <si>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</si>
  <si>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</si>
  <si>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</si>
  <si>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</si>
  <si>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</si>
  <si>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</si>
  <si>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</si>
  <si>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</si>
  <si>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</si>
  <si>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</si>
  <si>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</si>
  <si>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</si>
  <si>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</si>
  <si>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</si>
  <si>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</si>
  <si>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</si>
  <si>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</si>
  <si>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</si>
  <si>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</si>
  <si>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ÁLLAMI TÁMOGATÁSOK 2018. ÉV</t>
  </si>
  <si>
    <t>I. HELYI ÖNKORMÁNYZATOK MŰKÖDÉSÉNEK ÁLTALÁNOS TÁMOGATÁSA</t>
  </si>
  <si>
    <t>5. 2017. évről áthúzódó bérkompenzáció támogatása</t>
  </si>
  <si>
    <t>6. Polgármesteri illetmény támogatása</t>
  </si>
  <si>
    <t>1. Szociális ágazati összevont pótlék</t>
  </si>
  <si>
    <t>2. A települési önkormányzatok szociális feladatainak egyéb támogatása</t>
  </si>
  <si>
    <t>3. Egyéb szociális és gyermekjóléti feladatok támogatása</t>
  </si>
  <si>
    <t>MŰKÖDÉSI KIADÁSOK 2018. ÉV</t>
  </si>
  <si>
    <t>Helyi önkormányzatok kiegészítő támogatásai (működési)</t>
  </si>
  <si>
    <t>III. SZOCIÁLIS, GYERMEKJÓLÉTI  ÉS GYERMEKÉTKEZTETÉSI FELADATOK</t>
  </si>
  <si>
    <t>FELHALMOZÁSI KIADÁSOK 2018. ÉV</t>
  </si>
  <si>
    <t>Eszközbeszerzés könyvtárba</t>
  </si>
  <si>
    <t>IV. A TELEPÜLÉSI ÖNKORMÁNYZATOK KULTURÁLIS FELADATAINAK TÁMOGATÁSA</t>
  </si>
  <si>
    <t>1. Települési önkormányzatok nyilvános könyvtári és közművelődési feladatainak támogatása</t>
  </si>
  <si>
    <t>Az Önkormányzat működési bevételei és kiadásai 2018. év</t>
  </si>
  <si>
    <t xml:space="preserve"> Az Önkormányzat kötelező feladatok bevételei és kiadásai 2018. év</t>
  </si>
  <si>
    <t xml:space="preserve"> Az Önkormányzat önként vállalt feladatok bevételei és kiadásai  2018. év</t>
  </si>
  <si>
    <t xml:space="preserve"> Az Önkormányzat állami (államigazgatási) feladatok bevételei és kiadásai  2018. év</t>
  </si>
  <si>
    <t>Informatikai eszközök beszerzése</t>
  </si>
  <si>
    <t>Egyéb tárgyi eszköz beszerzése</t>
  </si>
  <si>
    <t>Rendezési terv felülvizsgálat</t>
  </si>
  <si>
    <t>Új telkek közművesítése (András utca)</t>
  </si>
  <si>
    <t>Számítógép, nyomtató beszerzés - könyvtár</t>
  </si>
  <si>
    <t>Buszmegálló létesítése</t>
  </si>
  <si>
    <t>Új telkek áramellátás és közvilágítás kiépítése (András utca)</t>
  </si>
  <si>
    <t>Közoktatási Intézményfenntartó Társulás Pécsely Óvoda felhalmozási támogatás</t>
  </si>
  <si>
    <t>Magassági ágvágó</t>
  </si>
  <si>
    <t>Virágládák beszerzése pályázat alapján 04/191/2017</t>
  </si>
  <si>
    <t>Karbantartási, kisjavítási szolgáltatások</t>
  </si>
  <si>
    <t>Üzemeltetési anyagok beszerzése</t>
  </si>
  <si>
    <t>Szakmai anyagok beszerzése</t>
  </si>
  <si>
    <t xml:space="preserve">Önkormányzati támogatás, átmeneti segély </t>
  </si>
  <si>
    <t>Informatikai szolgáltatások igénybevétele</t>
  </si>
  <si>
    <t>Egyéb kommunikációs szolgáltatások</t>
  </si>
  <si>
    <t>Működési célú előzetesen felszámított áfa</t>
  </si>
  <si>
    <t>Keresztfa utca árok felújítása BMKAT/1-4/2017.</t>
  </si>
  <si>
    <t xml:space="preserve"> Az Önkormányzat felhalmozási bevételei és kiadásai  2018. év</t>
  </si>
  <si>
    <t xml:space="preserve">      e) Falugondnoki vagy tanyagondnoki szolgáltatás</t>
  </si>
  <si>
    <t>Bevétele és kiadások mérlege 2018. év</t>
  </si>
  <si>
    <r>
      <t>BEVÉTELEK ÉS KIADÁSOK ELŐIRÁNYZATÁNAK HAVI ÜTEMEZÉSE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2018.</t>
    </r>
  </si>
  <si>
    <t>2018. évi eredeti előirányzat</t>
  </si>
  <si>
    <t xml:space="preserve">I. Módosítás </t>
  </si>
  <si>
    <t>Eltérés</t>
  </si>
  <si>
    <t>I. Módosítás</t>
  </si>
  <si>
    <t>Elérés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</si>
  <si>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</si>
  <si>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</si>
  <si>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</si>
  <si>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II. Módosítás</t>
  </si>
  <si>
    <t>Szakmai tevékenységet segítő szolgáltatások</t>
  </si>
  <si>
    <t>Kukolla felújítása - Humánszolgáltatások EFOP-1.5.2-16-2017-00016</t>
  </si>
  <si>
    <t>Dologi kiadások - Humánszolgáltatások EFOP-1.5.2-16-2017-00016</t>
  </si>
  <si>
    <t>III. Módosítás</t>
  </si>
  <si>
    <t>9. A települési önkormányzatok szociális célú tüzelőanyag vásárlásához kapcsolódó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</si>
</sst>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2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265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3" fontId="24" fillId="0" borderId="12" xfId="48" applyNumberFormat="1" applyFont="1" applyBorder="1"/>
    <xf numFmtId="0" fontId="24" fillId="0" borderId="20" xfId="48" applyFont="1" applyBorder="1" applyAlignment="1">
      <alignment horizontal="center" vertical="center" wrapText="1"/>
    </xf>
    <xf numFmtId="0" fontId="25" fillId="29" borderId="14" xfId="47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2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3" fontId="25" fillId="0" borderId="0" xfId="0" applyNumberFormat="1" applyFont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3" fontId="24" fillId="0" borderId="12" xfId="48" applyNumberFormat="1" applyFont="1" applyFill="1" applyBorder="1" applyAlignment="1">
      <alignment horizontal="right" wrapText="1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3" fontId="24" fillId="0" borderId="12" xfId="44" applyNumberFormat="1" applyFont="1" applyBorder="1"/>
    <xf numFmtId="0" fontId="24" fillId="0" borderId="0" xfId="44" applyFont="1"/>
    <xf numFmtId="3" fontId="24" fillId="0" borderId="0" xfId="44" applyNumberFormat="1" applyFont="1"/>
    <xf numFmtId="0" fontId="24" fillId="0" borderId="0" xfId="48" applyFont="1" applyFill="1" applyBorder="1"/>
    <xf numFmtId="3" fontId="25" fillId="0" borderId="12" xfId="44" applyNumberFormat="1" applyFont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3" fontId="24" fillId="0" borderId="0" xfId="48" applyNumberFormat="1" applyFont="1" applyFill="1"/>
    <xf numFmtId="0" fontId="0" fillId="29" borderId="24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0" borderId="12" xfId="48" applyNumberFormat="1" applyFont="1" applyFill="1" applyBorder="1" applyAlignment="1">
      <alignment horizontal="right" wrapText="1"/>
    </xf>
    <xf numFmtId="0" fontId="25" fillId="0" borderId="0" xfId="82" applyFont="1" applyFill="1" applyBorder="1"/>
    <xf numFmtId="0" fontId="25" fillId="0" borderId="0" xfId="0" applyFont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4" fontId="24" fillId="0" borderId="12" xfId="45" applyNumberFormat="1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165" fontId="24" fillId="29" borderId="12" xfId="45" applyNumberFormat="1" applyFont="1" applyFill="1" applyBorder="1"/>
    <xf numFmtId="2" fontId="24" fillId="0" borderId="12" xfId="45" applyNumberFormat="1" applyFont="1" applyFill="1" applyBorder="1"/>
    <xf numFmtId="0" fontId="25" fillId="0" borderId="0" xfId="0" applyFont="1" applyFill="1"/>
    <xf numFmtId="0" fontId="24" fillId="0" borderId="12" xfId="45" applyFont="1" applyBorder="1"/>
    <xf numFmtId="3" fontId="24" fillId="29" borderId="17" xfId="48" applyNumberFormat="1" applyFont="1" applyFill="1" applyBorder="1" applyAlignment="1">
      <alignment horizontal="right" wrapText="1"/>
    </xf>
    <xf numFmtId="0" fontId="24" fillId="29" borderId="12" xfId="48" applyFont="1" applyFill="1" applyBorder="1" applyAlignment="1">
      <alignment horizontal="center" vertical="center" wrapText="1"/>
    </xf>
    <xf numFmtId="3" fontId="25" fillId="29" borderId="22" xfId="48" applyNumberFormat="1" applyFont="1" applyFill="1" applyBorder="1" applyAlignment="1">
      <alignment horizontal="right" wrapText="1"/>
    </xf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4" fillId="0" borderId="12" xfId="44" applyNumberFormat="1" applyFont="1" applyBorder="1" applyAlignment="1">
      <alignment wrapText="1"/>
    </xf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0" fontId="24" fillId="0" borderId="25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4" fillId="29" borderId="26" xfId="48" applyNumberFormat="1" applyFont="1" applyFill="1" applyBorder="1" applyAlignment="1">
      <alignment horizontal="right"/>
    </xf>
    <xf numFmtId="3" fontId="26" fillId="29" borderId="0" xfId="48" applyNumberFormat="1" applyFont="1" applyFill="1" applyBorder="1"/>
    <xf numFmtId="3" fontId="26" fillId="29" borderId="15" xfId="48" applyNumberFormat="1" applyFont="1" applyFill="1" applyBorder="1" applyAlignment="1">
      <alignment horizontal="right"/>
    </xf>
    <xf numFmtId="0" fontId="24" fillId="0" borderId="21" xfId="48" applyFont="1" applyBorder="1" applyAlignment="1">
      <alignment horizontal="center" vertical="center" wrapText="1"/>
    </xf>
    <xf numFmtId="49" fontId="25" fillId="0" borderId="0" xfId="0" applyNumberFormat="1" applyFont="1" applyFill="1" applyAlignment="1">
      <alignment horizontal="left" wrapText="1"/>
    </xf>
    <xf numFmtId="0" fontId="24" fillId="0" borderId="0" xfId="0" applyFont="1" applyFill="1"/>
    <xf numFmtId="49" fontId="25" fillId="0" borderId="14" xfId="0" applyNumberFormat="1" applyFont="1" applyFill="1" applyBorder="1" applyAlignment="1">
      <alignment horizontal="left" wrapText="1"/>
    </xf>
    <xf numFmtId="0" fontId="25" fillId="0" borderId="12" xfId="0" applyFont="1" applyFill="1" applyBorder="1"/>
    <xf numFmtId="0" fontId="24" fillId="0" borderId="15" xfId="0" applyFont="1" applyFill="1" applyBorder="1" applyAlignment="1">
      <alignment horizontal="right"/>
    </xf>
    <xf numFmtId="49" fontId="24" fillId="0" borderId="14" xfId="0" applyNumberFormat="1" applyFont="1" applyFill="1" applyBorder="1" applyAlignment="1">
      <alignment horizontal="left" wrapText="1"/>
    </xf>
    <xf numFmtId="0" fontId="24" fillId="0" borderId="12" xfId="0" applyFont="1" applyFill="1" applyBorder="1" applyAlignment="1">
      <alignment horizontal="center" wrapText="1"/>
    </xf>
    <xf numFmtId="0" fontId="24" fillId="0" borderId="15" xfId="0" applyFont="1" applyFill="1" applyBorder="1" applyAlignment="1">
      <alignment horizontal="center" wrapText="1"/>
    </xf>
    <xf numFmtId="0" fontId="24" fillId="0" borderId="0" xfId="0" applyFont="1"/>
    <xf numFmtId="3" fontId="24" fillId="0" borderId="12" xfId="0" applyNumberFormat="1" applyFont="1" applyFill="1" applyBorder="1" applyAlignment="1">
      <alignment horizontal="right" wrapText="1"/>
    </xf>
    <xf numFmtId="3" fontId="24" fillId="0" borderId="15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 applyAlignment="1">
      <alignment horizontal="right" wrapText="1"/>
    </xf>
    <xf numFmtId="3" fontId="25" fillId="0" borderId="12" xfId="0" applyNumberFormat="1" applyFont="1" applyFill="1" applyBorder="1"/>
    <xf numFmtId="3" fontId="25" fillId="0" borderId="27" xfId="0" applyNumberFormat="1" applyFont="1" applyFill="1" applyBorder="1"/>
    <xf numFmtId="49" fontId="26" fillId="0" borderId="14" xfId="0" applyNumberFormat="1" applyFont="1" applyFill="1" applyBorder="1" applyAlignment="1">
      <alignment horizontal="left" wrapText="1"/>
    </xf>
    <xf numFmtId="3" fontId="26" fillId="0" borderId="12" xfId="0" applyNumberFormat="1" applyFont="1" applyFill="1" applyBorder="1"/>
    <xf numFmtId="3" fontId="24" fillId="0" borderId="0" xfId="0" applyNumberFormat="1" applyFont="1"/>
    <xf numFmtId="3" fontId="27" fillId="0" borderId="27" xfId="0" applyNumberFormat="1" applyFont="1" applyFill="1" applyBorder="1"/>
    <xf numFmtId="3" fontId="24" fillId="0" borderId="12" xfId="0" applyNumberFormat="1" applyFont="1" applyFill="1" applyBorder="1"/>
    <xf numFmtId="3" fontId="24" fillId="0" borderId="15" xfId="0" applyNumberFormat="1" applyFont="1" applyFill="1" applyBorder="1" applyAlignment="1">
      <alignment horizontal="right"/>
    </xf>
    <xf numFmtId="3" fontId="24" fillId="0" borderId="15" xfId="0" applyNumberFormat="1" applyFont="1" applyFill="1" applyBorder="1"/>
    <xf numFmtId="3" fontId="25" fillId="0" borderId="0" xfId="0" applyNumberFormat="1" applyFont="1" applyFill="1" applyBorder="1"/>
    <xf numFmtId="49" fontId="24" fillId="0" borderId="16" xfId="0" applyNumberFormat="1" applyFont="1" applyFill="1" applyBorder="1" applyAlignment="1">
      <alignment horizontal="left" wrapText="1"/>
    </xf>
    <xf numFmtId="3" fontId="24" fillId="0" borderId="17" xfId="0" applyNumberFormat="1" applyFont="1" applyFill="1" applyBorder="1"/>
    <xf numFmtId="3" fontId="24" fillId="0" borderId="18" xfId="0" applyNumberFormat="1" applyFont="1" applyFill="1" applyBorder="1"/>
    <xf numFmtId="49" fontId="25" fillId="0" borderId="0" xfId="0" applyNumberFormat="1" applyFont="1" applyAlignment="1">
      <alignment horizontal="left" wrapText="1"/>
    </xf>
    <xf numFmtId="3" fontId="24" fillId="0" borderId="12" xfId="43" applyNumberFormat="1" applyFont="1" applyBorder="1" applyAlignment="1">
      <alignment horizontal="center" vertical="center" wrapText="1"/>
    </xf>
    <xf numFmtId="3" fontId="24" fillId="0" borderId="12" xfId="83" applyNumberFormat="1" applyFont="1" applyBorder="1" applyAlignment="1">
      <alignment horizontal="left" wrapText="1"/>
    </xf>
    <xf numFmtId="3" fontId="24" fillId="30" borderId="12" xfId="47" applyNumberFormat="1" applyFont="1" applyFill="1" applyBorder="1" applyAlignment="1">
      <alignment horizontal="right" wrapText="1"/>
    </xf>
    <xf numFmtId="3" fontId="26" fillId="0" borderId="12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left" vertical="center" wrapText="1"/>
    </xf>
    <xf numFmtId="3" fontId="25" fillId="0" borderId="12" xfId="83" applyNumberFormat="1" applyFont="1" applyBorder="1" applyAlignment="1">
      <alignment horizontal="left" wrapText="1"/>
    </xf>
    <xf numFmtId="0" fontId="24" fillId="0" borderId="12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2" xfId="82" applyFont="1" applyFill="1" applyBorder="1" applyAlignment="1">
      <alignment wrapText="1"/>
    </xf>
    <xf numFmtId="3" fontId="24" fillId="0" borderId="12" xfId="43" applyNumberFormat="1" applyFont="1" applyBorder="1" applyAlignment="1">
      <alignment wrapText="1"/>
    </xf>
    <xf numFmtId="3" fontId="25" fillId="0" borderId="12" xfId="43" applyNumberFormat="1" applyFont="1" applyFill="1" applyBorder="1" applyAlignment="1">
      <alignment wrapText="1"/>
    </xf>
    <xf numFmtId="3" fontId="24" fillId="0" borderId="12" xfId="43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/>
    </xf>
    <xf numFmtId="0" fontId="24" fillId="0" borderId="12" xfId="82" applyFont="1" applyFill="1" applyBorder="1" applyAlignment="1">
      <alignment horizontal="center" vertical="center" wrapText="1"/>
    </xf>
    <xf numFmtId="0" fontId="24" fillId="0" borderId="12" xfId="82" applyFont="1" applyFill="1" applyBorder="1" applyAlignment="1">
      <alignment horizontal="left" vertical="center" wrapText="1"/>
    </xf>
    <xf numFmtId="3" fontId="25" fillId="0" borderId="12" xfId="0" applyNumberFormat="1" applyFont="1" applyBorder="1" applyAlignment="1">
      <alignment horizontal="right"/>
    </xf>
    <xf numFmtId="0" fontId="0" fillId="0" borderId="12" xfId="82" applyFont="1" applyFill="1" applyBorder="1" applyAlignment="1">
      <alignment wrapText="1"/>
    </xf>
    <xf numFmtId="0" fontId="0" fillId="0" borderId="12" xfId="82" applyFont="1" applyBorder="1" applyAlignment="1">
      <alignment wrapText="1"/>
    </xf>
    <xf numFmtId="3" fontId="24" fillId="0" borderId="12" xfId="0" applyNumberFormat="1" applyFont="1" applyBorder="1" applyAlignment="1">
      <alignment horizontal="right"/>
    </xf>
    <xf numFmtId="0" fontId="25" fillId="0" borderId="12" xfId="82" applyFont="1" applyFill="1" applyBorder="1"/>
    <xf numFmtId="0" fontId="19" fillId="0" borderId="12" xfId="82" applyFont="1" applyFill="1" applyBorder="1"/>
    <xf numFmtId="0" fontId="24" fillId="0" borderId="12" xfId="47" applyFont="1" applyFill="1" applyBorder="1" applyAlignment="1">
      <alignment horizontal="left" vertical="center" wrapText="1"/>
    </xf>
    <xf numFmtId="0" fontId="24" fillId="0" borderId="12" xfId="82" applyFont="1" applyFill="1" applyBorder="1" applyAlignment="1">
      <alignment vertical="center" wrapText="1"/>
    </xf>
    <xf numFmtId="0" fontId="24" fillId="0" borderId="12" xfId="82" applyFont="1" applyFill="1" applyBorder="1" applyAlignment="1">
      <alignment vertical="center"/>
    </xf>
    <xf numFmtId="3" fontId="24" fillId="0" borderId="12" xfId="82" applyNumberFormat="1" applyFont="1" applyFill="1" applyBorder="1" applyAlignment="1">
      <alignment horizontal="right" vertical="center"/>
    </xf>
    <xf numFmtId="0" fontId="24" fillId="0" borderId="12" xfId="48" applyFont="1" applyFill="1" applyBorder="1" applyAlignment="1">
      <alignment horizontal="center" vertical="center" wrapText="1"/>
    </xf>
    <xf numFmtId="0" fontId="24" fillId="0" borderId="12" xfId="48" applyFont="1" applyFill="1" applyBorder="1" applyAlignment="1">
      <alignment horizontal="left" vertical="center" wrapText="1" indent="1"/>
    </xf>
    <xf numFmtId="0" fontId="25" fillId="0" borderId="12" xfId="44" applyFont="1" applyBorder="1"/>
    <xf numFmtId="0" fontId="24" fillId="0" borderId="12" xfId="48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2"/>
    </xf>
    <xf numFmtId="3" fontId="25" fillId="0" borderId="12" xfId="0" applyNumberFormat="1" applyFont="1" applyBorder="1"/>
    <xf numFmtId="0" fontId="25" fillId="0" borderId="12" xfId="48" applyFont="1" applyFill="1" applyBorder="1" applyAlignment="1">
      <alignment horizontal="left" vertical="center" wrapText="1" indent="1"/>
    </xf>
    <xf numFmtId="3" fontId="24" fillId="29" borderId="12" xfId="45" applyNumberFormat="1" applyFont="1" applyFill="1" applyBorder="1" applyAlignment="1">
      <alignment horizontal="right"/>
    </xf>
    <xf numFmtId="0" fontId="25" fillId="0" borderId="12" xfId="0" applyFont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2" xfId="46" applyFont="1" applyFill="1" applyBorder="1"/>
    <xf numFmtId="0" fontId="25" fillId="0" borderId="12" xfId="46" applyFont="1" applyFill="1" applyBorder="1"/>
    <xf numFmtId="3" fontId="25" fillId="0" borderId="12" xfId="45" applyNumberFormat="1" applyFont="1" applyBorder="1"/>
    <xf numFmtId="0" fontId="24" fillId="0" borderId="12" xfId="0" applyFont="1" applyBorder="1"/>
    <xf numFmtId="3" fontId="24" fillId="0" borderId="12" xfId="45" applyNumberFormat="1" applyFont="1" applyBorder="1"/>
    <xf numFmtId="0" fontId="25" fillId="0" borderId="12" xfId="45" applyFont="1" applyFill="1" applyBorder="1" applyAlignment="1">
      <alignment wrapText="1"/>
    </xf>
    <xf numFmtId="0" fontId="28" fillId="0" borderId="12" xfId="45" applyFont="1" applyFill="1" applyBorder="1"/>
    <xf numFmtId="0" fontId="25" fillId="0" borderId="12" xfId="45" applyFont="1" applyBorder="1"/>
    <xf numFmtId="0" fontId="25" fillId="0" borderId="12" xfId="48" applyFont="1" applyBorder="1" applyAlignment="1">
      <alignment horizontal="left" wrapText="1"/>
    </xf>
    <xf numFmtId="0" fontId="25" fillId="29" borderId="12" xfId="47" applyFont="1" applyFill="1" applyBorder="1" applyAlignment="1">
      <alignment wrapText="1"/>
    </xf>
    <xf numFmtId="0" fontId="24" fillId="0" borderId="12" xfId="48" applyFont="1" applyBorder="1" applyAlignment="1">
      <alignment horizontal="left" wrapText="1"/>
    </xf>
    <xf numFmtId="0" fontId="24" fillId="29" borderId="12" xfId="48" applyFont="1" applyFill="1" applyBorder="1" applyAlignment="1">
      <alignment horizontal="left" wrapText="1"/>
    </xf>
    <xf numFmtId="0" fontId="24" fillId="0" borderId="12" xfId="48" applyFont="1" applyBorder="1"/>
    <xf numFmtId="0" fontId="25" fillId="0" borderId="12" xfId="48" applyFont="1" applyBorder="1"/>
    <xf numFmtId="0" fontId="25" fillId="0" borderId="12" xfId="48" applyFont="1" applyFill="1" applyBorder="1" applyAlignment="1">
      <alignment horizontal="left" wrapText="1"/>
    </xf>
    <xf numFmtId="0" fontId="24" fillId="0" borderId="12" xfId="48" applyFont="1" applyFill="1" applyBorder="1" applyAlignment="1">
      <alignment horizontal="left" wrapText="1"/>
    </xf>
    <xf numFmtId="0" fontId="25" fillId="0" borderId="12" xfId="48" applyFont="1" applyBorder="1" applyAlignment="1">
      <alignment wrapText="1"/>
    </xf>
    <xf numFmtId="3" fontId="26" fillId="29" borderId="22" xfId="48" applyNumberFormat="1" applyFont="1" applyFill="1" applyBorder="1" applyAlignment="1">
      <alignment horizontal="right"/>
    </xf>
    <xf numFmtId="3" fontId="24" fillId="0" borderId="22" xfId="84" applyNumberFormat="1" applyFont="1" applyBorder="1"/>
    <xf numFmtId="3" fontId="24" fillId="0" borderId="26" xfId="84" applyNumberFormat="1" applyFont="1" applyBorder="1"/>
    <xf numFmtId="0" fontId="24" fillId="0" borderId="12" xfId="48" applyFont="1" applyBorder="1" applyAlignment="1">
      <alignment horizontal="center" vertical="center"/>
    </xf>
    <xf numFmtId="3" fontId="25" fillId="29" borderId="12" xfId="48" applyNumberFormat="1" applyFont="1" applyFill="1" applyBorder="1" applyAlignment="1">
      <alignment wrapText="1"/>
    </xf>
    <xf numFmtId="3" fontId="25" fillId="29" borderId="12" xfId="47" applyNumberFormat="1" applyFont="1" applyFill="1" applyBorder="1" applyAlignment="1">
      <alignment wrapText="1"/>
    </xf>
    <xf numFmtId="0" fontId="24" fillId="0" borderId="0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12" xfId="45" applyFont="1" applyFill="1" applyBorder="1" applyAlignment="1">
      <alignment horizontal="center" vertical="center"/>
    </xf>
    <xf numFmtId="0" fontId="24" fillId="0" borderId="12" xfId="45" applyFont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/>
    </xf>
    <xf numFmtId="0" fontId="24" fillId="29" borderId="12" xfId="45" applyFont="1" applyFill="1" applyBorder="1" applyAlignment="1">
      <alignment horizontal="center" vertical="center" wrapText="1"/>
    </xf>
    <xf numFmtId="0" fontId="24" fillId="0" borderId="1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6" fillId="0" borderId="22" xfId="83" applyNumberFormat="1" applyFont="1" applyBorder="1" applyAlignment="1">
      <alignment horizontal="left" wrapText="1"/>
    </xf>
    <xf numFmtId="3" fontId="26" fillId="0" borderId="28" xfId="83" applyNumberFormat="1" applyFont="1" applyBorder="1" applyAlignment="1">
      <alignment horizontal="left" wrapText="1"/>
    </xf>
    <xf numFmtId="3" fontId="26" fillId="0" borderId="29" xfId="83" applyNumberFormat="1" applyFont="1" applyBorder="1" applyAlignment="1">
      <alignment horizontal="left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25" fillId="0" borderId="0" xfId="0" applyFont="1" applyFill="1" applyAlignment="1">
      <alignment horizontal="right"/>
    </xf>
    <xf numFmtId="0" fontId="24" fillId="0" borderId="19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0" fontId="24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26">
          <cell r="C26">
            <v>3097542</v>
          </cell>
        </row>
      </sheetData>
      <sheetData sheetId="2">
        <row r="20">
          <cell r="B20">
            <v>75000000</v>
          </cell>
        </row>
        <row r="52">
          <cell r="B52">
            <v>0</v>
          </cell>
        </row>
        <row r="54">
          <cell r="B54">
            <v>0</v>
          </cell>
        </row>
        <row r="63">
          <cell r="B63">
            <v>0</v>
          </cell>
        </row>
        <row r="70">
          <cell r="B70">
            <v>0</v>
          </cell>
        </row>
      </sheetData>
      <sheetData sheetId="3"/>
      <sheetData sheetId="4">
        <row r="6">
          <cell r="B6">
            <v>6405000</v>
          </cell>
        </row>
      </sheetData>
      <sheetData sheetId="5">
        <row r="4">
          <cell r="C4">
            <v>7522891</v>
          </cell>
        </row>
      </sheetData>
      <sheetData sheetId="6">
        <row r="4">
          <cell r="B4">
            <v>24270000</v>
          </cell>
        </row>
        <row r="27">
          <cell r="B27">
            <v>0</v>
          </cell>
          <cell r="E27">
            <v>0</v>
          </cell>
        </row>
      </sheetData>
      <sheetData sheetId="7">
        <row r="6">
          <cell r="B6">
            <v>21955111</v>
          </cell>
        </row>
        <row r="9">
          <cell r="B9">
            <v>0</v>
          </cell>
        </row>
        <row r="30">
          <cell r="B30">
            <v>0</v>
          </cell>
        </row>
        <row r="31">
          <cell r="B31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36"/>
  <sheetViews>
    <sheetView tabSelected="1" view="pageLayout" topLeftCell="A3" zoomScaleNormal="75" zoomScaleSheetLayoutView="89" workbookViewId="0">
      <selection activeCell="A3" sqref="A3:F3"/>
    </sheetView>
  </sheetViews>
  <sheetFormatPr defaultColWidth="8.5703125" defaultRowHeight="15.75" x14ac:dyDescent="0.25"/>
  <cols>
    <col min="1" max="1" width="40.42578125" style="14" customWidth="1"/>
    <col min="2" max="6" width="15.28515625" style="2" customWidth="1"/>
    <col min="7" max="7" width="10.140625" style="2" bestFit="1" customWidth="1"/>
    <col min="8" max="8" width="12.42578125" style="2" bestFit="1" customWidth="1"/>
    <col min="9" max="16384" width="8.5703125" style="2"/>
  </cols>
  <sheetData>
    <row r="1" spans="1:8" hidden="1" x14ac:dyDescent="0.25">
      <c r="A1" s="1"/>
    </row>
    <row r="2" spans="1:8" hidden="1" x14ac:dyDescent="0.25">
      <c r="A2" s="1"/>
    </row>
    <row r="3" spans="1:8" ht="45" customHeight="1" x14ac:dyDescent="0.25">
      <c r="A3" s="242" t="s">
        <v>137</v>
      </c>
      <c r="B3" s="242"/>
      <c r="C3" s="242"/>
      <c r="D3" s="242"/>
      <c r="E3" s="242"/>
      <c r="F3" s="242"/>
    </row>
    <row r="4" spans="1:8" s="9" customFormat="1" ht="56.25" customHeight="1" x14ac:dyDescent="0.2">
      <c r="A4" s="15" t="s">
        <v>90</v>
      </c>
      <c r="B4" s="15" t="s">
        <v>333</v>
      </c>
      <c r="C4" s="15" t="s">
        <v>334</v>
      </c>
      <c r="D4" s="15" t="s">
        <v>341</v>
      </c>
      <c r="E4" s="15" t="s">
        <v>345</v>
      </c>
      <c r="F4" s="15" t="s">
        <v>335</v>
      </c>
    </row>
    <row r="5" spans="1:8" ht="31.5" x14ac:dyDescent="0.25">
      <c r="A5" s="227" t="s">
        <v>3</v>
      </c>
      <c r="B5" s="4">
        <f>'2.sz.tábla'!B5</f>
        <v>22292477</v>
      </c>
      <c r="C5" s="4">
        <f>'2.sz.tábla'!C5</f>
        <v>24639888</v>
      </c>
      <c r="D5" s="4">
        <f>'2.sz.tábla'!D5</f>
        <v>33144649</v>
      </c>
      <c r="E5" s="4">
        <f>'2.sz.tábla'!E5</f>
        <v>39571369</v>
      </c>
      <c r="F5" s="4">
        <f>E5-D5</f>
        <v>6426720</v>
      </c>
    </row>
    <row r="6" spans="1:8" ht="31.5" x14ac:dyDescent="0.25">
      <c r="A6" s="227" t="s">
        <v>4</v>
      </c>
      <c r="B6" s="4">
        <f>'2.sz.tábla'!B18</f>
        <v>0</v>
      </c>
      <c r="C6" s="4">
        <f>'2.sz.tábla'!C18</f>
        <v>0</v>
      </c>
      <c r="D6" s="4">
        <f>'2.sz.tábla'!D18</f>
        <v>30000000</v>
      </c>
      <c r="E6" s="4">
        <f>'2.sz.tábla'!E18</f>
        <v>30000000</v>
      </c>
      <c r="F6" s="4">
        <f t="shared" ref="F6:F11" si="0">E6-D6</f>
        <v>0</v>
      </c>
    </row>
    <row r="7" spans="1:8" ht="21.75" customHeight="1" x14ac:dyDescent="0.25">
      <c r="A7" s="227" t="s">
        <v>5</v>
      </c>
      <c r="B7" s="4">
        <f>'2.sz.tábla'!B25</f>
        <v>10600000</v>
      </c>
      <c r="C7" s="4">
        <f>'2.sz.tábla'!C25</f>
        <v>10600000</v>
      </c>
      <c r="D7" s="4">
        <f>'2.sz.tábla'!D25</f>
        <v>10600000</v>
      </c>
      <c r="E7" s="4">
        <f>'2.sz.tábla'!E25</f>
        <v>10600000</v>
      </c>
      <c r="F7" s="4">
        <f t="shared" si="0"/>
        <v>0</v>
      </c>
    </row>
    <row r="8" spans="1:8" ht="22.5" customHeight="1" x14ac:dyDescent="0.25">
      <c r="A8" s="227" t="s">
        <v>6</v>
      </c>
      <c r="B8" s="4">
        <f>'2.sz.tábla'!B38</f>
        <v>2952500</v>
      </c>
      <c r="C8" s="4">
        <f>'2.sz.tábla'!C38</f>
        <v>2952500</v>
      </c>
      <c r="D8" s="4">
        <f>'2.sz.tábla'!D38</f>
        <v>2952500</v>
      </c>
      <c r="E8" s="4">
        <f>'2.sz.tábla'!E38</f>
        <v>2952500</v>
      </c>
      <c r="F8" s="4">
        <f t="shared" si="0"/>
        <v>0</v>
      </c>
    </row>
    <row r="9" spans="1:8" ht="24" customHeight="1" x14ac:dyDescent="0.25">
      <c r="A9" s="227" t="s">
        <v>7</v>
      </c>
      <c r="B9" s="4">
        <f>'2.sz.tábla'!B50</f>
        <v>0</v>
      </c>
      <c r="C9" s="4">
        <f>'2.sz.tábla'!C50</f>
        <v>0</v>
      </c>
      <c r="D9" s="4">
        <f>'2.sz.tábla'!D50</f>
        <v>0</v>
      </c>
      <c r="E9" s="4">
        <f>'2.sz.tábla'!E50</f>
        <v>0</v>
      </c>
      <c r="F9" s="4">
        <f t="shared" si="0"/>
        <v>0</v>
      </c>
    </row>
    <row r="10" spans="1:8" ht="27" customHeight="1" x14ac:dyDescent="0.25">
      <c r="A10" s="228" t="s">
        <v>8</v>
      </c>
      <c r="B10" s="4">
        <f>'2.sz.tábla'!B55</f>
        <v>0</v>
      </c>
      <c r="C10" s="4">
        <f>'2.sz.tábla'!C55</f>
        <v>0</v>
      </c>
      <c r="D10" s="4">
        <f>'2.sz.tábla'!D55</f>
        <v>0</v>
      </c>
      <c r="E10" s="4">
        <f>'2.sz.tábla'!E55</f>
        <v>0</v>
      </c>
      <c r="F10" s="4">
        <f t="shared" si="0"/>
        <v>0</v>
      </c>
      <c r="H10" s="41"/>
    </row>
    <row r="11" spans="1:8" ht="24" customHeight="1" x14ac:dyDescent="0.25">
      <c r="A11" s="228" t="s">
        <v>9</v>
      </c>
      <c r="B11" s="4">
        <f>'2.sz.tábla'!B59</f>
        <v>0</v>
      </c>
      <c r="C11" s="4">
        <f>'2.sz.tábla'!C59</f>
        <v>0</v>
      </c>
      <c r="D11" s="4">
        <f>'2.sz.tábla'!D59</f>
        <v>0</v>
      </c>
      <c r="E11" s="4">
        <f>'2.sz.tábla'!E59</f>
        <v>0</v>
      </c>
      <c r="F11" s="4">
        <f t="shared" si="0"/>
        <v>0</v>
      </c>
    </row>
    <row r="12" spans="1:8" s="10" customFormat="1" ht="24" customHeight="1" x14ac:dyDescent="0.25">
      <c r="A12" s="229" t="s">
        <v>10</v>
      </c>
      <c r="B12" s="6">
        <f t="shared" ref="B12:E12" si="1">SUM(B5:B11)</f>
        <v>35844977</v>
      </c>
      <c r="C12" s="6">
        <f t="shared" si="1"/>
        <v>38192388</v>
      </c>
      <c r="D12" s="6">
        <f t="shared" si="1"/>
        <v>76697149</v>
      </c>
      <c r="E12" s="6">
        <f t="shared" si="1"/>
        <v>83123869</v>
      </c>
      <c r="F12" s="6">
        <f>E12-D12</f>
        <v>6426720</v>
      </c>
    </row>
    <row r="13" spans="1:8" ht="31.5" x14ac:dyDescent="0.25">
      <c r="A13" s="227" t="s">
        <v>94</v>
      </c>
      <c r="B13" s="4">
        <f>'2.sz.tábla'!B64</f>
        <v>100876000</v>
      </c>
      <c r="C13" s="4">
        <f>'2.sz.tábla'!C64</f>
        <v>104428660</v>
      </c>
      <c r="D13" s="4">
        <f>'2.sz.tábla'!D64</f>
        <v>104428660</v>
      </c>
      <c r="E13" s="4">
        <f>'2.sz.tábla'!E64</f>
        <v>104428660</v>
      </c>
      <c r="F13" s="4">
        <f>E13-D13</f>
        <v>0</v>
      </c>
    </row>
    <row r="14" spans="1:8" ht="48.75" customHeight="1" x14ac:dyDescent="0.25">
      <c r="A14" s="227" t="s">
        <v>12</v>
      </c>
      <c r="B14" s="4">
        <f>'2.sz.tábla'!B67</f>
        <v>653076</v>
      </c>
      <c r="C14" s="4">
        <f>'2.sz.tábla'!C67</f>
        <v>1216076</v>
      </c>
      <c r="D14" s="4">
        <f>'2.sz.tábla'!D67</f>
        <v>1216076</v>
      </c>
      <c r="E14" s="4">
        <f>'2.sz.tábla'!E67</f>
        <v>1216076</v>
      </c>
      <c r="F14" s="4">
        <f>E14-D14</f>
        <v>0</v>
      </c>
    </row>
    <row r="15" spans="1:8" s="10" customFormat="1" ht="22.5" customHeight="1" x14ac:dyDescent="0.25">
      <c r="A15" s="228" t="s">
        <v>11</v>
      </c>
      <c r="B15" s="113">
        <f>B13+B14</f>
        <v>101529076</v>
      </c>
      <c r="C15" s="113">
        <f t="shared" ref="C15:E15" si="2">C13+C14</f>
        <v>105644736</v>
      </c>
      <c r="D15" s="113">
        <f t="shared" si="2"/>
        <v>105644736</v>
      </c>
      <c r="E15" s="113">
        <f t="shared" si="2"/>
        <v>105644736</v>
      </c>
      <c r="F15" s="4">
        <f>E15-D15</f>
        <v>0</v>
      </c>
    </row>
    <row r="16" spans="1:8" s="10" customFormat="1" ht="18" customHeight="1" x14ac:dyDescent="0.25">
      <c r="A16" s="230" t="s">
        <v>13</v>
      </c>
      <c r="B16" s="5">
        <f>B12+B15</f>
        <v>137374053</v>
      </c>
      <c r="C16" s="5">
        <f>C12+C15</f>
        <v>143837124</v>
      </c>
      <c r="D16" s="5">
        <f>D12+D15</f>
        <v>182341885</v>
      </c>
      <c r="E16" s="5">
        <f>E12+E15</f>
        <v>188768605</v>
      </c>
      <c r="F16" s="5">
        <f>E16-D16</f>
        <v>6426720</v>
      </c>
      <c r="H16" s="40"/>
    </row>
    <row r="17" spans="1:12" s="10" customFormat="1" ht="14.25" customHeight="1" x14ac:dyDescent="0.25">
      <c r="A17" s="230"/>
      <c r="B17" s="4"/>
      <c r="C17" s="231"/>
      <c r="D17" s="231"/>
      <c r="E17" s="231"/>
      <c r="F17" s="4"/>
      <c r="G17" s="11"/>
      <c r="H17" s="11"/>
      <c r="I17" s="11"/>
      <c r="J17" s="11"/>
      <c r="K17" s="11"/>
      <c r="L17" s="11"/>
    </row>
    <row r="18" spans="1:12" s="13" customFormat="1" ht="20.100000000000001" customHeight="1" x14ac:dyDescent="0.25">
      <c r="A18" s="229" t="s">
        <v>14</v>
      </c>
      <c r="B18" s="6">
        <f t="shared" ref="B18:E18" si="3">B19</f>
        <v>34554073</v>
      </c>
      <c r="C18" s="6">
        <f t="shared" si="3"/>
        <v>40967052</v>
      </c>
      <c r="D18" s="6">
        <f t="shared" si="3"/>
        <v>67448242</v>
      </c>
      <c r="E18" s="6">
        <f t="shared" si="3"/>
        <v>67933962</v>
      </c>
      <c r="F18" s="6">
        <f>E18-D18</f>
        <v>485720</v>
      </c>
      <c r="G18" s="12"/>
      <c r="H18" s="12"/>
      <c r="I18" s="12"/>
      <c r="J18" s="12"/>
      <c r="K18" s="12"/>
      <c r="L18" s="12"/>
    </row>
    <row r="19" spans="1:12" ht="20.25" customHeight="1" x14ac:dyDescent="0.25">
      <c r="A19" s="227" t="s">
        <v>119</v>
      </c>
      <c r="B19" s="4">
        <f>'3.sz.tábla '!B31</f>
        <v>34554073</v>
      </c>
      <c r="C19" s="4">
        <f>'3.sz.tábla '!C31</f>
        <v>40967052</v>
      </c>
      <c r="D19" s="4">
        <f>'3.sz.tábla '!D31</f>
        <v>67448242</v>
      </c>
      <c r="E19" s="4">
        <f>'3.sz.tábla '!E31</f>
        <v>67933962</v>
      </c>
      <c r="F19" s="4">
        <f>E19-D19</f>
        <v>485720</v>
      </c>
    </row>
    <row r="20" spans="1:12" s="10" customFormat="1" ht="20.100000000000001" customHeight="1" x14ac:dyDescent="0.25">
      <c r="A20" s="229" t="s">
        <v>15</v>
      </c>
      <c r="B20" s="3">
        <f>SUM(B21:B23)</f>
        <v>97450041</v>
      </c>
      <c r="C20" s="3">
        <f t="shared" ref="C20:E20" si="4">SUM(C21:C23)</f>
        <v>97925041</v>
      </c>
      <c r="D20" s="3">
        <f t="shared" si="4"/>
        <v>108343637</v>
      </c>
      <c r="E20" s="3">
        <f t="shared" si="4"/>
        <v>108343637</v>
      </c>
      <c r="F20" s="3">
        <f>E20-D20</f>
        <v>0</v>
      </c>
    </row>
    <row r="21" spans="1:12" ht="20.100000000000001" customHeight="1" x14ac:dyDescent="0.25">
      <c r="A21" s="227" t="s">
        <v>88</v>
      </c>
      <c r="B21" s="4">
        <f>'5. sz. tábla'!B4</f>
        <v>9535474</v>
      </c>
      <c r="C21" s="4">
        <f>'5. sz. tábla'!C4</f>
        <v>9735474</v>
      </c>
      <c r="D21" s="4">
        <f>'5. sz. tábla'!D4</f>
        <v>9735474</v>
      </c>
      <c r="E21" s="4">
        <f>'5. sz. tábla'!E4</f>
        <v>9735474</v>
      </c>
      <c r="F21" s="4">
        <f>E21-D21</f>
        <v>0</v>
      </c>
    </row>
    <row r="22" spans="1:12" s="10" customFormat="1" ht="20.100000000000001" customHeight="1" x14ac:dyDescent="0.25">
      <c r="A22" s="227" t="s">
        <v>89</v>
      </c>
      <c r="B22" s="4">
        <f>'5. sz. tábla'!B20</f>
        <v>87888092</v>
      </c>
      <c r="C22" s="4">
        <f>'5. sz. tábla'!C20</f>
        <v>88163092</v>
      </c>
      <c r="D22" s="4">
        <f>'5. sz. tábla'!D20</f>
        <v>98581688</v>
      </c>
      <c r="E22" s="4">
        <f>'5. sz. tábla'!E20</f>
        <v>98581688</v>
      </c>
      <c r="F22" s="4">
        <f t="shared" ref="F22:F23" si="5">E22-D22</f>
        <v>0</v>
      </c>
    </row>
    <row r="23" spans="1:12" ht="20.100000000000001" customHeight="1" x14ac:dyDescent="0.25">
      <c r="A23" s="227" t="s">
        <v>118</v>
      </c>
      <c r="B23" s="4">
        <f>'5. sz. tábla'!B26</f>
        <v>26475</v>
      </c>
      <c r="C23" s="4">
        <f>'5. sz. tábla'!C26</f>
        <v>26475</v>
      </c>
      <c r="D23" s="4">
        <f>'5. sz. tábla'!D26</f>
        <v>26475</v>
      </c>
      <c r="E23" s="4">
        <f>'5. sz. tábla'!E26</f>
        <v>26475</v>
      </c>
      <c r="F23" s="4">
        <f t="shared" si="5"/>
        <v>0</v>
      </c>
    </row>
    <row r="24" spans="1:12" ht="12.75" customHeight="1" x14ac:dyDescent="0.25">
      <c r="A24" s="229"/>
      <c r="B24" s="4"/>
      <c r="C24" s="232"/>
      <c r="D24" s="232"/>
      <c r="E24" s="232"/>
      <c r="F24" s="4"/>
    </row>
    <row r="25" spans="1:12" s="10" customFormat="1" ht="20.100000000000001" customHeight="1" x14ac:dyDescent="0.25">
      <c r="A25" s="229" t="s">
        <v>16</v>
      </c>
      <c r="B25" s="3">
        <f>B26+B27</f>
        <v>3885359</v>
      </c>
      <c r="C25" s="3">
        <f>C26+C27</f>
        <v>2897451</v>
      </c>
      <c r="D25" s="3">
        <f>D26+D27</f>
        <v>4502426</v>
      </c>
      <c r="E25" s="3">
        <f>E26+E27</f>
        <v>10443426</v>
      </c>
      <c r="F25" s="3">
        <f>E25-D25</f>
        <v>5941000</v>
      </c>
      <c r="H25" s="41"/>
    </row>
    <row r="26" spans="1:12" s="10" customFormat="1" ht="20.100000000000001" customHeight="1" x14ac:dyDescent="0.25">
      <c r="A26" s="227" t="s">
        <v>17</v>
      </c>
      <c r="B26" s="4">
        <v>3885359</v>
      </c>
      <c r="C26" s="4">
        <f>3885359+3552660-47500-200000-275000-900000-3069000+14432-63500</f>
        <v>2897451</v>
      </c>
      <c r="D26" s="4">
        <f>2897451+834213</f>
        <v>3731664</v>
      </c>
      <c r="E26" s="4">
        <f>2897451+834213-59000</f>
        <v>3672664</v>
      </c>
      <c r="F26" s="4">
        <f>E26-D26</f>
        <v>-59000</v>
      </c>
      <c r="H26" s="2"/>
    </row>
    <row r="27" spans="1:12" s="89" customFormat="1" ht="20.100000000000001" customHeight="1" x14ac:dyDescent="0.25">
      <c r="A27" s="233" t="s">
        <v>18</v>
      </c>
      <c r="B27" s="70">
        <v>0</v>
      </c>
      <c r="C27" s="4">
        <v>0</v>
      </c>
      <c r="D27" s="4">
        <v>770762</v>
      </c>
      <c r="E27" s="4">
        <f>770762+6000000</f>
        <v>6770762</v>
      </c>
      <c r="F27" s="4">
        <f>E27-D27</f>
        <v>6000000</v>
      </c>
    </row>
    <row r="28" spans="1:12" s="89" customFormat="1" ht="23.25" customHeight="1" x14ac:dyDescent="0.25">
      <c r="A28" s="234" t="s">
        <v>19</v>
      </c>
      <c r="B28" s="71">
        <f>SUM(B25,B20,B18)</f>
        <v>135889473</v>
      </c>
      <c r="C28" s="71">
        <f>SUM(C25,C20,C18)</f>
        <v>141789544</v>
      </c>
      <c r="D28" s="71">
        <f>SUM(D25,D20,D18)</f>
        <v>180294305</v>
      </c>
      <c r="E28" s="71">
        <f>SUM(E25,E20,E18)</f>
        <v>186721025</v>
      </c>
      <c r="F28" s="71">
        <f>E28-D28</f>
        <v>6426720</v>
      </c>
      <c r="H28" s="90"/>
    </row>
    <row r="29" spans="1:12" ht="20.100000000000001" customHeight="1" x14ac:dyDescent="0.25">
      <c r="A29" s="227" t="s">
        <v>20</v>
      </c>
      <c r="B29" s="4">
        <f>'5. sz. tábla'!B29</f>
        <v>0</v>
      </c>
      <c r="C29" s="4">
        <f>'5. sz. tábla'!C29</f>
        <v>0</v>
      </c>
      <c r="D29" s="4">
        <f>'5. sz. tábla'!D29</f>
        <v>0</v>
      </c>
      <c r="E29" s="4">
        <f>'5. sz. tábla'!E29</f>
        <v>0</v>
      </c>
      <c r="F29" s="4">
        <f>D29-C29</f>
        <v>0</v>
      </c>
      <c r="H29" s="41"/>
    </row>
    <row r="30" spans="1:12" ht="22.5" customHeight="1" x14ac:dyDescent="0.25">
      <c r="A30" s="193" t="s">
        <v>83</v>
      </c>
      <c r="B30" s="4">
        <f>'5. sz. tábla'!B30</f>
        <v>0</v>
      </c>
      <c r="C30" s="4">
        <f>'5. sz. tábla'!C30</f>
        <v>0</v>
      </c>
      <c r="D30" s="4">
        <f>'5. sz. tábla'!D30</f>
        <v>0</v>
      </c>
      <c r="E30" s="4">
        <f>'5. sz. tábla'!E30</f>
        <v>0</v>
      </c>
      <c r="F30" s="4">
        <f t="shared" ref="F30" si="6">D30-C30</f>
        <v>0</v>
      </c>
    </row>
    <row r="31" spans="1:12" ht="30" customHeight="1" x14ac:dyDescent="0.25">
      <c r="A31" s="227" t="s">
        <v>98</v>
      </c>
      <c r="B31" s="4">
        <f>'5. sz. tábla'!B31</f>
        <v>1484580</v>
      </c>
      <c r="C31" s="4">
        <f>'5. sz. tábla'!C31</f>
        <v>2047580</v>
      </c>
      <c r="D31" s="4">
        <f>'5. sz. tábla'!D31</f>
        <v>2047580</v>
      </c>
      <c r="E31" s="4">
        <f>'5. sz. tábla'!E31</f>
        <v>2047580</v>
      </c>
      <c r="F31" s="4">
        <f>E31-D31</f>
        <v>0</v>
      </c>
    </row>
    <row r="32" spans="1:12" s="10" customFormat="1" ht="21.75" customHeight="1" x14ac:dyDescent="0.25">
      <c r="A32" s="229" t="s">
        <v>21</v>
      </c>
      <c r="B32" s="3">
        <f t="shared" ref="B32:E32" si="7">SUM(B29:B31)</f>
        <v>1484580</v>
      </c>
      <c r="C32" s="3">
        <f t="shared" si="7"/>
        <v>2047580</v>
      </c>
      <c r="D32" s="3">
        <f t="shared" si="7"/>
        <v>2047580</v>
      </c>
      <c r="E32" s="3">
        <f t="shared" si="7"/>
        <v>2047580</v>
      </c>
      <c r="F32" s="3">
        <f>E32-D32</f>
        <v>0</v>
      </c>
    </row>
    <row r="33" spans="1:7" s="10" customFormat="1" ht="20.100000000000001" customHeight="1" x14ac:dyDescent="0.25">
      <c r="A33" s="230" t="s">
        <v>22</v>
      </c>
      <c r="B33" s="5">
        <f t="shared" ref="B33" si="8">B28+B32</f>
        <v>137374053</v>
      </c>
      <c r="C33" s="5">
        <f>C28+C32</f>
        <v>143837124</v>
      </c>
      <c r="D33" s="5">
        <f>D28+D32</f>
        <v>182341885</v>
      </c>
      <c r="E33" s="5">
        <f>E28+E32</f>
        <v>188768605</v>
      </c>
      <c r="F33" s="5">
        <f>E33-D33</f>
        <v>6426720</v>
      </c>
      <c r="G33" s="40"/>
    </row>
    <row r="34" spans="1:7" x14ac:dyDescent="0.25">
      <c r="A34" s="235"/>
      <c r="B34" s="4">
        <f>B16-B33</f>
        <v>0</v>
      </c>
      <c r="C34" s="4">
        <f>C16-C33</f>
        <v>0</v>
      </c>
      <c r="D34" s="4">
        <f>D16-D33</f>
        <v>0</v>
      </c>
      <c r="E34" s="4">
        <f>E16-E33</f>
        <v>0</v>
      </c>
      <c r="F34" s="4">
        <f>F16-F33</f>
        <v>0</v>
      </c>
    </row>
    <row r="35" spans="1:7" x14ac:dyDescent="0.25">
      <c r="A35" s="235"/>
      <c r="B35" s="4"/>
      <c r="C35" s="232"/>
      <c r="D35" s="232"/>
      <c r="E35" s="232"/>
      <c r="F35" s="4"/>
      <c r="G35" s="41"/>
    </row>
    <row r="36" spans="1:7" x14ac:dyDescent="0.25">
      <c r="A36" s="235"/>
      <c r="B36" s="4"/>
      <c r="C36" s="232"/>
      <c r="D36" s="232"/>
      <c r="E36" s="232"/>
      <c r="F36" s="232"/>
    </row>
  </sheetData>
  <sheetProtection selectLockedCells="1" selectUnlockedCells="1"/>
  <mergeCells count="1">
    <mergeCell ref="A3:F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80" firstPageNumber="0" orientation="portrait" r:id="rId1"/>
  <headerFooter alignWithMargins="0">
    <oddHeader>&amp;L&amp;"Times New Roman,Normál"&amp;12Vászoly Község Önkormányzata&amp;C&amp;"Times New Roman,Félkövér"&amp;12 1. melléklet
Az önkormányzat 2018. évi költségvetéséről szóló 5/2018. (II. 16.)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76"/>
  <sheetViews>
    <sheetView view="pageLayout" topLeftCell="A3" zoomScaleNormal="75" zoomScaleSheetLayoutView="89" workbookViewId="0">
      <selection activeCell="A3" sqref="A3:F3"/>
    </sheetView>
  </sheetViews>
  <sheetFormatPr defaultColWidth="9" defaultRowHeight="15.75" x14ac:dyDescent="0.25"/>
  <cols>
    <col min="1" max="1" width="47.28515625" style="18" customWidth="1"/>
    <col min="2" max="5" width="15.28515625" style="18" customWidth="1"/>
    <col min="6" max="6" width="17.140625" style="18" customWidth="1"/>
    <col min="7" max="10" width="15.28515625" style="18" customWidth="1"/>
    <col min="11" max="16384" width="9" style="18"/>
  </cols>
  <sheetData>
    <row r="1" spans="1:7" hidden="1" x14ac:dyDescent="0.25">
      <c r="A1" s="16"/>
      <c r="B1" s="17"/>
    </row>
    <row r="2" spans="1:7" hidden="1" x14ac:dyDescent="0.25">
      <c r="A2" s="19"/>
    </row>
    <row r="3" spans="1:7" s="20" customFormat="1" ht="31.5" customHeight="1" x14ac:dyDescent="0.25">
      <c r="A3" s="243" t="s">
        <v>138</v>
      </c>
      <c r="B3" s="243"/>
      <c r="C3" s="243"/>
      <c r="D3" s="243"/>
      <c r="E3" s="243"/>
      <c r="F3" s="243"/>
    </row>
    <row r="4" spans="1:7" s="12" customFormat="1" ht="53.25" customHeight="1" x14ac:dyDescent="0.25">
      <c r="A4" s="110" t="s">
        <v>90</v>
      </c>
      <c r="B4" s="15" t="s">
        <v>333</v>
      </c>
      <c r="C4" s="15" t="s">
        <v>336</v>
      </c>
      <c r="D4" s="15" t="s">
        <v>341</v>
      </c>
      <c r="E4" s="15" t="s">
        <v>345</v>
      </c>
      <c r="F4" s="15" t="s">
        <v>335</v>
      </c>
    </row>
    <row r="5" spans="1:7" s="12" customFormat="1" ht="31.5" x14ac:dyDescent="0.25">
      <c r="A5" s="21" t="s">
        <v>3</v>
      </c>
      <c r="B5" s="5">
        <f>B6+B12+B13+B14+B15+B16</f>
        <v>22292477</v>
      </c>
      <c r="C5" s="5">
        <f>C6+C16</f>
        <v>24639888</v>
      </c>
      <c r="D5" s="5">
        <f>D6+D16</f>
        <v>33144649</v>
      </c>
      <c r="E5" s="5">
        <f>E6+E16</f>
        <v>39571369</v>
      </c>
      <c r="F5" s="5">
        <f>E5-D5</f>
        <v>6426720</v>
      </c>
      <c r="G5" s="39"/>
    </row>
    <row r="6" spans="1:7" s="23" customFormat="1" ht="19.5" customHeight="1" x14ac:dyDescent="0.25">
      <c r="A6" s="22" t="s">
        <v>23</v>
      </c>
      <c r="B6" s="25">
        <f>SUM(B7:B9)</f>
        <v>20787610</v>
      </c>
      <c r="C6" s="25">
        <f>SUM(C7:C10)</f>
        <v>20831502</v>
      </c>
      <c r="D6" s="25">
        <f>SUM(D7:D10)</f>
        <v>20831502</v>
      </c>
      <c r="E6" s="25">
        <f>SUM(E7:E10)</f>
        <v>21301962</v>
      </c>
      <c r="F6" s="25">
        <f>E6-D6</f>
        <v>470460</v>
      </c>
    </row>
    <row r="7" spans="1:7" s="23" customFormat="1" ht="16.5" customHeight="1" x14ac:dyDescent="0.25">
      <c r="A7" s="24" t="s">
        <v>24</v>
      </c>
      <c r="B7" s="25">
        <f>'2a. tábla'!E6</f>
        <v>14002610</v>
      </c>
      <c r="C7" s="25">
        <f>'2a. tábla'!F6</f>
        <v>14002610</v>
      </c>
      <c r="D7" s="25">
        <f>'2a. tábla'!G6</f>
        <v>14002610</v>
      </c>
      <c r="E7" s="25">
        <f>'2a. tábla'!H6</f>
        <v>14002610</v>
      </c>
      <c r="F7" s="25">
        <f t="shared" ref="F7:F9" si="0">E7-D7</f>
        <v>0</v>
      </c>
    </row>
    <row r="8" spans="1:7" s="23" customFormat="1" ht="31.5" x14ac:dyDescent="0.25">
      <c r="A8" s="8" t="s">
        <v>25</v>
      </c>
      <c r="B8" s="25">
        <f>'2a. tábla'!E34</f>
        <v>4985000</v>
      </c>
      <c r="C8" s="25">
        <f>'2a. tábla'!F34</f>
        <v>5028892</v>
      </c>
      <c r="D8" s="25">
        <f>'2a. tábla'!G34</f>
        <v>5028892</v>
      </c>
      <c r="E8" s="25">
        <f>'2a. tábla'!H34</f>
        <v>5072632</v>
      </c>
      <c r="F8" s="25">
        <f t="shared" si="0"/>
        <v>43740</v>
      </c>
      <c r="G8" s="154"/>
    </row>
    <row r="9" spans="1:7" s="23" customFormat="1" x14ac:dyDescent="0.25">
      <c r="A9" s="8" t="s">
        <v>26</v>
      </c>
      <c r="B9" s="25">
        <f>'2a. tábla'!E42</f>
        <v>1800000</v>
      </c>
      <c r="C9" s="25">
        <f>'2a. tábla'!F42</f>
        <v>1800000</v>
      </c>
      <c r="D9" s="25">
        <f>'2a. tábla'!G42</f>
        <v>1800000</v>
      </c>
      <c r="E9" s="25">
        <f>'2a. tábla'!H42</f>
        <v>1800000</v>
      </c>
      <c r="F9" s="25">
        <f t="shared" si="0"/>
        <v>0</v>
      </c>
    </row>
    <row r="10" spans="1:7" s="12" customFormat="1" ht="31.5" x14ac:dyDescent="0.25">
      <c r="A10" s="8" t="s">
        <v>0</v>
      </c>
      <c r="B10" s="25">
        <v>0</v>
      </c>
      <c r="C10" s="25">
        <v>0</v>
      </c>
      <c r="D10" s="25">
        <v>0</v>
      </c>
      <c r="E10" s="25">
        <f>'2a. tábla'!H44</f>
        <v>426720</v>
      </c>
      <c r="F10" s="25">
        <f>E10-D10</f>
        <v>426720</v>
      </c>
    </row>
    <row r="11" spans="1:7" s="12" customFormat="1" x14ac:dyDescent="0.25">
      <c r="A11" s="8" t="s">
        <v>1</v>
      </c>
      <c r="B11" s="25">
        <v>0</v>
      </c>
      <c r="C11" s="87">
        <v>0</v>
      </c>
      <c r="D11" s="87">
        <v>0</v>
      </c>
      <c r="E11" s="87">
        <v>0</v>
      </c>
      <c r="F11" s="25">
        <f t="shared" ref="F11" si="1">D11-C11</f>
        <v>0</v>
      </c>
    </row>
    <row r="12" spans="1:7" s="12" customFormat="1" x14ac:dyDescent="0.25">
      <c r="A12" s="8" t="s">
        <v>95</v>
      </c>
      <c r="B12" s="25"/>
      <c r="C12" s="86"/>
      <c r="D12" s="86"/>
      <c r="E12" s="86"/>
      <c r="F12" s="84"/>
    </row>
    <row r="13" spans="1:7" s="26" customFormat="1" ht="31.5" x14ac:dyDescent="0.25">
      <c r="A13" s="8" t="s">
        <v>27</v>
      </c>
      <c r="B13" s="25"/>
      <c r="C13" s="86"/>
      <c r="D13" s="86"/>
      <c r="E13" s="86"/>
      <c r="F13" s="84"/>
    </row>
    <row r="14" spans="1:7" s="26" customFormat="1" ht="31.5" x14ac:dyDescent="0.25">
      <c r="A14" s="8" t="s">
        <v>28</v>
      </c>
      <c r="B14" s="25"/>
      <c r="C14" s="86"/>
      <c r="D14" s="86"/>
      <c r="E14" s="86"/>
      <c r="F14" s="84"/>
    </row>
    <row r="15" spans="1:7" s="26" customFormat="1" ht="31.5" x14ac:dyDescent="0.25">
      <c r="A15" s="8" t="s">
        <v>29</v>
      </c>
      <c r="B15" s="25"/>
      <c r="C15" s="86"/>
      <c r="D15" s="86"/>
      <c r="E15" s="86"/>
      <c r="F15" s="84"/>
    </row>
    <row r="16" spans="1:7" s="12" customFormat="1" ht="31.5" x14ac:dyDescent="0.25">
      <c r="A16" s="8" t="s">
        <v>30</v>
      </c>
      <c r="B16" s="25">
        <v>1504867</v>
      </c>
      <c r="C16" s="25">
        <f>C17-43892+14432</f>
        <v>3808386</v>
      </c>
      <c r="D16" s="111">
        <f>3808386+770762+118999+7615000</f>
        <v>12313147</v>
      </c>
      <c r="E16" s="111">
        <f>12313147+6000000-43740</f>
        <v>18269407</v>
      </c>
      <c r="F16" s="84">
        <f>E16-D16</f>
        <v>5956260</v>
      </c>
    </row>
    <row r="17" spans="1:8" s="12" customFormat="1" ht="18" customHeight="1" x14ac:dyDescent="0.25">
      <c r="A17" s="92" t="s">
        <v>136</v>
      </c>
      <c r="B17" s="93">
        <v>1504867</v>
      </c>
      <c r="C17" s="112">
        <f>1504867+2332979</f>
        <v>3837846</v>
      </c>
      <c r="D17" s="236">
        <f>3837846+770762+118999</f>
        <v>4727607</v>
      </c>
      <c r="E17" s="236">
        <f>3837846+770762+118999</f>
        <v>4727607</v>
      </c>
      <c r="F17" s="155">
        <f>E17-D17</f>
        <v>0</v>
      </c>
    </row>
    <row r="18" spans="1:8" s="12" customFormat="1" ht="31.5" x14ac:dyDescent="0.25">
      <c r="A18" s="21" t="s">
        <v>4</v>
      </c>
      <c r="B18" s="5">
        <f>B19+B21+B22+B23+B24</f>
        <v>0</v>
      </c>
      <c r="C18" s="5">
        <f>C19+C21+C22+C23+C24</f>
        <v>0</v>
      </c>
      <c r="D18" s="5">
        <f>D19+D21+D22+D23+D24</f>
        <v>30000000</v>
      </c>
      <c r="E18" s="5">
        <f>E19+E21+E22+E23+E24</f>
        <v>30000000</v>
      </c>
      <c r="F18" s="86">
        <f>E18-D18</f>
        <v>0</v>
      </c>
    </row>
    <row r="19" spans="1:8" s="12" customFormat="1" x14ac:dyDescent="0.25">
      <c r="A19" s="8" t="s">
        <v>31</v>
      </c>
      <c r="B19" s="25">
        <f>B20:I20</f>
        <v>0</v>
      </c>
      <c r="C19" s="25">
        <f>C20:L20</f>
        <v>0</v>
      </c>
      <c r="D19" s="25">
        <f>D20:M20</f>
        <v>30000000</v>
      </c>
      <c r="E19" s="25">
        <f>E20:N20</f>
        <v>30000000</v>
      </c>
      <c r="F19" s="87">
        <f>E19-D19</f>
        <v>0</v>
      </c>
      <c r="G19" s="38"/>
      <c r="H19" s="38"/>
    </row>
    <row r="20" spans="1:8" s="12" customFormat="1" x14ac:dyDescent="0.25">
      <c r="A20" s="91" t="s">
        <v>133</v>
      </c>
      <c r="B20" s="25">
        <v>0</v>
      </c>
      <c r="C20" s="85">
        <v>0</v>
      </c>
      <c r="D20" s="87">
        <v>30000000</v>
      </c>
      <c r="E20" s="87">
        <v>30000000</v>
      </c>
      <c r="F20" s="87">
        <f>E20-D20</f>
        <v>0</v>
      </c>
    </row>
    <row r="21" spans="1:8" s="12" customFormat="1" ht="47.25" x14ac:dyDescent="0.25">
      <c r="A21" s="8" t="s">
        <v>32</v>
      </c>
      <c r="B21" s="25"/>
      <c r="C21" s="86"/>
      <c r="D21" s="86"/>
      <c r="E21" s="86"/>
      <c r="F21" s="84"/>
    </row>
    <row r="22" spans="1:8" s="12" customFormat="1" ht="31.5" x14ac:dyDescent="0.25">
      <c r="A22" s="8" t="s">
        <v>33</v>
      </c>
      <c r="B22" s="25"/>
      <c r="C22" s="86"/>
      <c r="D22" s="86"/>
      <c r="E22" s="86"/>
      <c r="F22" s="84"/>
    </row>
    <row r="23" spans="1:8" s="12" customFormat="1" ht="31.5" x14ac:dyDescent="0.25">
      <c r="A23" s="8" t="s">
        <v>34</v>
      </c>
      <c r="B23" s="25"/>
      <c r="C23" s="86"/>
      <c r="D23" s="86"/>
      <c r="E23" s="86"/>
      <c r="F23" s="84"/>
    </row>
    <row r="24" spans="1:8" s="12" customFormat="1" ht="31.5" x14ac:dyDescent="0.25">
      <c r="A24" s="8" t="s">
        <v>96</v>
      </c>
      <c r="B24" s="25"/>
      <c r="C24" s="86"/>
      <c r="D24" s="86"/>
      <c r="E24" s="86"/>
      <c r="F24" s="84"/>
    </row>
    <row r="25" spans="1:8" s="12" customFormat="1" ht="28.35" customHeight="1" x14ac:dyDescent="0.25">
      <c r="A25" s="21" t="s">
        <v>5</v>
      </c>
      <c r="B25" s="5">
        <f t="shared" ref="B25:E25" si="2">B26+B29+B37</f>
        <v>10600000</v>
      </c>
      <c r="C25" s="5">
        <f t="shared" si="2"/>
        <v>10600000</v>
      </c>
      <c r="D25" s="5">
        <f t="shared" si="2"/>
        <v>10600000</v>
      </c>
      <c r="E25" s="5">
        <f t="shared" si="2"/>
        <v>10600000</v>
      </c>
      <c r="F25" s="5">
        <f>D25-C25</f>
        <v>0</v>
      </c>
    </row>
    <row r="26" spans="1:8" s="12" customFormat="1" ht="27.75" customHeight="1" x14ac:dyDescent="0.25">
      <c r="A26" s="8" t="s">
        <v>35</v>
      </c>
      <c r="B26" s="25">
        <f t="shared" ref="B26" si="3">SUM(B27:B28)</f>
        <v>6600000</v>
      </c>
      <c r="C26" s="111">
        <v>6600000</v>
      </c>
      <c r="D26" s="111">
        <v>6600000</v>
      </c>
      <c r="E26" s="111">
        <v>6600000</v>
      </c>
      <c r="F26" s="84">
        <f>D26-C26</f>
        <v>0</v>
      </c>
    </row>
    <row r="27" spans="1:8" s="12" customFormat="1" ht="28.35" customHeight="1" x14ac:dyDescent="0.25">
      <c r="A27" s="22" t="s">
        <v>36</v>
      </c>
      <c r="B27" s="25">
        <v>5400000</v>
      </c>
      <c r="C27" s="87">
        <v>5400000</v>
      </c>
      <c r="D27" s="87">
        <v>5400000</v>
      </c>
      <c r="E27" s="87">
        <v>5400000</v>
      </c>
      <c r="F27" s="84">
        <f t="shared" ref="F27:F34" si="4">D27-C27</f>
        <v>0</v>
      </c>
    </row>
    <row r="28" spans="1:8" s="12" customFormat="1" ht="28.35" customHeight="1" x14ac:dyDescent="0.25">
      <c r="A28" s="22" t="s">
        <v>134</v>
      </c>
      <c r="B28" s="25">
        <v>1200000</v>
      </c>
      <c r="C28" s="87">
        <v>1200000</v>
      </c>
      <c r="D28" s="87">
        <v>1200000</v>
      </c>
      <c r="E28" s="87">
        <v>1200000</v>
      </c>
      <c r="F28" s="84">
        <f t="shared" si="4"/>
        <v>0</v>
      </c>
    </row>
    <row r="29" spans="1:8" s="12" customFormat="1" ht="28.35" customHeight="1" x14ac:dyDescent="0.25">
      <c r="A29" s="8" t="s">
        <v>37</v>
      </c>
      <c r="B29" s="25">
        <f t="shared" ref="B29" si="5">B30+B32+B33</f>
        <v>3900000</v>
      </c>
      <c r="C29" s="111">
        <v>3900000</v>
      </c>
      <c r="D29" s="111">
        <v>3900000</v>
      </c>
      <c r="E29" s="111">
        <v>3900000</v>
      </c>
      <c r="F29" s="84">
        <f t="shared" si="4"/>
        <v>0</v>
      </c>
    </row>
    <row r="30" spans="1:8" s="12" customFormat="1" ht="28.35" customHeight="1" x14ac:dyDescent="0.25">
      <c r="A30" s="8" t="s">
        <v>38</v>
      </c>
      <c r="B30" s="25">
        <f t="shared" ref="B30" si="6">SUM(B31)</f>
        <v>2500000</v>
      </c>
      <c r="C30" s="111">
        <v>2500000</v>
      </c>
      <c r="D30" s="111">
        <v>2500000</v>
      </c>
      <c r="E30" s="111">
        <v>2500000</v>
      </c>
      <c r="F30" s="84">
        <f t="shared" si="4"/>
        <v>0</v>
      </c>
    </row>
    <row r="31" spans="1:8" s="12" customFormat="1" ht="28.35" customHeight="1" x14ac:dyDescent="0.25">
      <c r="A31" s="8" t="s">
        <v>39</v>
      </c>
      <c r="B31" s="25">
        <v>2500000</v>
      </c>
      <c r="C31" s="87">
        <v>2500000</v>
      </c>
      <c r="D31" s="87">
        <v>2500000</v>
      </c>
      <c r="E31" s="87">
        <v>2500000</v>
      </c>
      <c r="F31" s="84">
        <f t="shared" si="4"/>
        <v>0</v>
      </c>
    </row>
    <row r="32" spans="1:8" s="12" customFormat="1" ht="28.35" customHeight="1" x14ac:dyDescent="0.25">
      <c r="A32" s="8" t="s">
        <v>40</v>
      </c>
      <c r="B32" s="25">
        <v>1000000</v>
      </c>
      <c r="C32" s="87">
        <v>1000000</v>
      </c>
      <c r="D32" s="87">
        <v>1000000</v>
      </c>
      <c r="E32" s="87">
        <v>1000000</v>
      </c>
      <c r="F32" s="84">
        <f t="shared" si="4"/>
        <v>0</v>
      </c>
    </row>
    <row r="33" spans="1:6" s="12" customFormat="1" ht="28.35" customHeight="1" x14ac:dyDescent="0.25">
      <c r="A33" s="8" t="s">
        <v>41</v>
      </c>
      <c r="B33" s="25">
        <f>SUM(B34:B36)</f>
        <v>400000</v>
      </c>
      <c r="C33" s="111">
        <v>400000</v>
      </c>
      <c r="D33" s="111">
        <v>400000</v>
      </c>
      <c r="E33" s="111">
        <v>400000</v>
      </c>
      <c r="F33" s="84">
        <f t="shared" si="4"/>
        <v>0</v>
      </c>
    </row>
    <row r="34" spans="1:6" s="12" customFormat="1" ht="28.35" customHeight="1" x14ac:dyDescent="0.25">
      <c r="A34" s="8" t="s">
        <v>42</v>
      </c>
      <c r="B34" s="25">
        <v>400000</v>
      </c>
      <c r="C34" s="87">
        <v>400000</v>
      </c>
      <c r="D34" s="87">
        <v>400000</v>
      </c>
      <c r="E34" s="87">
        <v>400000</v>
      </c>
      <c r="F34" s="84">
        <f t="shared" si="4"/>
        <v>0</v>
      </c>
    </row>
    <row r="35" spans="1:6" s="12" customFormat="1" ht="28.35" customHeight="1" x14ac:dyDescent="0.25">
      <c r="A35" s="8" t="s">
        <v>43</v>
      </c>
      <c r="B35" s="25"/>
      <c r="C35" s="86"/>
      <c r="D35" s="86"/>
      <c r="E35" s="86"/>
      <c r="F35" s="84"/>
    </row>
    <row r="36" spans="1:6" s="12" customFormat="1" ht="28.35" customHeight="1" x14ac:dyDescent="0.25">
      <c r="A36" s="8" t="s">
        <v>91</v>
      </c>
      <c r="B36" s="25"/>
      <c r="C36" s="86"/>
      <c r="D36" s="86"/>
      <c r="E36" s="86"/>
      <c r="F36" s="84"/>
    </row>
    <row r="37" spans="1:6" s="12" customFormat="1" ht="28.35" customHeight="1" x14ac:dyDescent="0.25">
      <c r="A37" s="8" t="s">
        <v>44</v>
      </c>
      <c r="B37" s="25">
        <v>100000</v>
      </c>
      <c r="C37" s="87">
        <v>100000</v>
      </c>
      <c r="D37" s="87">
        <v>100000</v>
      </c>
      <c r="E37" s="87">
        <v>100000</v>
      </c>
      <c r="F37" s="84">
        <f t="shared" ref="F37" si="7">C37-B37:B48</f>
        <v>0</v>
      </c>
    </row>
    <row r="38" spans="1:6" s="12" customFormat="1" ht="28.35" customHeight="1" x14ac:dyDescent="0.25">
      <c r="A38" s="21" t="s">
        <v>6</v>
      </c>
      <c r="B38" s="5">
        <f t="shared" ref="B38:E38" si="8">B39+B40+B42+B43+B45+B46+B47+B48+B49</f>
        <v>2952500</v>
      </c>
      <c r="C38" s="5">
        <f t="shared" si="8"/>
        <v>2952500</v>
      </c>
      <c r="D38" s="5">
        <f t="shared" si="8"/>
        <v>2952500</v>
      </c>
      <c r="E38" s="5">
        <f t="shared" si="8"/>
        <v>2952500</v>
      </c>
      <c r="F38" s="5">
        <f>F39+F40+F42+F43+F45+F46+F47+F48+F49</f>
        <v>0</v>
      </c>
    </row>
    <row r="39" spans="1:6" s="12" customFormat="1" ht="28.35" customHeight="1" x14ac:dyDescent="0.25">
      <c r="A39" s="22" t="s">
        <v>45</v>
      </c>
      <c r="B39" s="25"/>
      <c r="C39" s="86"/>
      <c r="D39" s="86"/>
      <c r="E39" s="86"/>
      <c r="F39" s="84"/>
    </row>
    <row r="40" spans="1:6" s="28" customFormat="1" ht="28.35" customHeight="1" x14ac:dyDescent="0.25">
      <c r="A40" s="22" t="s">
        <v>46</v>
      </c>
      <c r="B40" s="25">
        <v>600000</v>
      </c>
      <c r="C40" s="87">
        <v>600000</v>
      </c>
      <c r="D40" s="87">
        <v>600000</v>
      </c>
      <c r="E40" s="87">
        <v>600000</v>
      </c>
      <c r="F40" s="84">
        <f>E40-D40</f>
        <v>0</v>
      </c>
    </row>
    <row r="41" spans="1:6" s="29" customFormat="1" ht="28.35" customHeight="1" x14ac:dyDescent="0.25">
      <c r="A41" s="22" t="s">
        <v>84</v>
      </c>
      <c r="B41" s="25">
        <v>600000</v>
      </c>
      <c r="C41" s="111">
        <v>600000</v>
      </c>
      <c r="D41" s="111">
        <v>600000</v>
      </c>
      <c r="E41" s="111">
        <v>600000</v>
      </c>
      <c r="F41" s="84">
        <f>E41-D41</f>
        <v>0</v>
      </c>
    </row>
    <row r="42" spans="1:6" s="30" customFormat="1" ht="28.35" customHeight="1" x14ac:dyDescent="0.25">
      <c r="A42" s="8" t="s">
        <v>47</v>
      </c>
      <c r="B42" s="25"/>
      <c r="C42" s="87"/>
      <c r="D42" s="87"/>
      <c r="E42" s="87"/>
      <c r="F42" s="84"/>
    </row>
    <row r="43" spans="1:6" s="30" customFormat="1" ht="28.35" customHeight="1" x14ac:dyDescent="0.25">
      <c r="A43" s="8" t="s">
        <v>48</v>
      </c>
      <c r="B43" s="25">
        <v>2000000</v>
      </c>
      <c r="C43" s="111">
        <v>2000000</v>
      </c>
      <c r="D43" s="111">
        <v>2000000</v>
      </c>
      <c r="E43" s="111">
        <v>2000000</v>
      </c>
      <c r="F43" s="84">
        <f>E43-D43</f>
        <v>0</v>
      </c>
    </row>
    <row r="44" spans="1:6" s="30" customFormat="1" ht="28.35" customHeight="1" x14ac:dyDescent="0.25">
      <c r="A44" s="31" t="s">
        <v>105</v>
      </c>
      <c r="B44" s="25"/>
      <c r="C44" s="87"/>
      <c r="D44" s="87"/>
      <c r="E44" s="87"/>
      <c r="F44" s="84"/>
    </row>
    <row r="45" spans="1:6" s="30" customFormat="1" ht="28.35" customHeight="1" x14ac:dyDescent="0.25">
      <c r="A45" s="31" t="s">
        <v>49</v>
      </c>
      <c r="B45" s="25"/>
      <c r="C45" s="87"/>
      <c r="D45" s="87"/>
      <c r="E45" s="87"/>
      <c r="F45" s="84"/>
    </row>
    <row r="46" spans="1:6" s="30" customFormat="1" ht="28.35" customHeight="1" x14ac:dyDescent="0.25">
      <c r="A46" s="22" t="s">
        <v>50</v>
      </c>
      <c r="B46" s="25">
        <v>350000</v>
      </c>
      <c r="C46" s="87">
        <v>350000</v>
      </c>
      <c r="D46" s="87">
        <v>350000</v>
      </c>
      <c r="E46" s="87">
        <v>350000</v>
      </c>
      <c r="F46" s="84">
        <f>E46-D46</f>
        <v>0</v>
      </c>
    </row>
    <row r="47" spans="1:6" s="30" customFormat="1" ht="28.35" customHeight="1" x14ac:dyDescent="0.25">
      <c r="A47" s="22" t="s">
        <v>51</v>
      </c>
      <c r="B47" s="25"/>
      <c r="C47" s="87"/>
      <c r="D47" s="87"/>
      <c r="E47" s="87"/>
      <c r="F47" s="84"/>
    </row>
    <row r="48" spans="1:6" s="30" customFormat="1" ht="28.35" customHeight="1" x14ac:dyDescent="0.25">
      <c r="A48" s="22" t="s">
        <v>52</v>
      </c>
      <c r="B48" s="25">
        <v>2500</v>
      </c>
      <c r="C48" s="87">
        <v>2500</v>
      </c>
      <c r="D48" s="87">
        <v>2500</v>
      </c>
      <c r="E48" s="87">
        <v>2500</v>
      </c>
      <c r="F48" s="84">
        <f>E48-D48</f>
        <v>0</v>
      </c>
    </row>
    <row r="49" spans="1:7" s="30" customFormat="1" ht="31.5" x14ac:dyDescent="0.25">
      <c r="A49" s="31" t="s">
        <v>92</v>
      </c>
      <c r="B49" s="25"/>
      <c r="C49" s="87"/>
      <c r="D49" s="87"/>
      <c r="E49" s="87"/>
      <c r="F49" s="84"/>
    </row>
    <row r="50" spans="1:7" s="30" customFormat="1" ht="28.35" customHeight="1" x14ac:dyDescent="0.25">
      <c r="A50" s="21" t="s">
        <v>7</v>
      </c>
      <c r="B50" s="5">
        <f t="shared" ref="B50:E50" si="9">SUM(B51:B54)</f>
        <v>0</v>
      </c>
      <c r="C50" s="5">
        <f t="shared" si="9"/>
        <v>0</v>
      </c>
      <c r="D50" s="5">
        <f t="shared" si="9"/>
        <v>0</v>
      </c>
      <c r="E50" s="5">
        <f t="shared" si="9"/>
        <v>0</v>
      </c>
      <c r="F50" s="83">
        <v>0</v>
      </c>
    </row>
    <row r="51" spans="1:7" s="30" customFormat="1" ht="28.35" customHeight="1" x14ac:dyDescent="0.25">
      <c r="A51" s="8" t="s">
        <v>53</v>
      </c>
      <c r="B51" s="25"/>
      <c r="C51" s="87"/>
      <c r="D51" s="87"/>
      <c r="E51" s="87"/>
      <c r="F51" s="84"/>
    </row>
    <row r="52" spans="1:7" s="28" customFormat="1" ht="28.35" customHeight="1" x14ac:dyDescent="0.25">
      <c r="A52" s="8" t="s">
        <v>54</v>
      </c>
      <c r="B52" s="25"/>
      <c r="C52" s="87"/>
      <c r="D52" s="87"/>
      <c r="E52" s="87"/>
      <c r="F52" s="84"/>
    </row>
    <row r="53" spans="1:7" s="28" customFormat="1" ht="28.35" customHeight="1" x14ac:dyDescent="0.25">
      <c r="A53" s="32" t="s">
        <v>55</v>
      </c>
      <c r="B53" s="25"/>
      <c r="C53" s="86"/>
      <c r="D53" s="86"/>
      <c r="E53" s="86"/>
      <c r="F53" s="84"/>
    </row>
    <row r="54" spans="1:7" s="30" customFormat="1" ht="28.35" customHeight="1" x14ac:dyDescent="0.25">
      <c r="A54" s="8" t="s">
        <v>56</v>
      </c>
      <c r="B54" s="25"/>
      <c r="C54" s="87"/>
      <c r="D54" s="87"/>
      <c r="E54" s="87"/>
      <c r="F54" s="84"/>
    </row>
    <row r="55" spans="1:7" s="30" customFormat="1" ht="28.35" customHeight="1" x14ac:dyDescent="0.25">
      <c r="A55" s="21" t="s">
        <v>8</v>
      </c>
      <c r="B55" s="5">
        <f t="shared" ref="B55:E55" si="10">SUM(B56:B58)</f>
        <v>0</v>
      </c>
      <c r="C55" s="5">
        <f t="shared" si="10"/>
        <v>0</v>
      </c>
      <c r="D55" s="5">
        <f t="shared" si="10"/>
        <v>0</v>
      </c>
      <c r="E55" s="5">
        <f t="shared" si="10"/>
        <v>0</v>
      </c>
      <c r="F55" s="84">
        <v>0</v>
      </c>
    </row>
    <row r="56" spans="1:7" s="30" customFormat="1" ht="32.25" customHeight="1" x14ac:dyDescent="0.25">
      <c r="A56" s="8" t="s">
        <v>57</v>
      </c>
      <c r="B56" s="25"/>
      <c r="C56" s="87"/>
      <c r="D56" s="87"/>
      <c r="E56" s="87"/>
      <c r="F56" s="84"/>
    </row>
    <row r="57" spans="1:7" s="28" customFormat="1" ht="31.5" x14ac:dyDescent="0.25">
      <c r="A57" s="8" t="s">
        <v>58</v>
      </c>
      <c r="B57" s="25"/>
      <c r="C57" s="86"/>
      <c r="D57" s="86"/>
      <c r="E57" s="86"/>
      <c r="F57" s="84"/>
    </row>
    <row r="58" spans="1:7" s="28" customFormat="1" x14ac:dyDescent="0.25">
      <c r="A58" s="8" t="s">
        <v>59</v>
      </c>
      <c r="B58" s="25"/>
      <c r="C58" s="86"/>
      <c r="D58" s="86"/>
      <c r="E58" s="86"/>
      <c r="F58" s="84"/>
    </row>
    <row r="59" spans="1:7" s="30" customFormat="1" ht="28.35" customHeight="1" x14ac:dyDescent="0.25">
      <c r="A59" s="33" t="s">
        <v>9</v>
      </c>
      <c r="B59" s="5">
        <f>B60+B61+B62</f>
        <v>0</v>
      </c>
      <c r="C59" s="5">
        <f>C60+C61+C62</f>
        <v>0</v>
      </c>
      <c r="D59" s="5">
        <f>D60+D61+D62</f>
        <v>0</v>
      </c>
      <c r="E59" s="5">
        <f>E60+E61+E62</f>
        <v>0</v>
      </c>
      <c r="F59" s="83">
        <v>0</v>
      </c>
    </row>
    <row r="60" spans="1:7" s="30" customFormat="1" ht="47.25" x14ac:dyDescent="0.25">
      <c r="A60" s="8" t="s">
        <v>60</v>
      </c>
      <c r="B60" s="25"/>
      <c r="C60" s="87"/>
      <c r="D60" s="87"/>
      <c r="E60" s="87"/>
      <c r="F60" s="84"/>
    </row>
    <row r="61" spans="1:7" s="28" customFormat="1" ht="31.5" x14ac:dyDescent="0.25">
      <c r="A61" s="8" t="s">
        <v>61</v>
      </c>
      <c r="B61" s="25"/>
      <c r="C61" s="87"/>
      <c r="D61" s="87"/>
      <c r="E61" s="87"/>
      <c r="F61" s="84"/>
    </row>
    <row r="62" spans="1:7" s="30" customFormat="1" x14ac:dyDescent="0.25">
      <c r="A62" s="8" t="s">
        <v>62</v>
      </c>
      <c r="B62" s="25"/>
      <c r="C62" s="87"/>
      <c r="D62" s="87"/>
      <c r="E62" s="87"/>
      <c r="F62" s="84"/>
    </row>
    <row r="63" spans="1:7" s="30" customFormat="1" ht="28.35" customHeight="1" x14ac:dyDescent="0.25">
      <c r="A63" s="21" t="s">
        <v>10</v>
      </c>
      <c r="B63" s="5">
        <f>B59+B55+B50+B38+B25+B18+B5</f>
        <v>35844977</v>
      </c>
      <c r="C63" s="5">
        <f>C59+C55+C50+C38+C25+C18+C5</f>
        <v>38192388</v>
      </c>
      <c r="D63" s="5">
        <f>D59+D55+D50+D38+D25+D18+D5</f>
        <v>76697149</v>
      </c>
      <c r="E63" s="5">
        <f>E59+E55+E50+E38+E25+E18+E5</f>
        <v>83123869</v>
      </c>
      <c r="F63" s="5">
        <f>E63-D63</f>
        <v>6426720</v>
      </c>
    </row>
    <row r="64" spans="1:7" s="28" customFormat="1" ht="31.5" x14ac:dyDescent="0.25">
      <c r="A64" s="33" t="s">
        <v>63</v>
      </c>
      <c r="B64" s="5">
        <f>SUM(B65:B66)</f>
        <v>100876000</v>
      </c>
      <c r="C64" s="5">
        <f>SUM(C65:C66)</f>
        <v>104428660</v>
      </c>
      <c r="D64" s="5">
        <f>SUM(D65:D66)</f>
        <v>104428660</v>
      </c>
      <c r="E64" s="5">
        <f>SUM(E65:E66)</f>
        <v>104428660</v>
      </c>
      <c r="F64" s="5">
        <f>E64-D64</f>
        <v>0</v>
      </c>
      <c r="G64" s="34"/>
    </row>
    <row r="65" spans="1:7" s="28" customFormat="1" ht="31.5" x14ac:dyDescent="0.25">
      <c r="A65" s="33" t="s">
        <v>124</v>
      </c>
      <c r="B65" s="27">
        <v>20000000</v>
      </c>
      <c r="C65" s="85">
        <v>23552660</v>
      </c>
      <c r="D65" s="87">
        <v>23552660</v>
      </c>
      <c r="E65" s="87">
        <v>23552660</v>
      </c>
      <c r="F65" s="84">
        <f>E65-D65</f>
        <v>0</v>
      </c>
      <c r="G65" s="34"/>
    </row>
    <row r="66" spans="1:7" s="28" customFormat="1" ht="38.25" customHeight="1" x14ac:dyDescent="0.25">
      <c r="A66" s="8" t="s">
        <v>64</v>
      </c>
      <c r="B66" s="25">
        <v>80876000</v>
      </c>
      <c r="C66" s="87">
        <v>80876000</v>
      </c>
      <c r="D66" s="87">
        <v>80876000</v>
      </c>
      <c r="E66" s="87">
        <v>80876000</v>
      </c>
      <c r="F66" s="84">
        <f>E66-D66</f>
        <v>0</v>
      </c>
    </row>
    <row r="67" spans="1:7" s="30" customFormat="1" ht="48.75" customHeight="1" x14ac:dyDescent="0.25">
      <c r="A67" s="33" t="s">
        <v>65</v>
      </c>
      <c r="B67" s="5">
        <f>B68+B69</f>
        <v>653076</v>
      </c>
      <c r="C67" s="5">
        <f t="shared" ref="C67:E67" si="11">C68+C69</f>
        <v>1216076</v>
      </c>
      <c r="D67" s="5">
        <f t="shared" si="11"/>
        <v>1216076</v>
      </c>
      <c r="E67" s="5">
        <f t="shared" si="11"/>
        <v>1216076</v>
      </c>
      <c r="F67" s="5">
        <f>E67-D67</f>
        <v>0</v>
      </c>
    </row>
    <row r="68" spans="1:7" s="30" customFormat="1" ht="19.5" customHeight="1" x14ac:dyDescent="0.25">
      <c r="A68" s="8" t="s">
        <v>122</v>
      </c>
      <c r="B68" s="25"/>
      <c r="C68" s="87"/>
      <c r="D68" s="87"/>
      <c r="E68" s="87"/>
      <c r="F68" s="84"/>
    </row>
    <row r="69" spans="1:7" s="30" customFormat="1" ht="19.5" customHeight="1" x14ac:dyDescent="0.25">
      <c r="A69" s="22" t="s">
        <v>123</v>
      </c>
      <c r="B69" s="25">
        <v>653076</v>
      </c>
      <c r="C69" s="87">
        <f>653076+563000</f>
        <v>1216076</v>
      </c>
      <c r="D69" s="87">
        <v>1216076</v>
      </c>
      <c r="E69" s="87">
        <v>1216076</v>
      </c>
      <c r="F69" s="84">
        <f>E69-D69</f>
        <v>0</v>
      </c>
    </row>
    <row r="70" spans="1:7" s="28" customFormat="1" ht="27" customHeight="1" x14ac:dyDescent="0.25">
      <c r="A70" s="33" t="s">
        <v>11</v>
      </c>
      <c r="B70" s="5">
        <f>B67+B64</f>
        <v>101529076</v>
      </c>
      <c r="C70" s="5">
        <f>C67+C64</f>
        <v>105644736</v>
      </c>
      <c r="D70" s="5">
        <f>D67+D64</f>
        <v>105644736</v>
      </c>
      <c r="E70" s="5">
        <f>E67+E64</f>
        <v>105644736</v>
      </c>
      <c r="F70" s="5">
        <f>E70-D70</f>
        <v>0</v>
      </c>
      <c r="G70" s="34"/>
    </row>
    <row r="71" spans="1:7" s="28" customFormat="1" ht="28.35" customHeight="1" x14ac:dyDescent="0.25">
      <c r="A71" s="21" t="s">
        <v>66</v>
      </c>
      <c r="B71" s="5">
        <f>B63+B70</f>
        <v>137374053</v>
      </c>
      <c r="C71" s="5">
        <f t="shared" ref="C71:E71" si="12">C63+C70</f>
        <v>143837124</v>
      </c>
      <c r="D71" s="5">
        <f t="shared" si="12"/>
        <v>182341885</v>
      </c>
      <c r="E71" s="5">
        <f t="shared" si="12"/>
        <v>188768605</v>
      </c>
      <c r="F71" s="5">
        <f>E71-D71</f>
        <v>6426720</v>
      </c>
      <c r="G71" s="34"/>
    </row>
    <row r="72" spans="1:7" s="28" customFormat="1" ht="28.35" customHeight="1" x14ac:dyDescent="0.25">
      <c r="A72" s="35" t="s">
        <v>97</v>
      </c>
      <c r="B72" s="5">
        <v>6</v>
      </c>
      <c r="C72" s="86">
        <v>6</v>
      </c>
      <c r="D72" s="86">
        <v>6</v>
      </c>
      <c r="E72" s="86">
        <v>6</v>
      </c>
      <c r="F72" s="83"/>
    </row>
    <row r="73" spans="1:7" s="28" customFormat="1" ht="28.35" customHeight="1" thickBot="1" x14ac:dyDescent="0.3">
      <c r="A73" s="36" t="s">
        <v>67</v>
      </c>
      <c r="B73" s="109">
        <v>4</v>
      </c>
      <c r="C73" s="153">
        <v>4</v>
      </c>
      <c r="D73" s="153">
        <v>4</v>
      </c>
      <c r="E73" s="153">
        <v>4</v>
      </c>
      <c r="F73" s="88"/>
    </row>
    <row r="74" spans="1:7" x14ac:dyDescent="0.25">
      <c r="B74" s="11"/>
    </row>
    <row r="75" spans="1:7" x14ac:dyDescent="0.25">
      <c r="B75" s="11"/>
      <c r="C75" s="37"/>
      <c r="D75" s="37"/>
      <c r="E75" s="37"/>
    </row>
    <row r="76" spans="1:7" x14ac:dyDescent="0.25">
      <c r="B76" s="11"/>
    </row>
  </sheetData>
  <sheetProtection selectLockedCells="1" selectUnlockedCells="1"/>
  <mergeCells count="1">
    <mergeCell ref="A3:F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63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2018. évi költségvetéséről szóló 5/2018. (II. 16.) önkormányzati rendelethez&amp;R
</oddHeader>
  </headerFooter>
  <rowBreaks count="1" manualBreakCount="1">
    <brk id="37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view="pageLayout" zoomScaleNormal="100" workbookViewId="0">
      <selection sqref="A1:I1"/>
    </sheetView>
  </sheetViews>
  <sheetFormatPr defaultRowHeight="15.75" x14ac:dyDescent="0.25"/>
  <cols>
    <col min="1" max="1" width="97.42578125" style="63" bestFit="1" customWidth="1"/>
    <col min="2" max="2" width="11.7109375" style="63" bestFit="1" customWidth="1"/>
    <col min="3" max="3" width="11" style="63" bestFit="1" customWidth="1"/>
    <col min="4" max="4" width="12.7109375" style="63" bestFit="1" customWidth="1"/>
    <col min="5" max="5" width="17.42578125" style="63" bestFit="1" customWidth="1"/>
    <col min="6" max="6" width="12.140625" style="63" bestFit="1" customWidth="1"/>
    <col min="7" max="8" width="12.140625" style="63" customWidth="1"/>
    <col min="9" max="255" width="9.140625" style="63"/>
    <col min="256" max="256" width="77.5703125" style="63" customWidth="1"/>
    <col min="257" max="257" width="8.42578125" style="63" customWidth="1"/>
    <col min="258" max="258" width="9.140625" style="63"/>
    <col min="259" max="259" width="11" style="63" bestFit="1" customWidth="1"/>
    <col min="260" max="260" width="15.28515625" style="63" customWidth="1"/>
    <col min="261" max="511" width="9.140625" style="63"/>
    <col min="512" max="512" width="77.5703125" style="63" customWidth="1"/>
    <col min="513" max="513" width="8.42578125" style="63" customWidth="1"/>
    <col min="514" max="514" width="9.140625" style="63"/>
    <col min="515" max="515" width="11" style="63" bestFit="1" customWidth="1"/>
    <col min="516" max="516" width="15.28515625" style="63" customWidth="1"/>
    <col min="517" max="767" width="9.140625" style="63"/>
    <col min="768" max="768" width="77.5703125" style="63" customWidth="1"/>
    <col min="769" max="769" width="8.42578125" style="63" customWidth="1"/>
    <col min="770" max="770" width="9.140625" style="63"/>
    <col min="771" max="771" width="11" style="63" bestFit="1" customWidth="1"/>
    <col min="772" max="772" width="15.28515625" style="63" customWidth="1"/>
    <col min="773" max="1023" width="9.140625" style="63"/>
    <col min="1024" max="1024" width="77.5703125" style="63" customWidth="1"/>
    <col min="1025" max="1025" width="8.42578125" style="63" customWidth="1"/>
    <col min="1026" max="1026" width="9.140625" style="63"/>
    <col min="1027" max="1027" width="11" style="63" bestFit="1" customWidth="1"/>
    <col min="1028" max="1028" width="15.28515625" style="63" customWidth="1"/>
    <col min="1029" max="1279" width="9.140625" style="63"/>
    <col min="1280" max="1280" width="77.5703125" style="63" customWidth="1"/>
    <col min="1281" max="1281" width="8.42578125" style="63" customWidth="1"/>
    <col min="1282" max="1282" width="9.140625" style="63"/>
    <col min="1283" max="1283" width="11" style="63" bestFit="1" customWidth="1"/>
    <col min="1284" max="1284" width="15.28515625" style="63" customWidth="1"/>
    <col min="1285" max="1535" width="9.140625" style="63"/>
    <col min="1536" max="1536" width="77.5703125" style="63" customWidth="1"/>
    <col min="1537" max="1537" width="8.42578125" style="63" customWidth="1"/>
    <col min="1538" max="1538" width="9.140625" style="63"/>
    <col min="1539" max="1539" width="11" style="63" bestFit="1" customWidth="1"/>
    <col min="1540" max="1540" width="15.28515625" style="63" customWidth="1"/>
    <col min="1541" max="1791" width="9.140625" style="63"/>
    <col min="1792" max="1792" width="77.5703125" style="63" customWidth="1"/>
    <col min="1793" max="1793" width="8.42578125" style="63" customWidth="1"/>
    <col min="1794" max="1794" width="9.140625" style="63"/>
    <col min="1795" max="1795" width="11" style="63" bestFit="1" customWidth="1"/>
    <col min="1796" max="1796" width="15.28515625" style="63" customWidth="1"/>
    <col min="1797" max="2047" width="9.140625" style="63"/>
    <col min="2048" max="2048" width="77.5703125" style="63" customWidth="1"/>
    <col min="2049" max="2049" width="8.42578125" style="63" customWidth="1"/>
    <col min="2050" max="2050" width="9.140625" style="63"/>
    <col min="2051" max="2051" width="11" style="63" bestFit="1" customWidth="1"/>
    <col min="2052" max="2052" width="15.28515625" style="63" customWidth="1"/>
    <col min="2053" max="2303" width="9.140625" style="63"/>
    <col min="2304" max="2304" width="77.5703125" style="63" customWidth="1"/>
    <col min="2305" max="2305" width="8.42578125" style="63" customWidth="1"/>
    <col min="2306" max="2306" width="9.140625" style="63"/>
    <col min="2307" max="2307" width="11" style="63" bestFit="1" customWidth="1"/>
    <col min="2308" max="2308" width="15.28515625" style="63" customWidth="1"/>
    <col min="2309" max="2559" width="9.140625" style="63"/>
    <col min="2560" max="2560" width="77.5703125" style="63" customWidth="1"/>
    <col min="2561" max="2561" width="8.42578125" style="63" customWidth="1"/>
    <col min="2562" max="2562" width="9.140625" style="63"/>
    <col min="2563" max="2563" width="11" style="63" bestFit="1" customWidth="1"/>
    <col min="2564" max="2564" width="15.28515625" style="63" customWidth="1"/>
    <col min="2565" max="2815" width="9.140625" style="63"/>
    <col min="2816" max="2816" width="77.5703125" style="63" customWidth="1"/>
    <col min="2817" max="2817" width="8.42578125" style="63" customWidth="1"/>
    <col min="2818" max="2818" width="9.140625" style="63"/>
    <col min="2819" max="2819" width="11" style="63" bestFit="1" customWidth="1"/>
    <col min="2820" max="2820" width="15.28515625" style="63" customWidth="1"/>
    <col min="2821" max="3071" width="9.140625" style="63"/>
    <col min="3072" max="3072" width="77.5703125" style="63" customWidth="1"/>
    <col min="3073" max="3073" width="8.42578125" style="63" customWidth="1"/>
    <col min="3074" max="3074" width="9.140625" style="63"/>
    <col min="3075" max="3075" width="11" style="63" bestFit="1" customWidth="1"/>
    <col min="3076" max="3076" width="15.28515625" style="63" customWidth="1"/>
    <col min="3077" max="3327" width="9.140625" style="63"/>
    <col min="3328" max="3328" width="77.5703125" style="63" customWidth="1"/>
    <col min="3329" max="3329" width="8.42578125" style="63" customWidth="1"/>
    <col min="3330" max="3330" width="9.140625" style="63"/>
    <col min="3331" max="3331" width="11" style="63" bestFit="1" customWidth="1"/>
    <col min="3332" max="3332" width="15.28515625" style="63" customWidth="1"/>
    <col min="3333" max="3583" width="9.140625" style="63"/>
    <col min="3584" max="3584" width="77.5703125" style="63" customWidth="1"/>
    <col min="3585" max="3585" width="8.42578125" style="63" customWidth="1"/>
    <col min="3586" max="3586" width="9.140625" style="63"/>
    <col min="3587" max="3587" width="11" style="63" bestFit="1" customWidth="1"/>
    <col min="3588" max="3588" width="15.28515625" style="63" customWidth="1"/>
    <col min="3589" max="3839" width="9.140625" style="63"/>
    <col min="3840" max="3840" width="77.5703125" style="63" customWidth="1"/>
    <col min="3841" max="3841" width="8.42578125" style="63" customWidth="1"/>
    <col min="3842" max="3842" width="9.140625" style="63"/>
    <col min="3843" max="3843" width="11" style="63" bestFit="1" customWidth="1"/>
    <col min="3844" max="3844" width="15.28515625" style="63" customWidth="1"/>
    <col min="3845" max="4095" width="9.140625" style="63"/>
    <col min="4096" max="4096" width="77.5703125" style="63" customWidth="1"/>
    <col min="4097" max="4097" width="8.42578125" style="63" customWidth="1"/>
    <col min="4098" max="4098" width="9.140625" style="63"/>
    <col min="4099" max="4099" width="11" style="63" bestFit="1" customWidth="1"/>
    <col min="4100" max="4100" width="15.28515625" style="63" customWidth="1"/>
    <col min="4101" max="4351" width="9.140625" style="63"/>
    <col min="4352" max="4352" width="77.5703125" style="63" customWidth="1"/>
    <col min="4353" max="4353" width="8.42578125" style="63" customWidth="1"/>
    <col min="4354" max="4354" width="9.140625" style="63"/>
    <col min="4355" max="4355" width="11" style="63" bestFit="1" customWidth="1"/>
    <col min="4356" max="4356" width="15.28515625" style="63" customWidth="1"/>
    <col min="4357" max="4607" width="9.140625" style="63"/>
    <col min="4608" max="4608" width="77.5703125" style="63" customWidth="1"/>
    <col min="4609" max="4609" width="8.42578125" style="63" customWidth="1"/>
    <col min="4610" max="4610" width="9.140625" style="63"/>
    <col min="4611" max="4611" width="11" style="63" bestFit="1" customWidth="1"/>
    <col min="4612" max="4612" width="15.28515625" style="63" customWidth="1"/>
    <col min="4613" max="4863" width="9.140625" style="63"/>
    <col min="4864" max="4864" width="77.5703125" style="63" customWidth="1"/>
    <col min="4865" max="4865" width="8.42578125" style="63" customWidth="1"/>
    <col min="4866" max="4866" width="9.140625" style="63"/>
    <col min="4867" max="4867" width="11" style="63" bestFit="1" customWidth="1"/>
    <col min="4868" max="4868" width="15.28515625" style="63" customWidth="1"/>
    <col min="4869" max="5119" width="9.140625" style="63"/>
    <col min="5120" max="5120" width="77.5703125" style="63" customWidth="1"/>
    <col min="5121" max="5121" width="8.42578125" style="63" customWidth="1"/>
    <col min="5122" max="5122" width="9.140625" style="63"/>
    <col min="5123" max="5123" width="11" style="63" bestFit="1" customWidth="1"/>
    <col min="5124" max="5124" width="15.28515625" style="63" customWidth="1"/>
    <col min="5125" max="5375" width="9.140625" style="63"/>
    <col min="5376" max="5376" width="77.5703125" style="63" customWidth="1"/>
    <col min="5377" max="5377" width="8.42578125" style="63" customWidth="1"/>
    <col min="5378" max="5378" width="9.140625" style="63"/>
    <col min="5379" max="5379" width="11" style="63" bestFit="1" customWidth="1"/>
    <col min="5380" max="5380" width="15.28515625" style="63" customWidth="1"/>
    <col min="5381" max="5631" width="9.140625" style="63"/>
    <col min="5632" max="5632" width="77.5703125" style="63" customWidth="1"/>
    <col min="5633" max="5633" width="8.42578125" style="63" customWidth="1"/>
    <col min="5634" max="5634" width="9.140625" style="63"/>
    <col min="5635" max="5635" width="11" style="63" bestFit="1" customWidth="1"/>
    <col min="5636" max="5636" width="15.28515625" style="63" customWidth="1"/>
    <col min="5637" max="5887" width="9.140625" style="63"/>
    <col min="5888" max="5888" width="77.5703125" style="63" customWidth="1"/>
    <col min="5889" max="5889" width="8.42578125" style="63" customWidth="1"/>
    <col min="5890" max="5890" width="9.140625" style="63"/>
    <col min="5891" max="5891" width="11" style="63" bestFit="1" customWidth="1"/>
    <col min="5892" max="5892" width="15.28515625" style="63" customWidth="1"/>
    <col min="5893" max="6143" width="9.140625" style="63"/>
    <col min="6144" max="6144" width="77.5703125" style="63" customWidth="1"/>
    <col min="6145" max="6145" width="8.42578125" style="63" customWidth="1"/>
    <col min="6146" max="6146" width="9.140625" style="63"/>
    <col min="6147" max="6147" width="11" style="63" bestFit="1" customWidth="1"/>
    <col min="6148" max="6148" width="15.28515625" style="63" customWidth="1"/>
    <col min="6149" max="6399" width="9.140625" style="63"/>
    <col min="6400" max="6400" width="77.5703125" style="63" customWidth="1"/>
    <col min="6401" max="6401" width="8.42578125" style="63" customWidth="1"/>
    <col min="6402" max="6402" width="9.140625" style="63"/>
    <col min="6403" max="6403" width="11" style="63" bestFit="1" customWidth="1"/>
    <col min="6404" max="6404" width="15.28515625" style="63" customWidth="1"/>
    <col min="6405" max="6655" width="9.140625" style="63"/>
    <col min="6656" max="6656" width="77.5703125" style="63" customWidth="1"/>
    <col min="6657" max="6657" width="8.42578125" style="63" customWidth="1"/>
    <col min="6658" max="6658" width="9.140625" style="63"/>
    <col min="6659" max="6659" width="11" style="63" bestFit="1" customWidth="1"/>
    <col min="6660" max="6660" width="15.28515625" style="63" customWidth="1"/>
    <col min="6661" max="6911" width="9.140625" style="63"/>
    <col min="6912" max="6912" width="77.5703125" style="63" customWidth="1"/>
    <col min="6913" max="6913" width="8.42578125" style="63" customWidth="1"/>
    <col min="6914" max="6914" width="9.140625" style="63"/>
    <col min="6915" max="6915" width="11" style="63" bestFit="1" customWidth="1"/>
    <col min="6916" max="6916" width="15.28515625" style="63" customWidth="1"/>
    <col min="6917" max="7167" width="9.140625" style="63"/>
    <col min="7168" max="7168" width="77.5703125" style="63" customWidth="1"/>
    <col min="7169" max="7169" width="8.42578125" style="63" customWidth="1"/>
    <col min="7170" max="7170" width="9.140625" style="63"/>
    <col min="7171" max="7171" width="11" style="63" bestFit="1" customWidth="1"/>
    <col min="7172" max="7172" width="15.28515625" style="63" customWidth="1"/>
    <col min="7173" max="7423" width="9.140625" style="63"/>
    <col min="7424" max="7424" width="77.5703125" style="63" customWidth="1"/>
    <col min="7425" max="7425" width="8.42578125" style="63" customWidth="1"/>
    <col min="7426" max="7426" width="9.140625" style="63"/>
    <col min="7427" max="7427" width="11" style="63" bestFit="1" customWidth="1"/>
    <col min="7428" max="7428" width="15.28515625" style="63" customWidth="1"/>
    <col min="7429" max="7679" width="9.140625" style="63"/>
    <col min="7680" max="7680" width="77.5703125" style="63" customWidth="1"/>
    <col min="7681" max="7681" width="8.42578125" style="63" customWidth="1"/>
    <col min="7682" max="7682" width="9.140625" style="63"/>
    <col min="7683" max="7683" width="11" style="63" bestFit="1" customWidth="1"/>
    <col min="7684" max="7684" width="15.28515625" style="63" customWidth="1"/>
    <col min="7685" max="7935" width="9.140625" style="63"/>
    <col min="7936" max="7936" width="77.5703125" style="63" customWidth="1"/>
    <col min="7937" max="7937" width="8.42578125" style="63" customWidth="1"/>
    <col min="7938" max="7938" width="9.140625" style="63"/>
    <col min="7939" max="7939" width="11" style="63" bestFit="1" customWidth="1"/>
    <col min="7940" max="7940" width="15.28515625" style="63" customWidth="1"/>
    <col min="7941" max="8191" width="9.140625" style="63"/>
    <col min="8192" max="8192" width="77.5703125" style="63" customWidth="1"/>
    <col min="8193" max="8193" width="8.42578125" style="63" customWidth="1"/>
    <col min="8194" max="8194" width="9.140625" style="63"/>
    <col min="8195" max="8195" width="11" style="63" bestFit="1" customWidth="1"/>
    <col min="8196" max="8196" width="15.28515625" style="63" customWidth="1"/>
    <col min="8197" max="8447" width="9.140625" style="63"/>
    <col min="8448" max="8448" width="77.5703125" style="63" customWidth="1"/>
    <col min="8449" max="8449" width="8.42578125" style="63" customWidth="1"/>
    <col min="8450" max="8450" width="9.140625" style="63"/>
    <col min="8451" max="8451" width="11" style="63" bestFit="1" customWidth="1"/>
    <col min="8452" max="8452" width="15.28515625" style="63" customWidth="1"/>
    <col min="8453" max="8703" width="9.140625" style="63"/>
    <col min="8704" max="8704" width="77.5703125" style="63" customWidth="1"/>
    <col min="8705" max="8705" width="8.42578125" style="63" customWidth="1"/>
    <col min="8706" max="8706" width="9.140625" style="63"/>
    <col min="8707" max="8707" width="11" style="63" bestFit="1" customWidth="1"/>
    <col min="8708" max="8708" width="15.28515625" style="63" customWidth="1"/>
    <col min="8709" max="8959" width="9.140625" style="63"/>
    <col min="8960" max="8960" width="77.5703125" style="63" customWidth="1"/>
    <col min="8961" max="8961" width="8.42578125" style="63" customWidth="1"/>
    <col min="8962" max="8962" width="9.140625" style="63"/>
    <col min="8963" max="8963" width="11" style="63" bestFit="1" customWidth="1"/>
    <col min="8964" max="8964" width="15.28515625" style="63" customWidth="1"/>
    <col min="8965" max="9215" width="9.140625" style="63"/>
    <col min="9216" max="9216" width="77.5703125" style="63" customWidth="1"/>
    <col min="9217" max="9217" width="8.42578125" style="63" customWidth="1"/>
    <col min="9218" max="9218" width="9.140625" style="63"/>
    <col min="9219" max="9219" width="11" style="63" bestFit="1" customWidth="1"/>
    <col min="9220" max="9220" width="15.28515625" style="63" customWidth="1"/>
    <col min="9221" max="9471" width="9.140625" style="63"/>
    <col min="9472" max="9472" width="77.5703125" style="63" customWidth="1"/>
    <col min="9473" max="9473" width="8.42578125" style="63" customWidth="1"/>
    <col min="9474" max="9474" width="9.140625" style="63"/>
    <col min="9475" max="9475" width="11" style="63" bestFit="1" customWidth="1"/>
    <col min="9476" max="9476" width="15.28515625" style="63" customWidth="1"/>
    <col min="9477" max="9727" width="9.140625" style="63"/>
    <col min="9728" max="9728" width="77.5703125" style="63" customWidth="1"/>
    <col min="9729" max="9729" width="8.42578125" style="63" customWidth="1"/>
    <col min="9730" max="9730" width="9.140625" style="63"/>
    <col min="9731" max="9731" width="11" style="63" bestFit="1" customWidth="1"/>
    <col min="9732" max="9732" width="15.28515625" style="63" customWidth="1"/>
    <col min="9733" max="9983" width="9.140625" style="63"/>
    <col min="9984" max="9984" width="77.5703125" style="63" customWidth="1"/>
    <col min="9985" max="9985" width="8.42578125" style="63" customWidth="1"/>
    <col min="9986" max="9986" width="9.140625" style="63"/>
    <col min="9987" max="9987" width="11" style="63" bestFit="1" customWidth="1"/>
    <col min="9988" max="9988" width="15.28515625" style="63" customWidth="1"/>
    <col min="9989" max="10239" width="9.140625" style="63"/>
    <col min="10240" max="10240" width="77.5703125" style="63" customWidth="1"/>
    <col min="10241" max="10241" width="8.42578125" style="63" customWidth="1"/>
    <col min="10242" max="10242" width="9.140625" style="63"/>
    <col min="10243" max="10243" width="11" style="63" bestFit="1" customWidth="1"/>
    <col min="10244" max="10244" width="15.28515625" style="63" customWidth="1"/>
    <col min="10245" max="10495" width="9.140625" style="63"/>
    <col min="10496" max="10496" width="77.5703125" style="63" customWidth="1"/>
    <col min="10497" max="10497" width="8.42578125" style="63" customWidth="1"/>
    <col min="10498" max="10498" width="9.140625" style="63"/>
    <col min="10499" max="10499" width="11" style="63" bestFit="1" customWidth="1"/>
    <col min="10500" max="10500" width="15.28515625" style="63" customWidth="1"/>
    <col min="10501" max="10751" width="9.140625" style="63"/>
    <col min="10752" max="10752" width="77.5703125" style="63" customWidth="1"/>
    <col min="10753" max="10753" width="8.42578125" style="63" customWidth="1"/>
    <col min="10754" max="10754" width="9.140625" style="63"/>
    <col min="10755" max="10755" width="11" style="63" bestFit="1" customWidth="1"/>
    <col min="10756" max="10756" width="15.28515625" style="63" customWidth="1"/>
    <col min="10757" max="11007" width="9.140625" style="63"/>
    <col min="11008" max="11008" width="77.5703125" style="63" customWidth="1"/>
    <col min="11009" max="11009" width="8.42578125" style="63" customWidth="1"/>
    <col min="11010" max="11010" width="9.140625" style="63"/>
    <col min="11011" max="11011" width="11" style="63" bestFit="1" customWidth="1"/>
    <col min="11012" max="11012" width="15.28515625" style="63" customWidth="1"/>
    <col min="11013" max="11263" width="9.140625" style="63"/>
    <col min="11264" max="11264" width="77.5703125" style="63" customWidth="1"/>
    <col min="11265" max="11265" width="8.42578125" style="63" customWidth="1"/>
    <col min="11266" max="11266" width="9.140625" style="63"/>
    <col min="11267" max="11267" width="11" style="63" bestFit="1" customWidth="1"/>
    <col min="11268" max="11268" width="15.28515625" style="63" customWidth="1"/>
    <col min="11269" max="11519" width="9.140625" style="63"/>
    <col min="11520" max="11520" width="77.5703125" style="63" customWidth="1"/>
    <col min="11521" max="11521" width="8.42578125" style="63" customWidth="1"/>
    <col min="11522" max="11522" width="9.140625" style="63"/>
    <col min="11523" max="11523" width="11" style="63" bestFit="1" customWidth="1"/>
    <col min="11524" max="11524" width="15.28515625" style="63" customWidth="1"/>
    <col min="11525" max="11775" width="9.140625" style="63"/>
    <col min="11776" max="11776" width="77.5703125" style="63" customWidth="1"/>
    <col min="11777" max="11777" width="8.42578125" style="63" customWidth="1"/>
    <col min="11778" max="11778" width="9.140625" style="63"/>
    <col min="11779" max="11779" width="11" style="63" bestFit="1" customWidth="1"/>
    <col min="11780" max="11780" width="15.28515625" style="63" customWidth="1"/>
    <col min="11781" max="12031" width="9.140625" style="63"/>
    <col min="12032" max="12032" width="77.5703125" style="63" customWidth="1"/>
    <col min="12033" max="12033" width="8.42578125" style="63" customWidth="1"/>
    <col min="12034" max="12034" width="9.140625" style="63"/>
    <col min="12035" max="12035" width="11" style="63" bestFit="1" customWidth="1"/>
    <col min="12036" max="12036" width="15.28515625" style="63" customWidth="1"/>
    <col min="12037" max="12287" width="9.140625" style="63"/>
    <col min="12288" max="12288" width="77.5703125" style="63" customWidth="1"/>
    <col min="12289" max="12289" width="8.42578125" style="63" customWidth="1"/>
    <col min="12290" max="12290" width="9.140625" style="63"/>
    <col min="12291" max="12291" width="11" style="63" bestFit="1" customWidth="1"/>
    <col min="12292" max="12292" width="15.28515625" style="63" customWidth="1"/>
    <col min="12293" max="12543" width="9.140625" style="63"/>
    <col min="12544" max="12544" width="77.5703125" style="63" customWidth="1"/>
    <col min="12545" max="12545" width="8.42578125" style="63" customWidth="1"/>
    <col min="12546" max="12546" width="9.140625" style="63"/>
    <col min="12547" max="12547" width="11" style="63" bestFit="1" customWidth="1"/>
    <col min="12548" max="12548" width="15.28515625" style="63" customWidth="1"/>
    <col min="12549" max="12799" width="9.140625" style="63"/>
    <col min="12800" max="12800" width="77.5703125" style="63" customWidth="1"/>
    <col min="12801" max="12801" width="8.42578125" style="63" customWidth="1"/>
    <col min="12802" max="12802" width="9.140625" style="63"/>
    <col min="12803" max="12803" width="11" style="63" bestFit="1" customWidth="1"/>
    <col min="12804" max="12804" width="15.28515625" style="63" customWidth="1"/>
    <col min="12805" max="13055" width="9.140625" style="63"/>
    <col min="13056" max="13056" width="77.5703125" style="63" customWidth="1"/>
    <col min="13057" max="13057" width="8.42578125" style="63" customWidth="1"/>
    <col min="13058" max="13058" width="9.140625" style="63"/>
    <col min="13059" max="13059" width="11" style="63" bestFit="1" customWidth="1"/>
    <col min="13060" max="13060" width="15.28515625" style="63" customWidth="1"/>
    <col min="13061" max="13311" width="9.140625" style="63"/>
    <col min="13312" max="13312" width="77.5703125" style="63" customWidth="1"/>
    <col min="13313" max="13313" width="8.42578125" style="63" customWidth="1"/>
    <col min="13314" max="13314" width="9.140625" style="63"/>
    <col min="13315" max="13315" width="11" style="63" bestFit="1" customWidth="1"/>
    <col min="13316" max="13316" width="15.28515625" style="63" customWidth="1"/>
    <col min="13317" max="13567" width="9.140625" style="63"/>
    <col min="13568" max="13568" width="77.5703125" style="63" customWidth="1"/>
    <col min="13569" max="13569" width="8.42578125" style="63" customWidth="1"/>
    <col min="13570" max="13570" width="9.140625" style="63"/>
    <col min="13571" max="13571" width="11" style="63" bestFit="1" customWidth="1"/>
    <col min="13572" max="13572" width="15.28515625" style="63" customWidth="1"/>
    <col min="13573" max="13823" width="9.140625" style="63"/>
    <col min="13824" max="13824" width="77.5703125" style="63" customWidth="1"/>
    <col min="13825" max="13825" width="8.42578125" style="63" customWidth="1"/>
    <col min="13826" max="13826" width="9.140625" style="63"/>
    <col min="13827" max="13827" width="11" style="63" bestFit="1" customWidth="1"/>
    <col min="13828" max="13828" width="15.28515625" style="63" customWidth="1"/>
    <col min="13829" max="14079" width="9.140625" style="63"/>
    <col min="14080" max="14080" width="77.5703125" style="63" customWidth="1"/>
    <col min="14081" max="14081" width="8.42578125" style="63" customWidth="1"/>
    <col min="14082" max="14082" width="9.140625" style="63"/>
    <col min="14083" max="14083" width="11" style="63" bestFit="1" customWidth="1"/>
    <col min="14084" max="14084" width="15.28515625" style="63" customWidth="1"/>
    <col min="14085" max="14335" width="9.140625" style="63"/>
    <col min="14336" max="14336" width="77.5703125" style="63" customWidth="1"/>
    <col min="14337" max="14337" width="8.42578125" style="63" customWidth="1"/>
    <col min="14338" max="14338" width="9.140625" style="63"/>
    <col min="14339" max="14339" width="11" style="63" bestFit="1" customWidth="1"/>
    <col min="14340" max="14340" width="15.28515625" style="63" customWidth="1"/>
    <col min="14341" max="14591" width="9.140625" style="63"/>
    <col min="14592" max="14592" width="77.5703125" style="63" customWidth="1"/>
    <col min="14593" max="14593" width="8.42578125" style="63" customWidth="1"/>
    <col min="14594" max="14594" width="9.140625" style="63"/>
    <col min="14595" max="14595" width="11" style="63" bestFit="1" customWidth="1"/>
    <col min="14596" max="14596" width="15.28515625" style="63" customWidth="1"/>
    <col min="14597" max="14847" width="9.140625" style="63"/>
    <col min="14848" max="14848" width="77.5703125" style="63" customWidth="1"/>
    <col min="14849" max="14849" width="8.42578125" style="63" customWidth="1"/>
    <col min="14850" max="14850" width="9.140625" style="63"/>
    <col min="14851" max="14851" width="11" style="63" bestFit="1" customWidth="1"/>
    <col min="14852" max="14852" width="15.28515625" style="63" customWidth="1"/>
    <col min="14853" max="15103" width="9.140625" style="63"/>
    <col min="15104" max="15104" width="77.5703125" style="63" customWidth="1"/>
    <col min="15105" max="15105" width="8.42578125" style="63" customWidth="1"/>
    <col min="15106" max="15106" width="9.140625" style="63"/>
    <col min="15107" max="15107" width="11" style="63" bestFit="1" customWidth="1"/>
    <col min="15108" max="15108" width="15.28515625" style="63" customWidth="1"/>
    <col min="15109" max="15359" width="9.140625" style="63"/>
    <col min="15360" max="15360" width="77.5703125" style="63" customWidth="1"/>
    <col min="15361" max="15361" width="8.42578125" style="63" customWidth="1"/>
    <col min="15362" max="15362" width="9.140625" style="63"/>
    <col min="15363" max="15363" width="11" style="63" bestFit="1" customWidth="1"/>
    <col min="15364" max="15364" width="15.28515625" style="63" customWidth="1"/>
    <col min="15365" max="15615" width="9.140625" style="63"/>
    <col min="15616" max="15616" width="77.5703125" style="63" customWidth="1"/>
    <col min="15617" max="15617" width="8.42578125" style="63" customWidth="1"/>
    <col min="15618" max="15618" width="9.140625" style="63"/>
    <col min="15619" max="15619" width="11" style="63" bestFit="1" customWidth="1"/>
    <col min="15620" max="15620" width="15.28515625" style="63" customWidth="1"/>
    <col min="15621" max="15871" width="9.140625" style="63"/>
    <col min="15872" max="15872" width="77.5703125" style="63" customWidth="1"/>
    <col min="15873" max="15873" width="8.42578125" style="63" customWidth="1"/>
    <col min="15874" max="15874" width="9.140625" style="63"/>
    <col min="15875" max="15875" width="11" style="63" bestFit="1" customWidth="1"/>
    <col min="15876" max="15876" width="15.28515625" style="63" customWidth="1"/>
    <col min="15877" max="16127" width="9.140625" style="63"/>
    <col min="16128" max="16128" width="77.5703125" style="63" customWidth="1"/>
    <col min="16129" max="16129" width="8.42578125" style="63" customWidth="1"/>
    <col min="16130" max="16130" width="9.140625" style="63"/>
    <col min="16131" max="16131" width="11" style="63" bestFit="1" customWidth="1"/>
    <col min="16132" max="16132" width="15.28515625" style="63" customWidth="1"/>
    <col min="16133" max="16384" width="9.140625" style="63"/>
  </cols>
  <sheetData>
    <row r="1" spans="1:9" ht="31.5" customHeight="1" x14ac:dyDescent="0.25">
      <c r="A1" s="246" t="s">
        <v>293</v>
      </c>
      <c r="B1" s="246"/>
      <c r="C1" s="246"/>
      <c r="D1" s="246"/>
      <c r="E1" s="246"/>
      <c r="F1" s="246"/>
      <c r="G1" s="246"/>
      <c r="H1" s="246"/>
      <c r="I1" s="246"/>
    </row>
    <row r="3" spans="1:9" x14ac:dyDescent="0.25">
      <c r="A3" s="247" t="s">
        <v>90</v>
      </c>
      <c r="B3" s="248" t="s">
        <v>146</v>
      </c>
      <c r="C3" s="247" t="s">
        <v>145</v>
      </c>
      <c r="D3" s="249" t="s">
        <v>144</v>
      </c>
      <c r="E3" s="250" t="s">
        <v>333</v>
      </c>
      <c r="F3" s="244" t="s">
        <v>336</v>
      </c>
      <c r="G3" s="244" t="s">
        <v>341</v>
      </c>
      <c r="H3" s="244" t="s">
        <v>345</v>
      </c>
      <c r="I3" s="245" t="s">
        <v>337</v>
      </c>
    </row>
    <row r="4" spans="1:9" x14ac:dyDescent="0.25">
      <c r="A4" s="247"/>
      <c r="B4" s="248"/>
      <c r="C4" s="247"/>
      <c r="D4" s="249"/>
      <c r="E4" s="250"/>
      <c r="F4" s="244"/>
      <c r="G4" s="244"/>
      <c r="H4" s="244"/>
      <c r="I4" s="245"/>
    </row>
    <row r="5" spans="1:9" x14ac:dyDescent="0.25">
      <c r="A5" s="96" t="s">
        <v>294</v>
      </c>
      <c r="B5" s="96"/>
      <c r="C5" s="97"/>
      <c r="D5" s="98"/>
      <c r="E5" s="216">
        <f t="shared" ref="E5:H7" si="0">E6</f>
        <v>14002610</v>
      </c>
      <c r="F5" s="216">
        <f t="shared" si="0"/>
        <v>14002610</v>
      </c>
      <c r="G5" s="216">
        <f>G6</f>
        <v>14002610</v>
      </c>
      <c r="H5" s="216">
        <f>H6</f>
        <v>14002610</v>
      </c>
      <c r="I5" s="212">
        <f>G5-F5</f>
        <v>0</v>
      </c>
    </row>
    <row r="6" spans="1:9" x14ac:dyDescent="0.25">
      <c r="A6" s="96" t="s">
        <v>2</v>
      </c>
      <c r="B6" s="96"/>
      <c r="C6" s="97"/>
      <c r="D6" s="98"/>
      <c r="E6" s="216">
        <f t="shared" si="0"/>
        <v>14002610</v>
      </c>
      <c r="F6" s="216">
        <f t="shared" si="0"/>
        <v>14002610</v>
      </c>
      <c r="G6" s="216">
        <f>G7</f>
        <v>14002610</v>
      </c>
      <c r="H6" s="216">
        <f>H7</f>
        <v>14002610</v>
      </c>
      <c r="I6" s="212">
        <f>G6-F6</f>
        <v>0</v>
      </c>
    </row>
    <row r="7" spans="1:9" x14ac:dyDescent="0.25">
      <c r="A7" s="96" t="s">
        <v>68</v>
      </c>
      <c r="B7" s="96"/>
      <c r="C7" s="99"/>
      <c r="D7" s="98"/>
      <c r="E7" s="201">
        <f t="shared" si="0"/>
        <v>14002610</v>
      </c>
      <c r="F7" s="201">
        <f t="shared" si="0"/>
        <v>14002610</v>
      </c>
      <c r="G7" s="201">
        <f t="shared" si="0"/>
        <v>14002610</v>
      </c>
      <c r="H7" s="201">
        <f t="shared" si="0"/>
        <v>14002610</v>
      </c>
      <c r="I7" s="212">
        <f t="shared" ref="I7" si="1">G7-F7</f>
        <v>0</v>
      </c>
    </row>
    <row r="8" spans="1:9" x14ac:dyDescent="0.25">
      <c r="A8" s="102" t="s">
        <v>69</v>
      </c>
      <c r="B8" s="96"/>
      <c r="C8" s="100">
        <v>39.39</v>
      </c>
      <c r="D8" s="101">
        <v>4580000</v>
      </c>
      <c r="E8" s="198">
        <f>E10+E19+E22+E25+E30</f>
        <v>14002610</v>
      </c>
      <c r="F8" s="198">
        <f>F10+F19+F22+F25+F30</f>
        <v>14002610</v>
      </c>
      <c r="G8" s="198">
        <f>G10+G19+G22+G25+G30</f>
        <v>14002610</v>
      </c>
      <c r="H8" s="198">
        <f>H10+H19+H22+H25+H30</f>
        <v>14002610</v>
      </c>
      <c r="I8" s="214">
        <f>G8-F8</f>
        <v>0</v>
      </c>
    </row>
    <row r="9" spans="1:9" x14ac:dyDescent="0.25">
      <c r="A9" s="102" t="s">
        <v>71</v>
      </c>
      <c r="B9" s="96"/>
      <c r="C9" s="99"/>
      <c r="D9" s="98"/>
      <c r="E9" s="218">
        <v>0</v>
      </c>
      <c r="F9" s="218">
        <v>0</v>
      </c>
      <c r="G9" s="218">
        <v>0</v>
      </c>
      <c r="H9" s="218">
        <v>0</v>
      </c>
      <c r="I9" s="214">
        <f>G9-F9</f>
        <v>0</v>
      </c>
    </row>
    <row r="10" spans="1:9" x14ac:dyDescent="0.25">
      <c r="A10" s="219" t="s">
        <v>99</v>
      </c>
      <c r="B10" s="96"/>
      <c r="C10" s="99"/>
      <c r="D10" s="98"/>
      <c r="E10" s="201">
        <f>E11+E12+E13+E14+E15+E16+E17+E18</f>
        <v>7495610</v>
      </c>
      <c r="F10" s="201">
        <f>F11+F12+F13+F14+F15+F16+F17+F18</f>
        <v>7495610</v>
      </c>
      <c r="G10" s="201">
        <f>G11+G12+G13+G14+G15+G16+G17+G18</f>
        <v>7495610</v>
      </c>
      <c r="H10" s="201">
        <f>H11+H12+H13+H14+H15+H16+H17+H18</f>
        <v>7495610</v>
      </c>
      <c r="I10" s="212">
        <f>G10-F10</f>
        <v>0</v>
      </c>
    </row>
    <row r="11" spans="1:9" x14ac:dyDescent="0.25">
      <c r="A11" s="220" t="s">
        <v>70</v>
      </c>
      <c r="B11" s="96"/>
      <c r="C11" s="99"/>
      <c r="D11" s="98"/>
      <c r="E11" s="198">
        <v>787190</v>
      </c>
      <c r="F11" s="198">
        <v>787190</v>
      </c>
      <c r="G11" s="198">
        <v>787190</v>
      </c>
      <c r="H11" s="198">
        <v>787190</v>
      </c>
      <c r="I11" s="214">
        <f>G11-F11</f>
        <v>0</v>
      </c>
    </row>
    <row r="12" spans="1:9" x14ac:dyDescent="0.25">
      <c r="A12" s="220" t="s">
        <v>71</v>
      </c>
      <c r="B12" s="96"/>
      <c r="C12" s="99"/>
      <c r="D12" s="98"/>
      <c r="E12" s="218">
        <v>0</v>
      </c>
      <c r="F12" s="218">
        <v>0</v>
      </c>
      <c r="G12" s="218">
        <v>0</v>
      </c>
      <c r="H12" s="218">
        <v>0</v>
      </c>
      <c r="I12" s="214">
        <f t="shared" ref="I12:I18" si="2">G12-F12</f>
        <v>0</v>
      </c>
    </row>
    <row r="13" spans="1:9" x14ac:dyDescent="0.25">
      <c r="A13" s="220" t="s">
        <v>72</v>
      </c>
      <c r="B13" s="96"/>
      <c r="C13" s="97"/>
      <c r="D13" s="98"/>
      <c r="E13" s="198">
        <v>5696000</v>
      </c>
      <c r="F13" s="198">
        <v>5696000</v>
      </c>
      <c r="G13" s="198">
        <v>5696000</v>
      </c>
      <c r="H13" s="198">
        <v>5696000</v>
      </c>
      <c r="I13" s="214">
        <f t="shared" si="2"/>
        <v>0</v>
      </c>
    </row>
    <row r="14" spans="1:9" x14ac:dyDescent="0.25">
      <c r="A14" s="220" t="s">
        <v>71</v>
      </c>
      <c r="B14" s="96"/>
      <c r="C14" s="97"/>
      <c r="D14" s="98"/>
      <c r="E14" s="218">
        <v>0</v>
      </c>
      <c r="F14" s="218">
        <v>0</v>
      </c>
      <c r="G14" s="218">
        <v>0</v>
      </c>
      <c r="H14" s="218">
        <v>0</v>
      </c>
      <c r="I14" s="214">
        <f t="shared" si="2"/>
        <v>0</v>
      </c>
    </row>
    <row r="15" spans="1:9" x14ac:dyDescent="0.25">
      <c r="A15" s="220" t="s">
        <v>73</v>
      </c>
      <c r="B15" s="96"/>
      <c r="C15" s="97"/>
      <c r="D15" s="98"/>
      <c r="E15" s="198">
        <v>0</v>
      </c>
      <c r="F15" s="198">
        <v>0</v>
      </c>
      <c r="G15" s="198">
        <v>0</v>
      </c>
      <c r="H15" s="198">
        <v>0</v>
      </c>
      <c r="I15" s="214">
        <f t="shared" si="2"/>
        <v>0</v>
      </c>
    </row>
    <row r="16" spans="1:9" x14ac:dyDescent="0.25">
      <c r="A16" s="220" t="s">
        <v>71</v>
      </c>
      <c r="B16" s="96"/>
      <c r="C16" s="97"/>
      <c r="D16" s="98"/>
      <c r="E16" s="218">
        <v>0</v>
      </c>
      <c r="F16" s="218">
        <v>0</v>
      </c>
      <c r="G16" s="218">
        <v>0</v>
      </c>
      <c r="H16" s="218">
        <v>0</v>
      </c>
      <c r="I16" s="214">
        <f t="shared" si="2"/>
        <v>0</v>
      </c>
    </row>
    <row r="17" spans="1:9" x14ac:dyDescent="0.25">
      <c r="A17" s="220" t="s">
        <v>74</v>
      </c>
      <c r="B17" s="96"/>
      <c r="C17" s="97"/>
      <c r="D17" s="98"/>
      <c r="E17" s="198">
        <v>1012420</v>
      </c>
      <c r="F17" s="198">
        <v>1012420</v>
      </c>
      <c r="G17" s="198">
        <v>1012420</v>
      </c>
      <c r="H17" s="198">
        <v>1012420</v>
      </c>
      <c r="I17" s="214">
        <f t="shared" si="2"/>
        <v>0</v>
      </c>
    </row>
    <row r="18" spans="1:9" x14ac:dyDescent="0.25">
      <c r="A18" s="220" t="s">
        <v>71</v>
      </c>
      <c r="B18" s="96"/>
      <c r="C18" s="97"/>
      <c r="D18" s="98"/>
      <c r="E18" s="218">
        <v>0</v>
      </c>
      <c r="F18" s="218">
        <v>0</v>
      </c>
      <c r="G18" s="218">
        <v>0</v>
      </c>
      <c r="H18" s="218">
        <v>0</v>
      </c>
      <c r="I18" s="214">
        <f t="shared" si="2"/>
        <v>0</v>
      </c>
    </row>
    <row r="19" spans="1:9" x14ac:dyDescent="0.25">
      <c r="A19" s="96" t="s">
        <v>100</v>
      </c>
      <c r="B19" s="96"/>
      <c r="C19" s="97"/>
      <c r="D19" s="98"/>
      <c r="E19" s="216">
        <f>E20+E21</f>
        <v>5000000</v>
      </c>
      <c r="F19" s="216">
        <f>F20+F21</f>
        <v>5000000</v>
      </c>
      <c r="G19" s="216">
        <f>G20+G21</f>
        <v>5000000</v>
      </c>
      <c r="H19" s="216">
        <f>H20+H21</f>
        <v>5000000</v>
      </c>
      <c r="I19" s="212">
        <f t="shared" ref="I19:I26" si="3">G19-F19</f>
        <v>0</v>
      </c>
    </row>
    <row r="20" spans="1:9" x14ac:dyDescent="0.25">
      <c r="A20" s="102" t="s">
        <v>93</v>
      </c>
      <c r="B20" s="102"/>
      <c r="C20" s="102"/>
      <c r="D20" s="101">
        <v>2700</v>
      </c>
      <c r="E20" s="198">
        <v>5000000</v>
      </c>
      <c r="F20" s="198">
        <v>5000000</v>
      </c>
      <c r="G20" s="198">
        <v>5000000</v>
      </c>
      <c r="H20" s="198">
        <v>5000000</v>
      </c>
      <c r="I20" s="214">
        <f t="shared" si="3"/>
        <v>0</v>
      </c>
    </row>
    <row r="21" spans="1:9" x14ac:dyDescent="0.25">
      <c r="A21" s="220" t="s">
        <v>71</v>
      </c>
      <c r="B21" s="96"/>
      <c r="C21" s="103"/>
      <c r="D21" s="101"/>
      <c r="E21" s="198">
        <v>0</v>
      </c>
      <c r="F21" s="198">
        <v>0</v>
      </c>
      <c r="G21" s="198">
        <v>0</v>
      </c>
      <c r="H21" s="198">
        <v>0</v>
      </c>
      <c r="I21" s="214">
        <f t="shared" si="3"/>
        <v>0</v>
      </c>
    </row>
    <row r="22" spans="1:9" x14ac:dyDescent="0.25">
      <c r="A22" s="96" t="s">
        <v>101</v>
      </c>
      <c r="B22" s="101"/>
      <c r="C22" s="103"/>
      <c r="D22" s="101"/>
      <c r="E22" s="201">
        <f>E23+E24</f>
        <v>45900</v>
      </c>
      <c r="F22" s="201">
        <f>F23+F24</f>
        <v>45900</v>
      </c>
      <c r="G22" s="201">
        <f>G23+G24</f>
        <v>45900</v>
      </c>
      <c r="H22" s="201">
        <f>H23+H24</f>
        <v>45900</v>
      </c>
      <c r="I22" s="212">
        <f t="shared" si="3"/>
        <v>0</v>
      </c>
    </row>
    <row r="23" spans="1:9" x14ac:dyDescent="0.25">
      <c r="A23" s="102" t="s">
        <v>75</v>
      </c>
      <c r="B23" s="101">
        <v>2550</v>
      </c>
      <c r="C23" s="103"/>
      <c r="D23" s="104"/>
      <c r="E23" s="221">
        <v>45900</v>
      </c>
      <c r="F23" s="221">
        <v>45900</v>
      </c>
      <c r="G23" s="221">
        <v>45900</v>
      </c>
      <c r="H23" s="221">
        <v>45900</v>
      </c>
      <c r="I23" s="214">
        <f t="shared" si="3"/>
        <v>0</v>
      </c>
    </row>
    <row r="24" spans="1:9" x14ac:dyDescent="0.25">
      <c r="A24" s="220" t="s">
        <v>71</v>
      </c>
      <c r="B24" s="96"/>
      <c r="C24" s="97"/>
      <c r="D24" s="105"/>
      <c r="E24" s="103">
        <v>0</v>
      </c>
      <c r="F24" s="103">
        <v>0</v>
      </c>
      <c r="G24" s="103">
        <v>0</v>
      </c>
      <c r="H24" s="103">
        <v>0</v>
      </c>
      <c r="I24" s="214">
        <f t="shared" si="3"/>
        <v>0</v>
      </c>
    </row>
    <row r="25" spans="1:9" x14ac:dyDescent="0.25">
      <c r="A25" s="222" t="s">
        <v>102</v>
      </c>
      <c r="B25" s="96"/>
      <c r="C25" s="103"/>
      <c r="D25" s="101"/>
      <c r="E25" s="223">
        <f>E26</f>
        <v>452000</v>
      </c>
      <c r="F25" s="223">
        <f>F26</f>
        <v>452000</v>
      </c>
      <c r="G25" s="223">
        <f>G26</f>
        <v>452000</v>
      </c>
      <c r="H25" s="223">
        <f>H26</f>
        <v>452000</v>
      </c>
      <c r="I25" s="212">
        <f t="shared" si="3"/>
        <v>0</v>
      </c>
    </row>
    <row r="26" spans="1:9" x14ac:dyDescent="0.25">
      <c r="A26" s="217" t="s">
        <v>103</v>
      </c>
      <c r="B26" s="96"/>
      <c r="C26" s="103"/>
      <c r="D26" s="101"/>
      <c r="E26" s="214">
        <v>452000</v>
      </c>
      <c r="F26" s="214">
        <v>452000</v>
      </c>
      <c r="G26" s="214">
        <v>452000</v>
      </c>
      <c r="H26" s="214">
        <v>452000</v>
      </c>
      <c r="I26" s="214">
        <f t="shared" si="3"/>
        <v>0</v>
      </c>
    </row>
    <row r="27" spans="1:9" x14ac:dyDescent="0.25">
      <c r="A27" s="220" t="s">
        <v>71</v>
      </c>
      <c r="B27" s="96"/>
      <c r="C27" s="103"/>
      <c r="D27" s="101"/>
      <c r="E27" s="198">
        <v>0</v>
      </c>
      <c r="F27" s="198">
        <v>0</v>
      </c>
      <c r="G27" s="198">
        <v>0</v>
      </c>
      <c r="H27" s="198">
        <v>0</v>
      </c>
      <c r="I27" s="214">
        <f t="shared" ref="I27:I28" si="4">G27-F27</f>
        <v>0</v>
      </c>
    </row>
    <row r="28" spans="1:9" x14ac:dyDescent="0.25">
      <c r="A28" s="219" t="s">
        <v>295</v>
      </c>
      <c r="B28" s="96"/>
      <c r="C28" s="97"/>
      <c r="D28" s="98"/>
      <c r="E28" s="201">
        <v>0</v>
      </c>
      <c r="F28" s="201">
        <v>0</v>
      </c>
      <c r="G28" s="201">
        <v>0</v>
      </c>
      <c r="H28" s="201">
        <v>0</v>
      </c>
      <c r="I28" s="212">
        <f t="shared" si="4"/>
        <v>0</v>
      </c>
    </row>
    <row r="29" spans="1:9" x14ac:dyDescent="0.25">
      <c r="A29" s="219"/>
      <c r="B29" s="96"/>
      <c r="C29" s="97"/>
      <c r="D29" s="98"/>
      <c r="E29" s="201"/>
      <c r="F29" s="217"/>
      <c r="G29" s="217"/>
      <c r="H29" s="217"/>
      <c r="I29" s="214"/>
    </row>
    <row r="30" spans="1:9" x14ac:dyDescent="0.25">
      <c r="A30" s="219" t="s">
        <v>296</v>
      </c>
      <c r="B30" s="96"/>
      <c r="C30" s="97"/>
      <c r="D30" s="98"/>
      <c r="E30" s="201">
        <v>1009100</v>
      </c>
      <c r="F30" s="201">
        <v>1009100</v>
      </c>
      <c r="G30" s="201">
        <v>1009100</v>
      </c>
      <c r="H30" s="201">
        <v>1009100</v>
      </c>
      <c r="I30" s="212">
        <f>G30-F30</f>
        <v>0</v>
      </c>
    </row>
    <row r="31" spans="1:9" x14ac:dyDescent="0.25">
      <c r="A31" s="220"/>
      <c r="B31" s="96"/>
      <c r="C31" s="103"/>
      <c r="D31" s="101"/>
      <c r="E31" s="198"/>
      <c r="F31" s="217"/>
      <c r="G31" s="217"/>
      <c r="H31" s="217"/>
      <c r="I31" s="214"/>
    </row>
    <row r="32" spans="1:9" x14ac:dyDescent="0.25">
      <c r="A32" s="96" t="s">
        <v>104</v>
      </c>
      <c r="B32" s="96"/>
      <c r="C32" s="103"/>
      <c r="D32" s="101"/>
      <c r="E32" s="98">
        <v>0</v>
      </c>
      <c r="F32" s="98">
        <v>0</v>
      </c>
      <c r="G32" s="98">
        <v>0</v>
      </c>
      <c r="H32" s="98">
        <v>0</v>
      </c>
      <c r="I32" s="212">
        <v>0</v>
      </c>
    </row>
    <row r="33" spans="1:9" x14ac:dyDescent="0.25">
      <c r="A33" s="217"/>
      <c r="B33" s="102"/>
      <c r="C33" s="102"/>
      <c r="D33" s="101"/>
      <c r="E33" s="221"/>
      <c r="F33" s="217"/>
      <c r="G33" s="217"/>
      <c r="H33" s="217"/>
      <c r="I33" s="214"/>
    </row>
    <row r="34" spans="1:9" x14ac:dyDescent="0.25">
      <c r="A34" s="96" t="s">
        <v>302</v>
      </c>
      <c r="B34" s="96"/>
      <c r="C34" s="103"/>
      <c r="D34" s="101"/>
      <c r="E34" s="98">
        <f>E36+E37+E35</f>
        <v>4985000</v>
      </c>
      <c r="F34" s="98">
        <f>F36+F37+F35</f>
        <v>5028892</v>
      </c>
      <c r="G34" s="98">
        <f>G36+G37+G35</f>
        <v>5028892</v>
      </c>
      <c r="H34" s="98">
        <f>H36+H37+H35</f>
        <v>5072632</v>
      </c>
      <c r="I34" s="212">
        <f>H34-G34</f>
        <v>43740</v>
      </c>
    </row>
    <row r="35" spans="1:9" x14ac:dyDescent="0.25">
      <c r="A35" s="96" t="s">
        <v>297</v>
      </c>
      <c r="B35" s="96"/>
      <c r="C35" s="103"/>
      <c r="D35" s="101"/>
      <c r="E35" s="98">
        <v>0</v>
      </c>
      <c r="F35" s="98">
        <v>43892</v>
      </c>
      <c r="G35" s="98">
        <v>43892</v>
      </c>
      <c r="H35" s="98">
        <f>43892+43740</f>
        <v>87632</v>
      </c>
      <c r="I35" s="212">
        <f>H35-G35</f>
        <v>43740</v>
      </c>
    </row>
    <row r="36" spans="1:9" x14ac:dyDescent="0.25">
      <c r="A36" s="96" t="s">
        <v>298</v>
      </c>
      <c r="B36" s="96"/>
      <c r="C36" s="103"/>
      <c r="D36" s="101"/>
      <c r="E36" s="98">
        <v>1885000</v>
      </c>
      <c r="F36" s="98">
        <v>1885000</v>
      </c>
      <c r="G36" s="98">
        <v>1885000</v>
      </c>
      <c r="H36" s="98">
        <v>1885000</v>
      </c>
      <c r="I36" s="212">
        <f>G36-F36</f>
        <v>0</v>
      </c>
    </row>
    <row r="37" spans="1:9" x14ac:dyDescent="0.25">
      <c r="A37" s="96" t="s">
        <v>299</v>
      </c>
      <c r="B37" s="102"/>
      <c r="C37" s="103"/>
      <c r="D37" s="101"/>
      <c r="E37" s="98">
        <f>E38</f>
        <v>3100000</v>
      </c>
      <c r="F37" s="98">
        <f>F38</f>
        <v>3100000</v>
      </c>
      <c r="G37" s="98">
        <f>G38</f>
        <v>3100000</v>
      </c>
      <c r="H37" s="98">
        <f>H38</f>
        <v>3100000</v>
      </c>
      <c r="I37" s="212">
        <f>G37-F37</f>
        <v>0</v>
      </c>
    </row>
    <row r="38" spans="1:9" x14ac:dyDescent="0.25">
      <c r="A38" s="224" t="s">
        <v>330</v>
      </c>
      <c r="B38" s="102"/>
      <c r="C38" s="103"/>
      <c r="D38" s="101"/>
      <c r="E38" s="101">
        <v>3100000</v>
      </c>
      <c r="F38" s="101">
        <v>3100000</v>
      </c>
      <c r="G38" s="101">
        <v>3100000</v>
      </c>
      <c r="H38" s="101">
        <v>3100000</v>
      </c>
      <c r="I38" s="214">
        <f>G38-F38</f>
        <v>0</v>
      </c>
    </row>
    <row r="39" spans="1:9" s="107" customFormat="1" x14ac:dyDescent="0.25">
      <c r="A39" s="225"/>
      <c r="B39" s="96"/>
      <c r="C39" s="106"/>
      <c r="D39" s="97"/>
      <c r="E39" s="97"/>
      <c r="F39" s="160"/>
      <c r="G39" s="160"/>
      <c r="H39" s="160"/>
      <c r="I39" s="214"/>
    </row>
    <row r="40" spans="1:9" x14ac:dyDescent="0.25">
      <c r="A40" s="102"/>
      <c r="B40" s="102"/>
      <c r="C40" s="102"/>
      <c r="D40" s="101"/>
      <c r="E40" s="226"/>
      <c r="F40" s="217"/>
      <c r="G40" s="217"/>
      <c r="H40" s="217"/>
      <c r="I40" s="214"/>
    </row>
    <row r="41" spans="1:9" x14ac:dyDescent="0.25">
      <c r="A41" s="97" t="s">
        <v>305</v>
      </c>
      <c r="B41" s="108"/>
      <c r="C41" s="108"/>
      <c r="D41" s="108"/>
      <c r="E41" s="223">
        <f>E42</f>
        <v>1800000</v>
      </c>
      <c r="F41" s="223">
        <f>F42</f>
        <v>1800000</v>
      </c>
      <c r="G41" s="223">
        <f>G42</f>
        <v>1800000</v>
      </c>
      <c r="H41" s="223">
        <f>H42</f>
        <v>1800000</v>
      </c>
      <c r="I41" s="212">
        <f>G41-F41</f>
        <v>0</v>
      </c>
    </row>
    <row r="42" spans="1:9" x14ac:dyDescent="0.25">
      <c r="A42" s="103" t="s">
        <v>306</v>
      </c>
      <c r="B42" s="103"/>
      <c r="C42" s="103"/>
      <c r="D42" s="101"/>
      <c r="E42" s="221">
        <v>1800000</v>
      </c>
      <c r="F42" s="221">
        <v>1800000</v>
      </c>
      <c r="G42" s="221">
        <v>1800000</v>
      </c>
      <c r="H42" s="221">
        <v>1800000</v>
      </c>
      <c r="I42" s="214">
        <f>G42-F42</f>
        <v>0</v>
      </c>
    </row>
    <row r="43" spans="1:9" x14ac:dyDescent="0.25">
      <c r="A43" s="103"/>
      <c r="B43" s="103"/>
      <c r="C43" s="103"/>
      <c r="D43" s="101"/>
      <c r="E43" s="221"/>
      <c r="F43" s="217"/>
      <c r="G43" s="217"/>
      <c r="H43" s="217"/>
      <c r="I43" s="214"/>
    </row>
    <row r="44" spans="1:9" x14ac:dyDescent="0.25">
      <c r="A44" s="97" t="s">
        <v>301</v>
      </c>
      <c r="B44" s="103"/>
      <c r="C44" s="103"/>
      <c r="D44" s="101"/>
      <c r="E44" s="223">
        <v>0</v>
      </c>
      <c r="F44" s="223">
        <v>0</v>
      </c>
      <c r="G44" s="223">
        <v>0</v>
      </c>
      <c r="H44" s="223">
        <f>H45</f>
        <v>426720</v>
      </c>
      <c r="I44" s="212">
        <f>H44-G44</f>
        <v>426720</v>
      </c>
    </row>
    <row r="45" spans="1:9" x14ac:dyDescent="0.25">
      <c r="A45" s="103" t="s">
        <v>346</v>
      </c>
      <c r="B45" s="103"/>
      <c r="C45" s="103"/>
      <c r="D45" s="101"/>
      <c r="E45" s="221">
        <v>0</v>
      </c>
      <c r="F45" s="217">
        <v>0</v>
      </c>
      <c r="G45" s="217">
        <v>0</v>
      </c>
      <c r="H45" s="214">
        <v>426720</v>
      </c>
      <c r="I45" s="214">
        <f>H45-G45</f>
        <v>426720</v>
      </c>
    </row>
    <row r="46" spans="1:9" x14ac:dyDescent="0.25">
      <c r="A46" s="103"/>
      <c r="B46" s="103"/>
      <c r="C46" s="103"/>
      <c r="D46" s="101"/>
      <c r="E46" s="221"/>
      <c r="F46" s="217"/>
      <c r="G46" s="217"/>
      <c r="H46" s="214"/>
      <c r="I46" s="214"/>
    </row>
    <row r="47" spans="1:9" x14ac:dyDescent="0.25">
      <c r="A47" s="96" t="s">
        <v>76</v>
      </c>
      <c r="B47" s="226"/>
      <c r="C47" s="226"/>
      <c r="D47" s="226"/>
      <c r="E47" s="223">
        <f>E41+E34+E32+E5</f>
        <v>20787610</v>
      </c>
      <c r="F47" s="223">
        <f t="shared" ref="F47:G47" si="5">F41+F34+F32+F5</f>
        <v>20831502</v>
      </c>
      <c r="G47" s="223">
        <f t="shared" si="5"/>
        <v>20831502</v>
      </c>
      <c r="H47" s="212">
        <f>H41+H34+H32+H5+H44</f>
        <v>21301962</v>
      </c>
      <c r="I47" s="223">
        <f>H47-G47</f>
        <v>470460</v>
      </c>
    </row>
    <row r="50" spans="5:5" x14ac:dyDescent="0.25">
      <c r="E50" s="64"/>
    </row>
  </sheetData>
  <mergeCells count="10">
    <mergeCell ref="F3:F4"/>
    <mergeCell ref="I3:I4"/>
    <mergeCell ref="A1:I1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&amp;L&amp;"Times New Roman,Normál"&amp;12Vászoly Község Önkormányzata&amp;C&amp;"Times New Roman,Félkövér"&amp;12 2/a melléklet
Az önkormányzat 2018. évi költségvetéséről szóló 5/2018. (II. 16.) önkormányzati rendelethez&amp;R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J31"/>
  <sheetViews>
    <sheetView view="pageLayout" zoomScaleNormal="75" zoomScaleSheetLayoutView="80" workbookViewId="0">
      <selection activeCell="A2" sqref="A2:F3"/>
    </sheetView>
  </sheetViews>
  <sheetFormatPr defaultColWidth="9" defaultRowHeight="15.75" x14ac:dyDescent="0.25"/>
  <cols>
    <col min="1" max="1" width="45.85546875" style="77" customWidth="1"/>
    <col min="2" max="5" width="15.28515625" style="77" customWidth="1"/>
    <col min="6" max="6" width="14.7109375" style="77" customWidth="1"/>
    <col min="7" max="7" width="15.28515625" style="77" customWidth="1"/>
    <col min="8" max="16384" width="9" style="77"/>
  </cols>
  <sheetData>
    <row r="2" spans="1:7" x14ac:dyDescent="0.25">
      <c r="A2" s="251" t="s">
        <v>300</v>
      </c>
      <c r="B2" s="251"/>
      <c r="C2" s="251"/>
      <c r="D2" s="251"/>
      <c r="E2" s="251"/>
      <c r="F2" s="251"/>
    </row>
    <row r="3" spans="1:7" x14ac:dyDescent="0.25">
      <c r="A3" s="251"/>
      <c r="B3" s="251"/>
      <c r="C3" s="251"/>
      <c r="D3" s="251"/>
      <c r="E3" s="251"/>
      <c r="F3" s="251"/>
    </row>
    <row r="4" spans="1:7" ht="51.75" customHeight="1" x14ac:dyDescent="0.25">
      <c r="A4" s="208" t="s">
        <v>90</v>
      </c>
      <c r="B4" s="15" t="s">
        <v>333</v>
      </c>
      <c r="C4" s="15" t="s">
        <v>336</v>
      </c>
      <c r="D4" s="15" t="s">
        <v>341</v>
      </c>
      <c r="E4" s="15" t="s">
        <v>345</v>
      </c>
      <c r="F4" s="15" t="s">
        <v>335</v>
      </c>
    </row>
    <row r="5" spans="1:7" ht="30.75" customHeight="1" x14ac:dyDescent="0.25">
      <c r="A5" s="209" t="s">
        <v>111</v>
      </c>
      <c r="B5" s="70"/>
      <c r="C5" s="210"/>
      <c r="D5" s="210"/>
      <c r="E5" s="210"/>
      <c r="F5" s="210"/>
    </row>
    <row r="6" spans="1:7" s="79" customFormat="1" ht="18.95" customHeight="1" x14ac:dyDescent="0.25">
      <c r="A6" s="211" t="s">
        <v>78</v>
      </c>
      <c r="B6" s="71">
        <v>7128829</v>
      </c>
      <c r="C6" s="78">
        <f>7128829+2181945</f>
        <v>9310774</v>
      </c>
      <c r="D6" s="78">
        <v>9310774</v>
      </c>
      <c r="E6" s="78">
        <f>9310774+50000</f>
        <v>9360774</v>
      </c>
      <c r="F6" s="78">
        <f>E6-D6</f>
        <v>50000</v>
      </c>
    </row>
    <row r="7" spans="1:7" s="79" customFormat="1" ht="18.95" customHeight="1" x14ac:dyDescent="0.25">
      <c r="A7" s="211" t="s">
        <v>79</v>
      </c>
      <c r="B7" s="71">
        <v>1284829</v>
      </c>
      <c r="C7" s="212">
        <f>1284829+151034</f>
        <v>1435863</v>
      </c>
      <c r="D7" s="212">
        <v>1435863</v>
      </c>
      <c r="E7" s="212">
        <f>1435863+9000</f>
        <v>1444863</v>
      </c>
      <c r="F7" s="78">
        <f t="shared" ref="F7" si="0">E7-D7</f>
        <v>9000</v>
      </c>
      <c r="G7" s="80"/>
    </row>
    <row r="8" spans="1:7" s="79" customFormat="1" ht="18.95" customHeight="1" x14ac:dyDescent="0.25">
      <c r="A8" s="211" t="s">
        <v>80</v>
      </c>
      <c r="B8" s="71">
        <f>SUM(B9:B21)</f>
        <v>14260000</v>
      </c>
      <c r="C8" s="71">
        <f>SUM(C9:C21)</f>
        <v>18292500</v>
      </c>
      <c r="D8" s="71">
        <f>SUM(D9:D22)</f>
        <v>45607903</v>
      </c>
      <c r="E8" s="71">
        <f>SUM(E9:E22)</f>
        <v>46034623</v>
      </c>
      <c r="F8" s="78">
        <f>E8-D8</f>
        <v>426720</v>
      </c>
      <c r="G8" s="80"/>
    </row>
    <row r="9" spans="1:7" ht="19.7" customHeight="1" x14ac:dyDescent="0.25">
      <c r="A9" s="213" t="s">
        <v>323</v>
      </c>
      <c r="B9" s="27">
        <v>30000</v>
      </c>
      <c r="C9" s="214">
        <v>30000</v>
      </c>
      <c r="D9" s="214">
        <v>30000</v>
      </c>
      <c r="E9" s="214">
        <v>30000</v>
      </c>
      <c r="F9" s="82">
        <f>E9-D9</f>
        <v>0</v>
      </c>
    </row>
    <row r="10" spans="1:7" ht="19.7" customHeight="1" x14ac:dyDescent="0.25">
      <c r="A10" s="213" t="s">
        <v>322</v>
      </c>
      <c r="B10" s="27">
        <v>1900000</v>
      </c>
      <c r="C10" s="214">
        <v>1900000</v>
      </c>
      <c r="D10" s="214">
        <f>1900000+93700</f>
        <v>1993700</v>
      </c>
      <c r="E10" s="214">
        <f>1993700+336000</f>
        <v>2329700</v>
      </c>
      <c r="F10" s="82">
        <f>E10-D10</f>
        <v>336000</v>
      </c>
    </row>
    <row r="11" spans="1:7" ht="19.7" customHeight="1" x14ac:dyDescent="0.25">
      <c r="A11" s="213" t="s">
        <v>325</v>
      </c>
      <c r="B11" s="27">
        <v>480000</v>
      </c>
      <c r="C11" s="214">
        <v>480000</v>
      </c>
      <c r="D11" s="214">
        <v>480000</v>
      </c>
      <c r="E11" s="214">
        <v>480000</v>
      </c>
      <c r="F11" s="82">
        <f t="shared" ref="F11:F22" si="1">E11-D11</f>
        <v>0</v>
      </c>
    </row>
    <row r="12" spans="1:7" ht="19.7" customHeight="1" x14ac:dyDescent="0.25">
      <c r="A12" s="213" t="s">
        <v>326</v>
      </c>
      <c r="B12" s="27">
        <v>400000</v>
      </c>
      <c r="C12" s="214">
        <v>400000</v>
      </c>
      <c r="D12" s="214">
        <v>400000</v>
      </c>
      <c r="E12" s="214">
        <v>400000</v>
      </c>
      <c r="F12" s="82">
        <f t="shared" si="1"/>
        <v>0</v>
      </c>
    </row>
    <row r="13" spans="1:7" ht="19.7" customHeight="1" x14ac:dyDescent="0.25">
      <c r="A13" s="213" t="s">
        <v>106</v>
      </c>
      <c r="B13" s="27">
        <v>1900000</v>
      </c>
      <c r="C13" s="214">
        <v>1900000</v>
      </c>
      <c r="D13" s="214">
        <v>1900000</v>
      </c>
      <c r="E13" s="214">
        <v>1900000</v>
      </c>
      <c r="F13" s="82">
        <f t="shared" si="1"/>
        <v>0</v>
      </c>
    </row>
    <row r="14" spans="1:7" ht="19.7" customHeight="1" x14ac:dyDescent="0.25">
      <c r="A14" s="213" t="s">
        <v>107</v>
      </c>
      <c r="B14" s="27">
        <v>0</v>
      </c>
      <c r="C14" s="214">
        <v>0</v>
      </c>
      <c r="D14" s="214">
        <v>0</v>
      </c>
      <c r="E14" s="214">
        <v>0</v>
      </c>
      <c r="F14" s="82">
        <f t="shared" si="1"/>
        <v>0</v>
      </c>
    </row>
    <row r="15" spans="1:7" ht="19.7" customHeight="1" x14ac:dyDescent="0.25">
      <c r="A15" s="213" t="s">
        <v>321</v>
      </c>
      <c r="B15" s="27">
        <v>2400000</v>
      </c>
      <c r="C15" s="214">
        <v>2400000</v>
      </c>
      <c r="D15" s="214">
        <v>2400000</v>
      </c>
      <c r="E15" s="214">
        <v>2400000</v>
      </c>
      <c r="F15" s="82">
        <f t="shared" si="1"/>
        <v>0</v>
      </c>
    </row>
    <row r="16" spans="1:7" ht="19.5" customHeight="1" x14ac:dyDescent="0.25">
      <c r="A16" s="213" t="s">
        <v>342</v>
      </c>
      <c r="B16" s="27">
        <v>1200000</v>
      </c>
      <c r="C16" s="214">
        <f>1200000+900000+50000</f>
        <v>2150000</v>
      </c>
      <c r="D16" s="214">
        <v>2150000</v>
      </c>
      <c r="E16" s="214">
        <v>2150000</v>
      </c>
      <c r="F16" s="82">
        <f t="shared" si="1"/>
        <v>0</v>
      </c>
    </row>
    <row r="17" spans="1:10" ht="19.7" customHeight="1" x14ac:dyDescent="0.25">
      <c r="A17" s="213" t="s">
        <v>110</v>
      </c>
      <c r="B17" s="27">
        <v>3500000</v>
      </c>
      <c r="C17" s="214">
        <v>3500000</v>
      </c>
      <c r="D17" s="214">
        <f>3500000-500000</f>
        <v>3000000</v>
      </c>
      <c r="E17" s="214">
        <v>3000000</v>
      </c>
      <c r="F17" s="82">
        <f t="shared" si="1"/>
        <v>0</v>
      </c>
    </row>
    <row r="18" spans="1:10" ht="19.7" customHeight="1" x14ac:dyDescent="0.25">
      <c r="A18" s="213" t="s">
        <v>120</v>
      </c>
      <c r="B18" s="27">
        <v>100000</v>
      </c>
      <c r="C18" s="214">
        <v>100000</v>
      </c>
      <c r="D18" s="214">
        <v>100000</v>
      </c>
      <c r="E18" s="214">
        <v>100000</v>
      </c>
      <c r="F18" s="82">
        <f t="shared" si="1"/>
        <v>0</v>
      </c>
    </row>
    <row r="19" spans="1:10" ht="19.7" customHeight="1" x14ac:dyDescent="0.25">
      <c r="A19" s="213" t="s">
        <v>327</v>
      </c>
      <c r="B19" s="27">
        <v>1500000</v>
      </c>
      <c r="C19" s="214">
        <f>1500000+13500</f>
        <v>1513500</v>
      </c>
      <c r="D19" s="214">
        <f>1513500+25299+500000</f>
        <v>2038799</v>
      </c>
      <c r="E19" s="214">
        <f>2038799+90720</f>
        <v>2129519</v>
      </c>
      <c r="F19" s="82">
        <f t="shared" si="1"/>
        <v>90720</v>
      </c>
    </row>
    <row r="20" spans="1:10" ht="19.7" customHeight="1" x14ac:dyDescent="0.25">
      <c r="A20" s="213" t="s">
        <v>108</v>
      </c>
      <c r="B20" s="27">
        <v>350000</v>
      </c>
      <c r="C20" s="214">
        <f>B20+3069000</f>
        <v>3419000</v>
      </c>
      <c r="D20" s="214">
        <f>3419000+22281404</f>
        <v>25700404</v>
      </c>
      <c r="E20" s="214">
        <v>25700404</v>
      </c>
      <c r="F20" s="82">
        <f t="shared" si="1"/>
        <v>0</v>
      </c>
    </row>
    <row r="21" spans="1:10" ht="19.7" customHeight="1" x14ac:dyDescent="0.25">
      <c r="A21" s="213" t="s">
        <v>109</v>
      </c>
      <c r="B21" s="27">
        <v>500000</v>
      </c>
      <c r="C21" s="214">
        <v>500000</v>
      </c>
      <c r="D21" s="214">
        <v>500000</v>
      </c>
      <c r="E21" s="214">
        <v>500000</v>
      </c>
      <c r="F21" s="82">
        <f t="shared" si="1"/>
        <v>0</v>
      </c>
    </row>
    <row r="22" spans="1:10" ht="31.5" x14ac:dyDescent="0.25">
      <c r="A22" s="213" t="s">
        <v>344</v>
      </c>
      <c r="B22" s="27">
        <v>0</v>
      </c>
      <c r="C22" s="214">
        <v>0</v>
      </c>
      <c r="D22" s="214">
        <v>4915000</v>
      </c>
      <c r="E22" s="214">
        <v>4915000</v>
      </c>
      <c r="F22" s="82">
        <f t="shared" si="1"/>
        <v>0</v>
      </c>
    </row>
    <row r="23" spans="1:10" s="79" customFormat="1" ht="22.5" customHeight="1" x14ac:dyDescent="0.25">
      <c r="A23" s="211" t="s">
        <v>121</v>
      </c>
      <c r="B23" s="71">
        <f>B24+B25+B26</f>
        <v>1885000</v>
      </c>
      <c r="C23" s="71">
        <f>C24+C25+C26</f>
        <v>1885000</v>
      </c>
      <c r="D23" s="71">
        <f>D24+D25+D26</f>
        <v>1885000</v>
      </c>
      <c r="E23" s="71">
        <f>E24+E25+E26</f>
        <v>1885000</v>
      </c>
      <c r="F23" s="78">
        <f>E23-D23</f>
        <v>0</v>
      </c>
    </row>
    <row r="24" spans="1:10" s="79" customFormat="1" ht="21" customHeight="1" x14ac:dyDescent="0.25">
      <c r="A24" s="213" t="s">
        <v>324</v>
      </c>
      <c r="B24" s="27">
        <v>1885000</v>
      </c>
      <c r="C24" s="27">
        <v>1885000</v>
      </c>
      <c r="D24" s="27">
        <v>1885000</v>
      </c>
      <c r="E24" s="27">
        <v>1885000</v>
      </c>
      <c r="F24" s="82">
        <f>E24-D24</f>
        <v>0</v>
      </c>
    </row>
    <row r="25" spans="1:10" s="79" customFormat="1" ht="18.75" customHeight="1" x14ac:dyDescent="0.25">
      <c r="A25" s="213" t="s">
        <v>131</v>
      </c>
      <c r="B25" s="27">
        <v>0</v>
      </c>
      <c r="C25" s="27">
        <v>0</v>
      </c>
      <c r="D25" s="27">
        <v>0</v>
      </c>
      <c r="E25" s="27">
        <v>0</v>
      </c>
      <c r="F25" s="82">
        <f t="shared" ref="F25:F26" si="2">E25-D25</f>
        <v>0</v>
      </c>
    </row>
    <row r="26" spans="1:10" ht="19.7" customHeight="1" x14ac:dyDescent="0.25">
      <c r="A26" s="213" t="s">
        <v>132</v>
      </c>
      <c r="B26" s="27">
        <v>0</v>
      </c>
      <c r="C26" s="214">
        <v>0</v>
      </c>
      <c r="D26" s="214">
        <v>0</v>
      </c>
      <c r="E26" s="214">
        <v>0</v>
      </c>
      <c r="F26" s="82">
        <f t="shared" si="2"/>
        <v>0</v>
      </c>
    </row>
    <row r="27" spans="1:10" s="79" customFormat="1" ht="27" customHeight="1" x14ac:dyDescent="0.25">
      <c r="A27" s="211" t="s">
        <v>81</v>
      </c>
      <c r="B27" s="71">
        <f>B28+B29+B30</f>
        <v>9995415</v>
      </c>
      <c r="C27" s="71">
        <f t="shared" ref="C27:E27" si="3">C28+C29+C30</f>
        <v>10042915</v>
      </c>
      <c r="D27" s="71">
        <f t="shared" si="3"/>
        <v>9208702</v>
      </c>
      <c r="E27" s="71">
        <f t="shared" si="3"/>
        <v>9208702</v>
      </c>
      <c r="F27" s="71">
        <f>E27-D27</f>
        <v>0</v>
      </c>
      <c r="G27" s="72"/>
      <c r="H27" s="81"/>
      <c r="I27" s="81"/>
      <c r="J27" s="81"/>
    </row>
    <row r="28" spans="1:10" ht="31.5" x14ac:dyDescent="0.25">
      <c r="A28" s="215" t="s">
        <v>338</v>
      </c>
      <c r="B28" s="27">
        <f>'4.sz.tábla'!B4</f>
        <v>9895415</v>
      </c>
      <c r="C28" s="27">
        <f>'4.sz.tábla'!C4</f>
        <v>9895415</v>
      </c>
      <c r="D28" s="27">
        <f>'4.sz.tábla'!D4</f>
        <v>9061202</v>
      </c>
      <c r="E28" s="27">
        <v>9061202</v>
      </c>
      <c r="F28" s="27">
        <f>E28-D28</f>
        <v>0</v>
      </c>
      <c r="G28" s="73"/>
      <c r="H28" s="74"/>
      <c r="I28" s="74"/>
      <c r="J28" s="74"/>
    </row>
    <row r="29" spans="1:10" ht="31.5" x14ac:dyDescent="0.25">
      <c r="A29" s="215" t="s">
        <v>339</v>
      </c>
      <c r="B29" s="27">
        <f>'4.sz.tábla'!B11</f>
        <v>100000</v>
      </c>
      <c r="C29" s="27">
        <f>'4.sz.tábla'!C11</f>
        <v>100000</v>
      </c>
      <c r="D29" s="27">
        <f>'4.sz.tábla'!D11</f>
        <v>100000</v>
      </c>
      <c r="E29" s="27">
        <v>100000</v>
      </c>
      <c r="F29" s="27">
        <f t="shared" ref="F29:F30" si="4">E29-D29</f>
        <v>0</v>
      </c>
      <c r="G29" s="73"/>
      <c r="H29" s="74"/>
      <c r="I29" s="74"/>
      <c r="J29" s="74"/>
    </row>
    <row r="30" spans="1:10" ht="31.5" x14ac:dyDescent="0.25">
      <c r="A30" s="215" t="s">
        <v>340</v>
      </c>
      <c r="B30" s="27">
        <v>0</v>
      </c>
      <c r="C30" s="27">
        <v>47500</v>
      </c>
      <c r="D30" s="27">
        <v>47500</v>
      </c>
      <c r="E30" s="27">
        <v>47500</v>
      </c>
      <c r="F30" s="27">
        <f t="shared" si="4"/>
        <v>0</v>
      </c>
      <c r="G30" s="73"/>
      <c r="H30" s="74"/>
      <c r="I30" s="74"/>
      <c r="J30" s="74"/>
    </row>
    <row r="31" spans="1:10" s="79" customFormat="1" ht="31.5" x14ac:dyDescent="0.25">
      <c r="A31" s="209" t="s">
        <v>82</v>
      </c>
      <c r="B31" s="71">
        <f>B6+B7+B8+B23+B27</f>
        <v>34554073</v>
      </c>
      <c r="C31" s="71">
        <f>C6+C7+C8+C23+C27</f>
        <v>40967052</v>
      </c>
      <c r="D31" s="71">
        <f>D6+D7+D8+D23+D27</f>
        <v>67448242</v>
      </c>
      <c r="E31" s="71">
        <f>E6+E7+E8+E23+E27</f>
        <v>67933962</v>
      </c>
      <c r="F31" s="71">
        <f>F6+F7+F8+F23+F27</f>
        <v>485720</v>
      </c>
      <c r="G31" s="75"/>
      <c r="H31" s="76"/>
      <c r="I31" s="76"/>
      <c r="J31" s="76"/>
    </row>
  </sheetData>
  <sheetProtection selectLockedCells="1" selectUnlockedCells="1"/>
  <mergeCells count="1">
    <mergeCell ref="A2:F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72" firstPageNumber="0" orientation="portrait" r:id="rId1"/>
  <headerFooter alignWithMargins="0">
    <oddHeader xml:space="preserve">&amp;L&amp;"Times New Roman,Normál"&amp;12Vászoly Község Önkormányzata
&amp;C&amp;"Times New Roman,Félkövér"&amp;12 3. melléklet
Az önkormányzat 2018. évi költségvetéséről szóló 5/2018. (II. 16.) önkormányzati rendelethez&amp;R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2"/>
  <sheetViews>
    <sheetView view="pageLayout" zoomScaleNormal="100" workbookViewId="0">
      <selection sqref="A1:F1"/>
    </sheetView>
  </sheetViews>
  <sheetFormatPr defaultColWidth="9" defaultRowHeight="15.75" x14ac:dyDescent="0.25"/>
  <cols>
    <col min="1" max="1" width="46.85546875" style="62" customWidth="1"/>
    <col min="2" max="2" width="15.28515625" style="62" customWidth="1"/>
    <col min="3" max="5" width="15.28515625" style="63" customWidth="1"/>
    <col min="6" max="6" width="16.42578125" style="63" customWidth="1"/>
    <col min="7" max="7" width="15.28515625" style="63" customWidth="1"/>
    <col min="8" max="16384" width="9" style="63"/>
  </cols>
  <sheetData>
    <row r="1" spans="1:7" ht="36.75" customHeight="1" x14ac:dyDescent="0.25">
      <c r="A1" s="252" t="s">
        <v>300</v>
      </c>
      <c r="B1" s="252"/>
      <c r="C1" s="252"/>
      <c r="D1" s="252"/>
      <c r="E1" s="252"/>
      <c r="F1" s="252"/>
    </row>
    <row r="3" spans="1:7" ht="47.25" x14ac:dyDescent="0.25">
      <c r="A3" s="196" t="s">
        <v>90</v>
      </c>
      <c r="B3" s="15" t="s">
        <v>333</v>
      </c>
      <c r="C3" s="15" t="s">
        <v>336</v>
      </c>
      <c r="D3" s="15" t="s">
        <v>341</v>
      </c>
      <c r="E3" s="15" t="s">
        <v>345</v>
      </c>
      <c r="F3" s="15" t="s">
        <v>335</v>
      </c>
    </row>
    <row r="4" spans="1:7" ht="31.5" x14ac:dyDescent="0.25">
      <c r="A4" s="197" t="s">
        <v>112</v>
      </c>
      <c r="B4" s="67">
        <f>SUM(B5:B10)</f>
        <v>9895415</v>
      </c>
      <c r="C4" s="67">
        <f>SUM(C5:C10)</f>
        <v>9895415</v>
      </c>
      <c r="D4" s="67">
        <f>SUM(D5:D10)</f>
        <v>9061202</v>
      </c>
      <c r="E4" s="67">
        <f>SUM(E5:E10)</f>
        <v>9061202</v>
      </c>
      <c r="F4" s="67">
        <f>C4-B4</f>
        <v>0</v>
      </c>
      <c r="G4" s="64"/>
    </row>
    <row r="5" spans="1:7" ht="31.5" x14ac:dyDescent="0.25">
      <c r="A5" s="191" t="s">
        <v>113</v>
      </c>
      <c r="B5" s="68">
        <v>3927195</v>
      </c>
      <c r="C5" s="198">
        <v>3927195</v>
      </c>
      <c r="D5" s="198">
        <v>3092982</v>
      </c>
      <c r="E5" s="198">
        <v>3092982</v>
      </c>
      <c r="F5" s="198">
        <f>E5-D5</f>
        <v>0</v>
      </c>
    </row>
    <row r="6" spans="1:7" ht="28.5" customHeight="1" x14ac:dyDescent="0.25">
      <c r="A6" s="191" t="s">
        <v>140</v>
      </c>
      <c r="B6" s="68">
        <v>5295878</v>
      </c>
      <c r="C6" s="198">
        <v>5295878</v>
      </c>
      <c r="D6" s="198">
        <v>5295878</v>
      </c>
      <c r="E6" s="198">
        <v>5295878</v>
      </c>
      <c r="F6" s="198">
        <f t="shared" ref="F6:F10" si="0">E6-D6</f>
        <v>0</v>
      </c>
    </row>
    <row r="7" spans="1:7" ht="28.5" customHeight="1" x14ac:dyDescent="0.25">
      <c r="A7" s="191" t="s">
        <v>117</v>
      </c>
      <c r="B7" s="68">
        <v>422342</v>
      </c>
      <c r="C7" s="198">
        <v>422342</v>
      </c>
      <c r="D7" s="198">
        <v>422342</v>
      </c>
      <c r="E7" s="198">
        <v>422342</v>
      </c>
      <c r="F7" s="198">
        <f t="shared" si="0"/>
        <v>0</v>
      </c>
    </row>
    <row r="8" spans="1:7" ht="28.5" customHeight="1" x14ac:dyDescent="0.25">
      <c r="A8" s="191" t="s">
        <v>143</v>
      </c>
      <c r="B8" s="68">
        <v>50000</v>
      </c>
      <c r="C8" s="198">
        <v>50000</v>
      </c>
      <c r="D8" s="198">
        <v>50000</v>
      </c>
      <c r="E8" s="198">
        <v>50000</v>
      </c>
      <c r="F8" s="198">
        <f t="shared" si="0"/>
        <v>0</v>
      </c>
    </row>
    <row r="9" spans="1:7" ht="28.5" customHeight="1" x14ac:dyDescent="0.25">
      <c r="A9" s="199" t="s">
        <v>141</v>
      </c>
      <c r="B9" s="68">
        <v>100000</v>
      </c>
      <c r="C9" s="198">
        <v>100000</v>
      </c>
      <c r="D9" s="198">
        <v>100000</v>
      </c>
      <c r="E9" s="198">
        <v>100000</v>
      </c>
      <c r="F9" s="198">
        <f t="shared" si="0"/>
        <v>0</v>
      </c>
    </row>
    <row r="10" spans="1:7" ht="28.5" customHeight="1" x14ac:dyDescent="0.25">
      <c r="A10" s="200" t="s">
        <v>142</v>
      </c>
      <c r="B10" s="68">
        <v>100000</v>
      </c>
      <c r="C10" s="198">
        <v>100000</v>
      </c>
      <c r="D10" s="198">
        <v>100000</v>
      </c>
      <c r="E10" s="198">
        <v>100000</v>
      </c>
      <c r="F10" s="198">
        <f t="shared" si="0"/>
        <v>0</v>
      </c>
    </row>
    <row r="11" spans="1:7" ht="31.5" x14ac:dyDescent="0.25">
      <c r="A11" s="197" t="s">
        <v>114</v>
      </c>
      <c r="B11" s="67">
        <v>100000</v>
      </c>
      <c r="C11" s="67">
        <v>100000</v>
      </c>
      <c r="D11" s="67">
        <v>100000</v>
      </c>
      <c r="E11" s="67">
        <v>100000</v>
      </c>
      <c r="F11" s="201">
        <f>E11-D11</f>
        <v>0</v>
      </c>
      <c r="G11" s="64"/>
    </row>
    <row r="12" spans="1:7" ht="28.5" customHeight="1" x14ac:dyDescent="0.25">
      <c r="A12" s="202" t="s">
        <v>135</v>
      </c>
      <c r="B12" s="68">
        <v>0</v>
      </c>
      <c r="C12" s="198">
        <v>0</v>
      </c>
      <c r="D12" s="198">
        <v>0</v>
      </c>
      <c r="E12" s="198">
        <v>0</v>
      </c>
      <c r="F12" s="198">
        <f>E12-D12</f>
        <v>0</v>
      </c>
    </row>
    <row r="13" spans="1:7" ht="28.5" customHeight="1" x14ac:dyDescent="0.25">
      <c r="A13" s="202"/>
      <c r="B13" s="68"/>
      <c r="C13" s="198"/>
      <c r="D13" s="198"/>
      <c r="E13" s="198"/>
      <c r="F13" s="198"/>
    </row>
    <row r="14" spans="1:7" ht="28.5" customHeight="1" x14ac:dyDescent="0.25">
      <c r="A14" s="203"/>
      <c r="B14" s="68"/>
      <c r="C14" s="198"/>
      <c r="D14" s="198"/>
      <c r="E14" s="198"/>
      <c r="F14" s="198"/>
    </row>
    <row r="15" spans="1:7" ht="42" customHeight="1" x14ac:dyDescent="0.25">
      <c r="A15" s="204" t="s">
        <v>115</v>
      </c>
      <c r="B15" s="69">
        <v>0</v>
      </c>
      <c r="C15" s="201">
        <v>0</v>
      </c>
      <c r="D15" s="201">
        <v>0</v>
      </c>
      <c r="E15" s="201">
        <v>0</v>
      </c>
      <c r="F15" s="201">
        <v>0</v>
      </c>
    </row>
    <row r="16" spans="1:7" x14ac:dyDescent="0.25">
      <c r="A16" s="202"/>
      <c r="B16" s="68"/>
      <c r="C16" s="198"/>
      <c r="D16" s="198"/>
      <c r="E16" s="198"/>
      <c r="F16" s="198"/>
    </row>
    <row r="17" spans="1:7" ht="23.25" customHeight="1" x14ac:dyDescent="0.25">
      <c r="A17" s="205" t="s">
        <v>116</v>
      </c>
      <c r="B17" s="68"/>
      <c r="C17" s="198"/>
      <c r="D17" s="198"/>
      <c r="E17" s="198"/>
      <c r="F17" s="198"/>
    </row>
    <row r="18" spans="1:7" x14ac:dyDescent="0.25">
      <c r="A18" s="202"/>
      <c r="B18" s="68"/>
      <c r="C18" s="198"/>
      <c r="D18" s="198"/>
      <c r="E18" s="198"/>
      <c r="F18" s="198"/>
    </row>
    <row r="19" spans="1:7" x14ac:dyDescent="0.25">
      <c r="A19" s="202"/>
      <c r="B19" s="68"/>
      <c r="C19" s="198"/>
      <c r="D19" s="198"/>
      <c r="E19" s="198"/>
      <c r="F19" s="198"/>
    </row>
    <row r="20" spans="1:7" x14ac:dyDescent="0.25">
      <c r="A20" s="202"/>
      <c r="B20" s="68"/>
      <c r="C20" s="198"/>
      <c r="D20" s="198"/>
      <c r="E20" s="198"/>
      <c r="F20" s="198"/>
    </row>
    <row r="21" spans="1:7" x14ac:dyDescent="0.25">
      <c r="A21" s="202"/>
      <c r="B21" s="68"/>
      <c r="C21" s="198"/>
      <c r="D21" s="198"/>
      <c r="E21" s="198"/>
      <c r="F21" s="198"/>
    </row>
    <row r="22" spans="1:7" x14ac:dyDescent="0.25">
      <c r="A22" s="202"/>
      <c r="B22" s="68"/>
      <c r="C22" s="198"/>
      <c r="D22" s="198"/>
      <c r="E22" s="198"/>
      <c r="F22" s="198"/>
    </row>
    <row r="23" spans="1:7" x14ac:dyDescent="0.25">
      <c r="A23" s="206" t="s">
        <v>77</v>
      </c>
      <c r="B23" s="207">
        <f>B11+B4</f>
        <v>9995415</v>
      </c>
      <c r="C23" s="207">
        <f>C11+C4</f>
        <v>9995415</v>
      </c>
      <c r="D23" s="207">
        <f>D11+D4</f>
        <v>9161202</v>
      </c>
      <c r="E23" s="207">
        <f>E11+E4</f>
        <v>9161202</v>
      </c>
      <c r="F23" s="207">
        <f>E23-D23</f>
        <v>0</v>
      </c>
      <c r="G23" s="64"/>
    </row>
    <row r="24" spans="1:7" x14ac:dyDescent="0.25">
      <c r="A24" s="94"/>
      <c r="B24" s="94"/>
      <c r="C24" s="95"/>
      <c r="D24" s="95"/>
      <c r="E24" s="95"/>
      <c r="F24" s="95"/>
    </row>
    <row r="25" spans="1:7" x14ac:dyDescent="0.25">
      <c r="B25" s="65"/>
    </row>
    <row r="30" spans="1:7" x14ac:dyDescent="0.25">
      <c r="B30" s="66"/>
    </row>
    <row r="31" spans="1:7" x14ac:dyDescent="0.25">
      <c r="B31" s="66"/>
    </row>
    <row r="32" spans="1:7" x14ac:dyDescent="0.25">
      <c r="B32" s="66"/>
    </row>
  </sheetData>
  <mergeCells count="1">
    <mergeCell ref="A1:F1"/>
  </mergeCells>
  <pageMargins left="0.70866141732283472" right="0.70866141732283472" top="1.1417322834645669" bottom="0.74803149606299213" header="0.31496062992125984" footer="0.31496062992125984"/>
  <pageSetup paperSize="9" scale="71" orientation="portrait" r:id="rId1"/>
  <headerFooter>
    <oddHeader xml:space="preserve">&amp;L&amp;"Times New Roman,Normál"&amp;12Vászoly Község Önkormányzata&amp;C&amp;"Times New Roman,Félkövér"&amp;12 4. melléklet
Az önkormányzat 2018. évi költségvetéséről szóló 5/2018. (II. 16.) önkormányzati rendelethez&amp;R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32"/>
  <sheetViews>
    <sheetView view="pageLayout" zoomScaleNormal="80" zoomScaleSheetLayoutView="80" workbookViewId="0">
      <selection sqref="A1:F1"/>
    </sheetView>
  </sheetViews>
  <sheetFormatPr defaultColWidth="9" defaultRowHeight="18" customHeight="1" x14ac:dyDescent="0.25"/>
  <cols>
    <col min="1" max="1" width="39.5703125" style="53" customWidth="1"/>
    <col min="2" max="2" width="15.7109375" style="54" customWidth="1"/>
    <col min="3" max="6" width="15.28515625" style="54" customWidth="1"/>
    <col min="7" max="7" width="15.28515625" style="55" customWidth="1"/>
    <col min="8" max="8" width="23.85546875" style="56" customWidth="1"/>
    <col min="9" max="16384" width="9" style="56"/>
  </cols>
  <sheetData>
    <row r="1" spans="1:7" ht="33.75" customHeight="1" x14ac:dyDescent="0.25">
      <c r="A1" s="253" t="s">
        <v>303</v>
      </c>
      <c r="B1" s="253"/>
      <c r="C1" s="253"/>
      <c r="D1" s="253"/>
      <c r="E1" s="253"/>
      <c r="F1" s="253"/>
    </row>
    <row r="3" spans="1:7" ht="48.75" customHeight="1" x14ac:dyDescent="0.25">
      <c r="A3" s="183" t="s">
        <v>90</v>
      </c>
      <c r="B3" s="15" t="s">
        <v>333</v>
      </c>
      <c r="C3" s="15" t="s">
        <v>336</v>
      </c>
      <c r="D3" s="15" t="s">
        <v>341</v>
      </c>
      <c r="E3" s="15" t="s">
        <v>345</v>
      </c>
      <c r="F3" s="15" t="s">
        <v>335</v>
      </c>
    </row>
    <row r="4" spans="1:7" s="43" customFormat="1" ht="22.5" customHeight="1" x14ac:dyDescent="0.25">
      <c r="A4" s="184" t="s">
        <v>147</v>
      </c>
      <c r="B4" s="185">
        <f>B6+B8+B9+B11+B13+B14+B16+B17+B18+B19</f>
        <v>9535474</v>
      </c>
      <c r="C4" s="185">
        <f>C6+C8+C9+C11+C13+C14+C15+C16+C17+C18+C19</f>
        <v>9735474</v>
      </c>
      <c r="D4" s="185">
        <f>D6+D8+D9+D11+D13+D14+D15+D16+D17+D18+D19</f>
        <v>9735474</v>
      </c>
      <c r="E4" s="185">
        <f>E6+E8+E9+E11+E13+E14+E15+E16+E17+E18+E19</f>
        <v>9735474</v>
      </c>
      <c r="F4" s="185">
        <f>E4-D4</f>
        <v>0</v>
      </c>
      <c r="G4" s="42"/>
    </row>
    <row r="5" spans="1:7" s="43" customFormat="1" ht="21.75" customHeight="1" x14ac:dyDescent="0.25">
      <c r="A5" s="254" t="s">
        <v>139</v>
      </c>
      <c r="B5" s="255"/>
      <c r="C5" s="255"/>
      <c r="D5" s="255"/>
      <c r="E5" s="255"/>
      <c r="F5" s="256"/>
      <c r="G5" s="42"/>
    </row>
    <row r="6" spans="1:7" s="43" customFormat="1" ht="21.75" customHeight="1" x14ac:dyDescent="0.25">
      <c r="A6" s="187" t="s">
        <v>313</v>
      </c>
      <c r="B6" s="47">
        <v>1500000</v>
      </c>
      <c r="C6" s="47">
        <v>1500000</v>
      </c>
      <c r="D6" s="47">
        <v>1500000</v>
      </c>
      <c r="E6" s="47">
        <v>1500000</v>
      </c>
      <c r="F6" s="47">
        <f>D6-C6</f>
        <v>0</v>
      </c>
      <c r="G6" s="42"/>
    </row>
    <row r="7" spans="1:7" s="43" customFormat="1" ht="21.75" customHeight="1" x14ac:dyDescent="0.25">
      <c r="A7" s="254"/>
      <c r="B7" s="255"/>
      <c r="C7" s="255"/>
      <c r="D7" s="255"/>
      <c r="E7" s="255"/>
      <c r="F7" s="256"/>
      <c r="G7" s="42"/>
    </row>
    <row r="8" spans="1:7" s="43" customFormat="1" ht="21.75" customHeight="1" x14ac:dyDescent="0.25">
      <c r="A8" s="187" t="s">
        <v>314</v>
      </c>
      <c r="B8" s="47">
        <v>1525474</v>
      </c>
      <c r="C8" s="47">
        <v>1525474</v>
      </c>
      <c r="D8" s="47">
        <v>1525474</v>
      </c>
      <c r="E8" s="47">
        <v>1525474</v>
      </c>
      <c r="F8" s="47">
        <f>E8-D8</f>
        <v>0</v>
      </c>
      <c r="G8" s="42"/>
    </row>
    <row r="9" spans="1:7" s="43" customFormat="1" ht="33.75" customHeight="1" x14ac:dyDescent="0.25">
      <c r="A9" s="187" t="s">
        <v>317</v>
      </c>
      <c r="B9" s="47">
        <v>5000000</v>
      </c>
      <c r="C9" s="47">
        <v>5000000</v>
      </c>
      <c r="D9" s="47">
        <v>5000000</v>
      </c>
      <c r="E9" s="47">
        <v>5000000</v>
      </c>
      <c r="F9" s="47">
        <f>E9-D9</f>
        <v>0</v>
      </c>
      <c r="G9" s="42"/>
    </row>
    <row r="10" spans="1:7" s="43" customFormat="1" ht="21" customHeight="1" x14ac:dyDescent="0.25">
      <c r="A10" s="254" t="s">
        <v>311</v>
      </c>
      <c r="B10" s="255"/>
      <c r="C10" s="255"/>
      <c r="D10" s="255"/>
      <c r="E10" s="255"/>
      <c r="F10" s="256"/>
      <c r="G10" s="42"/>
    </row>
    <row r="11" spans="1:7" s="43" customFormat="1" ht="21.75" customHeight="1" x14ac:dyDescent="0.25">
      <c r="A11" s="187" t="s">
        <v>315</v>
      </c>
      <c r="B11" s="47">
        <v>170000</v>
      </c>
      <c r="C11" s="47">
        <v>170000</v>
      </c>
      <c r="D11" s="47">
        <v>170000</v>
      </c>
      <c r="E11" s="47">
        <v>100000</v>
      </c>
      <c r="F11" s="47">
        <f>E11-D11</f>
        <v>-70000</v>
      </c>
      <c r="G11" s="42"/>
    </row>
    <row r="12" spans="1:7" s="43" customFormat="1" ht="21" customHeight="1" x14ac:dyDescent="0.25">
      <c r="A12" s="186" t="s">
        <v>312</v>
      </c>
      <c r="B12" s="47"/>
      <c r="C12" s="44"/>
      <c r="D12" s="44"/>
      <c r="E12" s="44"/>
      <c r="F12" s="47"/>
      <c r="G12" s="42"/>
    </row>
    <row r="13" spans="1:7" s="43" customFormat="1" ht="21.75" customHeight="1" x14ac:dyDescent="0.25">
      <c r="A13" s="188" t="s">
        <v>316</v>
      </c>
      <c r="B13" s="47">
        <v>600000</v>
      </c>
      <c r="C13" s="44">
        <v>600000</v>
      </c>
      <c r="D13" s="44">
        <v>600000</v>
      </c>
      <c r="E13" s="44">
        <v>600000</v>
      </c>
      <c r="F13" s="47">
        <f>E13-D13</f>
        <v>0</v>
      </c>
      <c r="G13" s="42"/>
    </row>
    <row r="14" spans="1:7" s="43" customFormat="1" ht="22.5" customHeight="1" x14ac:dyDescent="0.25">
      <c r="A14" s="188" t="s">
        <v>125</v>
      </c>
      <c r="B14" s="47">
        <v>100000</v>
      </c>
      <c r="C14" s="44">
        <v>100000</v>
      </c>
      <c r="D14" s="44">
        <v>100000</v>
      </c>
      <c r="E14" s="44">
        <v>100000</v>
      </c>
      <c r="F14" s="47">
        <f t="shared" ref="F14:F19" si="0">E14-D14</f>
        <v>0</v>
      </c>
      <c r="G14" s="42"/>
    </row>
    <row r="15" spans="1:7" s="43" customFormat="1" ht="21" customHeight="1" x14ac:dyDescent="0.25">
      <c r="A15" s="188" t="s">
        <v>126</v>
      </c>
      <c r="B15" s="47">
        <v>0</v>
      </c>
      <c r="C15" s="44">
        <v>200000</v>
      </c>
      <c r="D15" s="44">
        <v>200000</v>
      </c>
      <c r="E15" s="44">
        <v>100000</v>
      </c>
      <c r="F15" s="47">
        <f t="shared" si="0"/>
        <v>-100000</v>
      </c>
      <c r="G15" s="42"/>
    </row>
    <row r="16" spans="1:7" s="43" customFormat="1" ht="22.5" customHeight="1" x14ac:dyDescent="0.25">
      <c r="A16" s="188" t="s">
        <v>127</v>
      </c>
      <c r="B16" s="47">
        <v>180000</v>
      </c>
      <c r="C16" s="44">
        <v>180000</v>
      </c>
      <c r="D16" s="44">
        <v>180000</v>
      </c>
      <c r="E16" s="44">
        <v>180000</v>
      </c>
      <c r="F16" s="47">
        <f t="shared" si="0"/>
        <v>0</v>
      </c>
      <c r="G16" s="42"/>
    </row>
    <row r="17" spans="1:7" s="43" customFormat="1" ht="22.5" customHeight="1" x14ac:dyDescent="0.25">
      <c r="A17" s="188" t="s">
        <v>304</v>
      </c>
      <c r="B17" s="47">
        <v>100000</v>
      </c>
      <c r="C17" s="44">
        <v>100000</v>
      </c>
      <c r="D17" s="44">
        <v>100000</v>
      </c>
      <c r="E17" s="44">
        <f>100000+70000+100000</f>
        <v>270000</v>
      </c>
      <c r="F17" s="47">
        <f t="shared" si="0"/>
        <v>170000</v>
      </c>
      <c r="G17" s="42"/>
    </row>
    <row r="18" spans="1:7" s="43" customFormat="1" ht="31.5" x14ac:dyDescent="0.25">
      <c r="A18" s="188" t="s">
        <v>320</v>
      </c>
      <c r="B18" s="47">
        <v>60000</v>
      </c>
      <c r="C18" s="44">
        <v>60000</v>
      </c>
      <c r="D18" s="44">
        <v>60000</v>
      </c>
      <c r="E18" s="44">
        <v>60000</v>
      </c>
      <c r="F18" s="47">
        <f t="shared" si="0"/>
        <v>0</v>
      </c>
      <c r="G18" s="42"/>
    </row>
    <row r="19" spans="1:7" s="43" customFormat="1" ht="21.75" customHeight="1" x14ac:dyDescent="0.25">
      <c r="A19" s="188" t="s">
        <v>319</v>
      </c>
      <c r="B19" s="47">
        <v>300000</v>
      </c>
      <c r="C19" s="44">
        <v>300000</v>
      </c>
      <c r="D19" s="44">
        <v>300000</v>
      </c>
      <c r="E19" s="44">
        <v>300000</v>
      </c>
      <c r="F19" s="47">
        <f t="shared" si="0"/>
        <v>0</v>
      </c>
      <c r="G19" s="42"/>
    </row>
    <row r="20" spans="1:7" s="46" customFormat="1" ht="27" customHeight="1" x14ac:dyDescent="0.25">
      <c r="A20" s="189" t="s">
        <v>148</v>
      </c>
      <c r="B20" s="48">
        <f>B21+B22+B23+B24</f>
        <v>87888092</v>
      </c>
      <c r="C20" s="48">
        <f>C21+C22+C23+C24</f>
        <v>88163092</v>
      </c>
      <c r="D20" s="48">
        <f>D21+D22+D23+D24+D25</f>
        <v>98581688</v>
      </c>
      <c r="E20" s="48">
        <f>E21+E22+E23+E24+E25</f>
        <v>98581688</v>
      </c>
      <c r="F20" s="48">
        <f>D20-C20</f>
        <v>10418596</v>
      </c>
      <c r="G20" s="45"/>
    </row>
    <row r="21" spans="1:7" s="46" customFormat="1" ht="27" customHeight="1" x14ac:dyDescent="0.25">
      <c r="A21" s="190" t="s">
        <v>128</v>
      </c>
      <c r="B21" s="49">
        <v>300000</v>
      </c>
      <c r="C21" s="49">
        <v>300000</v>
      </c>
      <c r="D21" s="49">
        <v>300000</v>
      </c>
      <c r="E21" s="49">
        <v>300000</v>
      </c>
      <c r="F21" s="44">
        <f>E21-D21</f>
        <v>0</v>
      </c>
      <c r="G21" s="45"/>
    </row>
    <row r="22" spans="1:7" s="46" customFormat="1" ht="27" customHeight="1" x14ac:dyDescent="0.25">
      <c r="A22" s="190" t="s">
        <v>129</v>
      </c>
      <c r="B22" s="49">
        <v>86587092</v>
      </c>
      <c r="C22" s="49">
        <f>86587092+150000+75000+50000</f>
        <v>86862092</v>
      </c>
      <c r="D22" s="49">
        <f>86862092+30000000-22281404</f>
        <v>94580688</v>
      </c>
      <c r="E22" s="49">
        <f>86862092+30000000-22281404</f>
        <v>94580688</v>
      </c>
      <c r="F22" s="44">
        <f>E22-D22</f>
        <v>0</v>
      </c>
      <c r="G22" s="45"/>
    </row>
    <row r="23" spans="1:7" s="46" customFormat="1" ht="27" customHeight="1" x14ac:dyDescent="0.25">
      <c r="A23" s="190" t="s">
        <v>130</v>
      </c>
      <c r="B23" s="49">
        <v>252000</v>
      </c>
      <c r="C23" s="50">
        <v>252000</v>
      </c>
      <c r="D23" s="50">
        <v>252000</v>
      </c>
      <c r="E23" s="50">
        <v>252000</v>
      </c>
      <c r="F23" s="44">
        <f t="shared" ref="F23:F24" si="1">E23-D23</f>
        <v>0</v>
      </c>
      <c r="G23" s="45"/>
    </row>
    <row r="24" spans="1:7" s="46" customFormat="1" ht="31.5" x14ac:dyDescent="0.25">
      <c r="A24" s="190" t="s">
        <v>328</v>
      </c>
      <c r="B24" s="49">
        <v>749000</v>
      </c>
      <c r="C24" s="50">
        <v>749000</v>
      </c>
      <c r="D24" s="50">
        <v>749000</v>
      </c>
      <c r="E24" s="50">
        <v>749000</v>
      </c>
      <c r="F24" s="44">
        <f t="shared" si="1"/>
        <v>0</v>
      </c>
      <c r="G24" s="45"/>
    </row>
    <row r="25" spans="1:7" s="46" customFormat="1" ht="31.5" x14ac:dyDescent="0.25">
      <c r="A25" s="190" t="s">
        <v>343</v>
      </c>
      <c r="B25" s="49">
        <v>0</v>
      </c>
      <c r="C25" s="50">
        <v>0</v>
      </c>
      <c r="D25" s="50">
        <v>2700000</v>
      </c>
      <c r="E25" s="50">
        <v>2700000</v>
      </c>
      <c r="F25" s="44">
        <f t="shared" ref="F25:F32" si="2">E25-D25</f>
        <v>0</v>
      </c>
      <c r="G25" s="45"/>
    </row>
    <row r="26" spans="1:7" s="46" customFormat="1" ht="22.5" customHeight="1" x14ac:dyDescent="0.25">
      <c r="A26" s="189" t="s">
        <v>149</v>
      </c>
      <c r="B26" s="48">
        <f>SUM(B27:B27)</f>
        <v>26475</v>
      </c>
      <c r="C26" s="48">
        <f>C27</f>
        <v>26475</v>
      </c>
      <c r="D26" s="48">
        <f>D27</f>
        <v>26475</v>
      </c>
      <c r="E26" s="48">
        <f>E27</f>
        <v>26475</v>
      </c>
      <c r="F26" s="48">
        <f t="shared" si="2"/>
        <v>0</v>
      </c>
      <c r="G26" s="45"/>
    </row>
    <row r="27" spans="1:7" s="46" customFormat="1" ht="31.5" customHeight="1" x14ac:dyDescent="0.25">
      <c r="A27" s="191" t="s">
        <v>318</v>
      </c>
      <c r="B27" s="49">
        <v>26475</v>
      </c>
      <c r="C27" s="49">
        <v>26475</v>
      </c>
      <c r="D27" s="49">
        <v>26475</v>
      </c>
      <c r="E27" s="49">
        <v>26475</v>
      </c>
      <c r="F27" s="44">
        <f t="shared" si="2"/>
        <v>0</v>
      </c>
      <c r="G27" s="45"/>
    </row>
    <row r="28" spans="1:7" s="58" customFormat="1" ht="22.5" customHeight="1" x14ac:dyDescent="0.25">
      <c r="A28" s="192" t="s">
        <v>85</v>
      </c>
      <c r="B28" s="51">
        <f t="shared" ref="B28:E28" si="3">B29+B30+B31</f>
        <v>1484580</v>
      </c>
      <c r="C28" s="51">
        <f t="shared" si="3"/>
        <v>2047580</v>
      </c>
      <c r="D28" s="51">
        <f t="shared" si="3"/>
        <v>2047580</v>
      </c>
      <c r="E28" s="51">
        <f t="shared" si="3"/>
        <v>2047580</v>
      </c>
      <c r="F28" s="51">
        <f t="shared" si="2"/>
        <v>0</v>
      </c>
      <c r="G28" s="57"/>
    </row>
    <row r="29" spans="1:7" s="60" customFormat="1" ht="21" customHeight="1" x14ac:dyDescent="0.25">
      <c r="A29" s="193" t="s">
        <v>86</v>
      </c>
      <c r="B29" s="52">
        <v>0</v>
      </c>
      <c r="C29" s="61">
        <v>0</v>
      </c>
      <c r="D29" s="61">
        <v>0</v>
      </c>
      <c r="E29" s="61">
        <v>0</v>
      </c>
      <c r="F29" s="44">
        <f t="shared" si="2"/>
        <v>0</v>
      </c>
      <c r="G29" s="59"/>
    </row>
    <row r="30" spans="1:7" s="60" customFormat="1" ht="21" customHeight="1" x14ac:dyDescent="0.25">
      <c r="A30" s="193" t="s">
        <v>83</v>
      </c>
      <c r="B30" s="52">
        <v>0</v>
      </c>
      <c r="C30" s="61">
        <v>0</v>
      </c>
      <c r="D30" s="61">
        <v>0</v>
      </c>
      <c r="E30" s="61">
        <v>0</v>
      </c>
      <c r="F30" s="44">
        <f t="shared" si="2"/>
        <v>0</v>
      </c>
      <c r="G30" s="59"/>
    </row>
    <row r="31" spans="1:7" s="60" customFormat="1" ht="31.5" x14ac:dyDescent="0.25">
      <c r="A31" s="193" t="s">
        <v>98</v>
      </c>
      <c r="B31" s="52">
        <v>1484580</v>
      </c>
      <c r="C31" s="61">
        <f>1484580+563000</f>
        <v>2047580</v>
      </c>
      <c r="D31" s="61">
        <v>2047580</v>
      </c>
      <c r="E31" s="61">
        <v>2047580</v>
      </c>
      <c r="F31" s="44">
        <f t="shared" si="2"/>
        <v>0</v>
      </c>
      <c r="G31" s="59"/>
    </row>
    <row r="32" spans="1:7" s="58" customFormat="1" ht="31.5" customHeight="1" x14ac:dyDescent="0.25">
      <c r="A32" s="194" t="s">
        <v>87</v>
      </c>
      <c r="B32" s="195">
        <f>B4+B20+B26+B28</f>
        <v>98934621</v>
      </c>
      <c r="C32" s="195">
        <f>C4+C20+C26+C28</f>
        <v>99972621</v>
      </c>
      <c r="D32" s="195">
        <f>D4+D20+D26+D28</f>
        <v>110391217</v>
      </c>
      <c r="E32" s="195">
        <f>E4+E20+E26+E28</f>
        <v>110391217</v>
      </c>
      <c r="F32" s="195">
        <f t="shared" si="2"/>
        <v>0</v>
      </c>
      <c r="G32" s="57"/>
    </row>
  </sheetData>
  <sheetProtection selectLockedCells="1" selectUnlockedCells="1"/>
  <mergeCells count="4">
    <mergeCell ref="A1:F1"/>
    <mergeCell ref="A10:F10"/>
    <mergeCell ref="A7:F7"/>
    <mergeCell ref="A5:F5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87" firstPageNumber="0" orientation="portrait" r:id="rId1"/>
  <headerFooter alignWithMargins="0">
    <oddHeader>&amp;L&amp;"Times New Roman,Normál"&amp;12Vászoly Község Önkormányzata&amp;C&amp;"Times New Roman,Félkövér"&amp;12 5. melléklet
Az önkormányzat 2018. évi költségvetéséről szóló 5/2018. (II. 16.)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view="pageLayout" zoomScaleNormal="100" workbookViewId="0">
      <selection activeCell="A3" sqref="A3:L3"/>
    </sheetView>
  </sheetViews>
  <sheetFormatPr defaultColWidth="9.140625" defaultRowHeight="15.75" x14ac:dyDescent="0.25"/>
  <cols>
    <col min="1" max="1" width="32.85546875" style="115" customWidth="1"/>
    <col min="2" max="2" width="16.42578125" style="114" customWidth="1"/>
    <col min="3" max="3" width="13.7109375" style="114" customWidth="1"/>
    <col min="4" max="5" width="15.28515625" style="114" customWidth="1"/>
    <col min="6" max="6" width="15.5703125" style="114" customWidth="1"/>
    <col min="7" max="7" width="39.140625" style="115" customWidth="1"/>
    <col min="8" max="8" width="13.7109375" style="114" customWidth="1"/>
    <col min="9" max="9" width="14.7109375" style="114" bestFit="1" customWidth="1"/>
    <col min="10" max="10" width="14" style="114" customWidth="1"/>
    <col min="11" max="11" width="15" style="114" customWidth="1"/>
    <col min="12" max="12" width="14.28515625" style="114" customWidth="1"/>
    <col min="13" max="13" width="9.140625" style="114"/>
    <col min="14" max="14" width="10.5703125" style="114" customWidth="1"/>
    <col min="15" max="15" width="9.140625" style="114"/>
    <col min="16" max="16" width="12.28515625" style="114" customWidth="1"/>
    <col min="17" max="16384" width="9.140625" style="114"/>
  </cols>
  <sheetData>
    <row r="2" spans="1:14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4" x14ac:dyDescent="0.25">
      <c r="A3" s="258" t="s">
        <v>307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</row>
    <row r="5" spans="1:14" s="115" customFormat="1" ht="47.25" x14ac:dyDescent="0.25">
      <c r="A5" s="120" t="s">
        <v>150</v>
      </c>
      <c r="B5" s="15" t="s">
        <v>333</v>
      </c>
      <c r="C5" s="239" t="s">
        <v>336</v>
      </c>
      <c r="D5" s="239" t="s">
        <v>341</v>
      </c>
      <c r="E5" s="239" t="s">
        <v>345</v>
      </c>
      <c r="F5" s="15" t="s">
        <v>335</v>
      </c>
      <c r="G5" s="120" t="s">
        <v>151</v>
      </c>
      <c r="H5" s="15" t="s">
        <v>333</v>
      </c>
      <c r="I5" s="15" t="s">
        <v>336</v>
      </c>
      <c r="J5" s="15" t="s">
        <v>341</v>
      </c>
      <c r="K5" s="15" t="s">
        <v>345</v>
      </c>
      <c r="L5" s="15" t="s">
        <v>335</v>
      </c>
    </row>
    <row r="6" spans="1:14" ht="31.5" x14ac:dyDescent="0.25">
      <c r="A6" s="240" t="s">
        <v>152</v>
      </c>
      <c r="B6" s="82">
        <f>'2.sz.tábla'!B5</f>
        <v>22292477</v>
      </c>
      <c r="C6" s="82">
        <f>'2.sz.tábla'!C5</f>
        <v>24639888</v>
      </c>
      <c r="D6" s="82">
        <f>'2.sz.tábla'!D5</f>
        <v>33144649</v>
      </c>
      <c r="E6" s="82">
        <f>'2.sz.tábla'!E5</f>
        <v>39571369</v>
      </c>
      <c r="F6" s="82">
        <f>'2.sz.tábla'!F5</f>
        <v>6426720</v>
      </c>
      <c r="G6" s="117" t="s">
        <v>153</v>
      </c>
      <c r="H6" s="82">
        <f>'3.sz.tábla '!B6</f>
        <v>7128829</v>
      </c>
      <c r="I6" s="82">
        <f>'3.sz.tábla '!C6</f>
        <v>9310774</v>
      </c>
      <c r="J6" s="82">
        <f>'3.sz.tábla '!D6</f>
        <v>9310774</v>
      </c>
      <c r="K6" s="82">
        <f>'3.sz.tábla '!E6</f>
        <v>9360774</v>
      </c>
      <c r="L6" s="82">
        <f>'3.sz.tábla '!F6</f>
        <v>50000</v>
      </c>
    </row>
    <row r="7" spans="1:14" ht="31.5" x14ac:dyDescent="0.25">
      <c r="A7" s="240" t="s">
        <v>154</v>
      </c>
      <c r="B7" s="82">
        <f>'2.sz.tábla'!B25:F25</f>
        <v>10600000</v>
      </c>
      <c r="C7" s="82">
        <f>'2.sz.tábla'!C25:G25</f>
        <v>10600000</v>
      </c>
      <c r="D7" s="82">
        <f>'2.sz.tábla'!D25:H25</f>
        <v>10600000</v>
      </c>
      <c r="E7" s="82">
        <f>'2.sz.tábla'!E25:I25</f>
        <v>10600000</v>
      </c>
      <c r="F7" s="82">
        <f>'2.sz.tábla'!D25:H25</f>
        <v>0</v>
      </c>
      <c r="G7" s="117" t="s">
        <v>155</v>
      </c>
      <c r="H7" s="117">
        <f>'3.sz.tábla '!B7</f>
        <v>1284829</v>
      </c>
      <c r="I7" s="117">
        <f>'3.sz.tábla '!C7</f>
        <v>1435863</v>
      </c>
      <c r="J7" s="117">
        <f>'3.sz.tábla '!D7</f>
        <v>1435863</v>
      </c>
      <c r="K7" s="117">
        <f>'3.sz.tábla '!E7</f>
        <v>1444863</v>
      </c>
      <c r="L7" s="117">
        <f>'3.sz.tábla '!F7</f>
        <v>9000</v>
      </c>
    </row>
    <row r="8" spans="1:14" x14ac:dyDescent="0.25">
      <c r="A8" s="117" t="s">
        <v>156</v>
      </c>
      <c r="B8" s="82">
        <f>'2.sz.tábla'!B38</f>
        <v>2952500</v>
      </c>
      <c r="C8" s="82">
        <f>'2.sz.tábla'!C38</f>
        <v>2952500</v>
      </c>
      <c r="D8" s="82">
        <f>'2.sz.tábla'!D38</f>
        <v>2952500</v>
      </c>
      <c r="E8" s="82">
        <f>'2.sz.tábla'!E38</f>
        <v>2952500</v>
      </c>
      <c r="F8" s="82">
        <f>'2.sz.tábla'!F38</f>
        <v>0</v>
      </c>
      <c r="G8" s="117" t="s">
        <v>157</v>
      </c>
      <c r="H8" s="82">
        <f>'3.sz.tábla '!B8</f>
        <v>14260000</v>
      </c>
      <c r="I8" s="82">
        <f>'3.sz.tábla '!C8</f>
        <v>18292500</v>
      </c>
      <c r="J8" s="82">
        <f>'3.sz.tábla '!D8</f>
        <v>45607903</v>
      </c>
      <c r="K8" s="82">
        <f>'3.sz.tábla '!E8</f>
        <v>46034623</v>
      </c>
      <c r="L8" s="82">
        <f>'3.sz.tábla '!F8</f>
        <v>426720</v>
      </c>
      <c r="N8" s="119"/>
    </row>
    <row r="9" spans="1:14" ht="47.25" x14ac:dyDescent="0.25">
      <c r="A9" s="240" t="s">
        <v>158</v>
      </c>
      <c r="B9" s="82"/>
      <c r="C9" s="82"/>
      <c r="D9" s="82"/>
      <c r="E9" s="82"/>
      <c r="F9" s="82"/>
      <c r="G9" s="117" t="s">
        <v>159</v>
      </c>
      <c r="H9" s="82">
        <f>'3.sz.tábla '!B24</f>
        <v>1885000</v>
      </c>
      <c r="I9" s="82">
        <f>'3.sz.tábla '!C24</f>
        <v>1885000</v>
      </c>
      <c r="J9" s="82">
        <f>'3.sz.tábla '!D24</f>
        <v>1885000</v>
      </c>
      <c r="K9" s="82">
        <f>'3.sz.tábla '!E24</f>
        <v>1885000</v>
      </c>
      <c r="L9" s="82">
        <f>'3.sz.tábla '!F24</f>
        <v>0</v>
      </c>
    </row>
    <row r="10" spans="1:14" x14ac:dyDescent="0.25">
      <c r="A10" s="117"/>
      <c r="B10" s="82"/>
      <c r="C10" s="82"/>
      <c r="D10" s="82"/>
      <c r="E10" s="82"/>
      <c r="F10" s="82"/>
      <c r="G10" s="117" t="s">
        <v>81</v>
      </c>
      <c r="H10" s="82">
        <f>H12+H13+H14</f>
        <v>9995415</v>
      </c>
      <c r="I10" s="82">
        <f>I12+I13+I14</f>
        <v>9995415</v>
      </c>
      <c r="J10" s="82">
        <f>J12+J13+J14</f>
        <v>9161202</v>
      </c>
      <c r="K10" s="82">
        <f>K12+K13+K14</f>
        <v>9161202</v>
      </c>
      <c r="L10" s="82">
        <f>L12+L13+L14</f>
        <v>0</v>
      </c>
    </row>
    <row r="11" spans="1:14" x14ac:dyDescent="0.25">
      <c r="A11" s="117"/>
      <c r="B11" s="82"/>
      <c r="C11" s="82"/>
      <c r="D11" s="82"/>
      <c r="E11" s="82"/>
      <c r="F11" s="82"/>
      <c r="G11" s="117" t="s">
        <v>160</v>
      </c>
      <c r="H11" s="82">
        <f>'3.sz.tábla '!B30</f>
        <v>0</v>
      </c>
      <c r="I11" s="82">
        <f>'3.sz.tábla '!C30</f>
        <v>47500</v>
      </c>
      <c r="J11" s="82">
        <f>'3.sz.tábla '!D30</f>
        <v>47500</v>
      </c>
      <c r="K11" s="82">
        <f>'3.sz.tábla '!E30</f>
        <v>47500</v>
      </c>
      <c r="L11" s="82">
        <f>'3.sz.tábla '!F30</f>
        <v>0</v>
      </c>
    </row>
    <row r="12" spans="1:14" ht="31.5" x14ac:dyDescent="0.25">
      <c r="A12" s="240"/>
      <c r="B12" s="82"/>
      <c r="C12" s="82"/>
      <c r="D12" s="82"/>
      <c r="E12" s="82"/>
      <c r="F12" s="82"/>
      <c r="G12" s="117" t="s">
        <v>161</v>
      </c>
      <c r="H12" s="82">
        <f>'3.sz.tábla '!B28</f>
        <v>9895415</v>
      </c>
      <c r="I12" s="82">
        <f>'3.sz.tábla '!C28</f>
        <v>9895415</v>
      </c>
      <c r="J12" s="82">
        <f>'3.sz.tábla '!D28</f>
        <v>9061202</v>
      </c>
      <c r="K12" s="82">
        <f>'3.sz.tábla '!E28</f>
        <v>9061202</v>
      </c>
      <c r="L12" s="82">
        <f>'3.sz.tábla '!F28</f>
        <v>0</v>
      </c>
    </row>
    <row r="13" spans="1:14" ht="31.5" x14ac:dyDescent="0.25">
      <c r="A13" s="241"/>
      <c r="B13" s="82"/>
      <c r="C13" s="82"/>
      <c r="D13" s="82"/>
      <c r="E13" s="82"/>
      <c r="F13" s="82"/>
      <c r="G13" s="117" t="s">
        <v>162</v>
      </c>
      <c r="H13" s="117">
        <f>'3.sz.tábla '!B29</f>
        <v>100000</v>
      </c>
      <c r="I13" s="117">
        <f>'3.sz.tábla '!C29</f>
        <v>100000</v>
      </c>
      <c r="J13" s="117">
        <f>'3.sz.tábla '!D29</f>
        <v>100000</v>
      </c>
      <c r="K13" s="117">
        <f>'3.sz.tábla '!E29</f>
        <v>100000</v>
      </c>
      <c r="L13" s="117">
        <f>'3.sz.tábla '!F29</f>
        <v>0</v>
      </c>
    </row>
    <row r="14" spans="1:14" ht="47.25" x14ac:dyDescent="0.25">
      <c r="A14" s="240"/>
      <c r="B14" s="82"/>
      <c r="C14" s="82"/>
      <c r="D14" s="82"/>
      <c r="E14" s="82"/>
      <c r="F14" s="82"/>
      <c r="G14" s="117" t="s">
        <v>163</v>
      </c>
      <c r="H14" s="82"/>
      <c r="I14" s="82"/>
      <c r="J14" s="82"/>
      <c r="K14" s="82"/>
      <c r="L14" s="82"/>
    </row>
    <row r="15" spans="1:14" x14ac:dyDescent="0.25">
      <c r="A15" s="117"/>
      <c r="B15" s="82"/>
      <c r="C15" s="82"/>
      <c r="D15" s="82"/>
      <c r="E15" s="82"/>
      <c r="F15" s="82"/>
      <c r="G15" s="117" t="s">
        <v>164</v>
      </c>
      <c r="H15" s="82">
        <f>'1.sz.tábla '!B25</f>
        <v>3885359</v>
      </c>
      <c r="I15" s="82">
        <f>'1.sz.tábla '!C25</f>
        <v>2897451</v>
      </c>
      <c r="J15" s="82">
        <f>'1.sz.tábla '!D25</f>
        <v>4502426</v>
      </c>
      <c r="K15" s="82">
        <f>'1.sz.tábla '!E25</f>
        <v>10443426</v>
      </c>
      <c r="L15" s="82">
        <f>'1.sz.tábla '!F25</f>
        <v>5941000</v>
      </c>
    </row>
    <row r="16" spans="1:14" s="80" customFormat="1" ht="31.5" x14ac:dyDescent="0.25">
      <c r="A16" s="120" t="s">
        <v>165</v>
      </c>
      <c r="B16" s="78">
        <f>SUM(B6:B15)</f>
        <v>35844977</v>
      </c>
      <c r="C16" s="78">
        <f>SUM(C6:C15)</f>
        <v>38192388</v>
      </c>
      <c r="D16" s="78">
        <f>SUM(D6:D15)</f>
        <v>46697149</v>
      </c>
      <c r="E16" s="78">
        <f>SUM(E6:E15)</f>
        <v>53123869</v>
      </c>
      <c r="F16" s="78">
        <f>SUM(F6:F15)</f>
        <v>6426720</v>
      </c>
      <c r="G16" s="120" t="s">
        <v>166</v>
      </c>
      <c r="H16" s="78">
        <f>H6+H7+H8+H9+H10+H15</f>
        <v>38439432</v>
      </c>
      <c r="I16" s="78">
        <f>I6+I7+I8+I9+I10+I15+I11</f>
        <v>43864503</v>
      </c>
      <c r="J16" s="78">
        <f>J6+J7+J8+J9+J10+J15+J11</f>
        <v>71950668</v>
      </c>
      <c r="K16" s="78">
        <f>K6+K7+K8+K9+K10+K15+K11</f>
        <v>78377388</v>
      </c>
      <c r="L16" s="78">
        <f>L6+L7+L8+L9+L10+L15+L11</f>
        <v>6426720</v>
      </c>
    </row>
    <row r="17" spans="1:12" s="80" customFormat="1" x14ac:dyDescent="0.25">
      <c r="A17" s="120" t="s">
        <v>167</v>
      </c>
      <c r="B17" s="78"/>
      <c r="C17" s="78"/>
      <c r="D17" s="78"/>
      <c r="E17" s="78"/>
      <c r="F17" s="82"/>
      <c r="G17" s="120" t="s">
        <v>168</v>
      </c>
      <c r="H17" s="78">
        <f>H16-B16</f>
        <v>2594455</v>
      </c>
      <c r="I17" s="78">
        <f>I16-C16</f>
        <v>5672115</v>
      </c>
      <c r="J17" s="78">
        <f>J16-D16</f>
        <v>25253519</v>
      </c>
      <c r="K17" s="78">
        <f>K16-E16</f>
        <v>25253519</v>
      </c>
      <c r="L17" s="78">
        <f>L16-F16</f>
        <v>0</v>
      </c>
    </row>
    <row r="18" spans="1:12" s="80" customFormat="1" ht="31.5" x14ac:dyDescent="0.25">
      <c r="A18" s="120" t="s">
        <v>169</v>
      </c>
      <c r="B18" s="78">
        <f>SUM(B19)</f>
        <v>100876000</v>
      </c>
      <c r="C18" s="78">
        <f>SUM(C19)</f>
        <v>104428660</v>
      </c>
      <c r="D18" s="78">
        <f>SUM(D19)</f>
        <v>104428660</v>
      </c>
      <c r="E18" s="78">
        <f>SUM(E19)</f>
        <v>104428660</v>
      </c>
      <c r="F18" s="78">
        <f>SUM(F19)</f>
        <v>0</v>
      </c>
      <c r="G18" s="120" t="s">
        <v>170</v>
      </c>
      <c r="H18" s="78">
        <f>H19+H20+H21+H22</f>
        <v>1484580</v>
      </c>
      <c r="I18" s="78">
        <f>I19+I20+I21+I22</f>
        <v>2047580</v>
      </c>
      <c r="J18" s="78">
        <f>J19+J20+J21+J22</f>
        <v>2047580</v>
      </c>
      <c r="K18" s="78">
        <f>K19+K20+K21+K22</f>
        <v>2047580</v>
      </c>
      <c r="L18" s="78">
        <f>L19+L20+L21+L22</f>
        <v>0</v>
      </c>
    </row>
    <row r="19" spans="1:12" ht="31.5" x14ac:dyDescent="0.25">
      <c r="A19" s="117" t="s">
        <v>171</v>
      </c>
      <c r="B19" s="82">
        <f>'2.sz.tábla'!B64</f>
        <v>100876000</v>
      </c>
      <c r="C19" s="82">
        <f>'2.sz.tábla'!C64</f>
        <v>104428660</v>
      </c>
      <c r="D19" s="82">
        <f>'2.sz.tábla'!D64</f>
        <v>104428660</v>
      </c>
      <c r="E19" s="82">
        <f>'2.sz.tábla'!E64</f>
        <v>104428660</v>
      </c>
      <c r="F19" s="82">
        <f>'2.sz.tábla'!F64</f>
        <v>0</v>
      </c>
      <c r="G19" s="117" t="s">
        <v>172</v>
      </c>
      <c r="H19" s="82">
        <f>'5. sz. tábla'!B31</f>
        <v>1484580</v>
      </c>
      <c r="I19" s="82">
        <f>'5. sz. tábla'!C31</f>
        <v>2047580</v>
      </c>
      <c r="J19" s="82">
        <f>'5. sz. tábla'!D31</f>
        <v>2047580</v>
      </c>
      <c r="K19" s="82">
        <f>'5. sz. tábla'!E31</f>
        <v>2047580</v>
      </c>
      <c r="L19" s="82">
        <f>'5. sz. tábla'!F31</f>
        <v>0</v>
      </c>
    </row>
    <row r="20" spans="1:12" s="80" customFormat="1" ht="31.5" x14ac:dyDescent="0.25">
      <c r="A20" s="120" t="s">
        <v>173</v>
      </c>
      <c r="B20" s="120">
        <f t="shared" ref="B20:F20" si="0">SUM(B21:B23)</f>
        <v>653076</v>
      </c>
      <c r="C20" s="120">
        <f t="shared" si="0"/>
        <v>1216076</v>
      </c>
      <c r="D20" s="120">
        <f t="shared" si="0"/>
        <v>1216076</v>
      </c>
      <c r="E20" s="120">
        <f t="shared" si="0"/>
        <v>1216076</v>
      </c>
      <c r="F20" s="120">
        <f t="shared" si="0"/>
        <v>0</v>
      </c>
      <c r="G20" s="117" t="s">
        <v>174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</row>
    <row r="21" spans="1:12" x14ac:dyDescent="0.25">
      <c r="A21" s="117" t="s">
        <v>175</v>
      </c>
      <c r="B21" s="82">
        <f>'[2]2.sz.tábla'!B70</f>
        <v>0</v>
      </c>
      <c r="C21" s="82">
        <v>0</v>
      </c>
      <c r="D21" s="82">
        <v>0</v>
      </c>
      <c r="E21" s="82">
        <v>0</v>
      </c>
      <c r="F21" s="82">
        <v>0</v>
      </c>
      <c r="G21" s="117" t="s">
        <v>176</v>
      </c>
      <c r="H21" s="82">
        <v>0</v>
      </c>
      <c r="I21" s="82">
        <v>0</v>
      </c>
      <c r="J21" s="82">
        <v>0</v>
      </c>
      <c r="K21" s="82">
        <v>0</v>
      </c>
      <c r="L21" s="82">
        <v>0</v>
      </c>
    </row>
    <row r="22" spans="1:12" x14ac:dyDescent="0.25">
      <c r="A22" s="117" t="s">
        <v>177</v>
      </c>
      <c r="B22" s="82">
        <v>0</v>
      </c>
      <c r="C22" s="82">
        <v>0</v>
      </c>
      <c r="D22" s="82">
        <v>0</v>
      </c>
      <c r="E22" s="82">
        <v>0</v>
      </c>
      <c r="F22" s="82">
        <v>0</v>
      </c>
      <c r="G22" s="117" t="s">
        <v>178</v>
      </c>
      <c r="H22" s="117">
        <f>'[2]5. sz. tábla'!B27</f>
        <v>0</v>
      </c>
      <c r="I22" s="117">
        <v>0</v>
      </c>
      <c r="J22" s="117">
        <v>0</v>
      </c>
      <c r="K22" s="117">
        <v>0</v>
      </c>
      <c r="L22" s="117">
        <v>0</v>
      </c>
    </row>
    <row r="23" spans="1:12" ht="31.5" x14ac:dyDescent="0.25">
      <c r="A23" s="117" t="s">
        <v>179</v>
      </c>
      <c r="B23" s="82">
        <f>'2.sz.tábla'!B69</f>
        <v>653076</v>
      </c>
      <c r="C23" s="82">
        <f>'2.sz.tábla'!C69</f>
        <v>1216076</v>
      </c>
      <c r="D23" s="82">
        <f>'2.sz.tábla'!D69</f>
        <v>1216076</v>
      </c>
      <c r="E23" s="82">
        <f>'2.sz.tábla'!E69</f>
        <v>1216076</v>
      </c>
      <c r="F23" s="82">
        <f>'2.sz.tábla'!F69</f>
        <v>0</v>
      </c>
      <c r="G23" s="117"/>
      <c r="H23" s="117"/>
      <c r="I23" s="117"/>
      <c r="J23" s="117"/>
      <c r="K23" s="117"/>
      <c r="L23" s="82"/>
    </row>
    <row r="24" spans="1:12" x14ac:dyDescent="0.25">
      <c r="A24" s="120" t="s">
        <v>180</v>
      </c>
      <c r="B24" s="78">
        <f>B16+B18+B20</f>
        <v>137374053</v>
      </c>
      <c r="C24" s="78">
        <f>C16+C18+C20</f>
        <v>143837124</v>
      </c>
      <c r="D24" s="78">
        <f>D16+D18+D20</f>
        <v>152341885</v>
      </c>
      <c r="E24" s="78">
        <f>E16+E18+E20</f>
        <v>158768605</v>
      </c>
      <c r="F24" s="78">
        <f>F16+F18+F20</f>
        <v>6426720</v>
      </c>
      <c r="G24" s="120" t="s">
        <v>181</v>
      </c>
      <c r="H24" s="78">
        <f>H16+H18</f>
        <v>39924012</v>
      </c>
      <c r="I24" s="78">
        <f>I18+I16</f>
        <v>45912083</v>
      </c>
      <c r="J24" s="78">
        <f>J18+J16</f>
        <v>73998248</v>
      </c>
      <c r="K24" s="78">
        <f t="shared" ref="K24:L24" si="1">K18+K16</f>
        <v>80424968</v>
      </c>
      <c r="L24" s="78">
        <f t="shared" si="1"/>
        <v>6426720</v>
      </c>
    </row>
    <row r="26" spans="1:12" x14ac:dyDescent="0.25">
      <c r="A26" s="257" t="s">
        <v>329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</row>
    <row r="28" spans="1:12" s="115" customFormat="1" ht="47.25" x14ac:dyDescent="0.25">
      <c r="A28" s="120" t="s">
        <v>182</v>
      </c>
      <c r="B28" s="15" t="str">
        <f>B5</f>
        <v>2018. évi eredeti előirányzat</v>
      </c>
      <c r="C28" s="15" t="str">
        <f t="shared" ref="C28:F28" si="2">C5</f>
        <v>I. Módosítás</v>
      </c>
      <c r="D28" s="15" t="str">
        <f>D5</f>
        <v>II. Módosítás</v>
      </c>
      <c r="E28" s="15" t="str">
        <f>E5</f>
        <v>III. Módosítás</v>
      </c>
      <c r="F28" s="15" t="str">
        <f t="shared" si="2"/>
        <v>Eltérés</v>
      </c>
      <c r="G28" s="120" t="s">
        <v>183</v>
      </c>
      <c r="H28" s="15" t="str">
        <f>B28</f>
        <v>2018. évi eredeti előirányzat</v>
      </c>
      <c r="I28" s="15" t="str">
        <f>C28</f>
        <v>I. Módosítás</v>
      </c>
      <c r="J28" s="15" t="str">
        <f>J5</f>
        <v>II. Módosítás</v>
      </c>
      <c r="K28" s="15" t="str">
        <f>K5</f>
        <v>III. Módosítás</v>
      </c>
      <c r="L28" s="15" t="str">
        <f t="shared" ref="L28" si="3">F28</f>
        <v>Eltérés</v>
      </c>
    </row>
    <row r="29" spans="1:12" ht="31.5" x14ac:dyDescent="0.25">
      <c r="A29" s="240" t="s">
        <v>184</v>
      </c>
      <c r="B29" s="82">
        <f>'2.sz.tábla'!B18</f>
        <v>0</v>
      </c>
      <c r="C29" s="82">
        <f>'2.sz.tábla'!C18</f>
        <v>0</v>
      </c>
      <c r="D29" s="82">
        <f>'2.sz.tábla'!D18</f>
        <v>30000000</v>
      </c>
      <c r="E29" s="82">
        <f>'2.sz.tábla'!E18</f>
        <v>30000000</v>
      </c>
      <c r="F29" s="82">
        <f>'2.sz.tábla'!F18</f>
        <v>0</v>
      </c>
      <c r="G29" s="117" t="s">
        <v>185</v>
      </c>
      <c r="H29" s="82">
        <f>'5. sz. tábla'!B4</f>
        <v>9535474</v>
      </c>
      <c r="I29" s="82">
        <f>'5. sz. tábla'!C4</f>
        <v>9735474</v>
      </c>
      <c r="J29" s="82">
        <f>'5. sz. tábla'!D4</f>
        <v>9735474</v>
      </c>
      <c r="K29" s="82">
        <f>'5. sz. tábla'!E4</f>
        <v>9735474</v>
      </c>
      <c r="L29" s="82">
        <f>'5. sz. tábla'!F4</f>
        <v>0</v>
      </c>
    </row>
    <row r="30" spans="1:12" x14ac:dyDescent="0.25">
      <c r="A30" s="117" t="s">
        <v>186</v>
      </c>
      <c r="B30" s="82">
        <f>'[2]2.sz.tábla'!B52</f>
        <v>0</v>
      </c>
      <c r="C30" s="82">
        <v>0</v>
      </c>
      <c r="D30" s="82">
        <v>0</v>
      </c>
      <c r="E30" s="82">
        <v>0</v>
      </c>
      <c r="F30" s="82">
        <v>0</v>
      </c>
      <c r="G30" s="117" t="s">
        <v>187</v>
      </c>
      <c r="H30" s="117"/>
      <c r="I30" s="117"/>
      <c r="J30" s="117"/>
      <c r="K30" s="117"/>
      <c r="L30" s="82"/>
    </row>
    <row r="31" spans="1:12" ht="31.5" x14ac:dyDescent="0.25">
      <c r="A31" s="117" t="s">
        <v>188</v>
      </c>
      <c r="B31" s="82">
        <f>'[2]1.sz.tábla '!B11</f>
        <v>0</v>
      </c>
      <c r="C31" s="82">
        <v>0</v>
      </c>
      <c r="D31" s="82">
        <v>0</v>
      </c>
      <c r="E31" s="82">
        <v>0</v>
      </c>
      <c r="F31" s="82">
        <v>0</v>
      </c>
      <c r="G31" s="117" t="s">
        <v>189</v>
      </c>
      <c r="H31" s="82">
        <f>'5. sz. tábla'!B20</f>
        <v>87888092</v>
      </c>
      <c r="I31" s="82">
        <f>'5. sz. tábla'!C20</f>
        <v>88163092</v>
      </c>
      <c r="J31" s="82">
        <f>'5. sz. tábla'!D20</f>
        <v>98581688</v>
      </c>
      <c r="K31" s="82">
        <f>'5. sz. tábla'!E20</f>
        <v>98581688</v>
      </c>
      <c r="L31" s="82">
        <f>'5. sz. tábla'!F20</f>
        <v>10418596</v>
      </c>
    </row>
    <row r="32" spans="1:12" x14ac:dyDescent="0.25">
      <c r="A32" s="117"/>
      <c r="B32" s="82"/>
      <c r="C32" s="82"/>
      <c r="D32" s="82"/>
      <c r="E32" s="82"/>
      <c r="F32" s="82"/>
      <c r="G32" s="117" t="s">
        <v>190</v>
      </c>
      <c r="H32" s="82">
        <f>'5. sz. tábla'!B27</f>
        <v>26475</v>
      </c>
      <c r="I32" s="82">
        <f>'5. sz. tábla'!C27</f>
        <v>26475</v>
      </c>
      <c r="J32" s="82">
        <f>'5. sz. tábla'!D27</f>
        <v>26475</v>
      </c>
      <c r="K32" s="82">
        <f>'5. sz. tábla'!E27</f>
        <v>26475</v>
      </c>
      <c r="L32" s="82">
        <f>'5. sz. tábla'!F27</f>
        <v>0</v>
      </c>
    </row>
    <row r="33" spans="1:12" ht="31.5" x14ac:dyDescent="0.25">
      <c r="A33" s="117"/>
      <c r="B33" s="117"/>
      <c r="C33" s="117"/>
      <c r="D33" s="117"/>
      <c r="E33" s="117"/>
      <c r="F33" s="82"/>
      <c r="G33" s="117" t="s">
        <v>191</v>
      </c>
      <c r="H33" s="117"/>
      <c r="I33" s="117"/>
      <c r="J33" s="117"/>
      <c r="K33" s="117"/>
      <c r="L33" s="117"/>
    </row>
    <row r="34" spans="1:12" ht="31.5" x14ac:dyDescent="0.25">
      <c r="A34" s="117"/>
      <c r="B34" s="117"/>
      <c r="C34" s="117"/>
      <c r="D34" s="117"/>
      <c r="E34" s="117"/>
      <c r="F34" s="82"/>
      <c r="G34" s="121" t="s">
        <v>192</v>
      </c>
      <c r="H34" s="122"/>
      <c r="I34" s="122"/>
      <c r="J34" s="122"/>
      <c r="K34" s="122"/>
      <c r="L34" s="122"/>
    </row>
    <row r="35" spans="1:12" ht="47.25" x14ac:dyDescent="0.25">
      <c r="A35" s="117"/>
      <c r="B35" s="82"/>
      <c r="C35" s="82"/>
      <c r="D35" s="82"/>
      <c r="E35" s="82"/>
      <c r="F35" s="82"/>
      <c r="G35" s="117" t="s">
        <v>193</v>
      </c>
      <c r="H35" s="82"/>
      <c r="I35" s="82"/>
      <c r="J35" s="82"/>
      <c r="K35" s="82"/>
      <c r="L35" s="82"/>
    </row>
    <row r="36" spans="1:12" ht="47.25" x14ac:dyDescent="0.25">
      <c r="A36" s="117"/>
      <c r="B36" s="82"/>
      <c r="C36" s="82"/>
      <c r="D36" s="82"/>
      <c r="E36" s="82"/>
      <c r="F36" s="82"/>
      <c r="G36" s="117" t="s">
        <v>194</v>
      </c>
      <c r="H36" s="82"/>
      <c r="I36" s="82"/>
      <c r="J36" s="82"/>
      <c r="K36" s="82"/>
      <c r="L36" s="82"/>
    </row>
    <row r="37" spans="1:12" s="80" customFormat="1" ht="31.5" x14ac:dyDescent="0.25">
      <c r="A37" s="120" t="s">
        <v>195</v>
      </c>
      <c r="B37" s="78">
        <f>SUM(B29:B35)</f>
        <v>0</v>
      </c>
      <c r="C37" s="78">
        <f>SUM(C29:C35)</f>
        <v>0</v>
      </c>
      <c r="D37" s="78">
        <f>SUM(D29:D35)</f>
        <v>30000000</v>
      </c>
      <c r="E37" s="78">
        <f>SUM(E29:E35)</f>
        <v>30000000</v>
      </c>
      <c r="F37" s="78">
        <f>SUM(F29:F35)</f>
        <v>0</v>
      </c>
      <c r="G37" s="120" t="s">
        <v>196</v>
      </c>
      <c r="H37" s="78">
        <f>SUM(H29:H32)</f>
        <v>97450041</v>
      </c>
      <c r="I37" s="78">
        <f>SUM(I29:I32)</f>
        <v>97925041</v>
      </c>
      <c r="J37" s="78">
        <f>SUM(J29:J32)</f>
        <v>108343637</v>
      </c>
      <c r="K37" s="78">
        <f>SUM(K29:K32)</f>
        <v>108343637</v>
      </c>
      <c r="L37" s="78">
        <f>SUM(L29:L32)</f>
        <v>10418596</v>
      </c>
    </row>
    <row r="38" spans="1:12" s="80" customFormat="1" x14ac:dyDescent="0.25">
      <c r="A38" s="120" t="s">
        <v>197</v>
      </c>
      <c r="B38" s="78"/>
      <c r="C38" s="78"/>
      <c r="D38" s="78"/>
      <c r="E38" s="78"/>
      <c r="F38" s="82"/>
      <c r="G38" s="120" t="s">
        <v>198</v>
      </c>
      <c r="H38" s="78">
        <f>H37-B37</f>
        <v>97450041</v>
      </c>
      <c r="I38" s="78">
        <f>I37-C37</f>
        <v>97925041</v>
      </c>
      <c r="J38" s="78">
        <f>J37-D37</f>
        <v>78343637</v>
      </c>
      <c r="K38" s="78">
        <f>K37-E37</f>
        <v>78343637</v>
      </c>
      <c r="L38" s="78">
        <f>L37-F37</f>
        <v>10418596</v>
      </c>
    </row>
    <row r="39" spans="1:12" s="80" customFormat="1" ht="31.5" x14ac:dyDescent="0.25">
      <c r="A39" s="120" t="s">
        <v>199</v>
      </c>
      <c r="B39" s="78">
        <f>SUM(B40)</f>
        <v>100876000</v>
      </c>
      <c r="C39" s="78">
        <f t="shared" ref="C39:F39" si="4">SUM(C40)</f>
        <v>104428660</v>
      </c>
      <c r="D39" s="78">
        <f t="shared" si="4"/>
        <v>104428660</v>
      </c>
      <c r="E39" s="78">
        <f t="shared" si="4"/>
        <v>104428660</v>
      </c>
      <c r="F39" s="78">
        <f t="shared" si="4"/>
        <v>0</v>
      </c>
      <c r="G39" s="120" t="s">
        <v>200</v>
      </c>
      <c r="H39" s="78">
        <f>SUM(H40:H42)</f>
        <v>0</v>
      </c>
      <c r="I39" s="78">
        <v>0</v>
      </c>
      <c r="J39" s="78">
        <v>0</v>
      </c>
      <c r="K39" s="78">
        <v>0</v>
      </c>
      <c r="L39" s="78">
        <v>0</v>
      </c>
    </row>
    <row r="40" spans="1:12" x14ac:dyDescent="0.25">
      <c r="A40" s="117" t="s">
        <v>201</v>
      </c>
      <c r="B40" s="82">
        <f>'1.sz.tábla '!B13</f>
        <v>100876000</v>
      </c>
      <c r="C40" s="82">
        <f>'1.sz.tábla '!C13</f>
        <v>104428660</v>
      </c>
      <c r="D40" s="82">
        <f>'1.sz.tábla '!D13</f>
        <v>104428660</v>
      </c>
      <c r="E40" s="82">
        <f>'1.sz.tábla '!E13</f>
        <v>104428660</v>
      </c>
      <c r="F40" s="82">
        <f>'1.sz.tábla '!F13</f>
        <v>0</v>
      </c>
      <c r="G40" s="117" t="s">
        <v>202</v>
      </c>
      <c r="H40" s="82"/>
      <c r="I40" s="82"/>
      <c r="J40" s="82"/>
      <c r="K40" s="82"/>
      <c r="L40" s="82"/>
    </row>
    <row r="41" spans="1:12" ht="31.5" x14ac:dyDescent="0.25">
      <c r="A41" s="120" t="s">
        <v>203</v>
      </c>
      <c r="B41" s="78">
        <f>SUM(B42:B43)</f>
        <v>0</v>
      </c>
      <c r="C41" s="78">
        <f>SUM(C42:C43)</f>
        <v>0</v>
      </c>
      <c r="D41" s="78">
        <f>SUM(D42:D43)</f>
        <v>0</v>
      </c>
      <c r="E41" s="78">
        <f>SUM(E42:E43)</f>
        <v>0</v>
      </c>
      <c r="F41" s="78">
        <f>SUM(F42:F43)</f>
        <v>0</v>
      </c>
      <c r="G41" s="117" t="s">
        <v>204</v>
      </c>
      <c r="H41" s="82"/>
      <c r="I41" s="82"/>
      <c r="J41" s="82"/>
      <c r="K41" s="82"/>
      <c r="L41" s="82"/>
    </row>
    <row r="42" spans="1:12" ht="31.5" x14ac:dyDescent="0.25">
      <c r="A42" s="117" t="s">
        <v>205</v>
      </c>
      <c r="B42" s="82"/>
      <c r="C42" s="82"/>
      <c r="D42" s="82"/>
      <c r="E42" s="82"/>
      <c r="F42" s="82"/>
      <c r="G42" s="117" t="s">
        <v>206</v>
      </c>
      <c r="H42" s="82"/>
      <c r="I42" s="82"/>
      <c r="J42" s="82"/>
      <c r="K42" s="82"/>
      <c r="L42" s="82"/>
    </row>
    <row r="43" spans="1:12" x14ac:dyDescent="0.25">
      <c r="A43" s="117" t="s">
        <v>207</v>
      </c>
      <c r="B43" s="82"/>
      <c r="C43" s="82"/>
      <c r="D43" s="82"/>
      <c r="E43" s="82"/>
      <c r="F43" s="82"/>
      <c r="G43" s="117"/>
      <c r="H43" s="82"/>
      <c r="I43" s="82"/>
      <c r="J43" s="82"/>
      <c r="K43" s="82"/>
      <c r="L43" s="82"/>
    </row>
    <row r="44" spans="1:12" s="80" customFormat="1" x14ac:dyDescent="0.25">
      <c r="A44" s="120" t="s">
        <v>208</v>
      </c>
      <c r="B44" s="78">
        <f>B37+B39+B41</f>
        <v>100876000</v>
      </c>
      <c r="C44" s="78">
        <f>C37+C39+C41</f>
        <v>104428660</v>
      </c>
      <c r="D44" s="78">
        <f>D37+D39+D41</f>
        <v>134428660</v>
      </c>
      <c r="E44" s="78">
        <f>E37+E39+E41</f>
        <v>134428660</v>
      </c>
      <c r="F44" s="78">
        <f>F37+F39+F41</f>
        <v>0</v>
      </c>
      <c r="G44" s="120" t="s">
        <v>209</v>
      </c>
      <c r="H44" s="78">
        <f>H37+H39</f>
        <v>97450041</v>
      </c>
      <c r="I44" s="78">
        <f>I37+I39</f>
        <v>97925041</v>
      </c>
      <c r="J44" s="78">
        <f>J37+J39</f>
        <v>108343637</v>
      </c>
      <c r="K44" s="78">
        <f>K37+K39</f>
        <v>108343637</v>
      </c>
      <c r="L44" s="78">
        <f>L37+L39</f>
        <v>10418596</v>
      </c>
    </row>
    <row r="45" spans="1:12" x14ac:dyDescent="0.25">
      <c r="A45" s="123"/>
      <c r="B45" s="124"/>
      <c r="C45" s="124"/>
      <c r="D45" s="124"/>
      <c r="E45" s="124"/>
      <c r="F45" s="124"/>
      <c r="G45" s="123"/>
      <c r="H45" s="124"/>
      <c r="I45" s="124"/>
      <c r="J45" s="124"/>
      <c r="K45" s="124"/>
      <c r="L45" s="124"/>
    </row>
    <row r="46" spans="1:12" x14ac:dyDescent="0.25">
      <c r="A46" s="123"/>
      <c r="B46" s="124"/>
      <c r="C46" s="124"/>
      <c r="D46" s="124"/>
      <c r="E46" s="124"/>
      <c r="F46" s="124"/>
      <c r="G46" s="123"/>
      <c r="H46" s="124"/>
      <c r="I46" s="124"/>
      <c r="J46" s="124"/>
      <c r="K46" s="124"/>
      <c r="L46" s="124"/>
    </row>
    <row r="47" spans="1:12" x14ac:dyDescent="0.25">
      <c r="A47" s="257" t="s">
        <v>331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</row>
    <row r="49" spans="1:12" s="115" customFormat="1" ht="47.25" x14ac:dyDescent="0.25">
      <c r="A49" s="120" t="s">
        <v>210</v>
      </c>
      <c r="B49" s="15" t="str">
        <f>B5</f>
        <v>2018. évi eredeti előirányzat</v>
      </c>
      <c r="C49" s="15" t="str">
        <f>C5</f>
        <v>I. Módosítás</v>
      </c>
      <c r="D49" s="15" t="str">
        <f>D5</f>
        <v>II. Módosítás</v>
      </c>
      <c r="E49" s="15" t="str">
        <f>E5</f>
        <v>III. Módosítás</v>
      </c>
      <c r="F49" s="15" t="str">
        <f>F5</f>
        <v>Eltérés</v>
      </c>
      <c r="G49" s="120" t="s">
        <v>211</v>
      </c>
      <c r="H49" s="15" t="str">
        <f>B49</f>
        <v>2018. évi eredeti előirányzat</v>
      </c>
      <c r="I49" s="15" t="str">
        <f>C49</f>
        <v>I. Módosítás</v>
      </c>
      <c r="J49" s="15" t="str">
        <f>J5</f>
        <v>II. Módosítás</v>
      </c>
      <c r="K49" s="15" t="str">
        <f>K5</f>
        <v>III. Módosítás</v>
      </c>
      <c r="L49" s="15" t="str">
        <f t="shared" ref="L49" si="5">F49</f>
        <v>Eltérés</v>
      </c>
    </row>
    <row r="50" spans="1:12" x14ac:dyDescent="0.25">
      <c r="A50" s="117" t="s">
        <v>212</v>
      </c>
      <c r="B50" s="82">
        <f>B16</f>
        <v>35844977</v>
      </c>
      <c r="C50" s="82">
        <f>C16</f>
        <v>38192388</v>
      </c>
      <c r="D50" s="82">
        <f>D16</f>
        <v>46697149</v>
      </c>
      <c r="E50" s="82">
        <f>E16</f>
        <v>53123869</v>
      </c>
      <c r="F50" s="82">
        <f>F16</f>
        <v>6426720</v>
      </c>
      <c r="G50" s="117" t="s">
        <v>213</v>
      </c>
      <c r="H50" s="82">
        <f>H16</f>
        <v>38439432</v>
      </c>
      <c r="I50" s="82">
        <f>I16</f>
        <v>43864503</v>
      </c>
      <c r="J50" s="82">
        <f>J16</f>
        <v>71950668</v>
      </c>
      <c r="K50" s="82">
        <f>K16</f>
        <v>78377388</v>
      </c>
      <c r="L50" s="82">
        <f>L16</f>
        <v>6426720</v>
      </c>
    </row>
    <row r="51" spans="1:12" ht="31.5" x14ac:dyDescent="0.25">
      <c r="A51" s="117" t="s">
        <v>214</v>
      </c>
      <c r="B51" s="82">
        <f>B37</f>
        <v>0</v>
      </c>
      <c r="C51" s="82">
        <f>C37</f>
        <v>0</v>
      </c>
      <c r="D51" s="82">
        <f>D37</f>
        <v>30000000</v>
      </c>
      <c r="E51" s="82">
        <f>E37</f>
        <v>30000000</v>
      </c>
      <c r="F51" s="82">
        <f>F37</f>
        <v>0</v>
      </c>
      <c r="G51" s="117" t="s">
        <v>215</v>
      </c>
      <c r="H51" s="82">
        <f>H37</f>
        <v>97450041</v>
      </c>
      <c r="I51" s="82">
        <f>I37</f>
        <v>97925041</v>
      </c>
      <c r="J51" s="82">
        <f>J37</f>
        <v>108343637</v>
      </c>
      <c r="K51" s="82">
        <f>K37</f>
        <v>108343637</v>
      </c>
      <c r="L51" s="82">
        <f>L17</f>
        <v>0</v>
      </c>
    </row>
    <row r="52" spans="1:12" s="80" customFormat="1" ht="31.5" x14ac:dyDescent="0.25">
      <c r="A52" s="120" t="s">
        <v>10</v>
      </c>
      <c r="B52" s="78">
        <f>SUM(B50:B51)</f>
        <v>35844977</v>
      </c>
      <c r="C52" s="78">
        <f t="shared" ref="C52:F52" si="6">SUM(C50:C51)</f>
        <v>38192388</v>
      </c>
      <c r="D52" s="78">
        <f t="shared" si="6"/>
        <v>76697149</v>
      </c>
      <c r="E52" s="78">
        <f t="shared" si="6"/>
        <v>83123869</v>
      </c>
      <c r="F52" s="78">
        <f t="shared" si="6"/>
        <v>6426720</v>
      </c>
      <c r="G52" s="120" t="s">
        <v>19</v>
      </c>
      <c r="H52" s="78">
        <f>SUM(H50:H51)</f>
        <v>135889473</v>
      </c>
      <c r="I52" s="78">
        <f t="shared" ref="I52:L52" si="7">SUM(I50:I51)</f>
        <v>141789544</v>
      </c>
      <c r="J52" s="78">
        <f t="shared" si="7"/>
        <v>180294305</v>
      </c>
      <c r="K52" s="78">
        <f t="shared" si="7"/>
        <v>186721025</v>
      </c>
      <c r="L52" s="78">
        <f t="shared" si="7"/>
        <v>6426720</v>
      </c>
    </row>
    <row r="53" spans="1:12" s="80" customFormat="1" x14ac:dyDescent="0.25">
      <c r="A53" s="120" t="s">
        <v>216</v>
      </c>
      <c r="B53" s="78"/>
      <c r="C53" s="78"/>
      <c r="D53" s="78"/>
      <c r="E53" s="78"/>
      <c r="F53" s="78"/>
      <c r="G53" s="120" t="s">
        <v>217</v>
      </c>
      <c r="H53" s="78">
        <f>H52-B52</f>
        <v>100044496</v>
      </c>
      <c r="I53" s="78">
        <f>I52-C52</f>
        <v>103597156</v>
      </c>
      <c r="J53" s="78">
        <f>J52-D52</f>
        <v>103597156</v>
      </c>
      <c r="K53" s="78">
        <f>K52-E52</f>
        <v>103597156</v>
      </c>
      <c r="L53" s="78">
        <f t="shared" ref="L53" si="8">L52-F52</f>
        <v>0</v>
      </c>
    </row>
    <row r="54" spans="1:12" s="80" customFormat="1" ht="31.5" x14ac:dyDescent="0.25">
      <c r="A54" s="120" t="s">
        <v>218</v>
      </c>
      <c r="B54" s="78">
        <f>SUM(B55:B56)</f>
        <v>100876000</v>
      </c>
      <c r="C54" s="78">
        <f t="shared" ref="C54:F54" si="9">SUM(C55:C56)</f>
        <v>104428660</v>
      </c>
      <c r="D54" s="78">
        <f t="shared" si="9"/>
        <v>104428660</v>
      </c>
      <c r="E54" s="78">
        <f t="shared" si="9"/>
        <v>104428660</v>
      </c>
      <c r="F54" s="78">
        <f t="shared" si="9"/>
        <v>0</v>
      </c>
      <c r="G54" s="120" t="s">
        <v>219</v>
      </c>
      <c r="H54" s="78">
        <f>SUM(H55:H56)</f>
        <v>1484580</v>
      </c>
      <c r="I54" s="78">
        <f>SUM(I55:I56)</f>
        <v>2047580</v>
      </c>
      <c r="J54" s="78">
        <f>SUM(J55:J56)</f>
        <v>2047580</v>
      </c>
      <c r="K54" s="78">
        <f>SUM(K55:K56)</f>
        <v>2047580</v>
      </c>
      <c r="L54" s="78">
        <f>SUM(L55:L56)</f>
        <v>0</v>
      </c>
    </row>
    <row r="55" spans="1:12" ht="31.5" x14ac:dyDescent="0.25">
      <c r="A55" s="117" t="s">
        <v>169</v>
      </c>
      <c r="B55" s="82">
        <f>'2.sz.tábla'!B65</f>
        <v>20000000</v>
      </c>
      <c r="C55" s="82">
        <f>'2.sz.tábla'!C65</f>
        <v>23552660</v>
      </c>
      <c r="D55" s="82">
        <f>'2.sz.tábla'!D65</f>
        <v>23552660</v>
      </c>
      <c r="E55" s="82">
        <f>'2.sz.tábla'!E65</f>
        <v>23552660</v>
      </c>
      <c r="F55" s="82">
        <f>F18</f>
        <v>0</v>
      </c>
      <c r="G55" s="117" t="s">
        <v>220</v>
      </c>
      <c r="H55" s="82">
        <f>H18</f>
        <v>1484580</v>
      </c>
      <c r="I55" s="82">
        <f>I18</f>
        <v>2047580</v>
      </c>
      <c r="J55" s="82">
        <f>J18</f>
        <v>2047580</v>
      </c>
      <c r="K55" s="82">
        <f>K18</f>
        <v>2047580</v>
      </c>
      <c r="L55" s="82">
        <f>L18</f>
        <v>0</v>
      </c>
    </row>
    <row r="56" spans="1:12" ht="31.5" x14ac:dyDescent="0.25">
      <c r="A56" s="117" t="s">
        <v>199</v>
      </c>
      <c r="B56" s="82">
        <f>'2.sz.tábla'!B66</f>
        <v>80876000</v>
      </c>
      <c r="C56" s="82">
        <f>'2.sz.tábla'!C66</f>
        <v>80876000</v>
      </c>
      <c r="D56" s="82">
        <f>'2.sz.tábla'!D66</f>
        <v>80876000</v>
      </c>
      <c r="E56" s="82">
        <f>'2.sz.tábla'!E66</f>
        <v>80876000</v>
      </c>
      <c r="F56" s="82"/>
      <c r="G56" s="117" t="s">
        <v>221</v>
      </c>
      <c r="H56" s="82">
        <f>H39</f>
        <v>0</v>
      </c>
      <c r="I56" s="82">
        <f>I39</f>
        <v>0</v>
      </c>
      <c r="J56" s="82">
        <f t="shared" ref="J56:L56" si="10">J39</f>
        <v>0</v>
      </c>
      <c r="K56" s="82">
        <f t="shared" si="10"/>
        <v>0</v>
      </c>
      <c r="L56" s="82">
        <f t="shared" si="10"/>
        <v>0</v>
      </c>
    </row>
    <row r="57" spans="1:12" s="80" customFormat="1" ht="31.5" x14ac:dyDescent="0.25">
      <c r="A57" s="120" t="s">
        <v>222</v>
      </c>
      <c r="B57" s="78">
        <f>SUM(B58:B59)</f>
        <v>653076</v>
      </c>
      <c r="C57" s="78">
        <f t="shared" ref="C57:F57" si="11">SUM(C58:C59)</f>
        <v>1216076</v>
      </c>
      <c r="D57" s="78">
        <f t="shared" si="11"/>
        <v>1216076</v>
      </c>
      <c r="E57" s="78">
        <f t="shared" si="11"/>
        <v>1216076</v>
      </c>
      <c r="F57" s="78">
        <f t="shared" si="11"/>
        <v>0</v>
      </c>
      <c r="G57" s="120"/>
      <c r="H57" s="120"/>
      <c r="I57" s="120"/>
      <c r="J57" s="120"/>
      <c r="K57" s="120"/>
      <c r="L57" s="120"/>
    </row>
    <row r="58" spans="1:12" ht="31.5" x14ac:dyDescent="0.25">
      <c r="A58" s="117" t="s">
        <v>173</v>
      </c>
      <c r="B58" s="82">
        <f>B20</f>
        <v>653076</v>
      </c>
      <c r="C58" s="82">
        <f t="shared" ref="C58:F58" si="12">C20</f>
        <v>1216076</v>
      </c>
      <c r="D58" s="82">
        <f t="shared" si="12"/>
        <v>1216076</v>
      </c>
      <c r="E58" s="82">
        <f t="shared" si="12"/>
        <v>1216076</v>
      </c>
      <c r="F58" s="82">
        <f t="shared" si="12"/>
        <v>0</v>
      </c>
      <c r="G58" s="117"/>
      <c r="H58" s="82"/>
      <c r="I58" s="82"/>
      <c r="J58" s="82"/>
      <c r="K58" s="82"/>
      <c r="L58" s="82"/>
    </row>
    <row r="59" spans="1:12" ht="31.5" x14ac:dyDescent="0.25">
      <c r="A59" s="117" t="s">
        <v>203</v>
      </c>
      <c r="B59" s="82">
        <f>B41</f>
        <v>0</v>
      </c>
      <c r="C59" s="82">
        <f>C41</f>
        <v>0</v>
      </c>
      <c r="D59" s="82">
        <f>D41</f>
        <v>0</v>
      </c>
      <c r="E59" s="82">
        <f>E41</f>
        <v>0</v>
      </c>
      <c r="F59" s="82">
        <f>F41</f>
        <v>0</v>
      </c>
      <c r="G59" s="120"/>
      <c r="H59" s="78"/>
      <c r="I59" s="78"/>
      <c r="J59" s="78"/>
      <c r="K59" s="78"/>
      <c r="L59" s="78"/>
    </row>
    <row r="60" spans="1:12" s="80" customFormat="1" x14ac:dyDescent="0.25">
      <c r="A60" s="120" t="s">
        <v>66</v>
      </c>
      <c r="B60" s="78">
        <f>B52+B54+B57</f>
        <v>137374053</v>
      </c>
      <c r="C60" s="78">
        <f>C52+C54+C57</f>
        <v>143837124</v>
      </c>
      <c r="D60" s="78">
        <f>D52+D54+D57</f>
        <v>182341885</v>
      </c>
      <c r="E60" s="78">
        <f>E52+E54+E57</f>
        <v>188768605</v>
      </c>
      <c r="F60" s="78">
        <f>F52+F54+F57</f>
        <v>6426720</v>
      </c>
      <c r="G60" s="120" t="s">
        <v>223</v>
      </c>
      <c r="H60" s="78">
        <f>H52+H54</f>
        <v>137374053</v>
      </c>
      <c r="I60" s="78">
        <f>I52+I54</f>
        <v>143837124</v>
      </c>
      <c r="J60" s="78">
        <f>J52+J54</f>
        <v>182341885</v>
      </c>
      <c r="K60" s="78">
        <f>K52+K54</f>
        <v>188768605</v>
      </c>
      <c r="L60" s="78">
        <f>L52+L54</f>
        <v>6426720</v>
      </c>
    </row>
    <row r="61" spans="1:12" x14ac:dyDescent="0.25">
      <c r="A61" s="115" t="s">
        <v>224</v>
      </c>
      <c r="H61" s="114">
        <f>B60-H60</f>
        <v>0</v>
      </c>
      <c r="I61" s="114">
        <f>C60-I60</f>
        <v>0</v>
      </c>
      <c r="J61" s="114">
        <f>D60-J60</f>
        <v>0</v>
      </c>
      <c r="K61" s="114">
        <f>E60-K60</f>
        <v>0</v>
      </c>
      <c r="L61" s="114">
        <f>F60-L60</f>
        <v>0</v>
      </c>
    </row>
  </sheetData>
  <mergeCells count="4">
    <mergeCell ref="A2:L2"/>
    <mergeCell ref="A3:L3"/>
    <mergeCell ref="A26:L26"/>
    <mergeCell ref="A47:L47"/>
  </mergeCells>
  <pageMargins left="1.0434375" right="0.70866141732283472" top="0.94488188976377963" bottom="0.74803149606299213" header="0.51181102362204722" footer="0.31496062992125984"/>
  <pageSetup paperSize="9" scale="58" orientation="landscape" r:id="rId1"/>
  <headerFooter>
    <oddHeader>&amp;L&amp;"Times New Roman,Normál"&amp;12Vászoly Község Önkormányzata&amp;C&amp;"Times New Roman,Normál"&amp;12 6. melléklet
Az önkormányzat 2018. évi költségvetéséről szóló 5/2018. (II. 16.) rendelethez</oddHeader>
  </headerFooter>
  <rowBreaks count="2" manualBreakCount="2">
    <brk id="24" max="16383" man="1"/>
    <brk id="45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9"/>
  <sheetViews>
    <sheetView view="pageLayout" topLeftCell="B1" zoomScaleNormal="100" workbookViewId="0">
      <selection activeCell="A3" sqref="A3:L3"/>
    </sheetView>
  </sheetViews>
  <sheetFormatPr defaultColWidth="9.140625" defaultRowHeight="15.75" x14ac:dyDescent="0.25"/>
  <cols>
    <col min="1" max="1" width="43.28515625" style="125" customWidth="1"/>
    <col min="2" max="2" width="14.140625" style="126" customWidth="1"/>
    <col min="3" max="5" width="15.5703125" style="126" customWidth="1"/>
    <col min="6" max="6" width="15.42578125" style="126" customWidth="1"/>
    <col min="7" max="7" width="43.5703125" style="126" customWidth="1"/>
    <col min="8" max="10" width="14.28515625" style="126" customWidth="1"/>
    <col min="11" max="11" width="15.42578125" style="126" customWidth="1"/>
    <col min="12" max="12" width="13.7109375" style="126" customWidth="1"/>
    <col min="13" max="16384" width="9.140625" style="126"/>
  </cols>
  <sheetData>
    <row r="2" spans="1:12" x14ac:dyDescent="0.25">
      <c r="G2" s="127"/>
    </row>
    <row r="3" spans="1:12" ht="15.75" customHeight="1" x14ac:dyDescent="0.25">
      <c r="A3" s="259" t="s">
        <v>308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</row>
    <row r="4" spans="1:12" ht="16.5" thickBot="1" x14ac:dyDescent="0.3"/>
    <row r="5" spans="1:12" s="125" customFormat="1" ht="47.25" x14ac:dyDescent="0.25">
      <c r="A5" s="128" t="s">
        <v>150</v>
      </c>
      <c r="B5" s="7" t="s">
        <v>333</v>
      </c>
      <c r="C5" s="7" t="s">
        <v>336</v>
      </c>
      <c r="D5" s="7" t="s">
        <v>341</v>
      </c>
      <c r="E5" s="7" t="s">
        <v>345</v>
      </c>
      <c r="F5" s="7" t="s">
        <v>335</v>
      </c>
      <c r="G5" s="129" t="s">
        <v>151</v>
      </c>
      <c r="H5" s="7" t="s">
        <v>333</v>
      </c>
      <c r="I5" s="150" t="s">
        <v>336</v>
      </c>
      <c r="J5" s="150" t="s">
        <v>341</v>
      </c>
      <c r="K5" s="150" t="s">
        <v>345</v>
      </c>
      <c r="L5" s="156" t="s">
        <v>335</v>
      </c>
    </row>
    <row r="6" spans="1:12" s="125" customFormat="1" x14ac:dyDescent="0.25">
      <c r="A6" s="130" t="s">
        <v>225</v>
      </c>
      <c r="B6" s="131"/>
      <c r="C6" s="131"/>
      <c r="D6" s="131"/>
      <c r="E6" s="131"/>
      <c r="F6" s="131"/>
      <c r="G6" s="132" t="s">
        <v>14</v>
      </c>
      <c r="H6" s="133"/>
      <c r="I6" s="151"/>
      <c r="J6" s="151"/>
      <c r="K6" s="151"/>
      <c r="L6" s="134"/>
    </row>
    <row r="7" spans="1:12" ht="31.5" x14ac:dyDescent="0.25">
      <c r="A7" s="135" t="s">
        <v>226</v>
      </c>
      <c r="B7" s="136">
        <f>'6. sz. tábla'!B6</f>
        <v>22292477</v>
      </c>
      <c r="C7" s="136">
        <f>'6. sz. tábla'!C6</f>
        <v>24639888</v>
      </c>
      <c r="D7" s="136">
        <f>'6. sz. tábla'!D6</f>
        <v>33144649</v>
      </c>
      <c r="E7" s="136">
        <f>'6. sz. tábla'!E6</f>
        <v>39571369</v>
      </c>
      <c r="F7" s="136">
        <f>'6. sz. tábla'!F6</f>
        <v>6426720</v>
      </c>
      <c r="G7" s="137" t="s">
        <v>153</v>
      </c>
      <c r="H7" s="136">
        <f>'6. sz. tábla'!H6</f>
        <v>7128829</v>
      </c>
      <c r="I7" s="136">
        <f>'6. sz. tábla'!I6</f>
        <v>9310774</v>
      </c>
      <c r="J7" s="136">
        <f>'6. sz. tábla'!J6</f>
        <v>9310774</v>
      </c>
      <c r="K7" s="136">
        <f>'6. sz. tábla'!K6</f>
        <v>9360774</v>
      </c>
      <c r="L7" s="136">
        <f>'6. sz. tábla'!L6</f>
        <v>50000</v>
      </c>
    </row>
    <row r="8" spans="1:12" ht="17.25" customHeight="1" x14ac:dyDescent="0.25">
      <c r="A8" s="139" t="s">
        <v>154</v>
      </c>
      <c r="B8" s="136">
        <f>'6. sz. tábla'!B7</f>
        <v>10600000</v>
      </c>
      <c r="C8" s="136">
        <f>'6. sz. tábla'!C7</f>
        <v>10600000</v>
      </c>
      <c r="D8" s="136">
        <f>'6. sz. tábla'!D7</f>
        <v>10600000</v>
      </c>
      <c r="E8" s="136">
        <f>'6. sz. tábla'!E7</f>
        <v>10600000</v>
      </c>
      <c r="F8" s="136">
        <f>'6. sz. tábla'!F7</f>
        <v>0</v>
      </c>
      <c r="G8" s="137" t="s">
        <v>79</v>
      </c>
      <c r="H8" s="136">
        <f>'6. sz. tábla'!H7</f>
        <v>1284829</v>
      </c>
      <c r="I8" s="136">
        <f>'6. sz. tábla'!I7</f>
        <v>1435863</v>
      </c>
      <c r="J8" s="136">
        <f>'6. sz. tábla'!J7</f>
        <v>1435863</v>
      </c>
      <c r="K8" s="136">
        <f>'6. sz. tábla'!K7</f>
        <v>1444863</v>
      </c>
      <c r="L8" s="136">
        <f>'6. sz. tábla'!L7</f>
        <v>9000</v>
      </c>
    </row>
    <row r="9" spans="1:12" x14ac:dyDescent="0.25">
      <c r="A9" s="139" t="s">
        <v>156</v>
      </c>
      <c r="B9" s="136">
        <f>'6. sz. tábla'!B8</f>
        <v>2952500</v>
      </c>
      <c r="C9" s="136">
        <f>'6. sz. tábla'!C8</f>
        <v>2952500</v>
      </c>
      <c r="D9" s="136">
        <f>'6. sz. tábla'!D8</f>
        <v>2952500</v>
      </c>
      <c r="E9" s="136">
        <f>'6. sz. tábla'!E8</f>
        <v>2952500</v>
      </c>
      <c r="F9" s="136">
        <f>'6. sz. tábla'!F8</f>
        <v>0</v>
      </c>
      <c r="G9" s="137" t="s">
        <v>80</v>
      </c>
      <c r="H9" s="136">
        <f>'6. sz. tábla'!H8</f>
        <v>14260000</v>
      </c>
      <c r="I9" s="136">
        <f>'6. sz. tábla'!I8</f>
        <v>18292500</v>
      </c>
      <c r="J9" s="136">
        <f>'6. sz. tábla'!J8</f>
        <v>45607903</v>
      </c>
      <c r="K9" s="136">
        <f>'6. sz. tábla'!K8</f>
        <v>46034623</v>
      </c>
      <c r="L9" s="136">
        <f>'6. sz. tábla'!L8</f>
        <v>426720</v>
      </c>
    </row>
    <row r="10" spans="1:12" ht="31.5" x14ac:dyDescent="0.25">
      <c r="A10" s="116" t="s">
        <v>158</v>
      </c>
      <c r="B10" s="136">
        <f>'[2]6. sz. tábla '!B9</f>
        <v>0</v>
      </c>
      <c r="C10" s="136">
        <v>0</v>
      </c>
      <c r="D10" s="136">
        <v>0</v>
      </c>
      <c r="E10" s="136">
        <v>0</v>
      </c>
      <c r="F10" s="136">
        <v>0</v>
      </c>
      <c r="G10" s="137" t="s">
        <v>159</v>
      </c>
      <c r="H10" s="136">
        <f>'6. sz. tábla'!H9</f>
        <v>1885000</v>
      </c>
      <c r="I10" s="136">
        <f>'6. sz. tábla'!I9</f>
        <v>1885000</v>
      </c>
      <c r="J10" s="136">
        <f>'6. sz. tábla'!J9</f>
        <v>1885000</v>
      </c>
      <c r="K10" s="136">
        <f>'6. sz. tábla'!K9</f>
        <v>1885000</v>
      </c>
      <c r="L10" s="136">
        <f>'6. sz. tábla'!L9</f>
        <v>0</v>
      </c>
    </row>
    <row r="11" spans="1:12" x14ac:dyDescent="0.25">
      <c r="A11" s="139"/>
      <c r="B11" s="136"/>
      <c r="C11" s="136"/>
      <c r="D11" s="136"/>
      <c r="E11" s="136"/>
      <c r="F11" s="136"/>
      <c r="G11" s="137" t="s">
        <v>81</v>
      </c>
      <c r="H11" s="136">
        <f>'6. sz. tábla'!H10</f>
        <v>9995415</v>
      </c>
      <c r="I11" s="136">
        <f>'6. sz. tábla'!I10+I12</f>
        <v>10042915</v>
      </c>
      <c r="J11" s="136">
        <f>'6. sz. tábla'!J10+J12</f>
        <v>9208702</v>
      </c>
      <c r="K11" s="136">
        <f>'6. sz. tábla'!K10+K12</f>
        <v>9208702</v>
      </c>
      <c r="L11" s="136">
        <f>'6. sz. tábla'!L10</f>
        <v>0</v>
      </c>
    </row>
    <row r="12" spans="1:12" x14ac:dyDescent="0.25">
      <c r="A12" s="139"/>
      <c r="B12" s="136"/>
      <c r="C12" s="136"/>
      <c r="D12" s="136"/>
      <c r="E12" s="136"/>
      <c r="F12" s="136"/>
      <c r="G12" s="117" t="s">
        <v>160</v>
      </c>
      <c r="H12" s="136">
        <f>'6. sz. tábla'!H11</f>
        <v>0</v>
      </c>
      <c r="I12" s="136">
        <f>'6. sz. tábla'!I11</f>
        <v>47500</v>
      </c>
      <c r="J12" s="136">
        <f>'6. sz. tábla'!J11</f>
        <v>47500</v>
      </c>
      <c r="K12" s="136">
        <f>'6. sz. tábla'!K11</f>
        <v>47500</v>
      </c>
      <c r="L12" s="136">
        <f>'6. sz. tábla'!L11</f>
        <v>0</v>
      </c>
    </row>
    <row r="13" spans="1:12" ht="31.5" x14ac:dyDescent="0.25">
      <c r="A13" s="139"/>
      <c r="B13" s="136"/>
      <c r="C13" s="136"/>
      <c r="D13" s="136"/>
      <c r="E13" s="136"/>
      <c r="F13" s="136"/>
      <c r="G13" s="117" t="s">
        <v>161</v>
      </c>
      <c r="H13" s="136">
        <f>'6. sz. tábla'!H12</f>
        <v>9895415</v>
      </c>
      <c r="I13" s="136">
        <f>'6. sz. tábla'!I12</f>
        <v>9895415</v>
      </c>
      <c r="J13" s="136">
        <f>'6. sz. tábla'!J12</f>
        <v>9061202</v>
      </c>
      <c r="K13" s="136">
        <f>'6. sz. tábla'!K12</f>
        <v>9061202</v>
      </c>
      <c r="L13" s="138">
        <f>'6. sz. tábla'!L12</f>
        <v>0</v>
      </c>
    </row>
    <row r="14" spans="1:12" ht="31.5" x14ac:dyDescent="0.25">
      <c r="A14" s="135"/>
      <c r="B14" s="136"/>
      <c r="C14" s="140"/>
      <c r="D14" s="140"/>
      <c r="E14" s="140"/>
      <c r="F14" s="136"/>
      <c r="G14" s="117" t="s">
        <v>162</v>
      </c>
      <c r="H14" s="136">
        <f>'6. sz. tábla'!H13</f>
        <v>100000</v>
      </c>
      <c r="I14" s="136">
        <f>'6. sz. tábla'!I13</f>
        <v>100000</v>
      </c>
      <c r="J14" s="136">
        <f>'6. sz. tábla'!J13</f>
        <v>100000</v>
      </c>
      <c r="K14" s="136">
        <f>'6. sz. tábla'!K13</f>
        <v>100000</v>
      </c>
      <c r="L14" s="138">
        <f>'6. sz. tábla'!L13</f>
        <v>0</v>
      </c>
    </row>
    <row r="15" spans="1:12" ht="30.75" customHeight="1" x14ac:dyDescent="0.25">
      <c r="A15" s="116"/>
      <c r="B15" s="136"/>
      <c r="C15" s="136"/>
      <c r="D15" s="136"/>
      <c r="E15" s="136"/>
      <c r="F15" s="136"/>
      <c r="G15" s="117" t="s">
        <v>163</v>
      </c>
      <c r="H15" s="136">
        <f>'6. sz. tábla'!H14</f>
        <v>0</v>
      </c>
      <c r="I15" s="136">
        <f>'6. sz. tábla'!I14</f>
        <v>0</v>
      </c>
      <c r="J15" s="136">
        <f>'6. sz. tábla'!J14</f>
        <v>0</v>
      </c>
      <c r="K15" s="136">
        <f>'6. sz. tábla'!K14</f>
        <v>0</v>
      </c>
      <c r="L15" s="138">
        <f>'6. sz. tábla'!L14</f>
        <v>0</v>
      </c>
    </row>
    <row r="16" spans="1:12" x14ac:dyDescent="0.25">
      <c r="A16" s="139"/>
      <c r="B16" s="136"/>
      <c r="C16" s="136"/>
      <c r="D16" s="136"/>
      <c r="E16" s="136"/>
      <c r="F16" s="136"/>
      <c r="G16" s="117" t="s">
        <v>164</v>
      </c>
      <c r="H16" s="136">
        <f>'6. sz. tábla'!H15</f>
        <v>3885359</v>
      </c>
      <c r="I16" s="136">
        <f>'6. sz. tábla'!I15</f>
        <v>2897451</v>
      </c>
      <c r="J16" s="136">
        <f>'6. sz. tábla'!J15</f>
        <v>4502426</v>
      </c>
      <c r="K16" s="136">
        <f>'6. sz. tábla'!K15</f>
        <v>10443426</v>
      </c>
      <c r="L16" s="138">
        <f>'6. sz. tábla'!L15</f>
        <v>5941000</v>
      </c>
    </row>
    <row r="17" spans="1:12" s="143" customFormat="1" ht="31.5" x14ac:dyDescent="0.25">
      <c r="A17" s="130" t="s">
        <v>227</v>
      </c>
      <c r="B17" s="141">
        <f>SUM(B7:B16)</f>
        <v>35844977</v>
      </c>
      <c r="C17" s="141">
        <f t="shared" ref="C17:F17" si="0">SUM(C7:C16)</f>
        <v>38192388</v>
      </c>
      <c r="D17" s="141">
        <f t="shared" si="0"/>
        <v>46697149</v>
      </c>
      <c r="E17" s="141"/>
      <c r="F17" s="141">
        <f t="shared" si="0"/>
        <v>6426720</v>
      </c>
      <c r="G17" s="132" t="s">
        <v>228</v>
      </c>
      <c r="H17" s="141">
        <f>H7+H8+H9+H10+H11+H16</f>
        <v>38439432</v>
      </c>
      <c r="I17" s="141">
        <f>I7+I8+I9+I10+I11+I16</f>
        <v>43864503</v>
      </c>
      <c r="J17" s="141">
        <f>J7+J8+J9+J10+J11+J16</f>
        <v>71950668</v>
      </c>
      <c r="K17" s="141">
        <f>K7+K8+K9+K10+K11+K16</f>
        <v>78377388</v>
      </c>
      <c r="L17" s="142">
        <f>L7+L8+L9+L10+L11+L12+L16</f>
        <v>6426720</v>
      </c>
    </row>
    <row r="18" spans="1:12" x14ac:dyDescent="0.25">
      <c r="A18" s="144" t="s">
        <v>229</v>
      </c>
      <c r="B18" s="136">
        <f>'6. sz. tábla'!B19</f>
        <v>100876000</v>
      </c>
      <c r="C18" s="136">
        <f>'6. sz. tábla'!C19</f>
        <v>104428660</v>
      </c>
      <c r="D18" s="136">
        <f>'6. sz. tábla'!D19</f>
        <v>104428660</v>
      </c>
      <c r="E18" s="136"/>
      <c r="F18" s="136">
        <f>'6. sz. tábla'!F19</f>
        <v>0</v>
      </c>
      <c r="G18" s="133" t="s">
        <v>230</v>
      </c>
      <c r="H18" s="136">
        <f>'5. sz. tábla'!B31</f>
        <v>1484580</v>
      </c>
      <c r="I18" s="136">
        <f>'5. sz. tábla'!C31</f>
        <v>2047580</v>
      </c>
      <c r="J18" s="136">
        <f>'5. sz. tábla'!D31</f>
        <v>2047580</v>
      </c>
      <c r="K18" s="136">
        <f>'5. sz. tábla'!E31</f>
        <v>2047580</v>
      </c>
      <c r="L18" s="136">
        <f>'5. sz. tábla'!F31</f>
        <v>0</v>
      </c>
    </row>
    <row r="19" spans="1:12" ht="47.25" x14ac:dyDescent="0.25">
      <c r="A19" s="130" t="s">
        <v>231</v>
      </c>
      <c r="B19" s="141">
        <f>B17+B18</f>
        <v>136720977</v>
      </c>
      <c r="C19" s="141">
        <f>C17+C18</f>
        <v>142621048</v>
      </c>
      <c r="D19" s="141">
        <f>D17+D18</f>
        <v>151125809</v>
      </c>
      <c r="E19" s="141"/>
      <c r="F19" s="141">
        <f>F17+F18</f>
        <v>6426720</v>
      </c>
      <c r="G19" s="132" t="s">
        <v>232</v>
      </c>
      <c r="H19" s="141">
        <f>H17+H18</f>
        <v>39924012</v>
      </c>
      <c r="I19" s="141">
        <f t="shared" ref="I19:L19" si="1">I17+I18</f>
        <v>45912083</v>
      </c>
      <c r="J19" s="141">
        <f t="shared" si="1"/>
        <v>73998248</v>
      </c>
      <c r="K19" s="141">
        <f t="shared" si="1"/>
        <v>80424968</v>
      </c>
      <c r="L19" s="142">
        <f t="shared" si="1"/>
        <v>6426720</v>
      </c>
    </row>
    <row r="20" spans="1:12" x14ac:dyDescent="0.25">
      <c r="A20" s="130" t="s">
        <v>233</v>
      </c>
      <c r="B20" s="141"/>
      <c r="C20" s="141"/>
      <c r="D20" s="141"/>
      <c r="E20" s="141"/>
      <c r="F20" s="136"/>
      <c r="G20" s="141" t="s">
        <v>15</v>
      </c>
      <c r="H20" s="136"/>
      <c r="I20" s="152"/>
      <c r="J20" s="152"/>
      <c r="K20" s="152"/>
      <c r="L20" s="138"/>
    </row>
    <row r="21" spans="1:12" ht="31.5" x14ac:dyDescent="0.25">
      <c r="A21" s="116" t="s">
        <v>184</v>
      </c>
      <c r="B21" s="136">
        <f>'6. sz. tábla'!B29</f>
        <v>0</v>
      </c>
      <c r="C21" s="136">
        <f>'6. sz. tábla'!C29</f>
        <v>0</v>
      </c>
      <c r="D21" s="136">
        <f>'6. sz. tábla'!D29</f>
        <v>30000000</v>
      </c>
      <c r="E21" s="136"/>
      <c r="F21" s="136">
        <f>'6. sz. tábla'!F29</f>
        <v>0</v>
      </c>
      <c r="G21" s="137" t="s">
        <v>185</v>
      </c>
      <c r="H21" s="136">
        <f>'6. sz. tábla'!H29</f>
        <v>9535474</v>
      </c>
      <c r="I21" s="136">
        <f>'6. sz. tábla'!I29</f>
        <v>9735474</v>
      </c>
      <c r="J21" s="136">
        <f>'6. sz. tábla'!J29</f>
        <v>9735474</v>
      </c>
      <c r="K21" s="136">
        <f>'6. sz. tábla'!K29</f>
        <v>9735474</v>
      </c>
      <c r="L21" s="136">
        <f>'6. sz. tábla'!L29</f>
        <v>0</v>
      </c>
    </row>
    <row r="22" spans="1:12" x14ac:dyDescent="0.25">
      <c r="A22" s="118" t="s">
        <v>234</v>
      </c>
      <c r="B22" s="136">
        <f>'[2]6. sz. tábla '!B30-B51</f>
        <v>0</v>
      </c>
      <c r="C22" s="136">
        <v>0</v>
      </c>
      <c r="D22" s="136">
        <v>0</v>
      </c>
      <c r="E22" s="136"/>
      <c r="F22" s="136">
        <v>0</v>
      </c>
      <c r="G22" s="137" t="s">
        <v>187</v>
      </c>
      <c r="H22" s="136"/>
      <c r="I22" s="152"/>
      <c r="J22" s="152"/>
      <c r="K22" s="152"/>
      <c r="L22" s="138"/>
    </row>
    <row r="23" spans="1:12" ht="31.5" x14ac:dyDescent="0.25">
      <c r="A23" s="118" t="s">
        <v>235</v>
      </c>
      <c r="B23" s="136">
        <f>'[2]6. sz. tábla '!B31-B52</f>
        <v>0</v>
      </c>
      <c r="C23" s="136">
        <v>0</v>
      </c>
      <c r="D23" s="136">
        <v>0</v>
      </c>
      <c r="E23" s="136"/>
      <c r="F23" s="136">
        <v>0</v>
      </c>
      <c r="G23" s="137" t="s">
        <v>189</v>
      </c>
      <c r="H23" s="136">
        <f>'6. sz. tábla'!H31</f>
        <v>87888092</v>
      </c>
      <c r="I23" s="136">
        <f>'6. sz. tábla'!I31</f>
        <v>88163092</v>
      </c>
      <c r="J23" s="136">
        <f>'6. sz. tábla'!J31</f>
        <v>98581688</v>
      </c>
      <c r="K23" s="136">
        <f>'6. sz. tábla'!K31</f>
        <v>98581688</v>
      </c>
      <c r="L23" s="136">
        <f>K23-J23</f>
        <v>0</v>
      </c>
    </row>
    <row r="24" spans="1:12" x14ac:dyDescent="0.25">
      <c r="A24" s="139"/>
      <c r="B24" s="136"/>
      <c r="C24" s="136"/>
      <c r="D24" s="136"/>
      <c r="E24" s="136"/>
      <c r="F24" s="136"/>
      <c r="G24" s="137" t="s">
        <v>236</v>
      </c>
      <c r="H24" s="136">
        <f>'6. sz. tábla'!H32</f>
        <v>26475</v>
      </c>
      <c r="I24" s="136">
        <f>'6. sz. tábla'!I32</f>
        <v>26475</v>
      </c>
      <c r="J24" s="136">
        <f>'6. sz. tábla'!J32</f>
        <v>26475</v>
      </c>
      <c r="K24" s="136">
        <f>'6. sz. tábla'!K32</f>
        <v>26475</v>
      </c>
      <c r="L24" s="136">
        <f>'6. sz. tábla'!L32</f>
        <v>0</v>
      </c>
    </row>
    <row r="25" spans="1:12" ht="31.5" x14ac:dyDescent="0.25">
      <c r="A25" s="139"/>
      <c r="B25" s="136"/>
      <c r="C25" s="136"/>
      <c r="D25" s="136"/>
      <c r="E25" s="136"/>
      <c r="F25" s="136"/>
      <c r="G25" s="137" t="s">
        <v>237</v>
      </c>
      <c r="H25" s="136"/>
      <c r="I25" s="152"/>
      <c r="J25" s="152"/>
      <c r="K25" s="152"/>
      <c r="L25" s="138"/>
    </row>
    <row r="26" spans="1:12" ht="31.5" x14ac:dyDescent="0.25">
      <c r="A26" s="139"/>
      <c r="B26" s="136"/>
      <c r="C26" s="136"/>
      <c r="D26" s="136"/>
      <c r="E26" s="136"/>
      <c r="F26" s="136"/>
      <c r="G26" s="145" t="s">
        <v>238</v>
      </c>
      <c r="H26" s="136"/>
      <c r="I26" s="152"/>
      <c r="J26" s="152"/>
      <c r="K26" s="152"/>
      <c r="L26" s="138"/>
    </row>
    <row r="27" spans="1:12" ht="30.75" customHeight="1" x14ac:dyDescent="0.25">
      <c r="A27" s="144"/>
      <c r="B27" s="136"/>
      <c r="C27" s="136"/>
      <c r="D27" s="136"/>
      <c r="E27" s="136"/>
      <c r="F27" s="136"/>
      <c r="G27" s="137" t="s">
        <v>239</v>
      </c>
      <c r="H27" s="136"/>
      <c r="I27" s="152"/>
      <c r="J27" s="152"/>
      <c r="K27" s="152"/>
      <c r="L27" s="138"/>
    </row>
    <row r="28" spans="1:12" s="143" customFormat="1" ht="31.5" x14ac:dyDescent="0.25">
      <c r="A28" s="130" t="s">
        <v>240</v>
      </c>
      <c r="B28" s="141">
        <f>SUM(B21:B27)</f>
        <v>0</v>
      </c>
      <c r="C28" s="141">
        <f>SUM(C21:C27)</f>
        <v>0</v>
      </c>
      <c r="D28" s="141">
        <f>SUM(D21:D27)</f>
        <v>30000000</v>
      </c>
      <c r="E28" s="141"/>
      <c r="F28" s="141">
        <f>SUM(F21:F27)</f>
        <v>0</v>
      </c>
      <c r="G28" s="132" t="s">
        <v>228</v>
      </c>
      <c r="H28" s="141">
        <f>SUM(H21:H27)</f>
        <v>97450041</v>
      </c>
      <c r="I28" s="141">
        <f>SUM(I21:I27)</f>
        <v>97925041</v>
      </c>
      <c r="J28" s="141">
        <f>SUM(J21:J27)</f>
        <v>108343637</v>
      </c>
      <c r="K28" s="141">
        <f>SUM(K21:K27)</f>
        <v>108343637</v>
      </c>
      <c r="L28" s="142">
        <f>K28-J28</f>
        <v>0</v>
      </c>
    </row>
    <row r="29" spans="1:12" ht="15" customHeight="1" x14ac:dyDescent="0.25">
      <c r="A29" s="144" t="s">
        <v>229</v>
      </c>
      <c r="B29" s="136">
        <f>'2.sz.tábla'!B67</f>
        <v>653076</v>
      </c>
      <c r="C29" s="136">
        <f>'6. sz. tábla'!C58</f>
        <v>1216076</v>
      </c>
      <c r="D29" s="136">
        <f>'6. sz. tábla'!D58</f>
        <v>1216076</v>
      </c>
      <c r="E29" s="136"/>
      <c r="F29" s="136">
        <f>'6. sz. tábla'!F58</f>
        <v>0</v>
      </c>
      <c r="G29" s="133" t="s">
        <v>230</v>
      </c>
      <c r="H29" s="136"/>
      <c r="I29" s="136"/>
      <c r="J29" s="136"/>
      <c r="K29" s="136"/>
      <c r="L29" s="136"/>
    </row>
    <row r="30" spans="1:12" ht="48" thickBot="1" x14ac:dyDescent="0.3">
      <c r="A30" s="146" t="s">
        <v>241</v>
      </c>
      <c r="B30" s="147">
        <f>B28+B29</f>
        <v>653076</v>
      </c>
      <c r="C30" s="147">
        <f t="shared" ref="C30:F30" si="2">C28+C29</f>
        <v>1216076</v>
      </c>
      <c r="D30" s="147">
        <f t="shared" si="2"/>
        <v>31216076</v>
      </c>
      <c r="E30" s="147"/>
      <c r="F30" s="147">
        <f t="shared" si="2"/>
        <v>0</v>
      </c>
      <c r="G30" s="148" t="s">
        <v>242</v>
      </c>
      <c r="H30" s="147">
        <f>H28+H29</f>
        <v>97450041</v>
      </c>
      <c r="I30" s="147">
        <f>I28+I29</f>
        <v>97925041</v>
      </c>
      <c r="J30" s="147">
        <f>J28+J29</f>
        <v>108343637</v>
      </c>
      <c r="K30" s="147">
        <f>K28+K29</f>
        <v>108343637</v>
      </c>
      <c r="L30" s="149">
        <f>L28+L29</f>
        <v>0</v>
      </c>
    </row>
    <row r="31" spans="1:12" x14ac:dyDescent="0.25">
      <c r="B31" s="126">
        <f>B30+B19</f>
        <v>137374053</v>
      </c>
      <c r="C31" s="126">
        <f>C30+C19</f>
        <v>143837124</v>
      </c>
      <c r="D31" s="126">
        <f>D30+D19</f>
        <v>182341885</v>
      </c>
      <c r="F31" s="126">
        <f>F30+F19</f>
        <v>6426720</v>
      </c>
      <c r="H31" s="126">
        <f>H30+H19</f>
        <v>137374053</v>
      </c>
      <c r="I31" s="126">
        <f>I30+I19</f>
        <v>143837124</v>
      </c>
      <c r="J31" s="126">
        <f>J30+J19</f>
        <v>182341885</v>
      </c>
      <c r="K31" s="126">
        <f>K30+K19</f>
        <v>188768605</v>
      </c>
      <c r="L31" s="126">
        <f>L30+L19</f>
        <v>6426720</v>
      </c>
    </row>
    <row r="32" spans="1:12" ht="15.75" customHeight="1" x14ac:dyDescent="0.25">
      <c r="A32" s="259" t="s">
        <v>309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</row>
    <row r="33" spans="1:12" ht="16.5" thickBot="1" x14ac:dyDescent="0.3"/>
    <row r="34" spans="1:12" s="125" customFormat="1" ht="47.25" x14ac:dyDescent="0.25">
      <c r="A34" s="128" t="s">
        <v>150</v>
      </c>
      <c r="B34" s="7" t="str">
        <f>B5</f>
        <v>2018. évi eredeti előirányzat</v>
      </c>
      <c r="C34" s="7" t="str">
        <f t="shared" ref="C34:F34" si="3">C5</f>
        <v>I. Módosítás</v>
      </c>
      <c r="D34" s="7" t="str">
        <f t="shared" si="3"/>
        <v>II. Módosítás</v>
      </c>
      <c r="E34" s="7" t="str">
        <f t="shared" si="3"/>
        <v>III. Módosítás</v>
      </c>
      <c r="F34" s="7" t="str">
        <f t="shared" si="3"/>
        <v>Eltérés</v>
      </c>
      <c r="G34" s="129" t="s">
        <v>151</v>
      </c>
      <c r="H34" s="7" t="str">
        <f>B34</f>
        <v>2018. évi eredeti előirányzat</v>
      </c>
      <c r="I34" s="7" t="str">
        <f>C34</f>
        <v>I. Módosítás</v>
      </c>
      <c r="J34" s="7" t="str">
        <f>D34</f>
        <v>II. Módosítás</v>
      </c>
      <c r="K34" s="7" t="str">
        <f>E34</f>
        <v>III. Módosítás</v>
      </c>
      <c r="L34" s="7" t="str">
        <f>F34</f>
        <v>Eltérés</v>
      </c>
    </row>
    <row r="35" spans="1:12" x14ac:dyDescent="0.25">
      <c r="A35" s="130" t="s">
        <v>225</v>
      </c>
      <c r="B35" s="131"/>
      <c r="C35" s="131"/>
      <c r="D35" s="131"/>
      <c r="E35" s="131"/>
      <c r="F35" s="131"/>
      <c r="G35" s="132" t="s">
        <v>14</v>
      </c>
      <c r="H35" s="136"/>
      <c r="I35" s="152"/>
      <c r="J35" s="152"/>
      <c r="K35" s="152"/>
      <c r="L35" s="138"/>
    </row>
    <row r="36" spans="1:12" ht="31.5" x14ac:dyDescent="0.25">
      <c r="A36" s="135" t="s">
        <v>226</v>
      </c>
      <c r="B36" s="136"/>
      <c r="C36" s="136"/>
      <c r="D36" s="136"/>
      <c r="E36" s="136"/>
      <c r="F36" s="136"/>
      <c r="G36" s="137" t="s">
        <v>153</v>
      </c>
      <c r="H36" s="136"/>
      <c r="I36" s="152"/>
      <c r="J36" s="152"/>
      <c r="K36" s="152"/>
      <c r="L36" s="138"/>
    </row>
    <row r="37" spans="1:12" x14ac:dyDescent="0.25">
      <c r="A37" s="139" t="s">
        <v>154</v>
      </c>
      <c r="B37" s="136"/>
      <c r="C37" s="136"/>
      <c r="D37" s="136"/>
      <c r="E37" s="136"/>
      <c r="F37" s="136"/>
      <c r="G37" s="137" t="s">
        <v>79</v>
      </c>
      <c r="H37" s="136"/>
      <c r="I37" s="152"/>
      <c r="J37" s="152"/>
      <c r="K37" s="152"/>
      <c r="L37" s="138"/>
    </row>
    <row r="38" spans="1:12" x14ac:dyDescent="0.25">
      <c r="A38" s="139" t="s">
        <v>156</v>
      </c>
      <c r="B38" s="136">
        <f>'2.sz.tábla'!B40</f>
        <v>600000</v>
      </c>
      <c r="C38" s="136">
        <f>'2.sz.tábla'!C40</f>
        <v>600000</v>
      </c>
      <c r="D38" s="136">
        <f>'2.sz.tábla'!D40</f>
        <v>600000</v>
      </c>
      <c r="E38" s="136">
        <f>'2.sz.tábla'!E40</f>
        <v>600000</v>
      </c>
      <c r="F38" s="136">
        <f>'2.sz.tábla'!F40</f>
        <v>0</v>
      </c>
      <c r="G38" s="137" t="s">
        <v>80</v>
      </c>
      <c r="H38" s="136"/>
      <c r="I38" s="152"/>
      <c r="J38" s="152"/>
      <c r="K38" s="152"/>
      <c r="L38" s="138"/>
    </row>
    <row r="39" spans="1:12" ht="31.5" x14ac:dyDescent="0.25">
      <c r="A39" s="116" t="s">
        <v>158</v>
      </c>
      <c r="B39" s="136"/>
      <c r="C39" s="136"/>
      <c r="D39" s="136"/>
      <c r="E39" s="136"/>
      <c r="F39" s="136"/>
      <c r="G39" s="137" t="s">
        <v>159</v>
      </c>
      <c r="H39" s="136"/>
      <c r="I39" s="152"/>
      <c r="J39" s="152"/>
      <c r="K39" s="152"/>
      <c r="L39" s="138"/>
    </row>
    <row r="40" spans="1:12" x14ac:dyDescent="0.25">
      <c r="A40" s="139"/>
      <c r="B40" s="136"/>
      <c r="C40" s="136"/>
      <c r="D40" s="136"/>
      <c r="E40" s="136"/>
      <c r="F40" s="136"/>
      <c r="G40" s="137" t="s">
        <v>81</v>
      </c>
      <c r="H40" s="136"/>
      <c r="I40" s="152"/>
      <c r="J40" s="152"/>
      <c r="K40" s="152"/>
      <c r="L40" s="138"/>
    </row>
    <row r="41" spans="1:12" x14ac:dyDescent="0.25">
      <c r="A41" s="139"/>
      <c r="B41" s="136"/>
      <c r="C41" s="136"/>
      <c r="D41" s="136"/>
      <c r="E41" s="136"/>
      <c r="F41" s="136"/>
      <c r="G41" s="117" t="s">
        <v>160</v>
      </c>
      <c r="H41" s="136"/>
      <c r="I41" s="152"/>
      <c r="J41" s="152"/>
      <c r="K41" s="152"/>
      <c r="L41" s="138"/>
    </row>
    <row r="42" spans="1:12" ht="31.5" x14ac:dyDescent="0.25">
      <c r="A42" s="139"/>
      <c r="B42" s="136"/>
      <c r="C42" s="136"/>
      <c r="D42" s="136"/>
      <c r="E42" s="136"/>
      <c r="F42" s="136"/>
      <c r="G42" s="117" t="s">
        <v>161</v>
      </c>
      <c r="H42" s="136"/>
      <c r="I42" s="152"/>
      <c r="J42" s="152"/>
      <c r="K42" s="152"/>
      <c r="L42" s="138"/>
    </row>
    <row r="43" spans="1:12" ht="31.5" x14ac:dyDescent="0.25">
      <c r="A43" s="135"/>
      <c r="B43" s="136"/>
      <c r="C43" s="140"/>
      <c r="D43" s="140"/>
      <c r="E43" s="140"/>
      <c r="F43" s="136"/>
      <c r="G43" s="117" t="s">
        <v>162</v>
      </c>
      <c r="H43" s="136"/>
      <c r="I43" s="152"/>
      <c r="J43" s="152"/>
      <c r="K43" s="152"/>
      <c r="L43" s="138"/>
    </row>
    <row r="44" spans="1:12" ht="30" customHeight="1" x14ac:dyDescent="0.25">
      <c r="A44" s="116"/>
      <c r="B44" s="136"/>
      <c r="C44" s="136"/>
      <c r="D44" s="136"/>
      <c r="E44" s="136"/>
      <c r="F44" s="136"/>
      <c r="G44" s="117" t="s">
        <v>163</v>
      </c>
      <c r="H44" s="136"/>
      <c r="I44" s="152"/>
      <c r="J44" s="152"/>
      <c r="K44" s="152"/>
      <c r="L44" s="138"/>
    </row>
    <row r="45" spans="1:12" x14ac:dyDescent="0.25">
      <c r="A45" s="139"/>
      <c r="B45" s="136"/>
      <c r="C45" s="136"/>
      <c r="D45" s="136"/>
      <c r="E45" s="136"/>
      <c r="F45" s="136"/>
      <c r="G45" s="117" t="s">
        <v>164</v>
      </c>
      <c r="H45" s="136"/>
      <c r="I45" s="152"/>
      <c r="J45" s="152"/>
      <c r="K45" s="152"/>
      <c r="L45" s="138"/>
    </row>
    <row r="46" spans="1:12" ht="31.5" x14ac:dyDescent="0.25">
      <c r="A46" s="130" t="s">
        <v>243</v>
      </c>
      <c r="B46" s="141"/>
      <c r="C46" s="141"/>
      <c r="D46" s="141"/>
      <c r="E46" s="141"/>
      <c r="F46" s="136"/>
      <c r="G46" s="132" t="s">
        <v>244</v>
      </c>
      <c r="H46" s="141">
        <f>SUM(H36:H45)</f>
        <v>0</v>
      </c>
      <c r="I46" s="141">
        <f>SUM(I36:I45)</f>
        <v>0</v>
      </c>
      <c r="J46" s="237"/>
      <c r="K46" s="237"/>
      <c r="L46" s="142">
        <f>SUM(L36:L45)</f>
        <v>0</v>
      </c>
    </row>
    <row r="47" spans="1:12" x14ac:dyDescent="0.25">
      <c r="A47" s="144" t="s">
        <v>229</v>
      </c>
      <c r="B47" s="136"/>
      <c r="C47" s="136"/>
      <c r="D47" s="136"/>
      <c r="E47" s="136"/>
      <c r="F47" s="136"/>
      <c r="G47" s="133" t="s">
        <v>230</v>
      </c>
      <c r="H47" s="136"/>
      <c r="I47" s="152"/>
      <c r="J47" s="152"/>
      <c r="K47" s="152"/>
      <c r="L47" s="138"/>
    </row>
    <row r="48" spans="1:12" ht="47.25" x14ac:dyDescent="0.25">
      <c r="A48" s="130" t="s">
        <v>245</v>
      </c>
      <c r="B48" s="141">
        <f>B46+B47</f>
        <v>0</v>
      </c>
      <c r="C48" s="141"/>
      <c r="D48" s="141"/>
      <c r="E48" s="141"/>
      <c r="F48" s="136"/>
      <c r="G48" s="132" t="s">
        <v>246</v>
      </c>
      <c r="H48" s="141">
        <f>H46+H47</f>
        <v>0</v>
      </c>
      <c r="I48" s="141">
        <f>I46+I47</f>
        <v>0</v>
      </c>
      <c r="J48" s="237"/>
      <c r="K48" s="237"/>
      <c r="L48" s="142">
        <f>L46+L47</f>
        <v>0</v>
      </c>
    </row>
    <row r="49" spans="1:12" x14ac:dyDescent="0.25">
      <c r="A49" s="130" t="s">
        <v>233</v>
      </c>
      <c r="B49" s="141"/>
      <c r="C49" s="141"/>
      <c r="D49" s="141"/>
      <c r="E49" s="141"/>
      <c r="F49" s="136"/>
      <c r="G49" s="141" t="s">
        <v>15</v>
      </c>
      <c r="H49" s="136"/>
      <c r="I49" s="152"/>
      <c r="J49" s="152"/>
      <c r="K49" s="152"/>
      <c r="L49" s="138"/>
    </row>
    <row r="50" spans="1:12" ht="31.5" x14ac:dyDescent="0.25">
      <c r="A50" s="116" t="s">
        <v>184</v>
      </c>
      <c r="B50" s="136"/>
      <c r="C50" s="136"/>
      <c r="D50" s="136"/>
      <c r="E50" s="136"/>
      <c r="F50" s="136">
        <v>0</v>
      </c>
      <c r="G50" s="137" t="s">
        <v>185</v>
      </c>
      <c r="H50" s="136"/>
      <c r="I50" s="152"/>
      <c r="J50" s="152"/>
      <c r="K50" s="152"/>
      <c r="L50" s="138"/>
    </row>
    <row r="51" spans="1:12" x14ac:dyDescent="0.25">
      <c r="A51" s="118" t="s">
        <v>234</v>
      </c>
      <c r="B51" s="136">
        <f>'[2]2.sz.tábla'!B54</f>
        <v>0</v>
      </c>
      <c r="C51" s="136"/>
      <c r="D51" s="136"/>
      <c r="E51" s="136"/>
      <c r="F51" s="136">
        <v>0</v>
      </c>
      <c r="G51" s="137" t="s">
        <v>187</v>
      </c>
      <c r="H51" s="136"/>
      <c r="I51" s="152"/>
      <c r="J51" s="152"/>
      <c r="K51" s="152"/>
      <c r="L51" s="138"/>
    </row>
    <row r="52" spans="1:12" ht="31.5" x14ac:dyDescent="0.25">
      <c r="A52" s="118" t="s">
        <v>235</v>
      </c>
      <c r="B52" s="136">
        <f>'[2]2.sz.tábla'!B63</f>
        <v>0</v>
      </c>
      <c r="C52" s="136"/>
      <c r="D52" s="136"/>
      <c r="E52" s="136"/>
      <c r="F52" s="136">
        <v>0</v>
      </c>
      <c r="G52" s="137" t="s">
        <v>189</v>
      </c>
      <c r="H52" s="136"/>
      <c r="I52" s="152"/>
      <c r="J52" s="152"/>
      <c r="K52" s="152"/>
      <c r="L52" s="138"/>
    </row>
    <row r="53" spans="1:12" x14ac:dyDescent="0.25">
      <c r="A53" s="139"/>
      <c r="B53" s="136"/>
      <c r="C53" s="136"/>
      <c r="D53" s="136"/>
      <c r="E53" s="136"/>
      <c r="F53" s="136"/>
      <c r="G53" s="137" t="s">
        <v>236</v>
      </c>
      <c r="H53" s="136"/>
      <c r="I53" s="152"/>
      <c r="J53" s="152"/>
      <c r="K53" s="152"/>
      <c r="L53" s="138"/>
    </row>
    <row r="54" spans="1:12" ht="31.5" x14ac:dyDescent="0.25">
      <c r="A54" s="139"/>
      <c r="B54" s="136"/>
      <c r="C54" s="136"/>
      <c r="D54" s="136"/>
      <c r="E54" s="136"/>
      <c r="F54" s="136"/>
      <c r="G54" s="137" t="s">
        <v>237</v>
      </c>
      <c r="H54" s="136"/>
      <c r="I54" s="152"/>
      <c r="J54" s="152"/>
      <c r="K54" s="152"/>
      <c r="L54" s="138">
        <f>'5. sz. tábla'!F27</f>
        <v>0</v>
      </c>
    </row>
    <row r="55" spans="1:12" ht="31.5" x14ac:dyDescent="0.25">
      <c r="A55" s="139"/>
      <c r="B55" s="136"/>
      <c r="C55" s="136"/>
      <c r="D55" s="136"/>
      <c r="E55" s="136"/>
      <c r="F55" s="136"/>
      <c r="G55" s="145" t="s">
        <v>238</v>
      </c>
      <c r="H55" s="136"/>
      <c r="I55" s="152"/>
      <c r="J55" s="152"/>
      <c r="K55" s="152"/>
      <c r="L55" s="138"/>
    </row>
    <row r="56" spans="1:12" ht="28.5" customHeight="1" x14ac:dyDescent="0.25">
      <c r="A56" s="144"/>
      <c r="B56" s="136"/>
      <c r="C56" s="136"/>
      <c r="D56" s="136"/>
      <c r="E56" s="136"/>
      <c r="F56" s="136"/>
      <c r="G56" s="117" t="s">
        <v>193</v>
      </c>
      <c r="H56" s="136"/>
      <c r="I56" s="152"/>
      <c r="J56" s="152"/>
      <c r="K56" s="152"/>
      <c r="L56" s="138"/>
    </row>
    <row r="57" spans="1:12" ht="27" customHeight="1" x14ac:dyDescent="0.25">
      <c r="A57" s="144"/>
      <c r="B57" s="136"/>
      <c r="C57" s="136"/>
      <c r="D57" s="136"/>
      <c r="E57" s="136"/>
      <c r="F57" s="136"/>
      <c r="G57" s="117" t="s">
        <v>239</v>
      </c>
      <c r="H57" s="136"/>
      <c r="I57" s="152"/>
      <c r="J57" s="152"/>
      <c r="K57" s="152"/>
      <c r="L57" s="138"/>
    </row>
    <row r="58" spans="1:12" ht="31.5" x14ac:dyDescent="0.25">
      <c r="A58" s="130" t="s">
        <v>247</v>
      </c>
      <c r="B58" s="141">
        <f>SUM(B50:B56)</f>
        <v>0</v>
      </c>
      <c r="C58" s="141">
        <f t="shared" ref="C58:F58" si="4">SUM(C50:C56)</f>
        <v>0</v>
      </c>
      <c r="D58" s="141">
        <f t="shared" si="4"/>
        <v>0</v>
      </c>
      <c r="E58" s="141"/>
      <c r="F58" s="141">
        <f t="shared" si="4"/>
        <v>0</v>
      </c>
      <c r="G58" s="132" t="s">
        <v>248</v>
      </c>
      <c r="H58" s="141">
        <f>SUM(H50:H56)</f>
        <v>0</v>
      </c>
      <c r="I58" s="141">
        <f>SUM(I50:I56)</f>
        <v>0</v>
      </c>
      <c r="J58" s="141">
        <f>SUM(J50:J56)</f>
        <v>0</v>
      </c>
      <c r="K58" s="237"/>
      <c r="L58" s="142">
        <f t="shared" ref="L58" si="5">SUM(L50:L56)</f>
        <v>0</v>
      </c>
    </row>
    <row r="59" spans="1:12" x14ac:dyDescent="0.25">
      <c r="A59" s="144" t="s">
        <v>229</v>
      </c>
      <c r="B59" s="136">
        <f>'[2]2.sz.tábla'!B70</f>
        <v>0</v>
      </c>
      <c r="C59" s="136"/>
      <c r="D59" s="136"/>
      <c r="E59" s="136"/>
      <c r="F59" s="136"/>
      <c r="G59" s="133" t="s">
        <v>230</v>
      </c>
      <c r="H59" s="136">
        <f>'[2]5. sz. tábla'!B27</f>
        <v>0</v>
      </c>
      <c r="I59" s="136">
        <f>'[2]5. sz. tábla'!E27</f>
        <v>0</v>
      </c>
      <c r="J59" s="136"/>
      <c r="K59" s="152"/>
      <c r="L59" s="138"/>
    </row>
    <row r="60" spans="1:12" x14ac:dyDescent="0.25">
      <c r="A60" s="144"/>
      <c r="B60" s="136"/>
      <c r="C60" s="136"/>
      <c r="D60" s="136"/>
      <c r="E60" s="136"/>
      <c r="F60" s="136"/>
      <c r="G60" s="137"/>
      <c r="H60" s="136"/>
      <c r="I60" s="152"/>
      <c r="J60" s="152"/>
      <c r="K60" s="152"/>
      <c r="L60" s="138"/>
    </row>
    <row r="61" spans="1:12" ht="48" thickBot="1" x14ac:dyDescent="0.3">
      <c r="A61" s="146" t="s">
        <v>249</v>
      </c>
      <c r="B61" s="147">
        <f>B58+B59</f>
        <v>0</v>
      </c>
      <c r="C61" s="147">
        <f t="shared" ref="C61:F61" si="6">C58+C59</f>
        <v>0</v>
      </c>
      <c r="D61" s="147">
        <f t="shared" si="6"/>
        <v>0</v>
      </c>
      <c r="E61" s="147"/>
      <c r="F61" s="147">
        <f t="shared" si="6"/>
        <v>0</v>
      </c>
      <c r="G61" s="148" t="s">
        <v>250</v>
      </c>
      <c r="H61" s="147">
        <f>H58+H59</f>
        <v>0</v>
      </c>
      <c r="I61" s="147">
        <f>I58+I59</f>
        <v>0</v>
      </c>
      <c r="J61" s="147">
        <f>J58+J59</f>
        <v>0</v>
      </c>
      <c r="K61" s="238"/>
      <c r="L61" s="149">
        <f t="shared" ref="L61" si="7">L58+L59</f>
        <v>0</v>
      </c>
    </row>
    <row r="62" spans="1:12" ht="15.75" customHeight="1" x14ac:dyDescent="0.25">
      <c r="A62" s="260" t="s">
        <v>310</v>
      </c>
      <c r="B62" s="260"/>
      <c r="C62" s="260"/>
      <c r="D62" s="260"/>
      <c r="E62" s="260"/>
      <c r="F62" s="260"/>
      <c r="G62" s="260"/>
      <c r="H62" s="260"/>
      <c r="I62" s="260"/>
      <c r="J62" s="260"/>
      <c r="K62" s="260"/>
      <c r="L62" s="260"/>
    </row>
    <row r="63" spans="1:12" ht="16.5" thickBot="1" x14ac:dyDescent="0.3"/>
    <row r="64" spans="1:12" s="125" customFormat="1" ht="47.25" x14ac:dyDescent="0.25">
      <c r="A64" s="128" t="s">
        <v>150</v>
      </c>
      <c r="B64" s="7" t="str">
        <f>B5</f>
        <v>2018. évi eredeti előirányzat</v>
      </c>
      <c r="C64" s="7" t="str">
        <f t="shared" ref="C64:F64" si="8">C5</f>
        <v>I. Módosítás</v>
      </c>
      <c r="D64" s="7" t="str">
        <f t="shared" si="8"/>
        <v>II. Módosítás</v>
      </c>
      <c r="E64" s="7"/>
      <c r="F64" s="7" t="str">
        <f t="shared" si="8"/>
        <v>Eltérés</v>
      </c>
      <c r="G64" s="129" t="s">
        <v>151</v>
      </c>
      <c r="H64" s="7" t="str">
        <f>B64</f>
        <v>2018. évi eredeti előirányzat</v>
      </c>
      <c r="I64" s="7" t="str">
        <f>C64</f>
        <v>I. Módosítás</v>
      </c>
      <c r="J64" s="7" t="str">
        <f>D64</f>
        <v>II. Módosítás</v>
      </c>
      <c r="K64" s="7"/>
      <c r="L64" s="7" t="str">
        <f>F64</f>
        <v>Eltérés</v>
      </c>
    </row>
    <row r="65" spans="1:12" x14ac:dyDescent="0.25">
      <c r="A65" s="130" t="s">
        <v>225</v>
      </c>
      <c r="B65" s="131"/>
      <c r="C65" s="131"/>
      <c r="D65" s="131"/>
      <c r="E65" s="131"/>
      <c r="F65" s="131"/>
      <c r="G65" s="132" t="s">
        <v>14</v>
      </c>
      <c r="H65" s="136"/>
      <c r="I65" s="152"/>
      <c r="J65" s="152"/>
      <c r="K65" s="152"/>
      <c r="L65" s="138"/>
    </row>
    <row r="66" spans="1:12" ht="31.5" x14ac:dyDescent="0.25">
      <c r="A66" s="135" t="s">
        <v>226</v>
      </c>
      <c r="B66" s="136">
        <f>B7</f>
        <v>22292477</v>
      </c>
      <c r="C66" s="136">
        <f t="shared" ref="C66:F67" si="9">C7</f>
        <v>24639888</v>
      </c>
      <c r="D66" s="136">
        <f t="shared" si="9"/>
        <v>33144649</v>
      </c>
      <c r="E66" s="136"/>
      <c r="F66" s="136">
        <f>'2.sz.tábla'!F5</f>
        <v>6426720</v>
      </c>
      <c r="G66" s="137" t="s">
        <v>153</v>
      </c>
      <c r="H66" s="136">
        <f>H7</f>
        <v>7128829</v>
      </c>
      <c r="I66" s="136">
        <f t="shared" ref="I66:L66" si="10">I7</f>
        <v>9310774</v>
      </c>
      <c r="J66" s="136">
        <f t="shared" si="10"/>
        <v>9310774</v>
      </c>
      <c r="K66" s="136"/>
      <c r="L66" s="136">
        <f t="shared" si="10"/>
        <v>50000</v>
      </c>
    </row>
    <row r="67" spans="1:12" x14ac:dyDescent="0.25">
      <c r="A67" s="139" t="s">
        <v>154</v>
      </c>
      <c r="B67" s="136">
        <f>B8</f>
        <v>10600000</v>
      </c>
      <c r="C67" s="136">
        <f t="shared" si="9"/>
        <v>10600000</v>
      </c>
      <c r="D67" s="136">
        <f t="shared" si="9"/>
        <v>10600000</v>
      </c>
      <c r="E67" s="136"/>
      <c r="F67" s="136">
        <f t="shared" si="9"/>
        <v>0</v>
      </c>
      <c r="G67" s="137" t="s">
        <v>79</v>
      </c>
      <c r="H67" s="136">
        <f>H8</f>
        <v>1284829</v>
      </c>
      <c r="I67" s="136">
        <f t="shared" ref="I67:L67" si="11">I8</f>
        <v>1435863</v>
      </c>
      <c r="J67" s="136">
        <f t="shared" si="11"/>
        <v>1435863</v>
      </c>
      <c r="K67" s="136"/>
      <c r="L67" s="136">
        <f t="shared" si="11"/>
        <v>9000</v>
      </c>
    </row>
    <row r="68" spans="1:12" x14ac:dyDescent="0.25">
      <c r="A68" s="139" t="s">
        <v>156</v>
      </c>
      <c r="B68" s="136">
        <f>B9</f>
        <v>2952500</v>
      </c>
      <c r="C68" s="136">
        <f t="shared" ref="C68:F68" si="12">C9</f>
        <v>2952500</v>
      </c>
      <c r="D68" s="136">
        <f t="shared" si="12"/>
        <v>2952500</v>
      </c>
      <c r="E68" s="136"/>
      <c r="F68" s="136">
        <f t="shared" si="12"/>
        <v>0</v>
      </c>
      <c r="G68" s="137" t="s">
        <v>157</v>
      </c>
      <c r="H68" s="136"/>
      <c r="I68" s="152"/>
      <c r="J68" s="152"/>
      <c r="K68" s="152"/>
      <c r="L68" s="138"/>
    </row>
    <row r="69" spans="1:12" ht="31.5" x14ac:dyDescent="0.25">
      <c r="A69" s="116" t="s">
        <v>158</v>
      </c>
      <c r="B69" s="136">
        <f>B10</f>
        <v>0</v>
      </c>
      <c r="C69" s="136">
        <f t="shared" ref="C69:F69" si="13">C10</f>
        <v>0</v>
      </c>
      <c r="D69" s="136">
        <f t="shared" si="13"/>
        <v>0</v>
      </c>
      <c r="E69" s="136"/>
      <c r="F69" s="136">
        <f t="shared" si="13"/>
        <v>0</v>
      </c>
      <c r="G69" s="137" t="s">
        <v>159</v>
      </c>
      <c r="H69" s="136"/>
      <c r="I69" s="152"/>
      <c r="J69" s="152"/>
      <c r="K69" s="152"/>
      <c r="L69" s="138"/>
    </row>
    <row r="70" spans="1:12" x14ac:dyDescent="0.25">
      <c r="A70" s="139"/>
      <c r="B70" s="136"/>
      <c r="C70" s="136"/>
      <c r="D70" s="136"/>
      <c r="E70" s="136"/>
      <c r="F70" s="136"/>
      <c r="G70" s="137" t="s">
        <v>81</v>
      </c>
      <c r="H70" s="136"/>
      <c r="I70" s="152"/>
      <c r="J70" s="152"/>
      <c r="K70" s="152"/>
      <c r="L70" s="138"/>
    </row>
    <row r="71" spans="1:12" x14ac:dyDescent="0.25">
      <c r="A71" s="139"/>
      <c r="B71" s="136"/>
      <c r="C71" s="136"/>
      <c r="D71" s="136"/>
      <c r="E71" s="136"/>
      <c r="F71" s="136"/>
      <c r="G71" s="117" t="s">
        <v>160</v>
      </c>
      <c r="H71" s="136"/>
      <c r="I71" s="152"/>
      <c r="J71" s="152"/>
      <c r="K71" s="152"/>
      <c r="L71" s="138"/>
    </row>
    <row r="72" spans="1:12" ht="31.5" x14ac:dyDescent="0.25">
      <c r="A72" s="139"/>
      <c r="B72" s="136"/>
      <c r="C72" s="136"/>
      <c r="D72" s="136"/>
      <c r="E72" s="136"/>
      <c r="F72" s="136"/>
      <c r="G72" s="117" t="s">
        <v>161</v>
      </c>
      <c r="H72" s="136"/>
      <c r="I72" s="152"/>
      <c r="J72" s="152"/>
      <c r="K72" s="152"/>
      <c r="L72" s="138"/>
    </row>
    <row r="73" spans="1:12" ht="31.5" x14ac:dyDescent="0.25">
      <c r="A73" s="135"/>
      <c r="B73" s="136"/>
      <c r="C73" s="140"/>
      <c r="D73" s="140"/>
      <c r="E73" s="140"/>
      <c r="F73" s="140"/>
      <c r="G73" s="117" t="s">
        <v>162</v>
      </c>
      <c r="H73" s="136"/>
      <c r="I73" s="152"/>
      <c r="J73" s="152"/>
      <c r="K73" s="152"/>
      <c r="L73" s="138"/>
    </row>
    <row r="74" spans="1:12" ht="31.5" x14ac:dyDescent="0.25">
      <c r="A74" s="116"/>
      <c r="B74" s="136"/>
      <c r="C74" s="136"/>
      <c r="D74" s="136"/>
      <c r="E74" s="136"/>
      <c r="F74" s="136"/>
      <c r="G74" s="117" t="s">
        <v>163</v>
      </c>
      <c r="H74" s="136"/>
      <c r="I74" s="152"/>
      <c r="J74" s="152"/>
      <c r="K74" s="152"/>
      <c r="L74" s="138"/>
    </row>
    <row r="75" spans="1:12" x14ac:dyDescent="0.25">
      <c r="A75" s="139"/>
      <c r="B75" s="136"/>
      <c r="C75" s="136"/>
      <c r="D75" s="136"/>
      <c r="E75" s="136"/>
      <c r="F75" s="136"/>
      <c r="G75" s="117" t="s">
        <v>164</v>
      </c>
      <c r="H75" s="136"/>
      <c r="I75" s="152"/>
      <c r="J75" s="152"/>
      <c r="K75" s="152"/>
      <c r="L75" s="138"/>
    </row>
    <row r="76" spans="1:12" ht="47.25" x14ac:dyDescent="0.25">
      <c r="A76" s="130" t="s">
        <v>251</v>
      </c>
      <c r="B76" s="141">
        <f>SUM(B66:B75)</f>
        <v>35844977</v>
      </c>
      <c r="C76" s="141">
        <f>SUM(C66:C75)</f>
        <v>38192388</v>
      </c>
      <c r="D76" s="141">
        <f>SUM(D66:D75)</f>
        <v>46697149</v>
      </c>
      <c r="E76" s="141"/>
      <c r="F76" s="141">
        <f>SUM(F66:F75)</f>
        <v>6426720</v>
      </c>
      <c r="G76" s="132" t="s">
        <v>252</v>
      </c>
      <c r="H76" s="141">
        <f>SUM(H66:H75)</f>
        <v>8413658</v>
      </c>
      <c r="I76" s="141">
        <f t="shared" ref="I76:J76" si="14">SUM(I66:I75)</f>
        <v>10746637</v>
      </c>
      <c r="J76" s="141">
        <f t="shared" si="14"/>
        <v>10746637</v>
      </c>
      <c r="K76" s="237"/>
      <c r="L76" s="142">
        <f>SUM(L66:L75)</f>
        <v>59000</v>
      </c>
    </row>
    <row r="77" spans="1:12" x14ac:dyDescent="0.25">
      <c r="A77" s="144" t="s">
        <v>229</v>
      </c>
      <c r="B77" s="136"/>
      <c r="C77" s="136"/>
      <c r="D77" s="136"/>
      <c r="E77" s="136"/>
      <c r="F77" s="136"/>
      <c r="G77" s="133" t="s">
        <v>230</v>
      </c>
      <c r="H77" s="136"/>
      <c r="I77" s="152"/>
      <c r="J77" s="152"/>
      <c r="K77" s="152"/>
      <c r="L77" s="138"/>
    </row>
    <row r="78" spans="1:12" ht="47.25" x14ac:dyDescent="0.25">
      <c r="A78" s="130" t="s">
        <v>253</v>
      </c>
      <c r="B78" s="141">
        <f>B76+B77</f>
        <v>35844977</v>
      </c>
      <c r="C78" s="141">
        <f>C76+C77</f>
        <v>38192388</v>
      </c>
      <c r="D78" s="141">
        <f>D76+D77</f>
        <v>46697149</v>
      </c>
      <c r="E78" s="141"/>
      <c r="F78" s="141">
        <f>F76+F77</f>
        <v>6426720</v>
      </c>
      <c r="G78" s="132" t="s">
        <v>254</v>
      </c>
      <c r="H78" s="141">
        <f>H76+H77</f>
        <v>8413658</v>
      </c>
      <c r="I78" s="141">
        <f>I76+I77</f>
        <v>10746637</v>
      </c>
      <c r="J78" s="141">
        <f>J76+J77</f>
        <v>10746637</v>
      </c>
      <c r="K78" s="237"/>
      <c r="L78" s="142">
        <f>L76+L77</f>
        <v>59000</v>
      </c>
    </row>
    <row r="79" spans="1:12" x14ac:dyDescent="0.25">
      <c r="A79" s="130" t="s">
        <v>233</v>
      </c>
      <c r="B79" s="141"/>
      <c r="C79" s="141"/>
      <c r="D79" s="141"/>
      <c r="E79" s="141"/>
      <c r="F79" s="141"/>
      <c r="G79" s="141" t="s">
        <v>15</v>
      </c>
      <c r="H79" s="136"/>
      <c r="I79" s="152"/>
      <c r="J79" s="152"/>
      <c r="K79" s="152"/>
      <c r="L79" s="138"/>
    </row>
    <row r="80" spans="1:12" ht="31.5" x14ac:dyDescent="0.25">
      <c r="A80" s="116" t="s">
        <v>184</v>
      </c>
      <c r="B80" s="141"/>
      <c r="C80" s="141"/>
      <c r="D80" s="141"/>
      <c r="E80" s="141"/>
      <c r="F80" s="141"/>
      <c r="G80" s="137" t="s">
        <v>185</v>
      </c>
      <c r="H80" s="136"/>
      <c r="I80" s="152"/>
      <c r="J80" s="152"/>
      <c r="K80" s="152"/>
      <c r="L80" s="138"/>
    </row>
    <row r="81" spans="1:12" x14ac:dyDescent="0.25">
      <c r="A81" s="118" t="s">
        <v>234</v>
      </c>
      <c r="B81" s="136"/>
      <c r="C81" s="136"/>
      <c r="D81" s="136"/>
      <c r="E81" s="136"/>
      <c r="F81" s="136"/>
      <c r="G81" s="137" t="s">
        <v>187</v>
      </c>
      <c r="H81" s="136"/>
      <c r="I81" s="152"/>
      <c r="J81" s="152"/>
      <c r="K81" s="152"/>
      <c r="L81" s="138"/>
    </row>
    <row r="82" spans="1:12" ht="31.5" x14ac:dyDescent="0.25">
      <c r="A82" s="118" t="s">
        <v>235</v>
      </c>
      <c r="B82" s="132"/>
      <c r="C82" s="132"/>
      <c r="D82" s="132"/>
      <c r="E82" s="132"/>
      <c r="F82" s="132"/>
      <c r="G82" s="137" t="s">
        <v>189</v>
      </c>
      <c r="H82" s="136"/>
      <c r="I82" s="152"/>
      <c r="J82" s="152"/>
      <c r="K82" s="152"/>
      <c r="L82" s="138"/>
    </row>
    <row r="83" spans="1:12" x14ac:dyDescent="0.25">
      <c r="A83" s="139"/>
      <c r="B83" s="136"/>
      <c r="C83" s="136"/>
      <c r="D83" s="136"/>
      <c r="E83" s="136"/>
      <c r="F83" s="136"/>
      <c r="G83" s="137" t="s">
        <v>236</v>
      </c>
      <c r="H83" s="136"/>
      <c r="I83" s="152"/>
      <c r="J83" s="152"/>
      <c r="K83" s="152"/>
      <c r="L83" s="138"/>
    </row>
    <row r="84" spans="1:12" ht="31.5" x14ac:dyDescent="0.25">
      <c r="A84" s="130" t="s">
        <v>247</v>
      </c>
      <c r="B84" s="141">
        <f>SUM(B80:B82)</f>
        <v>0</v>
      </c>
      <c r="C84" s="141">
        <f>SUM(C80:C82)</f>
        <v>0</v>
      </c>
      <c r="D84" s="141">
        <f>SUM(D80:D82)</f>
        <v>0</v>
      </c>
      <c r="E84" s="141"/>
      <c r="F84" s="141">
        <f>SUM(F80:F82)</f>
        <v>0</v>
      </c>
      <c r="G84" s="137" t="s">
        <v>237</v>
      </c>
      <c r="H84" s="136"/>
      <c r="I84" s="152"/>
      <c r="J84" s="152"/>
      <c r="K84" s="152"/>
      <c r="L84" s="138"/>
    </row>
    <row r="85" spans="1:12" ht="31.5" x14ac:dyDescent="0.25">
      <c r="A85" s="144" t="s">
        <v>229</v>
      </c>
      <c r="B85" s="136"/>
      <c r="C85" s="136"/>
      <c r="D85" s="136"/>
      <c r="E85" s="136"/>
      <c r="F85" s="136"/>
      <c r="G85" s="145" t="s">
        <v>238</v>
      </c>
      <c r="H85" s="136"/>
      <c r="I85" s="152"/>
      <c r="J85" s="152"/>
      <c r="K85" s="152"/>
      <c r="L85" s="138"/>
    </row>
    <row r="86" spans="1:12" ht="31.5" x14ac:dyDescent="0.25">
      <c r="A86" s="144"/>
      <c r="B86" s="136"/>
      <c r="C86" s="136"/>
      <c r="D86" s="136"/>
      <c r="E86" s="136"/>
      <c r="F86" s="136"/>
      <c r="G86" s="117" t="s">
        <v>194</v>
      </c>
      <c r="H86" s="136"/>
      <c r="I86" s="152"/>
      <c r="J86" s="152"/>
      <c r="K86" s="152"/>
      <c r="L86" s="138"/>
    </row>
    <row r="87" spans="1:12" ht="48" thickBot="1" x14ac:dyDescent="0.3">
      <c r="A87" s="146" t="s">
        <v>255</v>
      </c>
      <c r="B87" s="147">
        <f>SUM(B80:B86)</f>
        <v>0</v>
      </c>
      <c r="C87" s="147">
        <f>SUM(C80:C86)</f>
        <v>0</v>
      </c>
      <c r="D87" s="147">
        <f>SUM(D80:D86)</f>
        <v>0</v>
      </c>
      <c r="E87" s="147"/>
      <c r="F87" s="147">
        <f>SUM(F80:F86)</f>
        <v>0</v>
      </c>
      <c r="G87" s="148" t="s">
        <v>256</v>
      </c>
      <c r="H87" s="147">
        <f>SUM(H80:H86)</f>
        <v>0</v>
      </c>
      <c r="I87" s="147">
        <f>SUM(I80:I86)</f>
        <v>0</v>
      </c>
      <c r="J87" s="147">
        <f>SUM(J80:J86)</f>
        <v>0</v>
      </c>
      <c r="K87" s="238"/>
      <c r="L87" s="149">
        <f>SUM(L80:L86)</f>
        <v>0</v>
      </c>
    </row>
    <row r="88" spans="1:12" x14ac:dyDescent="0.25">
      <c r="B88" s="126">
        <f>B87+B78+B61+B48+B30+B19</f>
        <v>173219030</v>
      </c>
      <c r="C88" s="126">
        <f>C87+C78+C61+C48+C30+C19</f>
        <v>182029512</v>
      </c>
      <c r="D88" s="126">
        <f>D87+D78+D61+D48+D30+D19</f>
        <v>229039034</v>
      </c>
      <c r="F88" s="126">
        <f>F87+F78+F61+F48+F30+F19</f>
        <v>12853440</v>
      </c>
      <c r="H88" s="126">
        <f>H87+H78+H61+H48+H30+H19</f>
        <v>145787711</v>
      </c>
      <c r="I88" s="126">
        <f>I87+I78+I61+I48+I30+I19</f>
        <v>154583761</v>
      </c>
      <c r="J88" s="126">
        <f>J87+J78+J61+J48+J30+J19</f>
        <v>193088522</v>
      </c>
      <c r="L88" s="126">
        <f>L87+L78+L61+L48+L30+L19</f>
        <v>6485720</v>
      </c>
    </row>
    <row r="89" spans="1:12" x14ac:dyDescent="0.25">
      <c r="A89" s="125" t="s">
        <v>257</v>
      </c>
    </row>
  </sheetData>
  <mergeCells count="3">
    <mergeCell ref="A3:L3"/>
    <mergeCell ref="A32:L32"/>
    <mergeCell ref="A62:L62"/>
  </mergeCells>
  <pageMargins left="0.9055118110236221" right="0.70866141732283472" top="0.94488188976377963" bottom="0.74803149606299213" header="0.51181102362204722" footer="0.31496062992125984"/>
  <pageSetup paperSize="9" scale="55" orientation="landscape" r:id="rId1"/>
  <headerFooter>
    <oddHeader>&amp;L&amp;"Times New Roman,Normál"&amp;12Vászoly Község Önkormányzata&amp;C&amp;"Times New Roman,Normál"&amp;12 7. melléklet
Az önkormányzat 2018. évi költségvetéséről szóló 5/2018. (II. 16.) önkormányzati rendelethez</oddHeader>
  </headerFooter>
  <rowBreaks count="3" manualBreakCount="3">
    <brk id="31" max="9" man="1"/>
    <brk id="61" max="9" man="1"/>
    <brk id="8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A3" sqref="A3:N3"/>
    </sheetView>
  </sheetViews>
  <sheetFormatPr defaultRowHeight="15.75" x14ac:dyDescent="0.25"/>
  <cols>
    <col min="1" max="1" width="44.7109375" style="182" customWidth="1"/>
    <col min="2" max="2" width="12.42578125" style="63" bestFit="1" customWidth="1"/>
    <col min="3" max="4" width="14" style="63" bestFit="1" customWidth="1"/>
    <col min="5" max="6" width="12.42578125" style="63" bestFit="1" customWidth="1"/>
    <col min="7" max="7" width="12.140625" style="63" bestFit="1" customWidth="1"/>
    <col min="8" max="8" width="13.7109375" style="63" bestFit="1" customWidth="1"/>
    <col min="9" max="9" width="12.140625" style="63" bestFit="1" customWidth="1"/>
    <col min="10" max="10" width="13.140625" style="63" bestFit="1" customWidth="1"/>
    <col min="11" max="12" width="12.140625" style="63" bestFit="1" customWidth="1"/>
    <col min="13" max="13" width="12.42578125" style="63" bestFit="1" customWidth="1"/>
    <col min="14" max="14" width="14" style="165" bestFit="1" customWidth="1"/>
    <col min="15" max="15" width="13.5703125" style="63" customWidth="1"/>
    <col min="16" max="16" width="12.140625" style="63" bestFit="1" customWidth="1"/>
    <col min="17" max="17" width="11.7109375" style="63" bestFit="1" customWidth="1"/>
    <col min="18" max="256" width="9.140625" style="63"/>
    <col min="257" max="257" width="51" style="63" customWidth="1"/>
    <col min="258" max="259" width="11.85546875" style="63" bestFit="1" customWidth="1"/>
    <col min="260" max="265" width="13.28515625" style="63" bestFit="1" customWidth="1"/>
    <col min="266" max="266" width="16.140625" style="63" bestFit="1" customWidth="1"/>
    <col min="267" max="269" width="13.28515625" style="63" bestFit="1" customWidth="1"/>
    <col min="270" max="270" width="14.140625" style="63" bestFit="1" customWidth="1"/>
    <col min="271" max="512" width="9.140625" style="63"/>
    <col min="513" max="513" width="51" style="63" customWidth="1"/>
    <col min="514" max="515" width="11.85546875" style="63" bestFit="1" customWidth="1"/>
    <col min="516" max="521" width="13.28515625" style="63" bestFit="1" customWidth="1"/>
    <col min="522" max="522" width="16.140625" style="63" bestFit="1" customWidth="1"/>
    <col min="523" max="525" width="13.28515625" style="63" bestFit="1" customWidth="1"/>
    <col min="526" max="526" width="14.140625" style="63" bestFit="1" customWidth="1"/>
    <col min="527" max="768" width="9.140625" style="63"/>
    <col min="769" max="769" width="51" style="63" customWidth="1"/>
    <col min="770" max="771" width="11.85546875" style="63" bestFit="1" customWidth="1"/>
    <col min="772" max="777" width="13.28515625" style="63" bestFit="1" customWidth="1"/>
    <col min="778" max="778" width="16.140625" style="63" bestFit="1" customWidth="1"/>
    <col min="779" max="781" width="13.28515625" style="63" bestFit="1" customWidth="1"/>
    <col min="782" max="782" width="14.140625" style="63" bestFit="1" customWidth="1"/>
    <col min="783" max="1024" width="9.140625" style="63"/>
    <col min="1025" max="1025" width="51" style="63" customWidth="1"/>
    <col min="1026" max="1027" width="11.85546875" style="63" bestFit="1" customWidth="1"/>
    <col min="1028" max="1033" width="13.28515625" style="63" bestFit="1" customWidth="1"/>
    <col min="1034" max="1034" width="16.140625" style="63" bestFit="1" customWidth="1"/>
    <col min="1035" max="1037" width="13.28515625" style="63" bestFit="1" customWidth="1"/>
    <col min="1038" max="1038" width="14.140625" style="63" bestFit="1" customWidth="1"/>
    <col min="1039" max="1280" width="9.140625" style="63"/>
    <col min="1281" max="1281" width="51" style="63" customWidth="1"/>
    <col min="1282" max="1283" width="11.85546875" style="63" bestFit="1" customWidth="1"/>
    <col min="1284" max="1289" width="13.28515625" style="63" bestFit="1" customWidth="1"/>
    <col min="1290" max="1290" width="16.140625" style="63" bestFit="1" customWidth="1"/>
    <col min="1291" max="1293" width="13.28515625" style="63" bestFit="1" customWidth="1"/>
    <col min="1294" max="1294" width="14.140625" style="63" bestFit="1" customWidth="1"/>
    <col min="1295" max="1536" width="9.140625" style="63"/>
    <col min="1537" max="1537" width="51" style="63" customWidth="1"/>
    <col min="1538" max="1539" width="11.85546875" style="63" bestFit="1" customWidth="1"/>
    <col min="1540" max="1545" width="13.28515625" style="63" bestFit="1" customWidth="1"/>
    <col min="1546" max="1546" width="16.140625" style="63" bestFit="1" customWidth="1"/>
    <col min="1547" max="1549" width="13.28515625" style="63" bestFit="1" customWidth="1"/>
    <col min="1550" max="1550" width="14.140625" style="63" bestFit="1" customWidth="1"/>
    <col min="1551" max="1792" width="9.140625" style="63"/>
    <col min="1793" max="1793" width="51" style="63" customWidth="1"/>
    <col min="1794" max="1795" width="11.85546875" style="63" bestFit="1" customWidth="1"/>
    <col min="1796" max="1801" width="13.28515625" style="63" bestFit="1" customWidth="1"/>
    <col min="1802" max="1802" width="16.140625" style="63" bestFit="1" customWidth="1"/>
    <col min="1803" max="1805" width="13.28515625" style="63" bestFit="1" customWidth="1"/>
    <col min="1806" max="1806" width="14.140625" style="63" bestFit="1" customWidth="1"/>
    <col min="1807" max="2048" width="9.140625" style="63"/>
    <col min="2049" max="2049" width="51" style="63" customWidth="1"/>
    <col min="2050" max="2051" width="11.85546875" style="63" bestFit="1" customWidth="1"/>
    <col min="2052" max="2057" width="13.28515625" style="63" bestFit="1" customWidth="1"/>
    <col min="2058" max="2058" width="16.140625" style="63" bestFit="1" customWidth="1"/>
    <col min="2059" max="2061" width="13.28515625" style="63" bestFit="1" customWidth="1"/>
    <col min="2062" max="2062" width="14.140625" style="63" bestFit="1" customWidth="1"/>
    <col min="2063" max="2304" width="9.140625" style="63"/>
    <col min="2305" max="2305" width="51" style="63" customWidth="1"/>
    <col min="2306" max="2307" width="11.85546875" style="63" bestFit="1" customWidth="1"/>
    <col min="2308" max="2313" width="13.28515625" style="63" bestFit="1" customWidth="1"/>
    <col min="2314" max="2314" width="16.140625" style="63" bestFit="1" customWidth="1"/>
    <col min="2315" max="2317" width="13.28515625" style="63" bestFit="1" customWidth="1"/>
    <col min="2318" max="2318" width="14.140625" style="63" bestFit="1" customWidth="1"/>
    <col min="2319" max="2560" width="9.140625" style="63"/>
    <col min="2561" max="2561" width="51" style="63" customWidth="1"/>
    <col min="2562" max="2563" width="11.85546875" style="63" bestFit="1" customWidth="1"/>
    <col min="2564" max="2569" width="13.28515625" style="63" bestFit="1" customWidth="1"/>
    <col min="2570" max="2570" width="16.140625" style="63" bestFit="1" customWidth="1"/>
    <col min="2571" max="2573" width="13.28515625" style="63" bestFit="1" customWidth="1"/>
    <col min="2574" max="2574" width="14.140625" style="63" bestFit="1" customWidth="1"/>
    <col min="2575" max="2816" width="9.140625" style="63"/>
    <col min="2817" max="2817" width="51" style="63" customWidth="1"/>
    <col min="2818" max="2819" width="11.85546875" style="63" bestFit="1" customWidth="1"/>
    <col min="2820" max="2825" width="13.28515625" style="63" bestFit="1" customWidth="1"/>
    <col min="2826" max="2826" width="16.140625" style="63" bestFit="1" customWidth="1"/>
    <col min="2827" max="2829" width="13.28515625" style="63" bestFit="1" customWidth="1"/>
    <col min="2830" max="2830" width="14.140625" style="63" bestFit="1" customWidth="1"/>
    <col min="2831" max="3072" width="9.140625" style="63"/>
    <col min="3073" max="3073" width="51" style="63" customWidth="1"/>
    <col min="3074" max="3075" width="11.85546875" style="63" bestFit="1" customWidth="1"/>
    <col min="3076" max="3081" width="13.28515625" style="63" bestFit="1" customWidth="1"/>
    <col min="3082" max="3082" width="16.140625" style="63" bestFit="1" customWidth="1"/>
    <col min="3083" max="3085" width="13.28515625" style="63" bestFit="1" customWidth="1"/>
    <col min="3086" max="3086" width="14.140625" style="63" bestFit="1" customWidth="1"/>
    <col min="3087" max="3328" width="9.140625" style="63"/>
    <col min="3329" max="3329" width="51" style="63" customWidth="1"/>
    <col min="3330" max="3331" width="11.85546875" style="63" bestFit="1" customWidth="1"/>
    <col min="3332" max="3337" width="13.28515625" style="63" bestFit="1" customWidth="1"/>
    <col min="3338" max="3338" width="16.140625" style="63" bestFit="1" customWidth="1"/>
    <col min="3339" max="3341" width="13.28515625" style="63" bestFit="1" customWidth="1"/>
    <col min="3342" max="3342" width="14.140625" style="63" bestFit="1" customWidth="1"/>
    <col min="3343" max="3584" width="9.140625" style="63"/>
    <col min="3585" max="3585" width="51" style="63" customWidth="1"/>
    <col min="3586" max="3587" width="11.85546875" style="63" bestFit="1" customWidth="1"/>
    <col min="3588" max="3593" width="13.28515625" style="63" bestFit="1" customWidth="1"/>
    <col min="3594" max="3594" width="16.140625" style="63" bestFit="1" customWidth="1"/>
    <col min="3595" max="3597" width="13.28515625" style="63" bestFit="1" customWidth="1"/>
    <col min="3598" max="3598" width="14.140625" style="63" bestFit="1" customWidth="1"/>
    <col min="3599" max="3840" width="9.140625" style="63"/>
    <col min="3841" max="3841" width="51" style="63" customWidth="1"/>
    <col min="3842" max="3843" width="11.85546875" style="63" bestFit="1" customWidth="1"/>
    <col min="3844" max="3849" width="13.28515625" style="63" bestFit="1" customWidth="1"/>
    <col min="3850" max="3850" width="16.140625" style="63" bestFit="1" customWidth="1"/>
    <col min="3851" max="3853" width="13.28515625" style="63" bestFit="1" customWidth="1"/>
    <col min="3854" max="3854" width="14.140625" style="63" bestFit="1" customWidth="1"/>
    <col min="3855" max="4096" width="9.140625" style="63"/>
    <col min="4097" max="4097" width="51" style="63" customWidth="1"/>
    <col min="4098" max="4099" width="11.85546875" style="63" bestFit="1" customWidth="1"/>
    <col min="4100" max="4105" width="13.28515625" style="63" bestFit="1" customWidth="1"/>
    <col min="4106" max="4106" width="16.140625" style="63" bestFit="1" customWidth="1"/>
    <col min="4107" max="4109" width="13.28515625" style="63" bestFit="1" customWidth="1"/>
    <col min="4110" max="4110" width="14.140625" style="63" bestFit="1" customWidth="1"/>
    <col min="4111" max="4352" width="9.140625" style="63"/>
    <col min="4353" max="4353" width="51" style="63" customWidth="1"/>
    <col min="4354" max="4355" width="11.85546875" style="63" bestFit="1" customWidth="1"/>
    <col min="4356" max="4361" width="13.28515625" style="63" bestFit="1" customWidth="1"/>
    <col min="4362" max="4362" width="16.140625" style="63" bestFit="1" customWidth="1"/>
    <col min="4363" max="4365" width="13.28515625" style="63" bestFit="1" customWidth="1"/>
    <col min="4366" max="4366" width="14.140625" style="63" bestFit="1" customWidth="1"/>
    <col min="4367" max="4608" width="9.140625" style="63"/>
    <col min="4609" max="4609" width="51" style="63" customWidth="1"/>
    <col min="4610" max="4611" width="11.85546875" style="63" bestFit="1" customWidth="1"/>
    <col min="4612" max="4617" width="13.28515625" style="63" bestFit="1" customWidth="1"/>
    <col min="4618" max="4618" width="16.140625" style="63" bestFit="1" customWidth="1"/>
    <col min="4619" max="4621" width="13.28515625" style="63" bestFit="1" customWidth="1"/>
    <col min="4622" max="4622" width="14.140625" style="63" bestFit="1" customWidth="1"/>
    <col min="4623" max="4864" width="9.140625" style="63"/>
    <col min="4865" max="4865" width="51" style="63" customWidth="1"/>
    <col min="4866" max="4867" width="11.85546875" style="63" bestFit="1" customWidth="1"/>
    <col min="4868" max="4873" width="13.28515625" style="63" bestFit="1" customWidth="1"/>
    <col min="4874" max="4874" width="16.140625" style="63" bestFit="1" customWidth="1"/>
    <col min="4875" max="4877" width="13.28515625" style="63" bestFit="1" customWidth="1"/>
    <col min="4878" max="4878" width="14.140625" style="63" bestFit="1" customWidth="1"/>
    <col min="4879" max="5120" width="9.140625" style="63"/>
    <col min="5121" max="5121" width="51" style="63" customWidth="1"/>
    <col min="5122" max="5123" width="11.85546875" style="63" bestFit="1" customWidth="1"/>
    <col min="5124" max="5129" width="13.28515625" style="63" bestFit="1" customWidth="1"/>
    <col min="5130" max="5130" width="16.140625" style="63" bestFit="1" customWidth="1"/>
    <col min="5131" max="5133" width="13.28515625" style="63" bestFit="1" customWidth="1"/>
    <col min="5134" max="5134" width="14.140625" style="63" bestFit="1" customWidth="1"/>
    <col min="5135" max="5376" width="9.140625" style="63"/>
    <col min="5377" max="5377" width="51" style="63" customWidth="1"/>
    <col min="5378" max="5379" width="11.85546875" style="63" bestFit="1" customWidth="1"/>
    <col min="5380" max="5385" width="13.28515625" style="63" bestFit="1" customWidth="1"/>
    <col min="5386" max="5386" width="16.140625" style="63" bestFit="1" customWidth="1"/>
    <col min="5387" max="5389" width="13.28515625" style="63" bestFit="1" customWidth="1"/>
    <col min="5390" max="5390" width="14.140625" style="63" bestFit="1" customWidth="1"/>
    <col min="5391" max="5632" width="9.140625" style="63"/>
    <col min="5633" max="5633" width="51" style="63" customWidth="1"/>
    <col min="5634" max="5635" width="11.85546875" style="63" bestFit="1" customWidth="1"/>
    <col min="5636" max="5641" width="13.28515625" style="63" bestFit="1" customWidth="1"/>
    <col min="5642" max="5642" width="16.140625" style="63" bestFit="1" customWidth="1"/>
    <col min="5643" max="5645" width="13.28515625" style="63" bestFit="1" customWidth="1"/>
    <col min="5646" max="5646" width="14.140625" style="63" bestFit="1" customWidth="1"/>
    <col min="5647" max="5888" width="9.140625" style="63"/>
    <col min="5889" max="5889" width="51" style="63" customWidth="1"/>
    <col min="5890" max="5891" width="11.85546875" style="63" bestFit="1" customWidth="1"/>
    <col min="5892" max="5897" width="13.28515625" style="63" bestFit="1" customWidth="1"/>
    <col min="5898" max="5898" width="16.140625" style="63" bestFit="1" customWidth="1"/>
    <col min="5899" max="5901" width="13.28515625" style="63" bestFit="1" customWidth="1"/>
    <col min="5902" max="5902" width="14.140625" style="63" bestFit="1" customWidth="1"/>
    <col min="5903" max="6144" width="9.140625" style="63"/>
    <col min="6145" max="6145" width="51" style="63" customWidth="1"/>
    <col min="6146" max="6147" width="11.85546875" style="63" bestFit="1" customWidth="1"/>
    <col min="6148" max="6153" width="13.28515625" style="63" bestFit="1" customWidth="1"/>
    <col min="6154" max="6154" width="16.140625" style="63" bestFit="1" customWidth="1"/>
    <col min="6155" max="6157" width="13.28515625" style="63" bestFit="1" customWidth="1"/>
    <col min="6158" max="6158" width="14.140625" style="63" bestFit="1" customWidth="1"/>
    <col min="6159" max="6400" width="9.140625" style="63"/>
    <col min="6401" max="6401" width="51" style="63" customWidth="1"/>
    <col min="6402" max="6403" width="11.85546875" style="63" bestFit="1" customWidth="1"/>
    <col min="6404" max="6409" width="13.28515625" style="63" bestFit="1" customWidth="1"/>
    <col min="6410" max="6410" width="16.140625" style="63" bestFit="1" customWidth="1"/>
    <col min="6411" max="6413" width="13.28515625" style="63" bestFit="1" customWidth="1"/>
    <col min="6414" max="6414" width="14.140625" style="63" bestFit="1" customWidth="1"/>
    <col min="6415" max="6656" width="9.140625" style="63"/>
    <col min="6657" max="6657" width="51" style="63" customWidth="1"/>
    <col min="6658" max="6659" width="11.85546875" style="63" bestFit="1" customWidth="1"/>
    <col min="6660" max="6665" width="13.28515625" style="63" bestFit="1" customWidth="1"/>
    <col min="6666" max="6666" width="16.140625" style="63" bestFit="1" customWidth="1"/>
    <col min="6667" max="6669" width="13.28515625" style="63" bestFit="1" customWidth="1"/>
    <col min="6670" max="6670" width="14.140625" style="63" bestFit="1" customWidth="1"/>
    <col min="6671" max="6912" width="9.140625" style="63"/>
    <col min="6913" max="6913" width="51" style="63" customWidth="1"/>
    <col min="6914" max="6915" width="11.85546875" style="63" bestFit="1" customWidth="1"/>
    <col min="6916" max="6921" width="13.28515625" style="63" bestFit="1" customWidth="1"/>
    <col min="6922" max="6922" width="16.140625" style="63" bestFit="1" customWidth="1"/>
    <col min="6923" max="6925" width="13.28515625" style="63" bestFit="1" customWidth="1"/>
    <col min="6926" max="6926" width="14.140625" style="63" bestFit="1" customWidth="1"/>
    <col min="6927" max="7168" width="9.140625" style="63"/>
    <col min="7169" max="7169" width="51" style="63" customWidth="1"/>
    <col min="7170" max="7171" width="11.85546875" style="63" bestFit="1" customWidth="1"/>
    <col min="7172" max="7177" width="13.28515625" style="63" bestFit="1" customWidth="1"/>
    <col min="7178" max="7178" width="16.140625" style="63" bestFit="1" customWidth="1"/>
    <col min="7179" max="7181" width="13.28515625" style="63" bestFit="1" customWidth="1"/>
    <col min="7182" max="7182" width="14.140625" style="63" bestFit="1" customWidth="1"/>
    <col min="7183" max="7424" width="9.140625" style="63"/>
    <col min="7425" max="7425" width="51" style="63" customWidth="1"/>
    <col min="7426" max="7427" width="11.85546875" style="63" bestFit="1" customWidth="1"/>
    <col min="7428" max="7433" width="13.28515625" style="63" bestFit="1" customWidth="1"/>
    <col min="7434" max="7434" width="16.140625" style="63" bestFit="1" customWidth="1"/>
    <col min="7435" max="7437" width="13.28515625" style="63" bestFit="1" customWidth="1"/>
    <col min="7438" max="7438" width="14.140625" style="63" bestFit="1" customWidth="1"/>
    <col min="7439" max="7680" width="9.140625" style="63"/>
    <col min="7681" max="7681" width="51" style="63" customWidth="1"/>
    <col min="7682" max="7683" width="11.85546875" style="63" bestFit="1" customWidth="1"/>
    <col min="7684" max="7689" width="13.28515625" style="63" bestFit="1" customWidth="1"/>
    <col min="7690" max="7690" width="16.140625" style="63" bestFit="1" customWidth="1"/>
    <col min="7691" max="7693" width="13.28515625" style="63" bestFit="1" customWidth="1"/>
    <col min="7694" max="7694" width="14.140625" style="63" bestFit="1" customWidth="1"/>
    <col min="7695" max="7936" width="9.140625" style="63"/>
    <col min="7937" max="7937" width="51" style="63" customWidth="1"/>
    <col min="7938" max="7939" width="11.85546875" style="63" bestFit="1" customWidth="1"/>
    <col min="7940" max="7945" width="13.28515625" style="63" bestFit="1" customWidth="1"/>
    <col min="7946" max="7946" width="16.140625" style="63" bestFit="1" customWidth="1"/>
    <col min="7947" max="7949" width="13.28515625" style="63" bestFit="1" customWidth="1"/>
    <col min="7950" max="7950" width="14.140625" style="63" bestFit="1" customWidth="1"/>
    <col min="7951" max="8192" width="9.140625" style="63"/>
    <col min="8193" max="8193" width="51" style="63" customWidth="1"/>
    <col min="8194" max="8195" width="11.85546875" style="63" bestFit="1" customWidth="1"/>
    <col min="8196" max="8201" width="13.28515625" style="63" bestFit="1" customWidth="1"/>
    <col min="8202" max="8202" width="16.140625" style="63" bestFit="1" customWidth="1"/>
    <col min="8203" max="8205" width="13.28515625" style="63" bestFit="1" customWidth="1"/>
    <col min="8206" max="8206" width="14.140625" style="63" bestFit="1" customWidth="1"/>
    <col min="8207" max="8448" width="9.140625" style="63"/>
    <col min="8449" max="8449" width="51" style="63" customWidth="1"/>
    <col min="8450" max="8451" width="11.85546875" style="63" bestFit="1" customWidth="1"/>
    <col min="8452" max="8457" width="13.28515625" style="63" bestFit="1" customWidth="1"/>
    <col min="8458" max="8458" width="16.140625" style="63" bestFit="1" customWidth="1"/>
    <col min="8459" max="8461" width="13.28515625" style="63" bestFit="1" customWidth="1"/>
    <col min="8462" max="8462" width="14.140625" style="63" bestFit="1" customWidth="1"/>
    <col min="8463" max="8704" width="9.140625" style="63"/>
    <col min="8705" max="8705" width="51" style="63" customWidth="1"/>
    <col min="8706" max="8707" width="11.85546875" style="63" bestFit="1" customWidth="1"/>
    <col min="8708" max="8713" width="13.28515625" style="63" bestFit="1" customWidth="1"/>
    <col min="8714" max="8714" width="16.140625" style="63" bestFit="1" customWidth="1"/>
    <col min="8715" max="8717" width="13.28515625" style="63" bestFit="1" customWidth="1"/>
    <col min="8718" max="8718" width="14.140625" style="63" bestFit="1" customWidth="1"/>
    <col min="8719" max="8960" width="9.140625" style="63"/>
    <col min="8961" max="8961" width="51" style="63" customWidth="1"/>
    <col min="8962" max="8963" width="11.85546875" style="63" bestFit="1" customWidth="1"/>
    <col min="8964" max="8969" width="13.28515625" style="63" bestFit="1" customWidth="1"/>
    <col min="8970" max="8970" width="16.140625" style="63" bestFit="1" customWidth="1"/>
    <col min="8971" max="8973" width="13.28515625" style="63" bestFit="1" customWidth="1"/>
    <col min="8974" max="8974" width="14.140625" style="63" bestFit="1" customWidth="1"/>
    <col min="8975" max="9216" width="9.140625" style="63"/>
    <col min="9217" max="9217" width="51" style="63" customWidth="1"/>
    <col min="9218" max="9219" width="11.85546875" style="63" bestFit="1" customWidth="1"/>
    <col min="9220" max="9225" width="13.28515625" style="63" bestFit="1" customWidth="1"/>
    <col min="9226" max="9226" width="16.140625" style="63" bestFit="1" customWidth="1"/>
    <col min="9227" max="9229" width="13.28515625" style="63" bestFit="1" customWidth="1"/>
    <col min="9230" max="9230" width="14.140625" style="63" bestFit="1" customWidth="1"/>
    <col min="9231" max="9472" width="9.140625" style="63"/>
    <col min="9473" max="9473" width="51" style="63" customWidth="1"/>
    <col min="9474" max="9475" width="11.85546875" style="63" bestFit="1" customWidth="1"/>
    <col min="9476" max="9481" width="13.28515625" style="63" bestFit="1" customWidth="1"/>
    <col min="9482" max="9482" width="16.140625" style="63" bestFit="1" customWidth="1"/>
    <col min="9483" max="9485" width="13.28515625" style="63" bestFit="1" customWidth="1"/>
    <col min="9486" max="9486" width="14.140625" style="63" bestFit="1" customWidth="1"/>
    <col min="9487" max="9728" width="9.140625" style="63"/>
    <col min="9729" max="9729" width="51" style="63" customWidth="1"/>
    <col min="9730" max="9731" width="11.85546875" style="63" bestFit="1" customWidth="1"/>
    <col min="9732" max="9737" width="13.28515625" style="63" bestFit="1" customWidth="1"/>
    <col min="9738" max="9738" width="16.140625" style="63" bestFit="1" customWidth="1"/>
    <col min="9739" max="9741" width="13.28515625" style="63" bestFit="1" customWidth="1"/>
    <col min="9742" max="9742" width="14.140625" style="63" bestFit="1" customWidth="1"/>
    <col min="9743" max="9984" width="9.140625" style="63"/>
    <col min="9985" max="9985" width="51" style="63" customWidth="1"/>
    <col min="9986" max="9987" width="11.85546875" style="63" bestFit="1" customWidth="1"/>
    <col min="9988" max="9993" width="13.28515625" style="63" bestFit="1" customWidth="1"/>
    <col min="9994" max="9994" width="16.140625" style="63" bestFit="1" customWidth="1"/>
    <col min="9995" max="9997" width="13.28515625" style="63" bestFit="1" customWidth="1"/>
    <col min="9998" max="9998" width="14.140625" style="63" bestFit="1" customWidth="1"/>
    <col min="9999" max="10240" width="9.140625" style="63"/>
    <col min="10241" max="10241" width="51" style="63" customWidth="1"/>
    <col min="10242" max="10243" width="11.85546875" style="63" bestFit="1" customWidth="1"/>
    <col min="10244" max="10249" width="13.28515625" style="63" bestFit="1" customWidth="1"/>
    <col min="10250" max="10250" width="16.140625" style="63" bestFit="1" customWidth="1"/>
    <col min="10251" max="10253" width="13.28515625" style="63" bestFit="1" customWidth="1"/>
    <col min="10254" max="10254" width="14.140625" style="63" bestFit="1" customWidth="1"/>
    <col min="10255" max="10496" width="9.140625" style="63"/>
    <col min="10497" max="10497" width="51" style="63" customWidth="1"/>
    <col min="10498" max="10499" width="11.85546875" style="63" bestFit="1" customWidth="1"/>
    <col min="10500" max="10505" width="13.28515625" style="63" bestFit="1" customWidth="1"/>
    <col min="10506" max="10506" width="16.140625" style="63" bestFit="1" customWidth="1"/>
    <col min="10507" max="10509" width="13.28515625" style="63" bestFit="1" customWidth="1"/>
    <col min="10510" max="10510" width="14.140625" style="63" bestFit="1" customWidth="1"/>
    <col min="10511" max="10752" width="9.140625" style="63"/>
    <col min="10753" max="10753" width="51" style="63" customWidth="1"/>
    <col min="10754" max="10755" width="11.85546875" style="63" bestFit="1" customWidth="1"/>
    <col min="10756" max="10761" width="13.28515625" style="63" bestFit="1" customWidth="1"/>
    <col min="10762" max="10762" width="16.140625" style="63" bestFit="1" customWidth="1"/>
    <col min="10763" max="10765" width="13.28515625" style="63" bestFit="1" customWidth="1"/>
    <col min="10766" max="10766" width="14.140625" style="63" bestFit="1" customWidth="1"/>
    <col min="10767" max="11008" width="9.140625" style="63"/>
    <col min="11009" max="11009" width="51" style="63" customWidth="1"/>
    <col min="11010" max="11011" width="11.85546875" style="63" bestFit="1" customWidth="1"/>
    <col min="11012" max="11017" width="13.28515625" style="63" bestFit="1" customWidth="1"/>
    <col min="11018" max="11018" width="16.140625" style="63" bestFit="1" customWidth="1"/>
    <col min="11019" max="11021" width="13.28515625" style="63" bestFit="1" customWidth="1"/>
    <col min="11022" max="11022" width="14.140625" style="63" bestFit="1" customWidth="1"/>
    <col min="11023" max="11264" width="9.140625" style="63"/>
    <col min="11265" max="11265" width="51" style="63" customWidth="1"/>
    <col min="11266" max="11267" width="11.85546875" style="63" bestFit="1" customWidth="1"/>
    <col min="11268" max="11273" width="13.28515625" style="63" bestFit="1" customWidth="1"/>
    <col min="11274" max="11274" width="16.140625" style="63" bestFit="1" customWidth="1"/>
    <col min="11275" max="11277" width="13.28515625" style="63" bestFit="1" customWidth="1"/>
    <col min="11278" max="11278" width="14.140625" style="63" bestFit="1" customWidth="1"/>
    <col min="11279" max="11520" width="9.140625" style="63"/>
    <col min="11521" max="11521" width="51" style="63" customWidth="1"/>
    <col min="11522" max="11523" width="11.85546875" style="63" bestFit="1" customWidth="1"/>
    <col min="11524" max="11529" width="13.28515625" style="63" bestFit="1" customWidth="1"/>
    <col min="11530" max="11530" width="16.140625" style="63" bestFit="1" customWidth="1"/>
    <col min="11531" max="11533" width="13.28515625" style="63" bestFit="1" customWidth="1"/>
    <col min="11534" max="11534" width="14.140625" style="63" bestFit="1" customWidth="1"/>
    <col min="11535" max="11776" width="9.140625" style="63"/>
    <col min="11777" max="11777" width="51" style="63" customWidth="1"/>
    <col min="11778" max="11779" width="11.85546875" style="63" bestFit="1" customWidth="1"/>
    <col min="11780" max="11785" width="13.28515625" style="63" bestFit="1" customWidth="1"/>
    <col min="11786" max="11786" width="16.140625" style="63" bestFit="1" customWidth="1"/>
    <col min="11787" max="11789" width="13.28515625" style="63" bestFit="1" customWidth="1"/>
    <col min="11790" max="11790" width="14.140625" style="63" bestFit="1" customWidth="1"/>
    <col min="11791" max="12032" width="9.140625" style="63"/>
    <col min="12033" max="12033" width="51" style="63" customWidth="1"/>
    <col min="12034" max="12035" width="11.85546875" style="63" bestFit="1" customWidth="1"/>
    <col min="12036" max="12041" width="13.28515625" style="63" bestFit="1" customWidth="1"/>
    <col min="12042" max="12042" width="16.140625" style="63" bestFit="1" customWidth="1"/>
    <col min="12043" max="12045" width="13.28515625" style="63" bestFit="1" customWidth="1"/>
    <col min="12046" max="12046" width="14.140625" style="63" bestFit="1" customWidth="1"/>
    <col min="12047" max="12288" width="9.140625" style="63"/>
    <col min="12289" max="12289" width="51" style="63" customWidth="1"/>
    <col min="12290" max="12291" width="11.85546875" style="63" bestFit="1" customWidth="1"/>
    <col min="12292" max="12297" width="13.28515625" style="63" bestFit="1" customWidth="1"/>
    <col min="12298" max="12298" width="16.140625" style="63" bestFit="1" customWidth="1"/>
    <col min="12299" max="12301" width="13.28515625" style="63" bestFit="1" customWidth="1"/>
    <col min="12302" max="12302" width="14.140625" style="63" bestFit="1" customWidth="1"/>
    <col min="12303" max="12544" width="9.140625" style="63"/>
    <col min="12545" max="12545" width="51" style="63" customWidth="1"/>
    <col min="12546" max="12547" width="11.85546875" style="63" bestFit="1" customWidth="1"/>
    <col min="12548" max="12553" width="13.28515625" style="63" bestFit="1" customWidth="1"/>
    <col min="12554" max="12554" width="16.140625" style="63" bestFit="1" customWidth="1"/>
    <col min="12555" max="12557" width="13.28515625" style="63" bestFit="1" customWidth="1"/>
    <col min="12558" max="12558" width="14.140625" style="63" bestFit="1" customWidth="1"/>
    <col min="12559" max="12800" width="9.140625" style="63"/>
    <col min="12801" max="12801" width="51" style="63" customWidth="1"/>
    <col min="12802" max="12803" width="11.85546875" style="63" bestFit="1" customWidth="1"/>
    <col min="12804" max="12809" width="13.28515625" style="63" bestFit="1" customWidth="1"/>
    <col min="12810" max="12810" width="16.140625" style="63" bestFit="1" customWidth="1"/>
    <col min="12811" max="12813" width="13.28515625" style="63" bestFit="1" customWidth="1"/>
    <col min="12814" max="12814" width="14.140625" style="63" bestFit="1" customWidth="1"/>
    <col min="12815" max="13056" width="9.140625" style="63"/>
    <col min="13057" max="13057" width="51" style="63" customWidth="1"/>
    <col min="13058" max="13059" width="11.85546875" style="63" bestFit="1" customWidth="1"/>
    <col min="13060" max="13065" width="13.28515625" style="63" bestFit="1" customWidth="1"/>
    <col min="13066" max="13066" width="16.140625" style="63" bestFit="1" customWidth="1"/>
    <col min="13067" max="13069" width="13.28515625" style="63" bestFit="1" customWidth="1"/>
    <col min="13070" max="13070" width="14.140625" style="63" bestFit="1" customWidth="1"/>
    <col min="13071" max="13312" width="9.140625" style="63"/>
    <col min="13313" max="13313" width="51" style="63" customWidth="1"/>
    <col min="13314" max="13315" width="11.85546875" style="63" bestFit="1" customWidth="1"/>
    <col min="13316" max="13321" width="13.28515625" style="63" bestFit="1" customWidth="1"/>
    <col min="13322" max="13322" width="16.140625" style="63" bestFit="1" customWidth="1"/>
    <col min="13323" max="13325" width="13.28515625" style="63" bestFit="1" customWidth="1"/>
    <col min="13326" max="13326" width="14.140625" style="63" bestFit="1" customWidth="1"/>
    <col min="13327" max="13568" width="9.140625" style="63"/>
    <col min="13569" max="13569" width="51" style="63" customWidth="1"/>
    <col min="13570" max="13571" width="11.85546875" style="63" bestFit="1" customWidth="1"/>
    <col min="13572" max="13577" width="13.28515625" style="63" bestFit="1" customWidth="1"/>
    <col min="13578" max="13578" width="16.140625" style="63" bestFit="1" customWidth="1"/>
    <col min="13579" max="13581" width="13.28515625" style="63" bestFit="1" customWidth="1"/>
    <col min="13582" max="13582" width="14.140625" style="63" bestFit="1" customWidth="1"/>
    <col min="13583" max="13824" width="9.140625" style="63"/>
    <col min="13825" max="13825" width="51" style="63" customWidth="1"/>
    <col min="13826" max="13827" width="11.85546875" style="63" bestFit="1" customWidth="1"/>
    <col min="13828" max="13833" width="13.28515625" style="63" bestFit="1" customWidth="1"/>
    <col min="13834" max="13834" width="16.140625" style="63" bestFit="1" customWidth="1"/>
    <col min="13835" max="13837" width="13.28515625" style="63" bestFit="1" customWidth="1"/>
    <col min="13838" max="13838" width="14.140625" style="63" bestFit="1" customWidth="1"/>
    <col min="13839" max="14080" width="9.140625" style="63"/>
    <col min="14081" max="14081" width="51" style="63" customWidth="1"/>
    <col min="14082" max="14083" width="11.85546875" style="63" bestFit="1" customWidth="1"/>
    <col min="14084" max="14089" width="13.28515625" style="63" bestFit="1" customWidth="1"/>
    <col min="14090" max="14090" width="16.140625" style="63" bestFit="1" customWidth="1"/>
    <col min="14091" max="14093" width="13.28515625" style="63" bestFit="1" customWidth="1"/>
    <col min="14094" max="14094" width="14.140625" style="63" bestFit="1" customWidth="1"/>
    <col min="14095" max="14336" width="9.140625" style="63"/>
    <col min="14337" max="14337" width="51" style="63" customWidth="1"/>
    <col min="14338" max="14339" width="11.85546875" style="63" bestFit="1" customWidth="1"/>
    <col min="14340" max="14345" width="13.28515625" style="63" bestFit="1" customWidth="1"/>
    <col min="14346" max="14346" width="16.140625" style="63" bestFit="1" customWidth="1"/>
    <col min="14347" max="14349" width="13.28515625" style="63" bestFit="1" customWidth="1"/>
    <col min="14350" max="14350" width="14.140625" style="63" bestFit="1" customWidth="1"/>
    <col min="14351" max="14592" width="9.140625" style="63"/>
    <col min="14593" max="14593" width="51" style="63" customWidth="1"/>
    <col min="14594" max="14595" width="11.85546875" style="63" bestFit="1" customWidth="1"/>
    <col min="14596" max="14601" width="13.28515625" style="63" bestFit="1" customWidth="1"/>
    <col min="14602" max="14602" width="16.140625" style="63" bestFit="1" customWidth="1"/>
    <col min="14603" max="14605" width="13.28515625" style="63" bestFit="1" customWidth="1"/>
    <col min="14606" max="14606" width="14.140625" style="63" bestFit="1" customWidth="1"/>
    <col min="14607" max="14848" width="9.140625" style="63"/>
    <col min="14849" max="14849" width="51" style="63" customWidth="1"/>
    <col min="14850" max="14851" width="11.85546875" style="63" bestFit="1" customWidth="1"/>
    <col min="14852" max="14857" width="13.28515625" style="63" bestFit="1" customWidth="1"/>
    <col min="14858" max="14858" width="16.140625" style="63" bestFit="1" customWidth="1"/>
    <col min="14859" max="14861" width="13.28515625" style="63" bestFit="1" customWidth="1"/>
    <col min="14862" max="14862" width="14.140625" style="63" bestFit="1" customWidth="1"/>
    <col min="14863" max="15104" width="9.140625" style="63"/>
    <col min="15105" max="15105" width="51" style="63" customWidth="1"/>
    <col min="15106" max="15107" width="11.85546875" style="63" bestFit="1" customWidth="1"/>
    <col min="15108" max="15113" width="13.28515625" style="63" bestFit="1" customWidth="1"/>
    <col min="15114" max="15114" width="16.140625" style="63" bestFit="1" customWidth="1"/>
    <col min="15115" max="15117" width="13.28515625" style="63" bestFit="1" customWidth="1"/>
    <col min="15118" max="15118" width="14.140625" style="63" bestFit="1" customWidth="1"/>
    <col min="15119" max="15360" width="9.140625" style="63"/>
    <col min="15361" max="15361" width="51" style="63" customWidth="1"/>
    <col min="15362" max="15363" width="11.85546875" style="63" bestFit="1" customWidth="1"/>
    <col min="15364" max="15369" width="13.28515625" style="63" bestFit="1" customWidth="1"/>
    <col min="15370" max="15370" width="16.140625" style="63" bestFit="1" customWidth="1"/>
    <col min="15371" max="15373" width="13.28515625" style="63" bestFit="1" customWidth="1"/>
    <col min="15374" max="15374" width="14.140625" style="63" bestFit="1" customWidth="1"/>
    <col min="15375" max="15616" width="9.140625" style="63"/>
    <col min="15617" max="15617" width="51" style="63" customWidth="1"/>
    <col min="15618" max="15619" width="11.85546875" style="63" bestFit="1" customWidth="1"/>
    <col min="15620" max="15625" width="13.28515625" style="63" bestFit="1" customWidth="1"/>
    <col min="15626" max="15626" width="16.140625" style="63" bestFit="1" customWidth="1"/>
    <col min="15627" max="15629" width="13.28515625" style="63" bestFit="1" customWidth="1"/>
    <col min="15630" max="15630" width="14.140625" style="63" bestFit="1" customWidth="1"/>
    <col min="15631" max="15872" width="9.140625" style="63"/>
    <col min="15873" max="15873" width="51" style="63" customWidth="1"/>
    <col min="15874" max="15875" width="11.85546875" style="63" bestFit="1" customWidth="1"/>
    <col min="15876" max="15881" width="13.28515625" style="63" bestFit="1" customWidth="1"/>
    <col min="15882" max="15882" width="16.140625" style="63" bestFit="1" customWidth="1"/>
    <col min="15883" max="15885" width="13.28515625" style="63" bestFit="1" customWidth="1"/>
    <col min="15886" max="15886" width="14.140625" style="63" bestFit="1" customWidth="1"/>
    <col min="15887" max="16128" width="9.140625" style="63"/>
    <col min="16129" max="16129" width="51" style="63" customWidth="1"/>
    <col min="16130" max="16131" width="11.85546875" style="63" bestFit="1" customWidth="1"/>
    <col min="16132" max="16137" width="13.28515625" style="63" bestFit="1" customWidth="1"/>
    <col min="16138" max="16138" width="16.140625" style="63" bestFit="1" customWidth="1"/>
    <col min="16139" max="16141" width="13.28515625" style="63" bestFit="1" customWidth="1"/>
    <col min="16142" max="16142" width="14.140625" style="63" bestFit="1" customWidth="1"/>
    <col min="16143" max="16384" width="9.140625" style="63"/>
  </cols>
  <sheetData>
    <row r="1" spans="1:17" x14ac:dyDescent="0.25">
      <c r="A1" s="15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58"/>
    </row>
    <row r="2" spans="1:17" ht="16.5" thickBot="1" x14ac:dyDescent="0.3">
      <c r="A2" s="15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261"/>
      <c r="N2" s="261"/>
    </row>
    <row r="3" spans="1:17" x14ac:dyDescent="0.25">
      <c r="A3" s="262" t="s">
        <v>332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4"/>
    </row>
    <row r="4" spans="1:17" x14ac:dyDescent="0.25">
      <c r="A4" s="159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1"/>
    </row>
    <row r="5" spans="1:17" s="165" customFormat="1" x14ac:dyDescent="0.25">
      <c r="A5" s="162" t="s">
        <v>258</v>
      </c>
      <c r="B5" s="163" t="s">
        <v>259</v>
      </c>
      <c r="C5" s="163" t="s">
        <v>260</v>
      </c>
      <c r="D5" s="163" t="s">
        <v>261</v>
      </c>
      <c r="E5" s="163" t="s">
        <v>262</v>
      </c>
      <c r="F5" s="163" t="s">
        <v>263</v>
      </c>
      <c r="G5" s="163" t="s">
        <v>264</v>
      </c>
      <c r="H5" s="163" t="s">
        <v>265</v>
      </c>
      <c r="I5" s="163" t="s">
        <v>266</v>
      </c>
      <c r="J5" s="163" t="s">
        <v>267</v>
      </c>
      <c r="K5" s="163" t="s">
        <v>268</v>
      </c>
      <c r="L5" s="163" t="s">
        <v>269</v>
      </c>
      <c r="M5" s="163" t="s">
        <v>270</v>
      </c>
      <c r="N5" s="164" t="s">
        <v>76</v>
      </c>
    </row>
    <row r="6" spans="1:17" x14ac:dyDescent="0.25">
      <c r="A6" s="162" t="s">
        <v>271</v>
      </c>
      <c r="B6" s="166">
        <v>106121012</v>
      </c>
      <c r="C6" s="166">
        <f t="shared" ref="C6:M6" si="0">B36</f>
        <v>101857769</v>
      </c>
      <c r="D6" s="166">
        <f t="shared" si="0"/>
        <v>102663423</v>
      </c>
      <c r="E6" s="166">
        <f t="shared" si="0"/>
        <v>104228219</v>
      </c>
      <c r="F6" s="166">
        <f t="shared" si="0"/>
        <v>100899567</v>
      </c>
      <c r="G6" s="166">
        <f t="shared" si="0"/>
        <v>100345858</v>
      </c>
      <c r="H6" s="166">
        <f t="shared" si="0"/>
        <v>108388948</v>
      </c>
      <c r="I6" s="166">
        <f t="shared" si="0"/>
        <v>108024890</v>
      </c>
      <c r="J6" s="166">
        <f t="shared" si="0"/>
        <v>108662870</v>
      </c>
      <c r="K6" s="166">
        <f t="shared" si="0"/>
        <v>138334732</v>
      </c>
      <c r="L6" s="166">
        <f t="shared" si="0"/>
        <v>137484123</v>
      </c>
      <c r="M6" s="166">
        <f t="shared" si="0"/>
        <v>136830985</v>
      </c>
      <c r="N6" s="167">
        <v>106121012</v>
      </c>
    </row>
    <row r="7" spans="1:17" ht="31.5" x14ac:dyDescent="0.25">
      <c r="A7" s="159" t="s">
        <v>272</v>
      </c>
      <c r="B7" s="168">
        <f>1670451+180244</f>
        <v>1850695</v>
      </c>
      <c r="C7" s="168">
        <f>1670451+178958</f>
        <v>1849409</v>
      </c>
      <c r="D7" s="168">
        <f>1670451+217206</f>
        <v>1887657</v>
      </c>
      <c r="E7" s="168">
        <f>1670451+282453</f>
        <v>1952904</v>
      </c>
      <c r="F7" s="168">
        <f>1670451+355902</f>
        <v>2026353</v>
      </c>
      <c r="G7" s="168">
        <f>1670451+7875889</f>
        <v>9546340</v>
      </c>
      <c r="H7" s="168">
        <f>1670451+1180482</f>
        <v>2850933</v>
      </c>
      <c r="I7" s="168">
        <f>1670451+391381</f>
        <v>2061832</v>
      </c>
      <c r="J7" s="168">
        <f>1670451+400000</f>
        <v>2070451</v>
      </c>
      <c r="K7" s="168">
        <f>1670451+400000</f>
        <v>2070451</v>
      </c>
      <c r="L7" s="168">
        <f>1670451+400000</f>
        <v>2070451</v>
      </c>
      <c r="M7" s="168">
        <f>1670451+1236722</f>
        <v>2907173</v>
      </c>
      <c r="N7" s="167">
        <f>SUM(B7:M7)</f>
        <v>33144649</v>
      </c>
      <c r="O7" s="64">
        <f>'2.sz.tábla'!D5</f>
        <v>33144649</v>
      </c>
      <c r="P7" s="64"/>
      <c r="Q7" s="64"/>
    </row>
    <row r="8" spans="1:17" x14ac:dyDescent="0.25">
      <c r="A8" s="159" t="s">
        <v>225</v>
      </c>
      <c r="B8" s="169">
        <v>50000</v>
      </c>
      <c r="C8" s="169">
        <v>56000</v>
      </c>
      <c r="D8" s="169">
        <v>179935</v>
      </c>
      <c r="E8" s="169">
        <v>50027</v>
      </c>
      <c r="F8" s="169">
        <v>886985</v>
      </c>
      <c r="G8" s="169">
        <v>487024</v>
      </c>
      <c r="H8" s="169">
        <v>190000</v>
      </c>
      <c r="I8" s="169">
        <v>140000</v>
      </c>
      <c r="J8" s="169">
        <v>50000</v>
      </c>
      <c r="K8" s="169">
        <v>412529</v>
      </c>
      <c r="L8" s="169">
        <v>400000</v>
      </c>
      <c r="M8" s="169">
        <v>50000</v>
      </c>
      <c r="N8" s="167">
        <f t="shared" ref="N8:N18" si="1">SUM(B8:M8)</f>
        <v>2952500</v>
      </c>
      <c r="O8" s="170">
        <f>'2.sz.tábla'!D38</f>
        <v>2952500</v>
      </c>
      <c r="P8" s="64"/>
      <c r="Q8" s="64"/>
    </row>
    <row r="9" spans="1:17" x14ac:dyDescent="0.25">
      <c r="A9" s="159" t="s">
        <v>273</v>
      </c>
      <c r="B9" s="169">
        <v>214634</v>
      </c>
      <c r="C9" s="169">
        <v>693120</v>
      </c>
      <c r="D9" s="169">
        <v>3684604</v>
      </c>
      <c r="E9" s="169">
        <v>171570</v>
      </c>
      <c r="F9" s="169">
        <v>415541</v>
      </c>
      <c r="G9" s="169">
        <v>1311813</v>
      </c>
      <c r="H9" s="169">
        <v>252650</v>
      </c>
      <c r="I9" s="169">
        <v>687145</v>
      </c>
      <c r="J9" s="169">
        <v>2500000</v>
      </c>
      <c r="K9" s="169">
        <v>250000</v>
      </c>
      <c r="L9" s="169">
        <v>250000</v>
      </c>
      <c r="M9" s="169">
        <v>168923</v>
      </c>
      <c r="N9" s="167">
        <f t="shared" si="1"/>
        <v>10600000</v>
      </c>
      <c r="O9" s="170">
        <f>'2.sz.tábla'!D25</f>
        <v>10600000</v>
      </c>
      <c r="P9" s="64"/>
      <c r="Q9" s="64"/>
    </row>
    <row r="10" spans="1:17" x14ac:dyDescent="0.25">
      <c r="A10" s="159" t="s">
        <v>274</v>
      </c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7">
        <f t="shared" si="1"/>
        <v>0</v>
      </c>
      <c r="O10" s="64"/>
      <c r="P10" s="64"/>
      <c r="Q10" s="64"/>
    </row>
    <row r="11" spans="1:17" x14ac:dyDescent="0.25">
      <c r="A11" s="171" t="s">
        <v>275</v>
      </c>
      <c r="B11" s="172">
        <f>SUM(B7:B10)</f>
        <v>2115329</v>
      </c>
      <c r="C11" s="172">
        <f t="shared" ref="C11:M11" si="2">SUM(C7:C10)</f>
        <v>2598529</v>
      </c>
      <c r="D11" s="172">
        <f t="shared" si="2"/>
        <v>5752196</v>
      </c>
      <c r="E11" s="172">
        <f t="shared" si="2"/>
        <v>2174501</v>
      </c>
      <c r="F11" s="172">
        <f t="shared" si="2"/>
        <v>3328879</v>
      </c>
      <c r="G11" s="172">
        <f t="shared" si="2"/>
        <v>11345177</v>
      </c>
      <c r="H11" s="172">
        <f t="shared" si="2"/>
        <v>3293583</v>
      </c>
      <c r="I11" s="172">
        <f t="shared" si="2"/>
        <v>2888977</v>
      </c>
      <c r="J11" s="172">
        <f t="shared" si="2"/>
        <v>4620451</v>
      </c>
      <c r="K11" s="172">
        <f t="shared" si="2"/>
        <v>2732980</v>
      </c>
      <c r="L11" s="172">
        <f t="shared" si="2"/>
        <v>2720451</v>
      </c>
      <c r="M11" s="172">
        <f t="shared" si="2"/>
        <v>3126096</v>
      </c>
      <c r="N11" s="167">
        <f t="shared" si="1"/>
        <v>46697149</v>
      </c>
      <c r="O11" s="173">
        <f>SUM(O7:O10)</f>
        <v>46697149</v>
      </c>
      <c r="P11" s="64"/>
      <c r="Q11" s="64"/>
    </row>
    <row r="12" spans="1:17" ht="31.5" x14ac:dyDescent="0.25">
      <c r="A12" s="159" t="s">
        <v>276</v>
      </c>
      <c r="B12" s="169"/>
      <c r="C12" s="169"/>
      <c r="D12" s="169"/>
      <c r="E12" s="169"/>
      <c r="F12" s="169"/>
      <c r="G12" s="169"/>
      <c r="H12" s="169"/>
      <c r="I12" s="169"/>
      <c r="J12" s="169">
        <v>30000000</v>
      </c>
      <c r="K12" s="169"/>
      <c r="L12" s="169"/>
      <c r="M12" s="169"/>
      <c r="N12" s="167">
        <f t="shared" si="1"/>
        <v>30000000</v>
      </c>
      <c r="O12" s="64">
        <f>'2.sz.tábla'!D18</f>
        <v>30000000</v>
      </c>
      <c r="P12" s="64"/>
      <c r="Q12" s="64"/>
    </row>
    <row r="13" spans="1:17" x14ac:dyDescent="0.25">
      <c r="A13" s="159" t="s">
        <v>277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7">
        <f t="shared" si="1"/>
        <v>0</v>
      </c>
      <c r="O13" s="64">
        <f>'[2]1.sz.tábla '!C9</f>
        <v>0</v>
      </c>
      <c r="P13" s="64"/>
      <c r="Q13" s="64"/>
    </row>
    <row r="14" spans="1:17" x14ac:dyDescent="0.25">
      <c r="A14" s="159" t="s">
        <v>278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7">
        <f t="shared" si="1"/>
        <v>0</v>
      </c>
      <c r="O14" s="64">
        <f>'[2]1.sz.tábla '!C11</f>
        <v>0</v>
      </c>
      <c r="P14" s="64"/>
      <c r="Q14" s="64"/>
    </row>
    <row r="15" spans="1:17" x14ac:dyDescent="0.25">
      <c r="A15" s="171" t="s">
        <v>279</v>
      </c>
      <c r="B15" s="172">
        <f t="shared" ref="B15:M15" si="3">SUM(B12:B14)</f>
        <v>0</v>
      </c>
      <c r="C15" s="172">
        <f t="shared" si="3"/>
        <v>0</v>
      </c>
      <c r="D15" s="172">
        <f t="shared" si="3"/>
        <v>0</v>
      </c>
      <c r="E15" s="172">
        <f t="shared" si="3"/>
        <v>0</v>
      </c>
      <c r="F15" s="172">
        <f t="shared" si="3"/>
        <v>0</v>
      </c>
      <c r="G15" s="172">
        <f t="shared" si="3"/>
        <v>0</v>
      </c>
      <c r="H15" s="172">
        <f t="shared" si="3"/>
        <v>0</v>
      </c>
      <c r="I15" s="172">
        <f t="shared" si="3"/>
        <v>0</v>
      </c>
      <c r="J15" s="172">
        <f t="shared" si="3"/>
        <v>30000000</v>
      </c>
      <c r="K15" s="172">
        <f t="shared" si="3"/>
        <v>0</v>
      </c>
      <c r="L15" s="172">
        <f t="shared" si="3"/>
        <v>0</v>
      </c>
      <c r="M15" s="172">
        <f t="shared" si="3"/>
        <v>0</v>
      </c>
      <c r="N15" s="167">
        <f t="shared" si="1"/>
        <v>30000000</v>
      </c>
      <c r="O15" s="174">
        <f>O12</f>
        <v>30000000</v>
      </c>
      <c r="P15" s="64"/>
      <c r="Q15" s="64"/>
    </row>
    <row r="16" spans="1:17" s="165" customFormat="1" x14ac:dyDescent="0.25">
      <c r="A16" s="162" t="s">
        <v>10</v>
      </c>
      <c r="B16" s="175">
        <f t="shared" ref="B16:M16" si="4">SUM(B11,B15)</f>
        <v>2115329</v>
      </c>
      <c r="C16" s="175">
        <f t="shared" si="4"/>
        <v>2598529</v>
      </c>
      <c r="D16" s="175">
        <f t="shared" si="4"/>
        <v>5752196</v>
      </c>
      <c r="E16" s="175">
        <f t="shared" si="4"/>
        <v>2174501</v>
      </c>
      <c r="F16" s="175">
        <f t="shared" si="4"/>
        <v>3328879</v>
      </c>
      <c r="G16" s="175">
        <f t="shared" si="4"/>
        <v>11345177</v>
      </c>
      <c r="H16" s="175">
        <f t="shared" si="4"/>
        <v>3293583</v>
      </c>
      <c r="I16" s="175">
        <f t="shared" si="4"/>
        <v>2888977</v>
      </c>
      <c r="J16" s="175">
        <f t="shared" si="4"/>
        <v>34620451</v>
      </c>
      <c r="K16" s="175">
        <f t="shared" si="4"/>
        <v>2732980</v>
      </c>
      <c r="L16" s="175">
        <f t="shared" si="4"/>
        <v>2720451</v>
      </c>
      <c r="M16" s="175">
        <f t="shared" si="4"/>
        <v>3126096</v>
      </c>
      <c r="N16" s="167">
        <f t="shared" si="1"/>
        <v>76697149</v>
      </c>
      <c r="O16" s="173">
        <f>O11+O15</f>
        <v>76697149</v>
      </c>
      <c r="P16" s="64"/>
      <c r="Q16" s="64"/>
    </row>
    <row r="17" spans="1:17" ht="31.5" x14ac:dyDescent="0.25">
      <c r="A17" s="159" t="s">
        <v>280</v>
      </c>
      <c r="B17" s="169">
        <v>72564</v>
      </c>
      <c r="C17" s="169">
        <v>70524</v>
      </c>
      <c r="D17" s="169">
        <v>70524</v>
      </c>
      <c r="E17" s="169">
        <v>111308</v>
      </c>
      <c r="F17" s="169">
        <v>83609</v>
      </c>
      <c r="G17" s="169">
        <v>69811</v>
      </c>
      <c r="H17" s="169">
        <v>83068</v>
      </c>
      <c r="I17" s="169">
        <v>108870</v>
      </c>
      <c r="J17" s="169">
        <v>120000</v>
      </c>
      <c r="K17" s="169">
        <v>120000</v>
      </c>
      <c r="L17" s="169">
        <v>120000</v>
      </c>
      <c r="M17" s="169">
        <f>108870+76928</f>
        <v>185798</v>
      </c>
      <c r="N17" s="167">
        <f t="shared" si="1"/>
        <v>1216076</v>
      </c>
      <c r="O17" s="64">
        <f>'2.sz.tábla'!D67</f>
        <v>1216076</v>
      </c>
      <c r="P17" s="64"/>
      <c r="Q17" s="64"/>
    </row>
    <row r="18" spans="1:17" x14ac:dyDescent="0.25">
      <c r="A18" s="159" t="s">
        <v>281</v>
      </c>
      <c r="B18" s="169">
        <f>'1.sz.tábla '!B13</f>
        <v>100876000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7">
        <f t="shared" si="1"/>
        <v>100876000</v>
      </c>
      <c r="O18" s="64">
        <f>'[2]1.sz.tábla '!C13</f>
        <v>37329264</v>
      </c>
      <c r="P18" s="64"/>
      <c r="Q18" s="64"/>
    </row>
    <row r="19" spans="1:17" x14ac:dyDescent="0.25">
      <c r="A19" s="162" t="s">
        <v>13</v>
      </c>
      <c r="B19" s="69">
        <f>SUM(B16:B18)</f>
        <v>103063893</v>
      </c>
      <c r="C19" s="69">
        <f t="shared" ref="C19:M19" si="5">SUM(C16:C18)</f>
        <v>2669053</v>
      </c>
      <c r="D19" s="69">
        <f t="shared" si="5"/>
        <v>5822720</v>
      </c>
      <c r="E19" s="69">
        <f t="shared" si="5"/>
        <v>2285809</v>
      </c>
      <c r="F19" s="69">
        <f t="shared" si="5"/>
        <v>3412488</v>
      </c>
      <c r="G19" s="69">
        <f t="shared" si="5"/>
        <v>11414988</v>
      </c>
      <c r="H19" s="69">
        <f t="shared" si="5"/>
        <v>3376651</v>
      </c>
      <c r="I19" s="69">
        <f t="shared" si="5"/>
        <v>2997847</v>
      </c>
      <c r="J19" s="69">
        <f t="shared" si="5"/>
        <v>34740451</v>
      </c>
      <c r="K19" s="69">
        <f t="shared" si="5"/>
        <v>2852980</v>
      </c>
      <c r="L19" s="69">
        <f t="shared" si="5"/>
        <v>2840451</v>
      </c>
      <c r="M19" s="69">
        <f t="shared" si="5"/>
        <v>3311894</v>
      </c>
      <c r="N19" s="176">
        <f>SUM(N16:N18)</f>
        <v>178789225</v>
      </c>
      <c r="O19" s="173">
        <f>O16+O17+O18</f>
        <v>115242489</v>
      </c>
      <c r="P19" s="64"/>
      <c r="Q19" s="64"/>
    </row>
    <row r="20" spans="1:17" x14ac:dyDescent="0.25">
      <c r="A20" s="159" t="s">
        <v>282</v>
      </c>
      <c r="B20" s="169">
        <v>562511</v>
      </c>
      <c r="C20" s="169">
        <v>522229</v>
      </c>
      <c r="D20" s="169">
        <v>518199</v>
      </c>
      <c r="E20" s="169">
        <v>691094</v>
      </c>
      <c r="F20" s="169">
        <v>642246</v>
      </c>
      <c r="G20" s="169">
        <v>642692</v>
      </c>
      <c r="H20" s="169">
        <v>598093</v>
      </c>
      <c r="I20" s="169">
        <v>718586</v>
      </c>
      <c r="J20" s="169">
        <v>720000</v>
      </c>
      <c r="K20" s="169">
        <v>720000</v>
      </c>
      <c r="L20" s="169">
        <v>720000</v>
      </c>
      <c r="M20" s="169">
        <f>1415480+839644</f>
        <v>2255124</v>
      </c>
      <c r="N20" s="177">
        <f>SUM(B20:M20)</f>
        <v>9310774</v>
      </c>
      <c r="O20" s="178">
        <f>'3.sz.tábla '!D6</f>
        <v>9310774</v>
      </c>
      <c r="P20" s="64"/>
      <c r="Q20" s="64"/>
    </row>
    <row r="21" spans="1:17" x14ac:dyDescent="0.25">
      <c r="A21" s="159" t="s">
        <v>283</v>
      </c>
      <c r="B21" s="169">
        <v>120000</v>
      </c>
      <c r="C21" s="169">
        <v>85000</v>
      </c>
      <c r="D21" s="169">
        <v>86000</v>
      </c>
      <c r="E21" s="169">
        <v>99000</v>
      </c>
      <c r="F21" s="169">
        <v>120000</v>
      </c>
      <c r="G21" s="169">
        <v>96000</v>
      </c>
      <c r="H21" s="169">
        <v>112880</v>
      </c>
      <c r="I21" s="169">
        <v>108000</v>
      </c>
      <c r="J21" s="169">
        <v>110000</v>
      </c>
      <c r="K21" s="169">
        <v>110000</v>
      </c>
      <c r="L21" s="169">
        <v>110000</v>
      </c>
      <c r="M21" s="169">
        <f>255112+23871</f>
        <v>278983</v>
      </c>
      <c r="N21" s="177">
        <f t="shared" ref="N21:N33" si="6">SUM(B21:M21)</f>
        <v>1435863</v>
      </c>
      <c r="O21" s="178">
        <f>'3.sz.tábla '!D7</f>
        <v>1435863</v>
      </c>
      <c r="P21" s="64"/>
      <c r="Q21" s="64"/>
    </row>
    <row r="22" spans="1:17" x14ac:dyDescent="0.25">
      <c r="A22" s="159" t="s">
        <v>284</v>
      </c>
      <c r="B22" s="169">
        <v>30886</v>
      </c>
      <c r="C22" s="169">
        <v>1185646</v>
      </c>
      <c r="D22" s="169">
        <v>2385622</v>
      </c>
      <c r="E22" s="169">
        <v>1686905</v>
      </c>
      <c r="F22" s="169">
        <v>887111</v>
      </c>
      <c r="G22" s="169">
        <v>1668706</v>
      </c>
      <c r="H22" s="169">
        <v>1006737</v>
      </c>
      <c r="I22" s="169">
        <v>852088</v>
      </c>
      <c r="J22" s="169">
        <v>1575000</v>
      </c>
      <c r="K22" s="169">
        <v>1575000</v>
      </c>
      <c r="L22" s="169">
        <v>1575000</v>
      </c>
      <c r="M22" s="169">
        <v>1575000</v>
      </c>
      <c r="N22" s="177">
        <f t="shared" si="6"/>
        <v>16003701</v>
      </c>
      <c r="O22" s="178">
        <f>'3.sz.tábla '!D8</f>
        <v>45607903</v>
      </c>
      <c r="P22" s="64"/>
      <c r="Q22" s="64"/>
    </row>
    <row r="23" spans="1:17" x14ac:dyDescent="0.25">
      <c r="A23" s="159" t="s">
        <v>285</v>
      </c>
      <c r="B23" s="169">
        <v>100000</v>
      </c>
      <c r="C23" s="169"/>
      <c r="D23" s="169"/>
      <c r="E23" s="169">
        <v>100000</v>
      </c>
      <c r="F23" s="169"/>
      <c r="G23" s="169">
        <v>70000</v>
      </c>
      <c r="H23" s="169"/>
      <c r="I23" s="169">
        <v>100000</v>
      </c>
      <c r="J23" s="169">
        <v>100000</v>
      </c>
      <c r="K23" s="169">
        <v>100000</v>
      </c>
      <c r="L23" s="169">
        <v>100000</v>
      </c>
      <c r="M23" s="169">
        <f>965000+250000</f>
        <v>1215000</v>
      </c>
      <c r="N23" s="177">
        <f t="shared" si="6"/>
        <v>1885000</v>
      </c>
      <c r="O23" s="178">
        <f>'3.sz.tábla '!D23</f>
        <v>1885000</v>
      </c>
      <c r="P23" s="64"/>
      <c r="Q23" s="64"/>
    </row>
    <row r="24" spans="1:17" x14ac:dyDescent="0.25">
      <c r="A24" s="159" t="s">
        <v>286</v>
      </c>
      <c r="B24" s="169"/>
      <c r="C24" s="169"/>
      <c r="D24" s="169"/>
      <c r="E24" s="169"/>
      <c r="F24" s="169"/>
      <c r="G24" s="169"/>
      <c r="H24" s="169"/>
      <c r="I24" s="169"/>
      <c r="J24" s="169">
        <v>50000</v>
      </c>
      <c r="K24" s="169">
        <v>50000</v>
      </c>
      <c r="L24" s="169"/>
      <c r="M24" s="169"/>
      <c r="N24" s="177">
        <f t="shared" si="6"/>
        <v>100000</v>
      </c>
      <c r="O24" s="178">
        <f>'4.sz.tábla'!D11</f>
        <v>100000</v>
      </c>
      <c r="P24" s="64"/>
      <c r="Q24" s="64"/>
    </row>
    <row r="25" spans="1:17" x14ac:dyDescent="0.25">
      <c r="A25" s="159" t="s">
        <v>287</v>
      </c>
      <c r="B25" s="169">
        <v>25000</v>
      </c>
      <c r="C25" s="169"/>
      <c r="D25" s="169"/>
      <c r="E25" s="169">
        <v>1765294</v>
      </c>
      <c r="F25" s="169">
        <f>47500+441323+1636333</f>
        <v>2125156</v>
      </c>
      <c r="G25" s="169">
        <v>768689</v>
      </c>
      <c r="H25" s="169">
        <v>1190931</v>
      </c>
      <c r="I25" s="169">
        <v>472323</v>
      </c>
      <c r="J25" s="169">
        <v>768589</v>
      </c>
      <c r="K25" s="169">
        <v>768589</v>
      </c>
      <c r="L25" s="169">
        <v>768589</v>
      </c>
      <c r="M25" s="169">
        <v>555542</v>
      </c>
      <c r="N25" s="177">
        <f t="shared" si="6"/>
        <v>9208702</v>
      </c>
      <c r="O25" s="178">
        <f>'3.sz.tábla '!D27</f>
        <v>9208702</v>
      </c>
      <c r="P25" s="64"/>
      <c r="Q25" s="64"/>
    </row>
    <row r="26" spans="1:17" x14ac:dyDescent="0.25">
      <c r="A26" s="159" t="s">
        <v>16</v>
      </c>
      <c r="B26" s="169">
        <v>3885359</v>
      </c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77">
        <f t="shared" si="6"/>
        <v>3885359</v>
      </c>
      <c r="O26" s="178">
        <f>'[2]1.sz.tábla '!C26</f>
        <v>3097542</v>
      </c>
      <c r="P26" s="64"/>
      <c r="Q26" s="64"/>
    </row>
    <row r="27" spans="1:17" x14ac:dyDescent="0.25">
      <c r="A27" s="171" t="s">
        <v>288</v>
      </c>
      <c r="B27" s="172">
        <f>SUM(B20:B26)</f>
        <v>4723756</v>
      </c>
      <c r="C27" s="172">
        <f t="shared" ref="C27:M27" si="7">SUM(C20:C26)</f>
        <v>1792875</v>
      </c>
      <c r="D27" s="172">
        <f t="shared" si="7"/>
        <v>2989821</v>
      </c>
      <c r="E27" s="172">
        <f t="shared" si="7"/>
        <v>4342293</v>
      </c>
      <c r="F27" s="172">
        <f t="shared" si="7"/>
        <v>3774513</v>
      </c>
      <c r="G27" s="172">
        <f t="shared" si="7"/>
        <v>3246087</v>
      </c>
      <c r="H27" s="172">
        <f t="shared" si="7"/>
        <v>2908641</v>
      </c>
      <c r="I27" s="172">
        <f t="shared" si="7"/>
        <v>2250997</v>
      </c>
      <c r="J27" s="172">
        <f t="shared" si="7"/>
        <v>3323589</v>
      </c>
      <c r="K27" s="172">
        <f t="shared" si="7"/>
        <v>3323589</v>
      </c>
      <c r="L27" s="172">
        <f t="shared" si="7"/>
        <v>3273589</v>
      </c>
      <c r="M27" s="172">
        <f t="shared" si="7"/>
        <v>5879649</v>
      </c>
      <c r="N27" s="177">
        <f>SUM(B27:M27)</f>
        <v>41829399</v>
      </c>
      <c r="O27" s="173">
        <f>SUM(O20:O26)</f>
        <v>70645784</v>
      </c>
      <c r="P27" s="64"/>
      <c r="Q27" s="64"/>
    </row>
    <row r="28" spans="1:17" x14ac:dyDescent="0.25">
      <c r="A28" s="159" t="s">
        <v>88</v>
      </c>
      <c r="B28" s="169">
        <v>1525774</v>
      </c>
      <c r="C28" s="169"/>
      <c r="D28" s="169">
        <v>42225</v>
      </c>
      <c r="E28" s="169">
        <v>305860</v>
      </c>
      <c r="F28" s="169">
        <v>81600</v>
      </c>
      <c r="G28" s="169">
        <v>56000</v>
      </c>
      <c r="H28" s="169">
        <v>749000</v>
      </c>
      <c r="I28" s="169"/>
      <c r="J28" s="169">
        <v>1500000</v>
      </c>
      <c r="K28" s="169">
        <v>110000</v>
      </c>
      <c r="L28" s="169">
        <v>100000</v>
      </c>
      <c r="M28" s="169">
        <v>5265015</v>
      </c>
      <c r="N28" s="177">
        <f>SUM(B28:M28)</f>
        <v>9735474</v>
      </c>
      <c r="O28" s="178">
        <f>'5. sz. tábla'!D4</f>
        <v>9735474</v>
      </c>
      <c r="P28" s="64"/>
      <c r="Q28" s="64"/>
    </row>
    <row r="29" spans="1:17" x14ac:dyDescent="0.25">
      <c r="A29" s="159" t="s">
        <v>89</v>
      </c>
      <c r="B29" s="169">
        <v>129042</v>
      </c>
      <c r="C29" s="169"/>
      <c r="D29" s="169">
        <v>323850</v>
      </c>
      <c r="E29" s="169">
        <v>855000</v>
      </c>
      <c r="F29" s="169"/>
      <c r="G29" s="169"/>
      <c r="H29" s="169"/>
      <c r="I29" s="169"/>
      <c r="J29" s="169">
        <v>125000</v>
      </c>
      <c r="K29" s="169">
        <v>150000</v>
      </c>
      <c r="L29" s="169"/>
      <c r="M29" s="169">
        <v>2700000</v>
      </c>
      <c r="N29" s="177">
        <f t="shared" si="6"/>
        <v>4282892</v>
      </c>
      <c r="O29" s="178">
        <f>'5. sz. tábla'!D20</f>
        <v>98581688</v>
      </c>
      <c r="P29" s="64"/>
      <c r="Q29" s="64"/>
    </row>
    <row r="30" spans="1:17" x14ac:dyDescent="0.25">
      <c r="A30" s="159" t="s">
        <v>118</v>
      </c>
      <c r="B30" s="169"/>
      <c r="C30" s="169"/>
      <c r="D30" s="169"/>
      <c r="E30" s="169"/>
      <c r="F30" s="169">
        <v>26475</v>
      </c>
      <c r="G30" s="169"/>
      <c r="H30" s="169"/>
      <c r="I30" s="169"/>
      <c r="J30" s="169"/>
      <c r="K30" s="169"/>
      <c r="L30" s="169"/>
      <c r="M30" s="169"/>
      <c r="N30" s="177">
        <f t="shared" si="6"/>
        <v>26475</v>
      </c>
      <c r="O30" s="178">
        <f>'5. sz. tábla'!D26</f>
        <v>26475</v>
      </c>
      <c r="P30" s="64"/>
      <c r="Q30" s="64"/>
    </row>
    <row r="31" spans="1:17" x14ac:dyDescent="0.25">
      <c r="A31" s="171" t="s">
        <v>289</v>
      </c>
      <c r="B31" s="172">
        <f>B28+B29+B30</f>
        <v>1654816</v>
      </c>
      <c r="C31" s="172">
        <f t="shared" ref="C31:L31" si="8">SUM(C28:C30)</f>
        <v>0</v>
      </c>
      <c r="D31" s="172">
        <f t="shared" si="8"/>
        <v>366075</v>
      </c>
      <c r="E31" s="172">
        <f t="shared" si="8"/>
        <v>1160860</v>
      </c>
      <c r="F31" s="172">
        <f t="shared" si="8"/>
        <v>108075</v>
      </c>
      <c r="G31" s="172">
        <f t="shared" si="8"/>
        <v>56000</v>
      </c>
      <c r="H31" s="172">
        <f t="shared" si="8"/>
        <v>749000</v>
      </c>
      <c r="I31" s="172">
        <f t="shared" si="8"/>
        <v>0</v>
      </c>
      <c r="J31" s="172">
        <f t="shared" si="8"/>
        <v>1625000</v>
      </c>
      <c r="K31" s="172">
        <f t="shared" si="8"/>
        <v>260000</v>
      </c>
      <c r="L31" s="172">
        <f t="shared" si="8"/>
        <v>100000</v>
      </c>
      <c r="M31" s="172">
        <f>SUM(M28:M30)</f>
        <v>7965015</v>
      </c>
      <c r="N31" s="177">
        <f>SUM(B31:M31)</f>
        <v>14044841</v>
      </c>
      <c r="O31" s="173">
        <f>SUM(O28:O30)</f>
        <v>108343637</v>
      </c>
      <c r="P31" s="64"/>
      <c r="Q31" s="64"/>
    </row>
    <row r="32" spans="1:17" x14ac:dyDescent="0.25">
      <c r="A32" s="162" t="s">
        <v>19</v>
      </c>
      <c r="B32" s="175">
        <f>SUM(B31,B27)</f>
        <v>6378572</v>
      </c>
      <c r="C32" s="175">
        <f t="shared" ref="C32:M32" si="9">SUM(C31,C27)</f>
        <v>1792875</v>
      </c>
      <c r="D32" s="175">
        <f t="shared" si="9"/>
        <v>3355896</v>
      </c>
      <c r="E32" s="175">
        <f t="shared" si="9"/>
        <v>5503153</v>
      </c>
      <c r="F32" s="175">
        <f t="shared" si="9"/>
        <v>3882588</v>
      </c>
      <c r="G32" s="175">
        <f t="shared" si="9"/>
        <v>3302087</v>
      </c>
      <c r="H32" s="175">
        <f t="shared" si="9"/>
        <v>3657641</v>
      </c>
      <c r="I32" s="175">
        <f t="shared" si="9"/>
        <v>2250997</v>
      </c>
      <c r="J32" s="175">
        <f t="shared" si="9"/>
        <v>4948589</v>
      </c>
      <c r="K32" s="175">
        <f t="shared" si="9"/>
        <v>3583589</v>
      </c>
      <c r="L32" s="175">
        <f t="shared" si="9"/>
        <v>3373589</v>
      </c>
      <c r="M32" s="175">
        <f t="shared" si="9"/>
        <v>13844664</v>
      </c>
      <c r="N32" s="177">
        <f>SUM(B32:M32)</f>
        <v>55874240</v>
      </c>
      <c r="O32" s="173">
        <f>O27+O31</f>
        <v>178989421</v>
      </c>
      <c r="P32" s="64"/>
      <c r="Q32" s="64"/>
    </row>
    <row r="33" spans="1:17" ht="31.5" x14ac:dyDescent="0.25">
      <c r="A33" s="162" t="s">
        <v>290</v>
      </c>
      <c r="B33" s="175">
        <v>72564</v>
      </c>
      <c r="C33" s="175">
        <v>70524</v>
      </c>
      <c r="D33" s="175">
        <v>902028</v>
      </c>
      <c r="E33" s="175">
        <v>111308</v>
      </c>
      <c r="F33" s="175">
        <v>83609</v>
      </c>
      <c r="G33" s="175">
        <v>69811</v>
      </c>
      <c r="H33" s="175">
        <v>83068</v>
      </c>
      <c r="I33" s="175">
        <v>108870</v>
      </c>
      <c r="J33" s="175">
        <v>120000</v>
      </c>
      <c r="K33" s="175">
        <v>120000</v>
      </c>
      <c r="L33" s="175">
        <v>120000</v>
      </c>
      <c r="M33" s="175">
        <v>185798</v>
      </c>
      <c r="N33" s="177">
        <f t="shared" si="6"/>
        <v>2047580</v>
      </c>
      <c r="O33" s="178">
        <f>'1.sz.tábla '!D31</f>
        <v>2047580</v>
      </c>
      <c r="P33" s="64"/>
      <c r="Q33" s="64"/>
    </row>
    <row r="34" spans="1:17" x14ac:dyDescent="0.25">
      <c r="A34" s="162" t="s">
        <v>22</v>
      </c>
      <c r="B34" s="175">
        <f>SUM(B32:B33)</f>
        <v>6451136</v>
      </c>
      <c r="C34" s="175">
        <f t="shared" ref="C34:M34" si="10">SUM(C32:C33)</f>
        <v>1863399</v>
      </c>
      <c r="D34" s="175">
        <f t="shared" si="10"/>
        <v>4257924</v>
      </c>
      <c r="E34" s="175">
        <f t="shared" si="10"/>
        <v>5614461</v>
      </c>
      <c r="F34" s="175">
        <f t="shared" si="10"/>
        <v>3966197</v>
      </c>
      <c r="G34" s="175">
        <f t="shared" si="10"/>
        <v>3371898</v>
      </c>
      <c r="H34" s="175">
        <f t="shared" si="10"/>
        <v>3740709</v>
      </c>
      <c r="I34" s="175">
        <f t="shared" si="10"/>
        <v>2359867</v>
      </c>
      <c r="J34" s="175">
        <f t="shared" si="10"/>
        <v>5068589</v>
      </c>
      <c r="K34" s="175">
        <f t="shared" si="10"/>
        <v>3703589</v>
      </c>
      <c r="L34" s="175">
        <f t="shared" si="10"/>
        <v>3493589</v>
      </c>
      <c r="M34" s="175">
        <f t="shared" si="10"/>
        <v>14030462</v>
      </c>
      <c r="N34" s="177">
        <f>SUM(B34:M34)</f>
        <v>57921820</v>
      </c>
      <c r="O34" s="173">
        <f>O32+O33</f>
        <v>181037001</v>
      </c>
      <c r="P34" s="64"/>
      <c r="Q34" s="64"/>
    </row>
    <row r="35" spans="1:17" x14ac:dyDescent="0.25">
      <c r="A35" s="162" t="s">
        <v>291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7">
        <f>SUM(B35:M35)</f>
        <v>0</v>
      </c>
    </row>
    <row r="36" spans="1:17" ht="16.5" thickBot="1" x14ac:dyDescent="0.3">
      <c r="A36" s="179" t="s">
        <v>292</v>
      </c>
      <c r="B36" s="180">
        <f>B6+B16+B17-B34</f>
        <v>101857769</v>
      </c>
      <c r="C36" s="180">
        <f t="shared" ref="C36:M36" si="11">C6+C16+C17-C34</f>
        <v>102663423</v>
      </c>
      <c r="D36" s="180">
        <f t="shared" si="11"/>
        <v>104228219</v>
      </c>
      <c r="E36" s="180">
        <f t="shared" si="11"/>
        <v>100899567</v>
      </c>
      <c r="F36" s="180">
        <f t="shared" si="11"/>
        <v>100345858</v>
      </c>
      <c r="G36" s="180">
        <f t="shared" si="11"/>
        <v>108388948</v>
      </c>
      <c r="H36" s="180">
        <f t="shared" si="11"/>
        <v>108024890</v>
      </c>
      <c r="I36" s="180">
        <f t="shared" si="11"/>
        <v>108662870</v>
      </c>
      <c r="J36" s="180">
        <f t="shared" si="11"/>
        <v>138334732</v>
      </c>
      <c r="K36" s="180">
        <f t="shared" si="11"/>
        <v>137484123</v>
      </c>
      <c r="L36" s="180">
        <f t="shared" si="11"/>
        <v>136830985</v>
      </c>
      <c r="M36" s="180">
        <f t="shared" si="11"/>
        <v>126112417</v>
      </c>
      <c r="N36" s="181">
        <f>+N6+N16+N17-N34</f>
        <v>126112417</v>
      </c>
      <c r="O36" s="64">
        <f>O19-O34</f>
        <v>-65794512</v>
      </c>
    </row>
    <row r="38" spans="1:17" x14ac:dyDescent="0.25">
      <c r="N38" s="173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8. melléklet
Az önkormányzat 2018. évi költségvetéséről szóló 5/2018. (II. 16.)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10</vt:i4>
      </vt:variant>
    </vt:vector>
  </HeadingPairs>
  <TitlesOfParts>
    <vt:vector size="19" baseType="lpstr"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2018-12-07T09:51:52Z</cp:lastPrinted>
  <dcterms:created xsi:type="dcterms:W3CDTF">2014-05-27T12:51:39Z</dcterms:created>
  <dcterms:modified xsi:type="dcterms:W3CDTF">2018-12-21T10:58:59Z</dcterms:modified>
</cp:coreProperties>
</file>