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725" windowHeight="8820" tabRatio="903" activeTab="1"/>
  </bookViews>
  <sheets>
    <sheet name="Címrend" sheetId="1" r:id="rId1"/>
    <sheet name="1. melléklet " sheetId="2" r:id="rId2"/>
    <sheet name="2. melléklet " sheetId="3" r:id="rId3"/>
    <sheet name="3. melléklet  " sheetId="4" r:id="rId4"/>
    <sheet name="4. melléklet" sheetId="5" r:id="rId5"/>
    <sheet name="5. melléklet  " sheetId="6" r:id="rId6"/>
    <sheet name="6. melléklet" sheetId="7" r:id="rId7"/>
    <sheet name="7. melléklet" sheetId="8" r:id="rId8"/>
    <sheet name="8. melléklet" sheetId="9" r:id="rId9"/>
  </sheets>
  <externalReferences>
    <externalReference r:id="rId12"/>
  </externalReferences>
  <definedNames>
    <definedName name="_xlnm.Print_Titles" localSheetId="2">'2. melléklet '!$1:$4</definedName>
    <definedName name="_xlnm.Print_Titles" localSheetId="3">'3. melléklet  '!$A:$A</definedName>
    <definedName name="_xlnm.Print_Area" localSheetId="3">'3. melléklet  '!$A$1:$BW$53</definedName>
  </definedNames>
  <calcPr fullCalcOnLoad="1"/>
</workbook>
</file>

<file path=xl/sharedStrings.xml><?xml version="1.0" encoding="utf-8"?>
<sst xmlns="http://schemas.openxmlformats.org/spreadsheetml/2006/main" count="674" uniqueCount="381">
  <si>
    <t>Jogcím</t>
  </si>
  <si>
    <t>I.</t>
  </si>
  <si>
    <t>II.</t>
  </si>
  <si>
    <t>Összesen:</t>
  </si>
  <si>
    <t>1.</t>
  </si>
  <si>
    <t>2.</t>
  </si>
  <si>
    <t>3.</t>
  </si>
  <si>
    <t>4.</t>
  </si>
  <si>
    <t>5.</t>
  </si>
  <si>
    <t xml:space="preserve">II. </t>
  </si>
  <si>
    <t>III.</t>
  </si>
  <si>
    <t>Rehabilitációs kölcsön visszatérülése</t>
  </si>
  <si>
    <t>Munkáltatói támogatás</t>
  </si>
  <si>
    <t>IV.</t>
  </si>
  <si>
    <t>MINDÖSSZESEN:</t>
  </si>
  <si>
    <t>Dologi kiadások</t>
  </si>
  <si>
    <t>Intézmények összesen:</t>
  </si>
  <si>
    <t>Felújítás</t>
  </si>
  <si>
    <t>6.</t>
  </si>
  <si>
    <t>7.</t>
  </si>
  <si>
    <t>Közvilágítás fejlesztési keretösszeg</t>
  </si>
  <si>
    <t>8.</t>
  </si>
  <si>
    <t>Tervezési keretösszeg</t>
  </si>
  <si>
    <t xml:space="preserve">Kőszeg Város Önkormányzatának bevételei és kiadásai </t>
  </si>
  <si>
    <t>Kiemelt előirányzatok</t>
  </si>
  <si>
    <t>BEVÉTELI ELŐIRÁNYZAT MINDÖSSZESEN:</t>
  </si>
  <si>
    <t>Személyi juttatások</t>
  </si>
  <si>
    <t>Munkaadókat terhelő járulékok</t>
  </si>
  <si>
    <t>Ellátottak pénzbeli juttatásai</t>
  </si>
  <si>
    <t>KIADÁSI ELŐIRÁNYZAT MINDÖSSZESEN:</t>
  </si>
  <si>
    <t>Saját bevétel</t>
  </si>
  <si>
    <t>Kőszeg Város Önkormányzatának címrendje</t>
  </si>
  <si>
    <t>Cím</t>
  </si>
  <si>
    <t>Alcím</t>
  </si>
  <si>
    <t>Jurisics-vár Művelődési Központ és Várszínház</t>
  </si>
  <si>
    <t>Kőszeg Város Önkormányzata</t>
  </si>
  <si>
    <t>Önkormányzat és intézményei összesen</t>
  </si>
  <si>
    <t>1. a) Önkormányzati hivatal működésének támogatása</t>
  </si>
  <si>
    <t>1. b) Település-üzemeltetéshez kapcsolódó feladatellátás támogatása</t>
  </si>
  <si>
    <t>A helyi önkormányzatok általános müködésének és ágazati feladatainak támogatása összesen:</t>
  </si>
  <si>
    <t xml:space="preserve">Kőszegi Közös Önkormányzati Hivatal </t>
  </si>
  <si>
    <t>II.) Települési önkormányzatok egyes köznevelési feladatainak támogatása</t>
  </si>
  <si>
    <t>III.) Települési önkormányzatok szociális és gyermekjóléti feladatainak támogatása</t>
  </si>
  <si>
    <t>1. e) Települési önkormányzatok muzeális intézményi feladatainak támogatása</t>
  </si>
  <si>
    <t>Városrehabilitációs kölcsön</t>
  </si>
  <si>
    <t>Önként vállalt feladatok összesen:</t>
  </si>
  <si>
    <t>ebből:</t>
  </si>
  <si>
    <t>Kötelező feladatok összesen:</t>
  </si>
  <si>
    <t>2. Óvodaműködtetési támogatás</t>
  </si>
  <si>
    <t>V.) Beszámítás összege (levonva előző jogcímeken)</t>
  </si>
  <si>
    <t>2. Nem közművel gyűjtött háztartási szennyvíz ártalmatlanítása</t>
  </si>
  <si>
    <t>5. b) Gyermekétkeztetés támogatása: üzemeltetési támogatás</t>
  </si>
  <si>
    <t>5. a) Gyermekétkeztetés támogatása: elismerhető dolgozók bértámogatása</t>
  </si>
  <si>
    <t>IV.) Települési önkormányzatok kulturális feledatainak támogatása</t>
  </si>
  <si>
    <t>Chernel Kálmán Városi Könyvtár</t>
  </si>
  <si>
    <t xml:space="preserve">         bc) Köztemető fenntartásának támogatása</t>
  </si>
  <si>
    <t xml:space="preserve">         bb) Közvilágítás fenntartásának támogatása</t>
  </si>
  <si>
    <t xml:space="preserve">         ba) Zöldterület gazdálkodással kapcsolatos feladatok</t>
  </si>
  <si>
    <t>1. d) Nyilvános könyvtári ellátási és közművelődési feladatok támogatása</t>
  </si>
  <si>
    <t>Beruházás</t>
  </si>
  <si>
    <t>Felhalmozási célú átvett pénzeszközök</t>
  </si>
  <si>
    <t>Bérlakás törlesztések</t>
  </si>
  <si>
    <t>Vasivíz Zrt-től átvett vagyon értékeltetése</t>
  </si>
  <si>
    <t>Vonal alatti tételek (nem kerültek beépítésre)</t>
  </si>
  <si>
    <t>Fejlesztési kiadások-fejlesztési bevételek egyenlege:</t>
  </si>
  <si>
    <t>Kőszegi Városi Múzeum</t>
  </si>
  <si>
    <t>Előző évi maradvány</t>
  </si>
  <si>
    <t>Közhatalmi bevételek</t>
  </si>
  <si>
    <t>Működési bevételek</t>
  </si>
  <si>
    <t>Felhalmozási bevételek</t>
  </si>
  <si>
    <t>Működési célú átvett pénzeszközök</t>
  </si>
  <si>
    <t>Beruházások</t>
  </si>
  <si>
    <t>Felújítások</t>
  </si>
  <si>
    <t xml:space="preserve">         bd) Közutak fenntartásának támogatása</t>
  </si>
  <si>
    <t xml:space="preserve">1. c) Egyéb kötelező önkormányzati feladatok támogatása </t>
  </si>
  <si>
    <t>1. d)  Lakott külterülettel kapcsolatos feladatok támogatása</t>
  </si>
  <si>
    <t xml:space="preserve">1. e)  Üdülőhelyi feladatok  támgoatása </t>
  </si>
  <si>
    <t xml:space="preserve">             1. Óvodapedagógusok, és az óvodapedagógusok nevelő munkáját közvetlenül segítők bértámogatása</t>
  </si>
  <si>
    <t>2. Települési önkormányzatok szociális feladatainak egyéb támogatása</t>
  </si>
  <si>
    <t>3. Egyes szociális és gyermekjóléti feladatok támogatása</t>
  </si>
  <si>
    <t>4.  Telpülési önkormányzatok által biztosított egyes szociális szakosított ellátások támogatása: (Idősek otthona)</t>
  </si>
  <si>
    <t>Felhalmozási bevételek (saját bevételek)</t>
  </si>
  <si>
    <t>Felhalmozási célú támogatások államháztartáson belülről</t>
  </si>
  <si>
    <t>Egyéb felhalmozási célú átvett pénzeszközök</t>
  </si>
  <si>
    <t>Egyéb felhalmozási c visszatérítendő támogatások, kölcsönök</t>
  </si>
  <si>
    <t>FELHALMOZÁSI C. KÖLTSÉGVETÉSI BEVÉTELEK ÖSSZESEN:</t>
  </si>
  <si>
    <t>Előző évi maradvány felhalmozási c felhasználása</t>
  </si>
  <si>
    <t>FINANSZÍROZÁSI BEVÉTELEK ÖSSZESEN:</t>
  </si>
  <si>
    <t>Egyéb felhalmozási célú kiadások</t>
  </si>
  <si>
    <t>Felhalmozási célú visszatérítendő támogatások, kölcsönök nyújtása</t>
  </si>
  <si>
    <t>Egyéb felhalmozási célú támogatások államháztartáson belülre</t>
  </si>
  <si>
    <t>Egyéb felhalmozási célú támogatások államháztartáson kívülre</t>
  </si>
  <si>
    <t>Tartalékok</t>
  </si>
  <si>
    <t>FELHALMOZÁSI C. KÖLTSÉGVETÉSI KIADÁSOK ÖSSZESEN:</t>
  </si>
  <si>
    <t>FINANSZÍROZÁSI KIADÁSOK ÖSSZESEN:</t>
  </si>
  <si>
    <t>Hiteltörlesztések</t>
  </si>
  <si>
    <t>Finanszírozási kiadások:</t>
  </si>
  <si>
    <t>Fizetési kötelezettségek</t>
  </si>
  <si>
    <t>Kötvény törlesztések</t>
  </si>
  <si>
    <t>Adósságot keletkeztető ügyletek értéke (Stabilitási tv. 3.§)</t>
  </si>
  <si>
    <t xml:space="preserve">                - ebből felhalmozási célú állami támogatás </t>
  </si>
  <si>
    <t xml:space="preserve">     -  ebből egyéb felhalmozási c visszatérítendő támogatások, kölcsönök</t>
  </si>
  <si>
    <t xml:space="preserve">KÖLTSÉGVETÉSI BEVÉTELEK ÖSSZESEN: </t>
  </si>
  <si>
    <t>Működési célú költségvetési bevételek összesen:</t>
  </si>
  <si>
    <t>Felhalmozási célú költségvetési bevételek összesen:</t>
  </si>
  <si>
    <t xml:space="preserve">               -ebből működési célú maradvány</t>
  </si>
  <si>
    <t xml:space="preserve">               -ebből fejlesztési célú maradvány</t>
  </si>
  <si>
    <t xml:space="preserve">FINANSZÍROZÁSI BEVÉTELEK ÖSSZESEN: </t>
  </si>
  <si>
    <t xml:space="preserve">               -ebből elvonások, befizetések</t>
  </si>
  <si>
    <t xml:space="preserve">               -ebből működési célú támogatások államháztartáson kívülre</t>
  </si>
  <si>
    <t xml:space="preserve">               -ebből működési célú támogatások államháztartáson belülre</t>
  </si>
  <si>
    <t xml:space="preserve">               -ebből felhalmozási célú visszatérítendő támogatások, kölcsönök nyújtása</t>
  </si>
  <si>
    <t xml:space="preserve">               -ebből egyéb felhalmozási célú támogatások államháztartáson belülre</t>
  </si>
  <si>
    <t xml:space="preserve">               -ebből egyéb felhalmozási célú támogatások államháztartáson kívülre</t>
  </si>
  <si>
    <t>Működési célú költségvetési kiadások összesen:</t>
  </si>
  <si>
    <t>Felhalmozási célú költségvetési kiadások  összesen:</t>
  </si>
  <si>
    <t xml:space="preserve">KÖLTSÉGVETÉSI KIADÁSOK ÖSSZESEN: </t>
  </si>
  <si>
    <t xml:space="preserve">FINANSZÍROZÁSI CÉLÚ KIADÁSOK ÖSSZESEN: </t>
  </si>
  <si>
    <t xml:space="preserve">  - ebből állami támogatás önkormányzati feladatokhoz</t>
  </si>
  <si>
    <t xml:space="preserve"> - ebből egyéb működési célú támogatás államháztartáson belülről</t>
  </si>
  <si>
    <t xml:space="preserve">     -  ebből egyéb felhalmozási célú átvett pénzeszközök</t>
  </si>
  <si>
    <t>Működési célú támogatások álamháztartáson belülről</t>
  </si>
  <si>
    <t xml:space="preserve">Egyéb működési célú kiadások </t>
  </si>
  <si>
    <t xml:space="preserve">               -ebből tartalékok</t>
  </si>
  <si>
    <t>Helyi adóból származó bevétel</t>
  </si>
  <si>
    <t>tárgyi eszköz és imm j, részvény, részesedés értékesítés bevétele</t>
  </si>
  <si>
    <t>Önk-i vagyon, vagyoni ért jog értékesítése, hasznosítása</t>
  </si>
  <si>
    <t>osztalék, koncessziós díj és hozambevétel</t>
  </si>
  <si>
    <t>bírság, pótlék és díjbevétel</t>
  </si>
  <si>
    <t>kezességvállalás megtérülése</t>
  </si>
  <si>
    <t>Saját bevétel 50%-a</t>
  </si>
  <si>
    <t>KIMUTATÁS</t>
  </si>
  <si>
    <t xml:space="preserve">I. </t>
  </si>
  <si>
    <t>Bevételek (források)</t>
  </si>
  <si>
    <t>Európai Unios forrás</t>
  </si>
  <si>
    <t>Kormányzati támogatás</t>
  </si>
  <si>
    <t>Egyéb támogatás</t>
  </si>
  <si>
    <t>Önkormányzat saját forrásaiból</t>
  </si>
  <si>
    <t>Kiadások:</t>
  </si>
  <si>
    <t>Egyéb kiadás</t>
  </si>
  <si>
    <t>*</t>
  </si>
  <si>
    <t>Jurisics-vár Műv. Központ és Várszínház</t>
  </si>
  <si>
    <t xml:space="preserve"> - ebből egyéb működési célú támogatás áht-n belülről</t>
  </si>
  <si>
    <t xml:space="preserve">               -ebből működési célú támogatások áht-n belülre</t>
  </si>
  <si>
    <t xml:space="preserve">               -ebből működési célú támogatások áht-n kívülre</t>
  </si>
  <si>
    <t>Rendezési terv módosításának tervezése</t>
  </si>
  <si>
    <t>Középtávú terv 2019.</t>
  </si>
  <si>
    <t>Központi irányítószervi támogatás</t>
  </si>
  <si>
    <t xml:space="preserve">Kőszeg Város Önkormányzata és intézményei </t>
  </si>
  <si>
    <t xml:space="preserve">     -  ebből egyéb felh c visszat. támogatások, kölcsönök</t>
  </si>
  <si>
    <t xml:space="preserve">     -  ebből egyéb felh. célú átvett pénzeszközök</t>
  </si>
  <si>
    <t xml:space="preserve">               -ebből felh. C. visszat. támogatások, kölcsönök nyújtása</t>
  </si>
  <si>
    <t xml:space="preserve">               -ebből egyéb felh. célú támogatások áht-n blülre</t>
  </si>
  <si>
    <t xml:space="preserve">               -ebből egyéb felh. célú támogatások áht-n kívülre</t>
  </si>
  <si>
    <t xml:space="preserve">  -ebből  szakmai létszám</t>
  </si>
  <si>
    <t xml:space="preserve">  - ebből  technikai létszám</t>
  </si>
  <si>
    <t>Kőszeg Város Önkormányzata és intézményei központi írányítószervi támogatást nettósítva</t>
  </si>
  <si>
    <t>feladatjelleg szerint: - kötelező feladatok</t>
  </si>
  <si>
    <t>LÉTSZÁM (engedélyezett létszámkeret közfogalkoztatottak nélkül)</t>
  </si>
  <si>
    <t>feladatjelleg szerint: - önként vállalt feladatok</t>
  </si>
  <si>
    <t>feladatjelleg szerint: - államigazgatási feladatok</t>
  </si>
  <si>
    <t>Kőszegi Szociális Gondozási Központ</t>
  </si>
  <si>
    <t>4.  Pedagógus II. kategóriába sorolt óvodapedagógusok kiegészítő támogatása</t>
  </si>
  <si>
    <t>Középtávú terv 2020.</t>
  </si>
  <si>
    <t>Eszterházy oltár restraurálására kapott támogatás maradványa</t>
  </si>
  <si>
    <t>Kőszegi tűzoltóság áthelyezése (állami támogatásból)</t>
  </si>
  <si>
    <t>Jurisics-vár Művelődési Központ és Várszínház érdekeltségnövelő pályázat saját erő</t>
  </si>
  <si>
    <t>Kőszegi Közös Önkormányzati Hivatal kisértékű tárgyi eszköz beszerzés</t>
  </si>
  <si>
    <t>Eszterházy oltár restraurálása</t>
  </si>
  <si>
    <t>Munkás u. betonjárda építés</t>
  </si>
  <si>
    <t>Strandsétány u. betonjárda építése</t>
  </si>
  <si>
    <t>Városüzemeltető Kft részére 1 db  nagyteljesítményű fűnyíró traktor</t>
  </si>
  <si>
    <t>MEGNEVEZÉS</t>
  </si>
  <si>
    <t xml:space="preserve">Költségvetési engedélyezett létszámkeret (álláshely) </t>
  </si>
  <si>
    <t>MINDÖSSZESEN</t>
  </si>
  <si>
    <t>KÖZTISZTVISELŐK, KORMÁNYTISZTVISELŐK ÖSSZESEN</t>
  </si>
  <si>
    <t xml:space="preserve">KÖZALKALMAZOTTAK ÖSSZESEN </t>
  </si>
  <si>
    <t xml:space="preserve">EGYÉB BÉRRENDSZER ÖSSZESEN </t>
  </si>
  <si>
    <t>polgármester, főpolgármester</t>
  </si>
  <si>
    <t>helyi önkormányzati képviselő-testület tagja, megyei közgyűlés tagja</t>
  </si>
  <si>
    <t>alpolgármester, főpolgármester-helyettes, megyei közgyűlés elnöke, alelnöke</t>
  </si>
  <si>
    <t xml:space="preserve">VÁLASZTOTT TISZTSÉGVISELŐK ÖSSZESEN </t>
  </si>
  <si>
    <t xml:space="preserve">KÖLTSÉGVETÉSI ENGEDÉLYEZETT LÉTSZÁMKERETBE TARTOZÓ FOGLALKOZTATOTTAK LÉTSZÁMA MINDÖSSZESEN </t>
  </si>
  <si>
    <t>Alpannónia pályázat támogatása (fejlesztési rész)</t>
  </si>
  <si>
    <t>Alpannónia pályázat keretén belül- Koronaőrző emlékhely fejlesztése</t>
  </si>
  <si>
    <t>Alpannónia pályázat keretén belül- Szulejmán-kilátó környékének (Királyvölgy) és az óriás gesztenyefa bemutatóhely fejlesztése</t>
  </si>
  <si>
    <t>Alpannónia pályázat keretén belül- Fejlesztés a Csónakázó-tónál: aqua-alpannonia® bemutatóhely és szabadtéri sportcentrum kialakítása</t>
  </si>
  <si>
    <t>Alpannónia pályázat keretén belül-  Trianoni-kereszt emlékhely fejlesztése és az egykori Vörös-kőfejtő bemutatása</t>
  </si>
  <si>
    <t>Alpannónia pályázat keretén belül-   Ördögárok - geológiai tanösvény kialakítása</t>
  </si>
  <si>
    <t>Új köztemető kialakításához terület vásárlás</t>
  </si>
  <si>
    <t>Bérlakás értékesítési bevétele</t>
  </si>
  <si>
    <t>Alpannónai pályázat</t>
  </si>
  <si>
    <t>TOP-5.2..1 Helyi foglalkoztatási együttműködés pályázat (Foglalkoztatási paktum)</t>
  </si>
  <si>
    <t xml:space="preserve">Egyéb kiadás/ tartalék </t>
  </si>
  <si>
    <t>Kőszeg Város Önkor-mányzata</t>
  </si>
  <si>
    <t>foglalkoztatottak létszáma (fő)</t>
  </si>
  <si>
    <t>Kőszeg Város Önkormányzatának központilag szabályozott bevételei 2018. évben</t>
  </si>
  <si>
    <t>Támogatás összege 2018. 01. 01.             ( Ft)</t>
  </si>
  <si>
    <t xml:space="preserve">A helyi önkormányzatok általános müködésének és ágazati feladatainak támogatása (2017. évi C. törvény 2. melléklete szerint)  </t>
  </si>
  <si>
    <t>6. Polgármesteri illetmény támogatása</t>
  </si>
  <si>
    <t>7.a.(1) Kiegészító támogatás a bölcsődében folgalkoztatott, felsőfokú végzettségű kisgyermeknevelők béréhez</t>
  </si>
  <si>
    <t xml:space="preserve">7.a.(2) Finanszírozás szempontjából elismert szakmai dolgozók bértámogatása </t>
  </si>
  <si>
    <t>7.b. Bölcsődei üzemeltetés támogatása</t>
  </si>
  <si>
    <t>Központi Óvoda és Bölcsőde Többcélú Közös Igazgatású Köznevelési Intézmény</t>
  </si>
  <si>
    <t>Újvárosi Óvoda</t>
  </si>
  <si>
    <t>Kőszegi Közös Önkormányzati Hivatal</t>
  </si>
  <si>
    <t>2018. évben</t>
  </si>
  <si>
    <t>2018. évi eredeti előirányzat</t>
  </si>
  <si>
    <t>Bevételi előirányzatok (Ft-ban)</t>
  </si>
  <si>
    <t>Kiadási előirányzatok (Ft-ban)</t>
  </si>
  <si>
    <t>Központi Óvoda-Horvátzsidányi tagóvoda</t>
  </si>
  <si>
    <t>Központi Óvoda Összesen</t>
  </si>
  <si>
    <t>Újvárosi Óvoda Összesen</t>
  </si>
  <si>
    <t>Központi Óvoda Székhely Kőszeg</t>
  </si>
  <si>
    <t>Kőszeg Város Önkormányzata és intézményei bevételei és kiadásai 2018. évben</t>
  </si>
  <si>
    <t xml:space="preserve">          2018. évi felhalmozási célú bevételek </t>
  </si>
  <si>
    <t xml:space="preserve">          ( Ft)</t>
  </si>
  <si>
    <t>2018. évi felhalmozási  kiadások ( Ft)</t>
  </si>
  <si>
    <t>Kőszeg Város Ökormányzata saját bevételeinek összege és adósságot keletkeztető ügyleteinek értéke 2018-2021. években ( Ft)</t>
  </si>
  <si>
    <t>Kőszeg Város Önkormányzata 2018. évi költségvetésében európai uniós forrásból megvalósítandó projektek, fejlesztések:</t>
  </si>
  <si>
    <t>2018.</t>
  </si>
  <si>
    <t>Kőszeg Város Önkormányzata és intézményei 2018. évi költségvetésében szereplő</t>
  </si>
  <si>
    <t>Központi Óvoda székhely intézménye</t>
  </si>
  <si>
    <t>Központi Óvoda Bölcsőde</t>
  </si>
  <si>
    <t>Központi Óvoda Felsővárosi tagóvodája</t>
  </si>
  <si>
    <t>Központi Óvoda Horvátzsidányi tagóvodája</t>
  </si>
  <si>
    <t>Központi Óvoda Peresznyei tagóvodája</t>
  </si>
  <si>
    <t>Központi Óvoda összesen</t>
  </si>
  <si>
    <t>Újvárosi Óvoda székhely intézménye</t>
  </si>
  <si>
    <t>Újvárosi Óvoda Kőszegfalvi tagóvodája</t>
  </si>
  <si>
    <t>Újvárosi Óvoda Velemi tagóvodája</t>
  </si>
  <si>
    <t>Újvárosi Óvoda összesen</t>
  </si>
  <si>
    <t>ÖBB vasútpálya megvásárlásával együtt (26000EUR)</t>
  </si>
  <si>
    <t>Kőszegfalvi Sportegyesület fejlesztéseihez hozzájárulás</t>
  </si>
  <si>
    <t>Várkör 53. pincebeázás megoldása</t>
  </si>
  <si>
    <t>Mély utca folyóka építés</t>
  </si>
  <si>
    <t>Balog Iskola parkoló építése, csapadékvíz evezetése</t>
  </si>
  <si>
    <t>Buszpályaudvar nyilvános WC felújítása</t>
  </si>
  <si>
    <t>Zártkerti mintaprogram pályázat sajá erő</t>
  </si>
  <si>
    <t>Egészségház klímaberendezés várótermekben</t>
  </si>
  <si>
    <t>Várkör-Rajnis-Pék utca gyalogos átkelő kiépítése közvilágítással</t>
  </si>
  <si>
    <t>Vagyonhasznosító bevétele (Napelempark )</t>
  </si>
  <si>
    <t>Vagyonhasznosító bevétele (Rákóczi utca 1. üzlethelyiség eladása )</t>
  </si>
  <si>
    <t xml:space="preserve">9 fős Mikrobusz végszámla </t>
  </si>
  <si>
    <t>Posztó utcai parkoló kialakítása (pályázati pénzből)</t>
  </si>
  <si>
    <t>Károlyi M. utca Bercsényi utcáig tartó szakaszán járda és csapadékvíz + műszaki ellenőr</t>
  </si>
  <si>
    <t>TOP-2.1.2-15 Városmajor</t>
  </si>
  <si>
    <t>TOP-2.1.3-15 Csapadékvíz</t>
  </si>
  <si>
    <t>TOP-3.1.1-15 Déli Városrész</t>
  </si>
  <si>
    <t>TOP-3.2.1-16 Önkormányzati épület energetikai</t>
  </si>
  <si>
    <t>TOP-3.1.1-15 Kőszegfalvi  Kerékpárút</t>
  </si>
  <si>
    <t xml:space="preserve">TOP-1.4.1-15 Újvárosi Óvoda </t>
  </si>
  <si>
    <t>TOP-1.4.1-15 Központi Óvoda</t>
  </si>
  <si>
    <t>TOP-1.2.1-16 Turisztika</t>
  </si>
  <si>
    <t>Alpannónia pályázat keretén belül-  Tanulmányút az alpannónia túraúton</t>
  </si>
  <si>
    <t>Alpannónia pályázat keretén belül-   Térségi nagyrendezvényeken történá részvétel</t>
  </si>
  <si>
    <t>Csapadékvíz elvezető rendszer Kraft forrás megelőlegezés (Tamás árok hordalékfogó)</t>
  </si>
  <si>
    <t>Kőszegi Szociális Gondozási Központ Hajléktalan szálló vizesblokk műszaki felmérés alapján adott árajánlat</t>
  </si>
  <si>
    <t xml:space="preserve">"Sgraffitós ház felújítása" </t>
  </si>
  <si>
    <t>Károlyi garázssor útfelújítás + műszaki ellenőr</t>
  </si>
  <si>
    <t>Szippantó felépítmény</t>
  </si>
  <si>
    <t>Bionemezgyárnál zsilip megközelítésére szolgáló terület kitisztítása</t>
  </si>
  <si>
    <t>1818/2016. (XII.22.) Korm. hat. kapott támogatás (Tűzoltóság)</t>
  </si>
  <si>
    <t>1717/2017. (X.3.) Korm. hat. kapott támogatás (Posztó utcai parkoló)</t>
  </si>
  <si>
    <t>1115/2017. (III. 7.) Korm. hat. kapott támogatás maradványa (Sgraffitós ház)</t>
  </si>
  <si>
    <t>Jurisics-vár Művelődési Központ és Várszínház fényképező gép Kőszeg és Vidéke Újsághoz</t>
  </si>
  <si>
    <t>Lakástámogatás visszatérítés</t>
  </si>
  <si>
    <t xml:space="preserve">Vagyonhasznosító bevétele </t>
  </si>
  <si>
    <t>Liszt Ferenc utca felújítás (Kőszegi tűzoltóság megközelíthetősége önerőből)</t>
  </si>
  <si>
    <t>Szent György utca és Postásrét  utca szennyvízcsatorna kiépítése</t>
  </si>
  <si>
    <t>Hulladékgazdálkodási társulási beruházásokhoz átadás (2017.évi hátralék)</t>
  </si>
  <si>
    <t>VASIVÍZ Zrt. Kompenzációs számlák</t>
  </si>
  <si>
    <t>TOP előkészítő keret 2017. évi maradványa</t>
  </si>
  <si>
    <t>TOP előkészítő keret terhére2017-ben szerződőtt</t>
  </si>
  <si>
    <t xml:space="preserve">VELOREGIO projekt forrás megelőlegezés </t>
  </si>
  <si>
    <t xml:space="preserve">TOP projektek 2018.évi előkészítési költségei </t>
  </si>
  <si>
    <t>Kőszegi Szociális Gondozási Központ kisértékű tárgyi eszköz beszerzés</t>
  </si>
  <si>
    <t>Központi Óvoda Székhely Intézmény kisértékű tárgyi eszköz beszerzés</t>
  </si>
  <si>
    <t>Központi Óvoda Bölcsőde Intézményegysége kisértékű tárgyi eszköz beszerzés</t>
  </si>
  <si>
    <t>Újvárosi Óvoda Székhely Intézmény kisértékű tárgyi eszköz beszerzés</t>
  </si>
  <si>
    <t>Újvárosi Óvoda Kőszegfalvi tagóvodája kisértékű tárgyi eszköz beszerzés</t>
  </si>
  <si>
    <t>Velem községi Önkormányzat Közös Hivatalhoz</t>
  </si>
  <si>
    <t>Bozsok községi Önkormányzat Közös Hivatalhoz</t>
  </si>
  <si>
    <t xml:space="preserve">                - ebből felhalmozási célú önkormányzati támogatás </t>
  </si>
  <si>
    <t>Jurisics Vár TOP projekthez</t>
  </si>
  <si>
    <t>Jurisics Vár TOP projekt keretében beszerzendő eszközök</t>
  </si>
  <si>
    <t>Középtávú terv 2021.</t>
  </si>
  <si>
    <t>2018. évi költségvetési rendelet</t>
  </si>
  <si>
    <t>Középtávú terv 2018. (2017-ben prognosztizált adatok)</t>
  </si>
  <si>
    <t>Egészségház melleti fejlesztési terület közművesítés és útépítés</t>
  </si>
  <si>
    <t>Szent Imre herceg utcában a temető falának megerősítése</t>
  </si>
  <si>
    <t>Kiskakas vendéglőnél parkoló bővítése</t>
  </si>
  <si>
    <t>Az európai uniós támogatással megvalósuló programok, projektek bevételeiről és kiadásairól, valamint az önkormányzaton kívüli ilyen projektekhez való hozzájárulásról 2018. évben (adatok Ft-ban)</t>
  </si>
  <si>
    <t>I.) Települési önkrományzatok működésének támogatása</t>
  </si>
  <si>
    <t xml:space="preserve">Kőszegi futball Club telephely korszerűsítése pályázat önerő hozzájárulása 168/2017.(IX.28.) Képviselő-testületi határozat alapján </t>
  </si>
  <si>
    <t>Központi Orvosi Ügyelet ügyeleti autó cseréje</t>
  </si>
  <si>
    <t xml:space="preserve">Jurisics Vár- Kőszegfalvi klub asztallapok cseréje </t>
  </si>
  <si>
    <t>Újvárosi Óvoda Kőszegfalvi tagóvodája - konyhai ablak cseréje</t>
  </si>
  <si>
    <t>felhalmozási pénzmaradvány</t>
  </si>
  <si>
    <t>Vagyonhasznosító bevétele (Ciao Amigo eladása)</t>
  </si>
  <si>
    <t>Központi Óvoda és Újvárosi Óvoda Kraft forrás megelőlegezés</t>
  </si>
  <si>
    <t>4. melléklet a 2/2018. (II.16.) önkormányzati rendelethez</t>
  </si>
  <si>
    <t>5. melléklet a  2/2018. (II.16.) önkormányzati rendelethez</t>
  </si>
  <si>
    <t>6. melléklet a 2/2018 (II.16.) önkormányzati rendelethez</t>
  </si>
  <si>
    <t>7. melléklet a 2/2018. (II.16.) önkormányzati rendelethez</t>
  </si>
  <si>
    <t>8. melléklet a 2/2018. (II.16.) önkormányzati rendelethez</t>
  </si>
  <si>
    <t>Kőszegi Városi Múzeum - radiátor csere a Rákóczi utca 3-ban</t>
  </si>
  <si>
    <t>2018. I. félévi módosított előirányzat</t>
  </si>
  <si>
    <t>Változás</t>
  </si>
  <si>
    <t xml:space="preserve">                - ebből felhalmozási célú EU támogatás </t>
  </si>
  <si>
    <t>"</t>
  </si>
  <si>
    <t>Támogatás összege 2018. 06. 30.             ( Ft)</t>
  </si>
  <si>
    <t>Változás  összege ( Ft)</t>
  </si>
  <si>
    <t>5. 2017.évi bérkompenzáció támogatása</t>
  </si>
  <si>
    <t>5.  Nemzetiségi óvodapedagógusok kiegészítő támogatása</t>
  </si>
  <si>
    <t>1. Szociális ágazati pótlék</t>
  </si>
  <si>
    <t>1. i) Települési önkormányzatok könyvtári érdekeltségnövelő támogatása</t>
  </si>
  <si>
    <t>Kulturális pótlék</t>
  </si>
  <si>
    <t xml:space="preserve">A helyi önkormányzatok kiegészítő támogatásai  (2017. évi C. törvény 3. melléklete szerint)  </t>
  </si>
  <si>
    <t>I.) Működési célú  támogatások</t>
  </si>
  <si>
    <t>2018. évi bérkompenzáció</t>
  </si>
  <si>
    <t xml:space="preserve">           ASP működési támogatása</t>
  </si>
  <si>
    <t>Működési célú  önkormányzati támogatások összesen (2017. évi C. törvény 2. és 3. melléklete szerint):</t>
  </si>
  <si>
    <t xml:space="preserve">I.) Felhalmozási célú támogatások </t>
  </si>
  <si>
    <t>1135/2018. (III.26.) Korm. hat. kapott támogatása (tűzoltóság áthelyezésére II.ütem)</t>
  </si>
  <si>
    <t>VIS MAIOR Támogatás</t>
  </si>
  <si>
    <t>Felhalmozási célú  önkormányzati támogatások összesen (2017. évi C. törvény 2. és 3. melléklete szerint):</t>
  </si>
  <si>
    <t xml:space="preserve">Központi Óvoda - Bölcsőde </t>
  </si>
  <si>
    <t>Központi Óvoda-Felsővárosi tagóvoda</t>
  </si>
  <si>
    <t>Központi Óvoda-Peresznyei tagóvoda</t>
  </si>
  <si>
    <t>Újvárosi Óvoda székhely Kőszeg</t>
  </si>
  <si>
    <t>Újvárosi Óvoda-Kőszegfalvi tagóvoda</t>
  </si>
  <si>
    <t>Újvárosi Óvoda-Bozsoki tagóvoda</t>
  </si>
  <si>
    <t>Újvárosi Óvoda-Velemi tagóvoda</t>
  </si>
  <si>
    <t>eredeti előirányzat</t>
  </si>
  <si>
    <t>módosított ei. 2018.06.30.</t>
  </si>
  <si>
    <t>változás</t>
  </si>
  <si>
    <t>módosított ei. 2017.06.30.</t>
  </si>
  <si>
    <t>módosított ei. 2017.09.30.</t>
  </si>
  <si>
    <t>KÖZFOGLALKOZTATOTTAK létszáma</t>
  </si>
  <si>
    <t>Eredeti előirányzat</t>
  </si>
  <si>
    <t>Módosított előirányzat 2018.06.30.</t>
  </si>
  <si>
    <t xml:space="preserve">Változás összege </t>
  </si>
  <si>
    <t>1135/2018. (III.22.) Korm. hat. kapott támogatás (Tűzoltóság)</t>
  </si>
  <si>
    <t>VIS MAIOR támogatás</t>
  </si>
  <si>
    <t>Kőszeg városkörnyéki közösségi közlekedés fejlesztése támogatás</t>
  </si>
  <si>
    <t>Változás összege</t>
  </si>
  <si>
    <t xml:space="preserve">Kőszegi tűzoltóság áthelyezése II.ütem </t>
  </si>
  <si>
    <t>rendezvény áramellátás</t>
  </si>
  <si>
    <t>Kiss János lakótelep belső tömb parkoló építés I. ütem /19 db/</t>
  </si>
  <si>
    <t>Chernel 12. csapadékvíz elvezetés</t>
  </si>
  <si>
    <t>Missziós ház kerítés áthelyezés</t>
  </si>
  <si>
    <t>Vízmű utcai ivóvízhálózat kiépítése + műszaki ellenőr</t>
  </si>
  <si>
    <t>Hirdetőtáblák cseréje</t>
  </si>
  <si>
    <t>utcanévtáblák kihelyezése</t>
  </si>
  <si>
    <t>Kárpáti Sándor utca 54 m hosszú szakaszának járhatóvá tétele</t>
  </si>
  <si>
    <t>Szent Imre herceg utca, Gesztenyefa utca új aszfaltburkolat</t>
  </si>
  <si>
    <t>Könyvtár érdekeltségnövelő támogtásra elszámolható eszközbeszerzése</t>
  </si>
  <si>
    <t>VÁR EFOP támogatás terhére</t>
  </si>
  <si>
    <t xml:space="preserve">Múzeum 2017.évi pénzmaradványból </t>
  </si>
  <si>
    <t>Hivatal karbantartásról átcsoportosítás</t>
  </si>
  <si>
    <t xml:space="preserve">Központi Óvoda 2017.évi pénzmaradványból </t>
  </si>
  <si>
    <t xml:space="preserve">Horvátzsidányi tagóvoda 2017.évi pénzmaradványból </t>
  </si>
  <si>
    <t>Kőszeg Városkörnényi közlekedés támogatásából</t>
  </si>
  <si>
    <t>"Sgraffitós ház felújítása" fordíttt ÁFA átvezetése dologi kiadásokra</t>
  </si>
  <si>
    <t>VIS MAIOR helyreállítás (2017-ről önerő bíztosításával)</t>
  </si>
  <si>
    <t>Chernel 12. tetőjavítás, homlokzat; Rákóczi 3. tetőjavítás; Cáki út javítás</t>
  </si>
  <si>
    <t>vágóhíd bontása</t>
  </si>
  <si>
    <t>Malom utca útfelújítás</t>
  </si>
  <si>
    <t>falépcső felújítás: Szulejmán, Csónakázó tó</t>
  </si>
  <si>
    <t>Űrhajósok útja Bercsényi - Rómer Flóris közti szakaszának felújítása</t>
  </si>
  <si>
    <t>Meskó utca Bakcsy-Zs. E. utcáig tartó szakaszának felújítása</t>
  </si>
  <si>
    <t>VÁR 2017.évi pénzmaradványból</t>
  </si>
  <si>
    <t>Múzeum 2017.évi pénzmaradványból</t>
  </si>
  <si>
    <t>Közvilágítás felújítás</t>
  </si>
  <si>
    <t xml:space="preserve">Hősök tornya </t>
  </si>
  <si>
    <t xml:space="preserve">Fejlesztési tartalék alapannónia </t>
  </si>
  <si>
    <t>,</t>
  </si>
  <si>
    <t>1. melléklet a 2/2018. (II.16.) önkormányzati rendelethez</t>
  </si>
  <si>
    <t>2. melléklet a 2/2018. (II.16.) önkormányzati rendelethez</t>
  </si>
  <si>
    <t>3. melléklet az 2/2018. (II.16) önkormányzati rendelethez</t>
  </si>
</sst>
</file>

<file path=xl/styles.xml><?xml version="1.0" encoding="utf-8"?>
<styleSheet xmlns="http://schemas.openxmlformats.org/spreadsheetml/2006/main">
  <numFmts count="4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H-&quot;0000"/>
    <numFmt numFmtId="167" formatCode="#,##0.000"/>
    <numFmt numFmtId="168" formatCode="#,##0.0"/>
    <numFmt numFmtId="169" formatCode="0.000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#,##0.000000"/>
    <numFmt numFmtId="174" formatCode="#,##0.000000000000"/>
    <numFmt numFmtId="175" formatCode="&quot;€&quot;#,##0;\-&quot;€&quot;#,##0"/>
    <numFmt numFmtId="176" formatCode="&quot;€&quot;#,##0;[Red]\-&quot;€&quot;#,##0"/>
    <numFmt numFmtId="177" formatCode="&quot;€&quot;#,##0.00;\-&quot;€&quot;#,##0.00"/>
    <numFmt numFmtId="178" formatCode="&quot;€&quot;#,##0.00;[Red]\-&quot;€&quot;#,##0.00"/>
    <numFmt numFmtId="179" formatCode="_-&quot;€&quot;* #,##0_-;\-&quot;€&quot;* #,##0_-;_-&quot;€&quot;* &quot;-&quot;_-;_-@_-"/>
    <numFmt numFmtId="180" formatCode="_-&quot;€&quot;* #,##0.00_-;\-&quot;€&quot;* #,##0.00_-;_-&quot;€&quot;* &quot;-&quot;??_-;_-@_-"/>
    <numFmt numFmtId="181" formatCode="[$-40E]yyyy\.\ mmmm\ d\."/>
    <numFmt numFmtId="182" formatCode="#,##0_ ;[Red]\-#,##0\ "/>
    <numFmt numFmtId="183" formatCode="_-* #,##0.000\ _F_t_-;\-* #,##0.000\ _F_t_-;_-* &quot;-&quot;??\ _F_t_-;_-@_-"/>
    <numFmt numFmtId="184" formatCode="_-* #,##0.0\ _F_t_-;\-* #,##0.0\ _F_t_-;_-* &quot;-&quot;??\ _F_t_-;_-@_-"/>
    <numFmt numFmtId="185" formatCode="_-* #,##0\ _F_t_-;\-* #,##0\ _F_t_-;_-* &quot;-&quot;??\ _F_t_-;_-@_-"/>
    <numFmt numFmtId="186" formatCode="#,##0.0000"/>
    <numFmt numFmtId="187" formatCode="#,##0.0000000"/>
    <numFmt numFmtId="188" formatCode="0.0"/>
    <numFmt numFmtId="189" formatCode="#,##0.00000"/>
    <numFmt numFmtId="190" formatCode="0.0000000"/>
    <numFmt numFmtId="191" formatCode="0.000000"/>
    <numFmt numFmtId="192" formatCode="0.00000"/>
    <numFmt numFmtId="193" formatCode="0.0000"/>
    <numFmt numFmtId="194" formatCode="0.00000000"/>
    <numFmt numFmtId="195" formatCode="#,##0\ &quot;Ft&quot;"/>
    <numFmt numFmtId="196" formatCode="[$€-2]\ #\ ##,000_);[Red]\([$€-2]\ #\ ##,000\)"/>
  </numFmts>
  <fonts count="4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sz val="10"/>
      <name val="Times New Roman CE"/>
      <family val="0"/>
    </font>
    <font>
      <sz val="10"/>
      <name val="Times New Roman CE"/>
      <family val="1"/>
    </font>
    <font>
      <b/>
      <sz val="10"/>
      <name val="Times New Roman CE"/>
      <family val="0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Times New Roman"/>
      <family val="1"/>
    </font>
    <font>
      <i/>
      <sz val="10"/>
      <name val="Times New Roman CE"/>
      <family val="0"/>
    </font>
    <font>
      <b/>
      <i/>
      <sz val="10"/>
      <name val="Arial CE"/>
      <family val="0"/>
    </font>
    <font>
      <b/>
      <i/>
      <sz val="12"/>
      <name val="Times New Roman CE"/>
      <family val="0"/>
    </font>
    <font>
      <sz val="10"/>
      <name val="MS Sans Serif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8"/>
      <name val="Times New Roman CE"/>
      <family val="0"/>
    </font>
    <font>
      <i/>
      <sz val="10"/>
      <color indexed="8"/>
      <name val="Times New Roman"/>
      <family val="1"/>
    </font>
    <font>
      <sz val="11"/>
      <color theme="1"/>
      <name val="Calibri"/>
      <family val="2"/>
    </font>
    <font>
      <i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7C80"/>
        <bgColor indexed="64"/>
      </patternFill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31" fillId="3" borderId="0" applyNumberFormat="0" applyBorder="0" applyAlignment="0" applyProtection="0"/>
    <xf numFmtId="0" fontId="19" fillId="7" borderId="1" applyNumberFormat="0" applyAlignment="0" applyProtection="0"/>
    <xf numFmtId="0" fontId="33" fillId="20" borderId="1" applyNumberFormat="0" applyAlignment="0" applyProtection="0"/>
    <xf numFmtId="0" fontId="24" fillId="21" borderId="2" applyNumberFormat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21" borderId="2" applyNumberFormat="0" applyAlignment="0" applyProtection="0"/>
    <xf numFmtId="0" fontId="2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19" fillId="7" borderId="1" applyNumberFormat="0" applyAlignment="0" applyProtection="0"/>
    <xf numFmtId="0" fontId="0" fillId="22" borderId="7" applyNumberFormat="0" applyFont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27" fillId="4" borderId="0" applyNumberFormat="0" applyBorder="0" applyAlignment="0" applyProtection="0"/>
    <xf numFmtId="0" fontId="28" fillId="20" borderId="8" applyNumberFormat="0" applyAlignment="0" applyProtection="0"/>
    <xf numFmtId="0" fontId="2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22" borderId="7" applyNumberFormat="0" applyFont="0" applyAlignment="0" applyProtection="0"/>
    <xf numFmtId="0" fontId="28" fillId="20" borderId="8" applyNumberFormat="0" applyAlignment="0" applyProtection="0"/>
    <xf numFmtId="0" fontId="3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" borderId="0" applyNumberFormat="0" applyBorder="0" applyAlignment="0" applyProtection="0"/>
    <xf numFmtId="0" fontId="32" fillId="23" borderId="0" applyNumberFormat="0" applyBorder="0" applyAlignment="0" applyProtection="0"/>
    <xf numFmtId="0" fontId="33" fillId="20" borderId="1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628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4" fillId="4" borderId="0" xfId="0" applyFont="1" applyFill="1" applyAlignment="1">
      <alignment/>
    </xf>
    <xf numFmtId="0" fontId="4" fillId="4" borderId="0" xfId="0" applyFont="1" applyFill="1" applyAlignment="1">
      <alignment vertical="top"/>
    </xf>
    <xf numFmtId="3" fontId="5" fillId="4" borderId="0" xfId="0" applyNumberFormat="1" applyFont="1" applyFill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5" fillId="4" borderId="0" xfId="0" applyFont="1" applyFill="1" applyAlignment="1">
      <alignment horizontal="center" wrapText="1"/>
    </xf>
    <xf numFmtId="0" fontId="5" fillId="7" borderId="0" xfId="0" applyFont="1" applyFill="1" applyAlignment="1">
      <alignment horizontal="center" wrapText="1"/>
    </xf>
    <xf numFmtId="0" fontId="5" fillId="23" borderId="0" xfId="0" applyFont="1" applyFill="1" applyAlignment="1">
      <alignment horizontal="center" wrapText="1"/>
    </xf>
    <xf numFmtId="0" fontId="4" fillId="23" borderId="0" xfId="0" applyFont="1" applyFill="1" applyAlignment="1">
      <alignment horizontal="center"/>
    </xf>
    <xf numFmtId="0" fontId="4" fillId="7" borderId="0" xfId="0" applyFont="1" applyFill="1" applyAlignment="1">
      <alignment/>
    </xf>
    <xf numFmtId="0" fontId="4" fillId="23" borderId="0" xfId="0" applyFont="1" applyFill="1" applyAlignment="1">
      <alignment/>
    </xf>
    <xf numFmtId="3" fontId="4" fillId="4" borderId="0" xfId="0" applyNumberFormat="1" applyFont="1" applyFill="1" applyAlignment="1">
      <alignment/>
    </xf>
    <xf numFmtId="3" fontId="4" fillId="7" borderId="0" xfId="0" applyNumberFormat="1" applyFont="1" applyFill="1" applyAlignment="1">
      <alignment/>
    </xf>
    <xf numFmtId="3" fontId="4" fillId="23" borderId="0" xfId="0" applyNumberFormat="1" applyFont="1" applyFill="1" applyAlignment="1">
      <alignment/>
    </xf>
    <xf numFmtId="3" fontId="5" fillId="23" borderId="0" xfId="0" applyNumberFormat="1" applyFont="1" applyFill="1" applyAlignment="1">
      <alignment/>
    </xf>
    <xf numFmtId="3" fontId="5" fillId="7" borderId="0" xfId="0" applyNumberFormat="1" applyFont="1" applyFill="1" applyAlignment="1">
      <alignment/>
    </xf>
    <xf numFmtId="3" fontId="14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13" fillId="0" borderId="0" xfId="0" applyFont="1" applyAlignment="1">
      <alignment wrapText="1"/>
    </xf>
    <xf numFmtId="0" fontId="14" fillId="0" borderId="0" xfId="0" applyFont="1" applyAlignment="1">
      <alignment wrapText="1"/>
    </xf>
    <xf numFmtId="3" fontId="15" fillId="0" borderId="0" xfId="0" applyNumberFormat="1" applyFont="1" applyAlignment="1">
      <alignment horizontal="center"/>
    </xf>
    <xf numFmtId="0" fontId="3" fillId="0" borderId="0" xfId="0" applyFont="1" applyAlignment="1">
      <alignment horizontal="right" vertical="top"/>
    </xf>
    <xf numFmtId="0" fontId="13" fillId="0" borderId="0" xfId="0" applyFont="1" applyAlignment="1">
      <alignment wrapText="1"/>
    </xf>
    <xf numFmtId="0" fontId="36" fillId="0" borderId="0" xfId="0" applyFont="1" applyAlignment="1">
      <alignment wrapText="1"/>
    </xf>
    <xf numFmtId="0" fontId="3" fillId="0" borderId="0" xfId="0" applyFont="1" applyAlignment="1">
      <alignment/>
    </xf>
    <xf numFmtId="3" fontId="5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4" fillId="0" borderId="0" xfId="0" applyFont="1" applyAlignment="1">
      <alignment vertical="top"/>
    </xf>
    <xf numFmtId="0" fontId="10" fillId="0" borderId="0" xfId="0" applyFont="1" applyAlignment="1">
      <alignment vertical="top"/>
    </xf>
    <xf numFmtId="3" fontId="4" fillId="0" borderId="0" xfId="0" applyNumberFormat="1" applyFont="1" applyAlignment="1">
      <alignment vertical="top"/>
    </xf>
    <xf numFmtId="0" fontId="5" fillId="4" borderId="0" xfId="0" applyFont="1" applyFill="1" applyAlignment="1">
      <alignment vertical="top"/>
    </xf>
    <xf numFmtId="3" fontId="4" fillId="4" borderId="0" xfId="0" applyNumberFormat="1" applyFont="1" applyFill="1" applyAlignment="1">
      <alignment horizontal="right" vertical="top"/>
    </xf>
    <xf numFmtId="0" fontId="0" fillId="0" borderId="0" xfId="0" applyAlignment="1">
      <alignment vertical="top"/>
    </xf>
    <xf numFmtId="3" fontId="0" fillId="0" borderId="0" xfId="0" applyNumberFormat="1" applyAlignment="1">
      <alignment/>
    </xf>
    <xf numFmtId="0" fontId="4" fillId="9" borderId="0" xfId="0" applyFont="1" applyFill="1" applyAlignment="1">
      <alignment vertical="top" wrapText="1"/>
    </xf>
    <xf numFmtId="3" fontId="4" fillId="9" borderId="0" xfId="0" applyNumberFormat="1" applyFont="1" applyFill="1" applyAlignment="1">
      <alignment vertical="top"/>
    </xf>
    <xf numFmtId="0" fontId="4" fillId="9" borderId="0" xfId="0" applyFont="1" applyFill="1" applyAlignment="1">
      <alignment vertical="top"/>
    </xf>
    <xf numFmtId="3" fontId="4" fillId="9" borderId="0" xfId="0" applyNumberFormat="1" applyFont="1" applyFill="1" applyAlignment="1">
      <alignment horizontal="right" vertical="top"/>
    </xf>
    <xf numFmtId="0" fontId="5" fillId="9" borderId="0" xfId="0" applyFont="1" applyFill="1" applyAlignment="1">
      <alignment vertical="top"/>
    </xf>
    <xf numFmtId="3" fontId="5" fillId="9" borderId="0" xfId="0" applyNumberFormat="1" applyFont="1" applyFill="1" applyAlignment="1">
      <alignment vertical="top"/>
    </xf>
    <xf numFmtId="0" fontId="5" fillId="0" borderId="10" xfId="100" applyFont="1" applyFill="1" applyBorder="1" applyAlignment="1">
      <alignment horizontal="left" vertical="center" wrapText="1"/>
      <protection/>
    </xf>
    <xf numFmtId="0" fontId="4" fillId="0" borderId="10" xfId="100" applyFont="1" applyFill="1" applyBorder="1" applyAlignment="1">
      <alignment horizontal="left" vertical="center" wrapText="1"/>
      <protection/>
    </xf>
    <xf numFmtId="0" fontId="5" fillId="0" borderId="11" xfId="100" applyFont="1" applyFill="1" applyBorder="1" applyAlignment="1">
      <alignment horizontal="left" vertical="center" wrapText="1"/>
      <protection/>
    </xf>
    <xf numFmtId="0" fontId="5" fillId="0" borderId="12" xfId="100" applyFont="1" applyFill="1" applyBorder="1" applyAlignment="1">
      <alignment horizontal="left" vertical="center" wrapText="1"/>
      <protection/>
    </xf>
    <xf numFmtId="0" fontId="5" fillId="0" borderId="13" xfId="100" applyFont="1" applyFill="1" applyBorder="1" applyAlignment="1">
      <alignment horizontal="left" vertical="center" wrapText="1"/>
      <protection/>
    </xf>
    <xf numFmtId="0" fontId="5" fillId="0" borderId="14" xfId="100" applyFont="1" applyFill="1" applyBorder="1" applyAlignment="1">
      <alignment horizontal="left" vertical="center" wrapText="1"/>
      <protection/>
    </xf>
    <xf numFmtId="0" fontId="4" fillId="0" borderId="15" xfId="100" applyFont="1" applyFill="1" applyBorder="1" applyAlignment="1">
      <alignment horizontal="left" vertical="center" wrapText="1"/>
      <protection/>
    </xf>
    <xf numFmtId="0" fontId="15" fillId="0" borderId="0" xfId="0" applyFont="1" applyAlignment="1">
      <alignment/>
    </xf>
    <xf numFmtId="0" fontId="39" fillId="0" borderId="0" xfId="97" applyFont="1">
      <alignment/>
      <protection/>
    </xf>
    <xf numFmtId="0" fontId="39" fillId="0" borderId="0" xfId="97" applyFont="1" applyAlignment="1">
      <alignment/>
      <protection/>
    </xf>
    <xf numFmtId="0" fontId="39" fillId="0" borderId="0" xfId="97" applyFont="1" applyBorder="1" applyAlignment="1">
      <alignment vertical="center"/>
      <protection/>
    </xf>
    <xf numFmtId="0" fontId="5" fillId="0" borderId="14" xfId="0" applyFont="1" applyFill="1" applyBorder="1" applyAlignment="1">
      <alignment horizontal="center" vertical="center" wrapText="1"/>
    </xf>
    <xf numFmtId="0" fontId="5" fillId="11" borderId="16" xfId="100" applyFont="1" applyFill="1" applyBorder="1" applyAlignment="1">
      <alignment horizontal="center" vertical="center" wrapText="1"/>
      <protection/>
    </xf>
    <xf numFmtId="0" fontId="5" fillId="11" borderId="17" xfId="100" applyFont="1" applyFill="1" applyBorder="1" applyAlignment="1">
      <alignment horizontal="center" vertical="center" wrapText="1"/>
      <protection/>
    </xf>
    <xf numFmtId="0" fontId="5" fillId="11" borderId="18" xfId="100" applyFont="1" applyFill="1" applyBorder="1" applyAlignment="1">
      <alignment horizontal="center" vertical="center" wrapText="1"/>
      <protection/>
    </xf>
    <xf numFmtId="0" fontId="5" fillId="0" borderId="19" xfId="0" applyFont="1" applyFill="1" applyBorder="1" applyAlignment="1">
      <alignment horizontal="center" vertical="center" wrapText="1"/>
    </xf>
    <xf numFmtId="0" fontId="40" fillId="0" borderId="14" xfId="97" applyFont="1" applyBorder="1" applyAlignment="1">
      <alignment horizontal="center" vertical="center" wrapText="1"/>
      <protection/>
    </xf>
    <xf numFmtId="4" fontId="4" fillId="0" borderId="12" xfId="97" applyNumberFormat="1" applyFont="1" applyFill="1" applyBorder="1" applyAlignment="1">
      <alignment horizontal="center" vertical="center" wrapText="1"/>
      <protection/>
    </xf>
    <xf numFmtId="4" fontId="4" fillId="0" borderId="20" xfId="97" applyNumberFormat="1" applyFont="1" applyFill="1" applyBorder="1" applyAlignment="1">
      <alignment horizontal="center" vertical="center" wrapText="1"/>
      <protection/>
    </xf>
    <xf numFmtId="4" fontId="4" fillId="0" borderId="21" xfId="97" applyNumberFormat="1" applyFont="1" applyFill="1" applyBorder="1" applyAlignment="1">
      <alignment horizontal="center" vertical="center" wrapText="1"/>
      <protection/>
    </xf>
    <xf numFmtId="4" fontId="4" fillId="0" borderId="22" xfId="97" applyNumberFormat="1" applyFont="1" applyFill="1" applyBorder="1" applyAlignment="1">
      <alignment horizontal="center" vertical="center" wrapText="1"/>
      <protection/>
    </xf>
    <xf numFmtId="4" fontId="4" fillId="11" borderId="12" xfId="97" applyNumberFormat="1" applyFont="1" applyFill="1" applyBorder="1" applyAlignment="1">
      <alignment horizontal="center" vertical="center" wrapText="1"/>
      <protection/>
    </xf>
    <xf numFmtId="4" fontId="4" fillId="0" borderId="23" xfId="97" applyNumberFormat="1" applyFont="1" applyFill="1" applyBorder="1" applyAlignment="1">
      <alignment horizontal="center" vertical="center" wrapText="1"/>
      <protection/>
    </xf>
    <xf numFmtId="4" fontId="4" fillId="0" borderId="10" xfId="97" applyNumberFormat="1" applyFont="1" applyFill="1" applyBorder="1" applyAlignment="1">
      <alignment horizontal="center" vertical="center" wrapText="1"/>
      <protection/>
    </xf>
    <xf numFmtId="4" fontId="4" fillId="0" borderId="24" xfId="97" applyNumberFormat="1" applyFont="1" applyFill="1" applyBorder="1" applyAlignment="1">
      <alignment horizontal="center" vertical="center" wrapText="1"/>
      <protection/>
    </xf>
    <xf numFmtId="4" fontId="4" fillId="0" borderId="25" xfId="97" applyNumberFormat="1" applyFont="1" applyFill="1" applyBorder="1" applyAlignment="1">
      <alignment horizontal="center" vertical="center" wrapText="1"/>
      <protection/>
    </xf>
    <xf numFmtId="4" fontId="4" fillId="0" borderId="26" xfId="97" applyNumberFormat="1" applyFont="1" applyFill="1" applyBorder="1" applyAlignment="1">
      <alignment horizontal="center" vertical="center" wrapText="1"/>
      <protection/>
    </xf>
    <xf numFmtId="4" fontId="4" fillId="11" borderId="10" xfId="97" applyNumberFormat="1" applyFont="1" applyFill="1" applyBorder="1" applyAlignment="1">
      <alignment horizontal="center" vertical="center" wrapText="1"/>
      <protection/>
    </xf>
    <xf numFmtId="4" fontId="4" fillId="0" borderId="27" xfId="97" applyNumberFormat="1" applyFont="1" applyFill="1" applyBorder="1" applyAlignment="1">
      <alignment horizontal="center" vertical="center" wrapText="1"/>
      <protection/>
    </xf>
    <xf numFmtId="4" fontId="4" fillId="0" borderId="13" xfId="97" applyNumberFormat="1" applyFont="1" applyFill="1" applyBorder="1" applyAlignment="1">
      <alignment horizontal="center" vertical="center" wrapText="1"/>
      <protection/>
    </xf>
    <xf numFmtId="4" fontId="4" fillId="0" borderId="28" xfId="97" applyNumberFormat="1" applyFont="1" applyFill="1" applyBorder="1" applyAlignment="1">
      <alignment horizontal="center" vertical="center" wrapText="1"/>
      <protection/>
    </xf>
    <xf numFmtId="4" fontId="4" fillId="0" borderId="29" xfId="97" applyNumberFormat="1" applyFont="1" applyFill="1" applyBorder="1" applyAlignment="1">
      <alignment horizontal="center" vertical="center" wrapText="1"/>
      <protection/>
    </xf>
    <xf numFmtId="4" fontId="4" fillId="0" borderId="30" xfId="97" applyNumberFormat="1" applyFont="1" applyFill="1" applyBorder="1" applyAlignment="1">
      <alignment horizontal="center" vertical="center" wrapText="1"/>
      <protection/>
    </xf>
    <xf numFmtId="4" fontId="4" fillId="11" borderId="13" xfId="97" applyNumberFormat="1" applyFont="1" applyFill="1" applyBorder="1" applyAlignment="1">
      <alignment horizontal="center" vertical="center" wrapText="1"/>
      <protection/>
    </xf>
    <xf numFmtId="4" fontId="4" fillId="0" borderId="31" xfId="97" applyNumberFormat="1" applyFont="1" applyFill="1" applyBorder="1" applyAlignment="1">
      <alignment horizontal="center" vertical="center" wrapText="1"/>
      <protection/>
    </xf>
    <xf numFmtId="4" fontId="4" fillId="0" borderId="15" xfId="97" applyNumberFormat="1" applyFont="1" applyFill="1" applyBorder="1" applyAlignment="1">
      <alignment horizontal="center" vertical="center" wrapText="1"/>
      <protection/>
    </xf>
    <xf numFmtId="4" fontId="4" fillId="0" borderId="32" xfId="97" applyNumberFormat="1" applyFont="1" applyFill="1" applyBorder="1" applyAlignment="1">
      <alignment horizontal="center" vertical="center" wrapText="1"/>
      <protection/>
    </xf>
    <xf numFmtId="4" fontId="4" fillId="0" borderId="33" xfId="97" applyNumberFormat="1" applyFont="1" applyFill="1" applyBorder="1" applyAlignment="1">
      <alignment horizontal="center" vertical="center" wrapText="1"/>
      <protection/>
    </xf>
    <xf numFmtId="4" fontId="4" fillId="0" borderId="34" xfId="97" applyNumberFormat="1" applyFont="1" applyFill="1" applyBorder="1" applyAlignment="1">
      <alignment horizontal="center" vertical="center" wrapText="1"/>
      <protection/>
    </xf>
    <xf numFmtId="4" fontId="4" fillId="11" borderId="15" xfId="97" applyNumberFormat="1" applyFont="1" applyFill="1" applyBorder="1" applyAlignment="1">
      <alignment horizontal="center" vertical="center" wrapText="1"/>
      <protection/>
    </xf>
    <xf numFmtId="4" fontId="4" fillId="0" borderId="35" xfId="97" applyNumberFormat="1" applyFont="1" applyFill="1" applyBorder="1" applyAlignment="1">
      <alignment horizontal="center" vertical="center" wrapText="1"/>
      <protection/>
    </xf>
    <xf numFmtId="4" fontId="4" fillId="0" borderId="11" xfId="97" applyNumberFormat="1" applyFont="1" applyFill="1" applyBorder="1" applyAlignment="1">
      <alignment horizontal="center" vertical="center" wrapText="1"/>
      <protection/>
    </xf>
    <xf numFmtId="4" fontId="4" fillId="0" borderId="36" xfId="97" applyNumberFormat="1" applyFont="1" applyFill="1" applyBorder="1" applyAlignment="1">
      <alignment horizontal="center" vertical="center" wrapText="1"/>
      <protection/>
    </xf>
    <xf numFmtId="4" fontId="4" fillId="0" borderId="37" xfId="97" applyNumberFormat="1" applyFont="1" applyFill="1" applyBorder="1" applyAlignment="1">
      <alignment horizontal="center" vertical="center" wrapText="1"/>
      <protection/>
    </xf>
    <xf numFmtId="4" fontId="4" fillId="0" borderId="38" xfId="97" applyNumberFormat="1" applyFont="1" applyFill="1" applyBorder="1" applyAlignment="1">
      <alignment horizontal="center" vertical="center" wrapText="1"/>
      <protection/>
    </xf>
    <xf numFmtId="4" fontId="4" fillId="11" borderId="11" xfId="97" applyNumberFormat="1" applyFont="1" applyFill="1" applyBorder="1" applyAlignment="1">
      <alignment horizontal="center" vertical="center" wrapText="1"/>
      <protection/>
    </xf>
    <xf numFmtId="4" fontId="4" fillId="0" borderId="39" xfId="97" applyNumberFormat="1" applyFont="1" applyFill="1" applyBorder="1" applyAlignment="1">
      <alignment horizontal="center" vertical="center" wrapText="1"/>
      <protection/>
    </xf>
    <xf numFmtId="4" fontId="39" fillId="0" borderId="14" xfId="97" applyNumberFormat="1" applyFont="1" applyFill="1" applyBorder="1" applyAlignment="1">
      <alignment horizontal="center" vertical="center" wrapText="1"/>
      <protection/>
    </xf>
    <xf numFmtId="4" fontId="39" fillId="0" borderId="16" xfId="97" applyNumberFormat="1" applyFont="1" applyFill="1" applyBorder="1" applyAlignment="1">
      <alignment horizontal="center" vertical="center" wrapText="1"/>
      <protection/>
    </xf>
    <xf numFmtId="4" fontId="39" fillId="0" borderId="17" xfId="97" applyNumberFormat="1" applyFont="1" applyFill="1" applyBorder="1" applyAlignment="1">
      <alignment horizontal="center" vertical="center" wrapText="1"/>
      <protection/>
    </xf>
    <xf numFmtId="4" fontId="39" fillId="0" borderId="18" xfId="97" applyNumberFormat="1" applyFont="1" applyFill="1" applyBorder="1" applyAlignment="1">
      <alignment horizontal="center" vertical="center" wrapText="1"/>
      <protection/>
    </xf>
    <xf numFmtId="4" fontId="39" fillId="11" borderId="14" xfId="97" applyNumberFormat="1" applyFont="1" applyFill="1" applyBorder="1" applyAlignment="1">
      <alignment horizontal="center" vertical="center" wrapText="1"/>
      <protection/>
    </xf>
    <xf numFmtId="4" fontId="39" fillId="0" borderId="40" xfId="97" applyNumberFormat="1" applyFont="1" applyFill="1" applyBorder="1" applyAlignment="1">
      <alignment horizontal="center" vertical="center" wrapText="1"/>
      <protection/>
    </xf>
    <xf numFmtId="4" fontId="4" fillId="0" borderId="14" xfId="97" applyNumberFormat="1" applyFont="1" applyFill="1" applyBorder="1" applyAlignment="1">
      <alignment horizontal="center" vertical="center" wrapText="1"/>
      <protection/>
    </xf>
    <xf numFmtId="0" fontId="5" fillId="11" borderId="14" xfId="100" applyFont="1" applyFill="1" applyBorder="1" applyAlignment="1">
      <alignment horizontal="center" vertical="center" wrapText="1"/>
      <protection/>
    </xf>
    <xf numFmtId="0" fontId="5" fillId="24" borderId="16" xfId="100" applyFont="1" applyFill="1" applyBorder="1" applyAlignment="1">
      <alignment horizontal="center" vertical="center" wrapText="1"/>
      <protection/>
    </xf>
    <xf numFmtId="0" fontId="5" fillId="24" borderId="17" xfId="100" applyFont="1" applyFill="1" applyBorder="1" applyAlignment="1">
      <alignment horizontal="center" vertical="center" wrapText="1"/>
      <protection/>
    </xf>
    <xf numFmtId="0" fontId="5" fillId="24" borderId="18" xfId="100" applyFont="1" applyFill="1" applyBorder="1" applyAlignment="1">
      <alignment horizontal="center" vertical="center" wrapText="1"/>
      <protection/>
    </xf>
    <xf numFmtId="0" fontId="5" fillId="24" borderId="14" xfId="100" applyFont="1" applyFill="1" applyBorder="1" applyAlignment="1">
      <alignment horizontal="center" vertical="center" wrapText="1"/>
      <protection/>
    </xf>
    <xf numFmtId="4" fontId="4" fillId="24" borderId="12" xfId="97" applyNumberFormat="1" applyFont="1" applyFill="1" applyBorder="1" applyAlignment="1">
      <alignment horizontal="center" vertical="center" wrapText="1"/>
      <protection/>
    </xf>
    <xf numFmtId="4" fontId="4" fillId="24" borderId="10" xfId="97" applyNumberFormat="1" applyFont="1" applyFill="1" applyBorder="1" applyAlignment="1">
      <alignment horizontal="center" vertical="center" wrapText="1"/>
      <protection/>
    </xf>
    <xf numFmtId="4" fontId="4" fillId="24" borderId="13" xfId="97" applyNumberFormat="1" applyFont="1" applyFill="1" applyBorder="1" applyAlignment="1">
      <alignment horizontal="center" vertical="center" wrapText="1"/>
      <protection/>
    </xf>
    <xf numFmtId="4" fontId="4" fillId="24" borderId="15" xfId="97" applyNumberFormat="1" applyFont="1" applyFill="1" applyBorder="1" applyAlignment="1">
      <alignment horizontal="center" vertical="center" wrapText="1"/>
      <protection/>
    </xf>
    <xf numFmtId="4" fontId="4" fillId="24" borderId="11" xfId="97" applyNumberFormat="1" applyFont="1" applyFill="1" applyBorder="1" applyAlignment="1">
      <alignment horizontal="center" vertical="center" wrapText="1"/>
      <protection/>
    </xf>
    <xf numFmtId="4" fontId="39" fillId="24" borderId="14" xfId="97" applyNumberFormat="1" applyFont="1" applyFill="1" applyBorder="1" applyAlignment="1">
      <alignment horizontal="center" vertical="center" wrapText="1"/>
      <protection/>
    </xf>
    <xf numFmtId="0" fontId="4" fillId="9" borderId="0" xfId="0" applyFont="1" applyFill="1" applyAlignment="1">
      <alignment horizontal="left" vertical="top"/>
    </xf>
    <xf numFmtId="3" fontId="4" fillId="4" borderId="0" xfId="0" applyNumberFormat="1" applyFont="1" applyFill="1" applyAlignment="1">
      <alignment vertical="top"/>
    </xf>
    <xf numFmtId="0" fontId="5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3" fillId="0" borderId="0" xfId="0" applyFont="1" applyAlignment="1">
      <alignment wrapText="1"/>
    </xf>
    <xf numFmtId="0" fontId="36" fillId="0" borderId="0" xfId="0" applyFont="1" applyAlignment="1">
      <alignment wrapText="1"/>
    </xf>
    <xf numFmtId="0" fontId="4" fillId="0" borderId="0" xfId="97" applyFont="1" applyFill="1" applyBorder="1" applyAlignment="1">
      <alignment horizontal="left" vertical="center" wrapText="1"/>
      <protection/>
    </xf>
    <xf numFmtId="0" fontId="4" fillId="0" borderId="0" xfId="97" applyFont="1" applyBorder="1" applyAlignment="1">
      <alignment horizontal="left" vertical="center" wrapText="1"/>
      <protection/>
    </xf>
    <xf numFmtId="0" fontId="40" fillId="0" borderId="0" xfId="97" applyFont="1" applyBorder="1" applyAlignment="1">
      <alignment horizontal="center" wrapText="1"/>
      <protection/>
    </xf>
    <xf numFmtId="0" fontId="40" fillId="0" borderId="0" xfId="97" applyFont="1" applyAlignment="1">
      <alignment horizontal="center" wrapText="1"/>
      <protection/>
    </xf>
    <xf numFmtId="0" fontId="39" fillId="0" borderId="0" xfId="97" applyFont="1" applyBorder="1" applyAlignment="1">
      <alignment horizontal="right"/>
      <protection/>
    </xf>
    <xf numFmtId="0" fontId="5" fillId="0" borderId="41" xfId="100" applyFont="1" applyFill="1" applyBorder="1" applyAlignment="1">
      <alignment horizontal="center" vertical="center" wrapText="1"/>
      <protection/>
    </xf>
    <xf numFmtId="0" fontId="5" fillId="0" borderId="42" xfId="100" applyFont="1" applyFill="1" applyBorder="1" applyAlignment="1">
      <alignment horizontal="center" vertical="center" wrapText="1"/>
      <protection/>
    </xf>
    <xf numFmtId="0" fontId="5" fillId="0" borderId="43" xfId="100" applyFont="1" applyFill="1" applyBorder="1" applyAlignment="1">
      <alignment horizontal="center" vertical="center" wrapText="1"/>
      <protection/>
    </xf>
    <xf numFmtId="0" fontId="5" fillId="0" borderId="44" xfId="100" applyFont="1" applyFill="1" applyBorder="1" applyAlignment="1">
      <alignment horizontal="center" vertical="center" wrapText="1"/>
      <protection/>
    </xf>
    <xf numFmtId="0" fontId="3" fillId="0" borderId="0" xfId="102" applyFont="1" applyAlignment="1">
      <alignment horizontal="left"/>
      <protection/>
    </xf>
    <xf numFmtId="0" fontId="8" fillId="0" borderId="0" xfId="0" applyFont="1" applyAlignment="1">
      <alignment/>
    </xf>
    <xf numFmtId="0" fontId="15" fillId="0" borderId="45" xfId="0" applyFont="1" applyBorder="1" applyAlignment="1">
      <alignment horizontal="center"/>
    </xf>
    <xf numFmtId="0" fontId="15" fillId="0" borderId="41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wrapText="1"/>
    </xf>
    <xf numFmtId="0" fontId="15" fillId="0" borderId="14" xfId="0" applyFont="1" applyBorder="1" applyAlignment="1">
      <alignment horizontal="center" wrapText="1"/>
    </xf>
    <xf numFmtId="0" fontId="14" fillId="0" borderId="15" xfId="0" applyFont="1" applyBorder="1" applyAlignment="1">
      <alignment/>
    </xf>
    <xf numFmtId="3" fontId="14" fillId="0" borderId="47" xfId="0" applyNumberFormat="1" applyFont="1" applyBorder="1" applyAlignment="1">
      <alignment/>
    </xf>
    <xf numFmtId="0" fontId="41" fillId="0" borderId="10" xfId="0" applyFont="1" applyBorder="1" applyAlignment="1">
      <alignment horizontal="left" indent="2"/>
    </xf>
    <xf numFmtId="3" fontId="35" fillId="0" borderId="48" xfId="0" applyNumberFormat="1" applyFont="1" applyBorder="1" applyAlignment="1">
      <alignment/>
    </xf>
    <xf numFmtId="0" fontId="14" fillId="0" borderId="10" xfId="0" applyFont="1" applyBorder="1" applyAlignment="1">
      <alignment/>
    </xf>
    <xf numFmtId="3" fontId="14" fillId="0" borderId="48" xfId="0" applyNumberFormat="1" applyFont="1" applyBorder="1" applyAlignment="1">
      <alignment/>
    </xf>
    <xf numFmtId="0" fontId="14" fillId="0" borderId="13" xfId="0" applyFont="1" applyBorder="1" applyAlignment="1">
      <alignment/>
    </xf>
    <xf numFmtId="3" fontId="14" fillId="0" borderId="49" xfId="0" applyNumberFormat="1" applyFont="1" applyBorder="1" applyAlignment="1">
      <alignment/>
    </xf>
    <xf numFmtId="0" fontId="15" fillId="0" borderId="14" xfId="0" applyFont="1" applyBorder="1" applyAlignment="1">
      <alignment/>
    </xf>
    <xf numFmtId="3" fontId="15" fillId="0" borderId="50" xfId="0" applyNumberFormat="1" applyFont="1" applyBorder="1" applyAlignment="1">
      <alignment/>
    </xf>
    <xf numFmtId="3" fontId="14" fillId="0" borderId="51" xfId="0" applyNumberFormat="1" applyFont="1" applyBorder="1" applyAlignment="1">
      <alignment/>
    </xf>
    <xf numFmtId="0" fontId="41" fillId="0" borderId="10" xfId="0" applyFont="1" applyBorder="1" applyAlignment="1">
      <alignment/>
    </xf>
    <xf numFmtId="3" fontId="35" fillId="0" borderId="51" xfId="0" applyNumberFormat="1" applyFont="1" applyBorder="1" applyAlignment="1">
      <alignment/>
    </xf>
    <xf numFmtId="0" fontId="41" fillId="0" borderId="10" xfId="0" applyFont="1" applyBorder="1" applyAlignment="1">
      <alignment horizontal="left" wrapText="1" indent="2"/>
    </xf>
    <xf numFmtId="3" fontId="35" fillId="0" borderId="49" xfId="0" applyNumberFormat="1" applyFont="1" applyBorder="1" applyAlignment="1">
      <alignment/>
    </xf>
    <xf numFmtId="0" fontId="15" fillId="0" borderId="41" xfId="0" applyFont="1" applyBorder="1" applyAlignment="1">
      <alignment/>
    </xf>
    <xf numFmtId="3" fontId="15" fillId="0" borderId="52" xfId="0" applyNumberFormat="1" applyFont="1" applyBorder="1" applyAlignment="1">
      <alignment/>
    </xf>
    <xf numFmtId="0" fontId="14" fillId="0" borderId="15" xfId="0" applyFont="1" applyBorder="1" applyAlignment="1">
      <alignment wrapText="1"/>
    </xf>
    <xf numFmtId="0" fontId="41" fillId="0" borderId="11" xfId="0" applyFont="1" applyBorder="1" applyAlignment="1">
      <alignment/>
    </xf>
    <xf numFmtId="3" fontId="35" fillId="0" borderId="53" xfId="0" applyNumberFormat="1" applyFont="1" applyBorder="1" applyAlignment="1">
      <alignment/>
    </xf>
    <xf numFmtId="0" fontId="15" fillId="0" borderId="42" xfId="0" applyFont="1" applyBorder="1" applyAlignment="1">
      <alignment/>
    </xf>
    <xf numFmtId="3" fontId="15" fillId="0" borderId="54" xfId="0" applyNumberFormat="1" applyFont="1" applyBorder="1" applyAlignment="1">
      <alignment/>
    </xf>
    <xf numFmtId="0" fontId="15" fillId="0" borderId="55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wrapText="1"/>
    </xf>
    <xf numFmtId="3" fontId="14" fillId="0" borderId="53" xfId="0" applyNumberFormat="1" applyFont="1" applyBorder="1" applyAlignment="1">
      <alignment/>
    </xf>
    <xf numFmtId="0" fontId="14" fillId="0" borderId="12" xfId="0" applyFont="1" applyBorder="1" applyAlignment="1">
      <alignment/>
    </xf>
    <xf numFmtId="0" fontId="15" fillId="0" borderId="14" xfId="0" applyFont="1" applyBorder="1" applyAlignment="1">
      <alignment wrapText="1"/>
    </xf>
    <xf numFmtId="3" fontId="15" fillId="0" borderId="50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3" fontId="4" fillId="0" borderId="0" xfId="99" applyNumberFormat="1" applyFont="1">
      <alignment/>
      <protection/>
    </xf>
    <xf numFmtId="0" fontId="4" fillId="0" borderId="0" xfId="99" applyFont="1">
      <alignment/>
      <protection/>
    </xf>
    <xf numFmtId="0" fontId="3" fillId="0" borderId="0" xfId="102" applyFont="1">
      <alignment/>
      <protection/>
    </xf>
    <xf numFmtId="3" fontId="4" fillId="0" borderId="0" xfId="99" applyNumberFormat="1" applyFont="1" applyAlignment="1">
      <alignment vertical="top"/>
      <protection/>
    </xf>
    <xf numFmtId="0" fontId="4" fillId="0" borderId="0" xfId="99" applyFont="1" applyAlignment="1">
      <alignment vertical="top"/>
      <protection/>
    </xf>
    <xf numFmtId="0" fontId="5" fillId="0" borderId="0" xfId="99" applyFont="1" applyAlignment="1">
      <alignment horizontal="center"/>
      <protection/>
    </xf>
    <xf numFmtId="0" fontId="5" fillId="0" borderId="0" xfId="99" applyFont="1" applyAlignment="1">
      <alignment horizontal="center"/>
      <protection/>
    </xf>
    <xf numFmtId="0" fontId="3" fillId="0" borderId="0" xfId="99" applyFont="1">
      <alignment/>
      <protection/>
    </xf>
    <xf numFmtId="3" fontId="16" fillId="0" borderId="0" xfId="99" applyNumberFormat="1" applyFont="1" applyAlignment="1">
      <alignment horizontal="center" wrapText="1"/>
      <protection/>
    </xf>
    <xf numFmtId="3" fontId="16" fillId="0" borderId="0" xfId="99" applyNumberFormat="1" applyFont="1" applyAlignment="1">
      <alignment horizontal="center" vertical="center" wrapText="1"/>
      <protection/>
    </xf>
    <xf numFmtId="0" fontId="5" fillId="0" borderId="0" xfId="99" applyFont="1">
      <alignment/>
      <protection/>
    </xf>
    <xf numFmtId="0" fontId="6" fillId="0" borderId="0" xfId="99" applyFont="1">
      <alignment/>
      <protection/>
    </xf>
    <xf numFmtId="0" fontId="7" fillId="20" borderId="0" xfId="99" applyFont="1" applyFill="1" applyAlignment="1">
      <alignment horizontal="left"/>
      <protection/>
    </xf>
    <xf numFmtId="3" fontId="4" fillId="20" borderId="0" xfId="99" applyNumberFormat="1" applyFont="1" applyFill="1">
      <alignment/>
      <protection/>
    </xf>
    <xf numFmtId="0" fontId="6" fillId="0" borderId="0" xfId="99" applyFont="1" applyAlignment="1">
      <alignment horizontal="left" wrapText="1" indent="3"/>
      <protection/>
    </xf>
    <xf numFmtId="0" fontId="6" fillId="0" borderId="0" xfId="99" applyFont="1" applyAlignment="1">
      <alignment horizontal="left" indent="3"/>
      <protection/>
    </xf>
    <xf numFmtId="0" fontId="4" fillId="0" borderId="0" xfId="99" applyFont="1" applyAlignment="1">
      <alignment horizontal="left" wrapText="1" indent="3"/>
      <protection/>
    </xf>
    <xf numFmtId="0" fontId="4" fillId="0" borderId="0" xfId="99" applyFont="1" applyAlignment="1">
      <alignment horizontal="left" indent="3"/>
      <protection/>
    </xf>
    <xf numFmtId="0" fontId="5" fillId="20" borderId="0" xfId="99" applyFont="1" applyFill="1" applyAlignment="1">
      <alignment wrapText="1"/>
      <protection/>
    </xf>
    <xf numFmtId="0" fontId="6" fillId="0" borderId="0" xfId="99" applyFont="1" applyAlignment="1">
      <alignment wrapText="1"/>
      <protection/>
    </xf>
    <xf numFmtId="2" fontId="6" fillId="0" borderId="0" xfId="99" applyNumberFormat="1" applyFont="1" applyAlignment="1">
      <alignment horizontal="left" wrapText="1" indent="3"/>
      <protection/>
    </xf>
    <xf numFmtId="0" fontId="12" fillId="0" borderId="0" xfId="99" applyFont="1">
      <alignment/>
      <protection/>
    </xf>
    <xf numFmtId="0" fontId="12" fillId="23" borderId="0" xfId="99" applyFont="1" applyFill="1">
      <alignment/>
      <protection/>
    </xf>
    <xf numFmtId="3" fontId="12" fillId="23" borderId="0" xfId="99" applyNumberFormat="1" applyFont="1" applyFill="1">
      <alignment/>
      <protection/>
    </xf>
    <xf numFmtId="0" fontId="12" fillId="0" borderId="0" xfId="99" applyFont="1" applyAlignment="1">
      <alignment wrapText="1"/>
      <protection/>
    </xf>
    <xf numFmtId="3" fontId="12" fillId="0" borderId="0" xfId="99" applyNumberFormat="1" applyFont="1" applyAlignment="1">
      <alignment wrapText="1"/>
      <protection/>
    </xf>
    <xf numFmtId="0" fontId="34" fillId="0" borderId="0" xfId="99" applyFont="1">
      <alignment/>
      <protection/>
    </xf>
    <xf numFmtId="3" fontId="4" fillId="0" borderId="0" xfId="99" applyNumberFormat="1" applyFont="1" applyAlignment="1">
      <alignment wrapText="1"/>
      <protection/>
    </xf>
    <xf numFmtId="0" fontId="11" fillId="4" borderId="0" xfId="99" applyFont="1" applyFill="1">
      <alignment/>
      <protection/>
    </xf>
    <xf numFmtId="0" fontId="11" fillId="4" borderId="0" xfId="99" applyFont="1" applyFill="1" applyAlignment="1">
      <alignment wrapText="1"/>
      <protection/>
    </xf>
    <xf numFmtId="3" fontId="11" fillId="4" borderId="0" xfId="99" applyNumberFormat="1" applyFont="1" applyFill="1">
      <alignment/>
      <protection/>
    </xf>
    <xf numFmtId="0" fontId="11" fillId="0" borderId="0" xfId="99" applyFont="1">
      <alignment/>
      <protection/>
    </xf>
    <xf numFmtId="0" fontId="44" fillId="0" borderId="0" xfId="0" applyFont="1" applyAlignment="1">
      <alignment/>
    </xf>
    <xf numFmtId="3" fontId="11" fillId="0" borderId="0" xfId="99" applyNumberFormat="1" applyFont="1">
      <alignment/>
      <protection/>
    </xf>
    <xf numFmtId="3" fontId="11" fillId="0" borderId="0" xfId="99" applyNumberFormat="1" applyFont="1" applyAlignment="1">
      <alignment wrapText="1"/>
      <protection/>
    </xf>
    <xf numFmtId="0" fontId="37" fillId="0" borderId="0" xfId="0" applyFont="1" applyAlignment="1">
      <alignment/>
    </xf>
    <xf numFmtId="0" fontId="9" fillId="0" borderId="0" xfId="0" applyFont="1" applyAlignment="1">
      <alignment/>
    </xf>
    <xf numFmtId="0" fontId="8" fillId="25" borderId="0" xfId="0" applyFont="1" applyFill="1" applyAlignment="1">
      <alignment/>
    </xf>
    <xf numFmtId="0" fontId="9" fillId="0" borderId="0" xfId="0" applyFont="1" applyAlignment="1">
      <alignment/>
    </xf>
    <xf numFmtId="0" fontId="9" fillId="0" borderId="56" xfId="0" applyFont="1" applyBorder="1" applyAlignment="1">
      <alignment horizontal="center" vertical="center" wrapText="1"/>
    </xf>
    <xf numFmtId="0" fontId="15" fillId="0" borderId="57" xfId="0" applyFont="1" applyBorder="1" applyAlignment="1">
      <alignment horizontal="center" wrapText="1"/>
    </xf>
    <xf numFmtId="0" fontId="15" fillId="0" borderId="33" xfId="0" applyFont="1" applyBorder="1" applyAlignment="1">
      <alignment horizontal="center" wrapText="1"/>
    </xf>
    <xf numFmtId="0" fontId="15" fillId="0" borderId="47" xfId="0" applyFont="1" applyBorder="1" applyAlignment="1">
      <alignment horizontal="center" wrapText="1"/>
    </xf>
    <xf numFmtId="0" fontId="15" fillId="0" borderId="57" xfId="0" applyFont="1" applyBorder="1" applyAlignment="1">
      <alignment horizontal="center" wrapText="1"/>
    </xf>
    <xf numFmtId="0" fontId="15" fillId="0" borderId="33" xfId="0" applyFont="1" applyBorder="1" applyAlignment="1">
      <alignment horizontal="center" wrapText="1"/>
    </xf>
    <xf numFmtId="0" fontId="15" fillId="0" borderId="47" xfId="0" applyFont="1" applyBorder="1" applyAlignment="1">
      <alignment horizontal="center" wrapText="1"/>
    </xf>
    <xf numFmtId="0" fontId="5" fillId="0" borderId="57" xfId="0" applyFont="1" applyBorder="1" applyAlignment="1">
      <alignment horizontal="center" wrapText="1"/>
    </xf>
    <xf numFmtId="0" fontId="5" fillId="0" borderId="33" xfId="0" applyFont="1" applyBorder="1" applyAlignment="1">
      <alignment horizontal="center" wrapText="1"/>
    </xf>
    <xf numFmtId="0" fontId="5" fillId="0" borderId="47" xfId="0" applyFont="1" applyBorder="1" applyAlignment="1">
      <alignment horizontal="center" wrapText="1"/>
    </xf>
    <xf numFmtId="0" fontId="15" fillId="26" borderId="57" xfId="0" applyFont="1" applyFill="1" applyBorder="1" applyAlignment="1">
      <alignment horizontal="center" wrapText="1"/>
    </xf>
    <xf numFmtId="0" fontId="15" fillId="26" borderId="33" xfId="0" applyFont="1" applyFill="1" applyBorder="1" applyAlignment="1">
      <alignment horizontal="center" wrapText="1"/>
    </xf>
    <xf numFmtId="0" fontId="15" fillId="26" borderId="47" xfId="0" applyFont="1" applyFill="1" applyBorder="1" applyAlignment="1">
      <alignment horizontal="center" wrapText="1"/>
    </xf>
    <xf numFmtId="0" fontId="15" fillId="26" borderId="58" xfId="0" applyFont="1" applyFill="1" applyBorder="1" applyAlignment="1">
      <alignment horizontal="center" wrapText="1"/>
    </xf>
    <xf numFmtId="0" fontId="15" fillId="26" borderId="35" xfId="0" applyFont="1" applyFill="1" applyBorder="1" applyAlignment="1">
      <alignment horizontal="center" wrapText="1"/>
    </xf>
    <xf numFmtId="0" fontId="15" fillId="26" borderId="59" xfId="0" applyFont="1" applyFill="1" applyBorder="1" applyAlignment="1">
      <alignment horizontal="center" wrapText="1"/>
    </xf>
    <xf numFmtId="0" fontId="15" fillId="27" borderId="57" xfId="0" applyFont="1" applyFill="1" applyBorder="1" applyAlignment="1">
      <alignment horizontal="center" wrapText="1"/>
    </xf>
    <xf numFmtId="0" fontId="15" fillId="27" borderId="33" xfId="0" applyFont="1" applyFill="1" applyBorder="1" applyAlignment="1">
      <alignment horizontal="center" wrapText="1"/>
    </xf>
    <xf numFmtId="0" fontId="15" fillId="27" borderId="47" xfId="0" applyFont="1" applyFill="1" applyBorder="1" applyAlignment="1">
      <alignment horizontal="center" wrapText="1"/>
    </xf>
    <xf numFmtId="0" fontId="13" fillId="6" borderId="57" xfId="0" applyFont="1" applyFill="1" applyBorder="1" applyAlignment="1">
      <alignment horizontal="center" wrapText="1"/>
    </xf>
    <xf numFmtId="0" fontId="13" fillId="6" borderId="33" xfId="0" applyFont="1" applyFill="1" applyBorder="1" applyAlignment="1">
      <alignment horizontal="center" wrapText="1"/>
    </xf>
    <xf numFmtId="0" fontId="13" fillId="6" borderId="47" xfId="0" applyFont="1" applyFill="1" applyBorder="1" applyAlignment="1">
      <alignment horizontal="center" wrapText="1"/>
    </xf>
    <xf numFmtId="0" fontId="15" fillId="6" borderId="57" xfId="0" applyFont="1" applyFill="1" applyBorder="1" applyAlignment="1">
      <alignment horizontal="center" wrapText="1"/>
    </xf>
    <xf numFmtId="0" fontId="15" fillId="6" borderId="33" xfId="0" applyFont="1" applyFill="1" applyBorder="1" applyAlignment="1">
      <alignment horizontal="center" wrapText="1"/>
    </xf>
    <xf numFmtId="0" fontId="15" fillId="6" borderId="47" xfId="0" applyFont="1" applyFill="1" applyBorder="1" applyAlignment="1">
      <alignment horizontal="center" wrapText="1"/>
    </xf>
    <xf numFmtId="0" fontId="14" fillId="25" borderId="57" xfId="0" applyFont="1" applyFill="1" applyBorder="1" applyAlignment="1">
      <alignment horizontal="center" wrapText="1"/>
    </xf>
    <xf numFmtId="0" fontId="14" fillId="25" borderId="33" xfId="0" applyFont="1" applyFill="1" applyBorder="1" applyAlignment="1">
      <alignment horizontal="center" wrapText="1"/>
    </xf>
    <xf numFmtId="0" fontId="14" fillId="25" borderId="34" xfId="0" applyFont="1" applyFill="1" applyBorder="1" applyAlignment="1">
      <alignment horizontal="center" wrapText="1"/>
    </xf>
    <xf numFmtId="0" fontId="14" fillId="25" borderId="47" xfId="0" applyFont="1" applyFill="1" applyBorder="1" applyAlignment="1">
      <alignment horizontal="center" wrapText="1"/>
    </xf>
    <xf numFmtId="0" fontId="14" fillId="25" borderId="0" xfId="0" applyFont="1" applyFill="1" applyAlignment="1">
      <alignment horizontal="center" wrapText="1"/>
    </xf>
    <xf numFmtId="0" fontId="14" fillId="25" borderId="0" xfId="0" applyFont="1" applyFill="1" applyAlignment="1">
      <alignment wrapText="1"/>
    </xf>
    <xf numFmtId="0" fontId="9" fillId="0" borderId="60" xfId="0" applyFont="1" applyBorder="1" applyAlignment="1">
      <alignment horizontal="center" vertical="center" wrapText="1"/>
    </xf>
    <xf numFmtId="0" fontId="14" fillId="0" borderId="61" xfId="0" applyFont="1" applyBorder="1" applyAlignment="1">
      <alignment horizontal="center" wrapText="1"/>
    </xf>
    <xf numFmtId="0" fontId="14" fillId="0" borderId="37" xfId="0" applyFont="1" applyBorder="1" applyAlignment="1">
      <alignment horizontal="center" wrapText="1"/>
    </xf>
    <xf numFmtId="0" fontId="14" fillId="0" borderId="53" xfId="0" applyFont="1" applyBorder="1" applyAlignment="1">
      <alignment horizontal="center" wrapText="1"/>
    </xf>
    <xf numFmtId="0" fontId="4" fillId="0" borderId="61" xfId="0" applyFont="1" applyBorder="1" applyAlignment="1">
      <alignment wrapText="1"/>
    </xf>
    <xf numFmtId="0" fontId="14" fillId="0" borderId="61" xfId="0" applyFont="1" applyBorder="1" applyAlignment="1">
      <alignment horizontal="left" wrapText="1"/>
    </xf>
    <xf numFmtId="0" fontId="14" fillId="26" borderId="61" xfId="0" applyFont="1" applyFill="1" applyBorder="1" applyAlignment="1">
      <alignment horizontal="left" wrapText="1"/>
    </xf>
    <xf numFmtId="0" fontId="14" fillId="26" borderId="37" xfId="0" applyFont="1" applyFill="1" applyBorder="1" applyAlignment="1">
      <alignment horizontal="center" wrapText="1"/>
    </xf>
    <xf numFmtId="0" fontId="14" fillId="26" borderId="53" xfId="0" applyFont="1" applyFill="1" applyBorder="1" applyAlignment="1">
      <alignment horizontal="center" wrapText="1"/>
    </xf>
    <xf numFmtId="0" fontId="14" fillId="27" borderId="61" xfId="0" applyFont="1" applyFill="1" applyBorder="1" applyAlignment="1">
      <alignment horizontal="left" wrapText="1"/>
    </xf>
    <xf numFmtId="0" fontId="14" fillId="27" borderId="37" xfId="0" applyFont="1" applyFill="1" applyBorder="1" applyAlignment="1">
      <alignment horizontal="center" wrapText="1"/>
    </xf>
    <xf numFmtId="0" fontId="14" fillId="27" borderId="53" xfId="0" applyFont="1" applyFill="1" applyBorder="1" applyAlignment="1">
      <alignment horizontal="center" wrapText="1"/>
    </xf>
    <xf numFmtId="0" fontId="14" fillId="6" borderId="61" xfId="0" applyFont="1" applyFill="1" applyBorder="1" applyAlignment="1">
      <alignment wrapText="1"/>
    </xf>
    <xf numFmtId="0" fontId="14" fillId="6" borderId="37" xfId="0" applyFont="1" applyFill="1" applyBorder="1" applyAlignment="1">
      <alignment horizontal="center" wrapText="1"/>
    </xf>
    <xf numFmtId="0" fontId="14" fillId="6" borderId="53" xfId="0" applyFont="1" applyFill="1" applyBorder="1" applyAlignment="1">
      <alignment horizontal="center" wrapText="1"/>
    </xf>
    <xf numFmtId="0" fontId="14" fillId="6" borderId="61" xfId="0" applyFont="1" applyFill="1" applyBorder="1" applyAlignment="1">
      <alignment horizontal="left" wrapText="1"/>
    </xf>
    <xf numFmtId="0" fontId="14" fillId="25" borderId="61" xfId="0" applyFont="1" applyFill="1" applyBorder="1" applyAlignment="1">
      <alignment horizontal="center" wrapText="1"/>
    </xf>
    <xf numFmtId="0" fontId="14" fillId="25" borderId="37" xfId="0" applyFont="1" applyFill="1" applyBorder="1" applyAlignment="1">
      <alignment horizontal="center" wrapText="1"/>
    </xf>
    <xf numFmtId="0" fontId="14" fillId="25" borderId="53" xfId="0" applyFont="1" applyFill="1" applyBorder="1" applyAlignment="1">
      <alignment horizontal="center" wrapText="1"/>
    </xf>
    <xf numFmtId="0" fontId="14" fillId="25" borderId="61" xfId="0" applyFont="1" applyFill="1" applyBorder="1" applyAlignment="1">
      <alignment wrapText="1"/>
    </xf>
    <xf numFmtId="0" fontId="14" fillId="25" borderId="0" xfId="0" applyFont="1" applyFill="1" applyAlignment="1">
      <alignment horizontal="center" wrapText="1"/>
    </xf>
    <xf numFmtId="0" fontId="14" fillId="0" borderId="58" xfId="0" applyFont="1" applyBorder="1" applyAlignment="1">
      <alignment/>
    </xf>
    <xf numFmtId="3" fontId="14" fillId="0" borderId="62" xfId="0" applyNumberFormat="1" applyFont="1" applyBorder="1" applyAlignment="1">
      <alignment/>
    </xf>
    <xf numFmtId="3" fontId="14" fillId="0" borderId="21" xfId="0" applyNumberFormat="1" applyFont="1" applyBorder="1" applyAlignment="1">
      <alignment/>
    </xf>
    <xf numFmtId="3" fontId="14" fillId="26" borderId="62" xfId="0" applyNumberFormat="1" applyFont="1" applyFill="1" applyBorder="1" applyAlignment="1">
      <alignment/>
    </xf>
    <xf numFmtId="3" fontId="14" fillId="26" borderId="21" xfId="0" applyNumberFormat="1" applyFont="1" applyFill="1" applyBorder="1" applyAlignment="1">
      <alignment/>
    </xf>
    <xf numFmtId="3" fontId="14" fillId="26" borderId="51" xfId="0" applyNumberFormat="1" applyFont="1" applyFill="1" applyBorder="1" applyAlignment="1">
      <alignment/>
    </xf>
    <xf numFmtId="3" fontId="14" fillId="27" borderId="62" xfId="0" applyNumberFormat="1" applyFont="1" applyFill="1" applyBorder="1" applyAlignment="1">
      <alignment/>
    </xf>
    <xf numFmtId="3" fontId="14" fillId="27" borderId="21" xfId="0" applyNumberFormat="1" applyFont="1" applyFill="1" applyBorder="1" applyAlignment="1">
      <alignment/>
    </xf>
    <xf numFmtId="3" fontId="14" fillId="27" borderId="51" xfId="0" applyNumberFormat="1" applyFont="1" applyFill="1" applyBorder="1" applyAlignment="1">
      <alignment/>
    </xf>
    <xf numFmtId="3" fontId="13" fillId="6" borderId="62" xfId="0" applyNumberFormat="1" applyFont="1" applyFill="1" applyBorder="1" applyAlignment="1">
      <alignment/>
    </xf>
    <xf numFmtId="3" fontId="13" fillId="6" borderId="20" xfId="0" applyNumberFormat="1" applyFont="1" applyFill="1" applyBorder="1" applyAlignment="1">
      <alignment/>
    </xf>
    <xf numFmtId="3" fontId="13" fillId="6" borderId="51" xfId="0" applyNumberFormat="1" applyFont="1" applyFill="1" applyBorder="1" applyAlignment="1">
      <alignment/>
    </xf>
    <xf numFmtId="3" fontId="14" fillId="0" borderId="21" xfId="0" applyNumberFormat="1" applyFont="1" applyBorder="1" applyAlignment="1">
      <alignment/>
    </xf>
    <xf numFmtId="3" fontId="13" fillId="0" borderId="51" xfId="0" applyNumberFormat="1" applyFont="1" applyBorder="1" applyAlignment="1">
      <alignment/>
    </xf>
    <xf numFmtId="3" fontId="15" fillId="6" borderId="62" xfId="0" applyNumberFormat="1" applyFont="1" applyFill="1" applyBorder="1" applyAlignment="1">
      <alignment/>
    </xf>
    <xf numFmtId="3" fontId="15" fillId="6" borderId="21" xfId="0" applyNumberFormat="1" applyFont="1" applyFill="1" applyBorder="1" applyAlignment="1">
      <alignment/>
    </xf>
    <xf numFmtId="3" fontId="14" fillId="0" borderId="63" xfId="0" applyNumberFormat="1" applyFont="1" applyBorder="1" applyAlignment="1">
      <alignment/>
    </xf>
    <xf numFmtId="3" fontId="14" fillId="25" borderId="62" xfId="0" applyNumberFormat="1" applyFont="1" applyFill="1" applyBorder="1" applyAlignment="1">
      <alignment/>
    </xf>
    <xf numFmtId="3" fontId="14" fillId="25" borderId="21" xfId="0" applyNumberFormat="1" applyFont="1" applyFill="1" applyBorder="1" applyAlignment="1">
      <alignment/>
    </xf>
    <xf numFmtId="3" fontId="14" fillId="25" borderId="51" xfId="0" applyNumberFormat="1" applyFont="1" applyFill="1" applyBorder="1" applyAlignment="1">
      <alignment/>
    </xf>
    <xf numFmtId="3" fontId="14" fillId="25" borderId="20" xfId="0" applyNumberFormat="1" applyFont="1" applyFill="1" applyBorder="1" applyAlignment="1">
      <alignment/>
    </xf>
    <xf numFmtId="3" fontId="14" fillId="25" borderId="0" xfId="0" applyNumberFormat="1" applyFont="1" applyFill="1" applyAlignment="1">
      <alignment/>
    </xf>
    <xf numFmtId="0" fontId="35" fillId="0" borderId="64" xfId="0" applyFont="1" applyBorder="1" applyAlignment="1">
      <alignment horizontal="left" indent="2"/>
    </xf>
    <xf numFmtId="3" fontId="35" fillId="0" borderId="65" xfId="0" applyNumberFormat="1" applyFont="1" applyBorder="1" applyAlignment="1">
      <alignment/>
    </xf>
    <xf numFmtId="3" fontId="35" fillId="0" borderId="25" xfId="0" applyNumberFormat="1" applyFont="1" applyBorder="1" applyAlignment="1">
      <alignment/>
    </xf>
    <xf numFmtId="3" fontId="35" fillId="0" borderId="24" xfId="0" applyNumberFormat="1" applyFont="1" applyBorder="1" applyAlignment="1">
      <alignment/>
    </xf>
    <xf numFmtId="3" fontId="35" fillId="26" borderId="65" xfId="0" applyNumberFormat="1" applyFont="1" applyFill="1" applyBorder="1" applyAlignment="1">
      <alignment/>
    </xf>
    <xf numFmtId="3" fontId="35" fillId="26" borderId="24" xfId="0" applyNumberFormat="1" applyFont="1" applyFill="1" applyBorder="1" applyAlignment="1">
      <alignment/>
    </xf>
    <xf numFmtId="3" fontId="35" fillId="26" borderId="48" xfId="0" applyNumberFormat="1" applyFont="1" applyFill="1" applyBorder="1" applyAlignment="1">
      <alignment/>
    </xf>
    <xf numFmtId="3" fontId="35" fillId="27" borderId="65" xfId="0" applyNumberFormat="1" applyFont="1" applyFill="1" applyBorder="1" applyAlignment="1">
      <alignment/>
    </xf>
    <xf numFmtId="3" fontId="35" fillId="27" borderId="24" xfId="0" applyNumberFormat="1" applyFont="1" applyFill="1" applyBorder="1" applyAlignment="1">
      <alignment/>
    </xf>
    <xf numFmtId="3" fontId="35" fillId="27" borderId="48" xfId="0" applyNumberFormat="1" applyFont="1" applyFill="1" applyBorder="1" applyAlignment="1">
      <alignment/>
    </xf>
    <xf numFmtId="3" fontId="13" fillId="6" borderId="65" xfId="0" applyNumberFormat="1" applyFont="1" applyFill="1" applyBorder="1" applyAlignment="1">
      <alignment/>
    </xf>
    <xf numFmtId="3" fontId="13" fillId="6" borderId="48" xfId="0" applyNumberFormat="1" applyFont="1" applyFill="1" applyBorder="1" applyAlignment="1">
      <alignment/>
    </xf>
    <xf numFmtId="3" fontId="13" fillId="0" borderId="48" xfId="0" applyNumberFormat="1" applyFont="1" applyBorder="1" applyAlignment="1">
      <alignment/>
    </xf>
    <xf numFmtId="3" fontId="15" fillId="6" borderId="65" xfId="0" applyNumberFormat="1" applyFont="1" applyFill="1" applyBorder="1" applyAlignment="1">
      <alignment/>
    </xf>
    <xf numFmtId="3" fontId="15" fillId="6" borderId="25" xfId="0" applyNumberFormat="1" applyFont="1" applyFill="1" applyBorder="1" applyAlignment="1">
      <alignment/>
    </xf>
    <xf numFmtId="3" fontId="35" fillId="0" borderId="66" xfId="0" applyNumberFormat="1" applyFont="1" applyBorder="1" applyAlignment="1">
      <alignment/>
    </xf>
    <xf numFmtId="3" fontId="35" fillId="25" borderId="65" xfId="0" applyNumberFormat="1" applyFont="1" applyFill="1" applyBorder="1" applyAlignment="1">
      <alignment/>
    </xf>
    <xf numFmtId="3" fontId="35" fillId="25" borderId="24" xfId="0" applyNumberFormat="1" applyFont="1" applyFill="1" applyBorder="1" applyAlignment="1">
      <alignment/>
    </xf>
    <xf numFmtId="3" fontId="35" fillId="25" borderId="48" xfId="0" applyNumberFormat="1" applyFont="1" applyFill="1" applyBorder="1" applyAlignment="1">
      <alignment/>
    </xf>
    <xf numFmtId="3" fontId="35" fillId="25" borderId="25" xfId="0" applyNumberFormat="1" applyFont="1" applyFill="1" applyBorder="1" applyAlignment="1">
      <alignment/>
    </xf>
    <xf numFmtId="3" fontId="35" fillId="25" borderId="0" xfId="0" applyNumberFormat="1" applyFont="1" applyFill="1" applyAlignment="1">
      <alignment/>
    </xf>
    <xf numFmtId="3" fontId="13" fillId="6" borderId="24" xfId="0" applyNumberFormat="1" applyFont="1" applyFill="1" applyBorder="1" applyAlignment="1">
      <alignment/>
    </xf>
    <xf numFmtId="0" fontId="14" fillId="0" borderId="64" xfId="0" applyFont="1" applyBorder="1" applyAlignment="1">
      <alignment/>
    </xf>
    <xf numFmtId="3" fontId="14" fillId="0" borderId="65" xfId="0" applyNumberFormat="1" applyFont="1" applyBorder="1" applyAlignment="1">
      <alignment/>
    </xf>
    <xf numFmtId="3" fontId="14" fillId="0" borderId="25" xfId="0" applyNumberFormat="1" applyFont="1" applyBorder="1" applyAlignment="1">
      <alignment/>
    </xf>
    <xf numFmtId="3" fontId="14" fillId="0" borderId="24" xfId="0" applyNumberFormat="1" applyFont="1" applyBorder="1" applyAlignment="1">
      <alignment/>
    </xf>
    <xf numFmtId="3" fontId="14" fillId="26" borderId="65" xfId="0" applyNumberFormat="1" applyFont="1" applyFill="1" applyBorder="1" applyAlignment="1">
      <alignment/>
    </xf>
    <xf numFmtId="3" fontId="14" fillId="26" borderId="24" xfId="0" applyNumberFormat="1" applyFont="1" applyFill="1" applyBorder="1" applyAlignment="1">
      <alignment/>
    </xf>
    <xf numFmtId="3" fontId="14" fillId="26" borderId="48" xfId="0" applyNumberFormat="1" applyFont="1" applyFill="1" applyBorder="1" applyAlignment="1">
      <alignment/>
    </xf>
    <xf numFmtId="3" fontId="14" fillId="27" borderId="65" xfId="0" applyNumberFormat="1" applyFont="1" applyFill="1" applyBorder="1" applyAlignment="1">
      <alignment/>
    </xf>
    <xf numFmtId="3" fontId="14" fillId="27" borderId="24" xfId="0" applyNumberFormat="1" applyFont="1" applyFill="1" applyBorder="1" applyAlignment="1">
      <alignment/>
    </xf>
    <xf numFmtId="3" fontId="14" fillId="27" borderId="48" xfId="0" applyNumberFormat="1" applyFont="1" applyFill="1" applyBorder="1" applyAlignment="1">
      <alignment/>
    </xf>
    <xf numFmtId="3" fontId="14" fillId="0" borderId="25" xfId="0" applyNumberFormat="1" applyFont="1" applyBorder="1" applyAlignment="1">
      <alignment/>
    </xf>
    <xf numFmtId="3" fontId="14" fillId="0" borderId="66" xfId="0" applyNumberFormat="1" applyFont="1" applyBorder="1" applyAlignment="1">
      <alignment/>
    </xf>
    <xf numFmtId="3" fontId="14" fillId="25" borderId="65" xfId="0" applyNumberFormat="1" applyFont="1" applyFill="1" applyBorder="1" applyAlignment="1">
      <alignment/>
    </xf>
    <xf numFmtId="3" fontId="14" fillId="25" borderId="24" xfId="0" applyNumberFormat="1" applyFont="1" applyFill="1" applyBorder="1" applyAlignment="1">
      <alignment/>
    </xf>
    <xf numFmtId="3" fontId="14" fillId="25" borderId="48" xfId="0" applyNumberFormat="1" applyFont="1" applyFill="1" applyBorder="1" applyAlignment="1">
      <alignment/>
    </xf>
    <xf numFmtId="3" fontId="14" fillId="25" borderId="25" xfId="0" applyNumberFormat="1" applyFont="1" applyFill="1" applyBorder="1" applyAlignment="1">
      <alignment/>
    </xf>
    <xf numFmtId="0" fontId="14" fillId="0" borderId="67" xfId="0" applyFont="1" applyBorder="1" applyAlignment="1">
      <alignment/>
    </xf>
    <xf numFmtId="3" fontId="14" fillId="0" borderId="68" xfId="0" applyNumberFormat="1" applyFont="1" applyBorder="1" applyAlignment="1">
      <alignment/>
    </xf>
    <xf numFmtId="3" fontId="14" fillId="0" borderId="29" xfId="0" applyNumberFormat="1" applyFont="1" applyBorder="1" applyAlignment="1">
      <alignment/>
    </xf>
    <xf numFmtId="3" fontId="14" fillId="0" borderId="28" xfId="0" applyNumberFormat="1" applyFont="1" applyBorder="1" applyAlignment="1">
      <alignment/>
    </xf>
    <xf numFmtId="3" fontId="14" fillId="26" borderId="68" xfId="0" applyNumberFormat="1" applyFont="1" applyFill="1" applyBorder="1" applyAlignment="1">
      <alignment/>
    </xf>
    <xf numFmtId="3" fontId="14" fillId="26" borderId="28" xfId="0" applyNumberFormat="1" applyFont="1" applyFill="1" applyBorder="1" applyAlignment="1">
      <alignment/>
    </xf>
    <xf numFmtId="3" fontId="14" fillId="26" borderId="49" xfId="0" applyNumberFormat="1" applyFont="1" applyFill="1" applyBorder="1" applyAlignment="1">
      <alignment/>
    </xf>
    <xf numFmtId="3" fontId="14" fillId="27" borderId="68" xfId="0" applyNumberFormat="1" applyFont="1" applyFill="1" applyBorder="1" applyAlignment="1">
      <alignment/>
    </xf>
    <xf numFmtId="3" fontId="14" fillId="27" borderId="28" xfId="0" applyNumberFormat="1" applyFont="1" applyFill="1" applyBorder="1" applyAlignment="1">
      <alignment/>
    </xf>
    <xf numFmtId="3" fontId="14" fillId="27" borderId="49" xfId="0" applyNumberFormat="1" applyFont="1" applyFill="1" applyBorder="1" applyAlignment="1">
      <alignment/>
    </xf>
    <xf numFmtId="3" fontId="13" fillId="6" borderId="28" xfId="0" applyNumberFormat="1" applyFont="1" applyFill="1" applyBorder="1" applyAlignment="1">
      <alignment/>
    </xf>
    <xf numFmtId="3" fontId="13" fillId="6" borderId="49" xfId="0" applyNumberFormat="1" applyFont="1" applyFill="1" applyBorder="1" applyAlignment="1">
      <alignment/>
    </xf>
    <xf numFmtId="3" fontId="14" fillId="0" borderId="29" xfId="0" applyNumberFormat="1" applyFont="1" applyBorder="1" applyAlignment="1">
      <alignment/>
    </xf>
    <xf numFmtId="3" fontId="13" fillId="0" borderId="49" xfId="0" applyNumberFormat="1" applyFont="1" applyBorder="1" applyAlignment="1">
      <alignment/>
    </xf>
    <xf numFmtId="3" fontId="15" fillId="6" borderId="68" xfId="0" applyNumberFormat="1" applyFont="1" applyFill="1" applyBorder="1" applyAlignment="1">
      <alignment/>
    </xf>
    <xf numFmtId="3" fontId="15" fillId="6" borderId="29" xfId="0" applyNumberFormat="1" applyFont="1" applyFill="1" applyBorder="1" applyAlignment="1">
      <alignment/>
    </xf>
    <xf numFmtId="3" fontId="14" fillId="0" borderId="69" xfId="0" applyNumberFormat="1" applyFont="1" applyBorder="1" applyAlignment="1">
      <alignment/>
    </xf>
    <xf numFmtId="3" fontId="14" fillId="25" borderId="68" xfId="0" applyNumberFormat="1" applyFont="1" applyFill="1" applyBorder="1" applyAlignment="1">
      <alignment/>
    </xf>
    <xf numFmtId="3" fontId="14" fillId="25" borderId="28" xfId="0" applyNumberFormat="1" applyFont="1" applyFill="1" applyBorder="1" applyAlignment="1">
      <alignment/>
    </xf>
    <xf numFmtId="3" fontId="14" fillId="25" borderId="49" xfId="0" applyNumberFormat="1" applyFont="1" applyFill="1" applyBorder="1" applyAlignment="1">
      <alignment/>
    </xf>
    <xf numFmtId="3" fontId="14" fillId="25" borderId="29" xfId="0" applyNumberFormat="1" applyFont="1" applyFill="1" applyBorder="1" applyAlignment="1">
      <alignment/>
    </xf>
    <xf numFmtId="0" fontId="15" fillId="6" borderId="70" xfId="0" applyFont="1" applyFill="1" applyBorder="1" applyAlignment="1">
      <alignment/>
    </xf>
    <xf numFmtId="3" fontId="15" fillId="6" borderId="71" xfId="0" applyNumberFormat="1" applyFont="1" applyFill="1" applyBorder="1" applyAlignment="1">
      <alignment/>
    </xf>
    <xf numFmtId="3" fontId="15" fillId="6" borderId="50" xfId="0" applyNumberFormat="1" applyFont="1" applyFill="1" applyBorder="1" applyAlignment="1">
      <alignment/>
    </xf>
    <xf numFmtId="3" fontId="15" fillId="6" borderId="16" xfId="0" applyNumberFormat="1" applyFont="1" applyFill="1" applyBorder="1" applyAlignment="1">
      <alignment/>
    </xf>
    <xf numFmtId="3" fontId="15" fillId="6" borderId="17" xfId="0" applyNumberFormat="1" applyFont="1" applyFill="1" applyBorder="1" applyAlignment="1">
      <alignment/>
    </xf>
    <xf numFmtId="3" fontId="15" fillId="26" borderId="71" xfId="0" applyNumberFormat="1" applyFont="1" applyFill="1" applyBorder="1" applyAlignment="1">
      <alignment/>
    </xf>
    <xf numFmtId="3" fontId="15" fillId="26" borderId="16" xfId="0" applyNumberFormat="1" applyFont="1" applyFill="1" applyBorder="1" applyAlignment="1">
      <alignment/>
    </xf>
    <xf numFmtId="3" fontId="15" fillId="26" borderId="50" xfId="0" applyNumberFormat="1" applyFont="1" applyFill="1" applyBorder="1" applyAlignment="1">
      <alignment/>
    </xf>
    <xf numFmtId="3" fontId="15" fillId="27" borderId="71" xfId="0" applyNumberFormat="1" applyFont="1" applyFill="1" applyBorder="1" applyAlignment="1">
      <alignment/>
    </xf>
    <xf numFmtId="3" fontId="15" fillId="27" borderId="16" xfId="0" applyNumberFormat="1" applyFont="1" applyFill="1" applyBorder="1" applyAlignment="1">
      <alignment/>
    </xf>
    <xf numFmtId="3" fontId="15" fillId="27" borderId="50" xfId="0" applyNumberFormat="1" applyFont="1" applyFill="1" applyBorder="1" applyAlignment="1">
      <alignment/>
    </xf>
    <xf numFmtId="3" fontId="13" fillId="6" borderId="71" xfId="0" applyNumberFormat="1" applyFont="1" applyFill="1" applyBorder="1" applyAlignment="1">
      <alignment/>
    </xf>
    <xf numFmtId="3" fontId="13" fillId="6" borderId="16" xfId="0" applyNumberFormat="1" applyFont="1" applyFill="1" applyBorder="1" applyAlignment="1">
      <alignment/>
    </xf>
    <xf numFmtId="3" fontId="13" fillId="6" borderId="50" xfId="0" applyNumberFormat="1" applyFont="1" applyFill="1" applyBorder="1" applyAlignment="1">
      <alignment/>
    </xf>
    <xf numFmtId="3" fontId="15" fillId="6" borderId="17" xfId="0" applyNumberFormat="1" applyFont="1" applyFill="1" applyBorder="1" applyAlignment="1">
      <alignment/>
    </xf>
    <xf numFmtId="3" fontId="15" fillId="6" borderId="50" xfId="0" applyNumberFormat="1" applyFont="1" applyFill="1" applyBorder="1" applyAlignment="1">
      <alignment/>
    </xf>
    <xf numFmtId="3" fontId="15" fillId="6" borderId="71" xfId="0" applyNumberFormat="1" applyFont="1" applyFill="1" applyBorder="1" applyAlignment="1">
      <alignment/>
    </xf>
    <xf numFmtId="3" fontId="15" fillId="6" borderId="19" xfId="0" applyNumberFormat="1" applyFont="1" applyFill="1" applyBorder="1" applyAlignment="1">
      <alignment/>
    </xf>
    <xf numFmtId="3" fontId="15" fillId="25" borderId="71" xfId="0" applyNumberFormat="1" applyFont="1" applyFill="1" applyBorder="1" applyAlignment="1">
      <alignment/>
    </xf>
    <xf numFmtId="3" fontId="15" fillId="25" borderId="16" xfId="0" applyNumberFormat="1" applyFont="1" applyFill="1" applyBorder="1" applyAlignment="1">
      <alignment/>
    </xf>
    <xf numFmtId="3" fontId="15" fillId="25" borderId="50" xfId="0" applyNumberFormat="1" applyFont="1" applyFill="1" applyBorder="1" applyAlignment="1">
      <alignment/>
    </xf>
    <xf numFmtId="3" fontId="15" fillId="25" borderId="17" xfId="0" applyNumberFormat="1" applyFont="1" applyFill="1" applyBorder="1" applyAlignment="1">
      <alignment/>
    </xf>
    <xf numFmtId="3" fontId="15" fillId="25" borderId="0" xfId="0" applyNumberFormat="1" applyFont="1" applyFill="1" applyAlignment="1">
      <alignment/>
    </xf>
    <xf numFmtId="3" fontId="14" fillId="0" borderId="20" xfId="0" applyNumberFormat="1" applyFont="1" applyBorder="1" applyAlignment="1">
      <alignment/>
    </xf>
    <xf numFmtId="3" fontId="14" fillId="26" borderId="20" xfId="0" applyNumberFormat="1" applyFont="1" applyFill="1" applyBorder="1" applyAlignment="1">
      <alignment/>
    </xf>
    <xf numFmtId="3" fontId="14" fillId="27" borderId="20" xfId="0" applyNumberFormat="1" applyFont="1" applyFill="1" applyBorder="1" applyAlignment="1">
      <alignment/>
    </xf>
    <xf numFmtId="0" fontId="35" fillId="0" borderId="64" xfId="0" applyFont="1" applyBorder="1" applyAlignment="1">
      <alignment/>
    </xf>
    <xf numFmtId="3" fontId="35" fillId="0" borderId="20" xfId="0" applyNumberFormat="1" applyFont="1" applyBorder="1" applyAlignment="1">
      <alignment/>
    </xf>
    <xf numFmtId="3" fontId="35" fillId="0" borderId="21" xfId="0" applyNumberFormat="1" applyFont="1" applyBorder="1" applyAlignment="1">
      <alignment/>
    </xf>
    <xf numFmtId="3" fontId="35" fillId="0" borderId="62" xfId="0" applyNumberFormat="1" applyFont="1" applyBorder="1" applyAlignment="1">
      <alignment/>
    </xf>
    <xf numFmtId="3" fontId="35" fillId="26" borderId="62" xfId="0" applyNumberFormat="1" applyFont="1" applyFill="1" applyBorder="1" applyAlignment="1">
      <alignment/>
    </xf>
    <xf numFmtId="3" fontId="35" fillId="27" borderId="62" xfId="0" applyNumberFormat="1" applyFont="1" applyFill="1" applyBorder="1" applyAlignment="1">
      <alignment/>
    </xf>
    <xf numFmtId="3" fontId="35" fillId="0" borderId="63" xfId="0" applyNumberFormat="1" applyFont="1" applyBorder="1" applyAlignment="1">
      <alignment/>
    </xf>
    <xf numFmtId="3" fontId="35" fillId="25" borderId="62" xfId="0" applyNumberFormat="1" applyFont="1" applyFill="1" applyBorder="1" applyAlignment="1">
      <alignment/>
    </xf>
    <xf numFmtId="3" fontId="35" fillId="25" borderId="21" xfId="0" applyNumberFormat="1" applyFont="1" applyFill="1" applyBorder="1" applyAlignment="1">
      <alignment/>
    </xf>
    <xf numFmtId="3" fontId="14" fillId="0" borderId="64" xfId="0" applyNumberFormat="1" applyFont="1" applyBorder="1" applyAlignment="1">
      <alignment/>
    </xf>
    <xf numFmtId="0" fontId="35" fillId="0" borderId="64" xfId="0" applyFont="1" applyBorder="1" applyAlignment="1">
      <alignment horizontal="left" wrapText="1" indent="2"/>
    </xf>
    <xf numFmtId="3" fontId="35" fillId="0" borderId="68" xfId="0" applyNumberFormat="1" applyFont="1" applyBorder="1" applyAlignment="1">
      <alignment/>
    </xf>
    <xf numFmtId="3" fontId="35" fillId="0" borderId="29" xfId="0" applyNumberFormat="1" applyFont="1" applyBorder="1" applyAlignment="1">
      <alignment/>
    </xf>
    <xf numFmtId="3" fontId="35" fillId="0" borderId="28" xfId="0" applyNumberFormat="1" applyFont="1" applyBorder="1" applyAlignment="1">
      <alignment/>
    </xf>
    <xf numFmtId="3" fontId="35" fillId="26" borderId="68" xfId="0" applyNumberFormat="1" applyFont="1" applyFill="1" applyBorder="1" applyAlignment="1">
      <alignment/>
    </xf>
    <xf numFmtId="3" fontId="35" fillId="26" borderId="28" xfId="0" applyNumberFormat="1" applyFont="1" applyFill="1" applyBorder="1" applyAlignment="1">
      <alignment/>
    </xf>
    <xf numFmtId="3" fontId="35" fillId="26" borderId="49" xfId="0" applyNumberFormat="1" applyFont="1" applyFill="1" applyBorder="1" applyAlignment="1">
      <alignment/>
    </xf>
    <xf numFmtId="3" fontId="35" fillId="27" borderId="68" xfId="0" applyNumberFormat="1" applyFont="1" applyFill="1" applyBorder="1" applyAlignment="1">
      <alignment/>
    </xf>
    <xf numFmtId="3" fontId="35" fillId="27" borderId="28" xfId="0" applyNumberFormat="1" applyFont="1" applyFill="1" applyBorder="1" applyAlignment="1">
      <alignment/>
    </xf>
    <xf numFmtId="3" fontId="35" fillId="27" borderId="49" xfId="0" applyNumberFormat="1" applyFont="1" applyFill="1" applyBorder="1" applyAlignment="1">
      <alignment/>
    </xf>
    <xf numFmtId="3" fontId="35" fillId="0" borderId="69" xfId="0" applyNumberFormat="1" applyFont="1" applyBorder="1" applyAlignment="1">
      <alignment/>
    </xf>
    <xf numFmtId="3" fontId="35" fillId="25" borderId="68" xfId="0" applyNumberFormat="1" applyFont="1" applyFill="1" applyBorder="1" applyAlignment="1">
      <alignment/>
    </xf>
    <xf numFmtId="3" fontId="35" fillId="25" borderId="28" xfId="0" applyNumberFormat="1" applyFont="1" applyFill="1" applyBorder="1" applyAlignment="1">
      <alignment/>
    </xf>
    <xf numFmtId="3" fontId="35" fillId="25" borderId="49" xfId="0" applyNumberFormat="1" applyFont="1" applyFill="1" applyBorder="1" applyAlignment="1">
      <alignment/>
    </xf>
    <xf numFmtId="3" fontId="35" fillId="25" borderId="29" xfId="0" applyNumberFormat="1" applyFont="1" applyFill="1" applyBorder="1" applyAlignment="1">
      <alignment/>
    </xf>
    <xf numFmtId="0" fontId="15" fillId="6" borderId="56" xfId="0" applyFont="1" applyFill="1" applyBorder="1" applyAlignment="1">
      <alignment/>
    </xf>
    <xf numFmtId="3" fontId="15" fillId="6" borderId="72" xfId="0" applyNumberFormat="1" applyFont="1" applyFill="1" applyBorder="1" applyAlignment="1">
      <alignment/>
    </xf>
    <xf numFmtId="3" fontId="15" fillId="6" borderId="73" xfId="0" applyNumberFormat="1" applyFont="1" applyFill="1" applyBorder="1" applyAlignment="1">
      <alignment/>
    </xf>
    <xf numFmtId="3" fontId="15" fillId="6" borderId="74" xfId="0" applyNumberFormat="1" applyFont="1" applyFill="1" applyBorder="1" applyAlignment="1">
      <alignment/>
    </xf>
    <xf numFmtId="3" fontId="15" fillId="26" borderId="74" xfId="0" applyNumberFormat="1" applyFont="1" applyFill="1" applyBorder="1" applyAlignment="1">
      <alignment/>
    </xf>
    <xf numFmtId="3" fontId="15" fillId="27" borderId="74" xfId="0" applyNumberFormat="1" applyFont="1" applyFill="1" applyBorder="1" applyAlignment="1">
      <alignment/>
    </xf>
    <xf numFmtId="3" fontId="13" fillId="6" borderId="74" xfId="0" applyNumberFormat="1" applyFont="1" applyFill="1" applyBorder="1" applyAlignment="1">
      <alignment/>
    </xf>
    <xf numFmtId="3" fontId="15" fillId="6" borderId="74" xfId="0" applyNumberFormat="1" applyFont="1" applyFill="1" applyBorder="1" applyAlignment="1">
      <alignment/>
    </xf>
    <xf numFmtId="3" fontId="15" fillId="6" borderId="44" xfId="0" applyNumberFormat="1" applyFont="1" applyFill="1" applyBorder="1" applyAlignment="1">
      <alignment/>
    </xf>
    <xf numFmtId="3" fontId="15" fillId="25" borderId="74" xfId="0" applyNumberFormat="1" applyFont="1" applyFill="1" applyBorder="1" applyAlignment="1">
      <alignment/>
    </xf>
    <xf numFmtId="3" fontId="15" fillId="25" borderId="73" xfId="0" applyNumberFormat="1" applyFont="1" applyFill="1" applyBorder="1" applyAlignment="1">
      <alignment/>
    </xf>
    <xf numFmtId="0" fontId="14" fillId="0" borderId="58" xfId="0" applyFont="1" applyBorder="1" applyAlignment="1">
      <alignment wrapText="1"/>
    </xf>
    <xf numFmtId="3" fontId="14" fillId="0" borderId="57" xfId="0" applyNumberFormat="1" applyFont="1" applyBorder="1" applyAlignment="1">
      <alignment/>
    </xf>
    <xf numFmtId="3" fontId="14" fillId="0" borderId="33" xfId="0" applyNumberFormat="1" applyFont="1" applyBorder="1" applyAlignment="1">
      <alignment/>
    </xf>
    <xf numFmtId="3" fontId="14" fillId="0" borderId="32" xfId="0" applyNumberFormat="1" applyFont="1" applyBorder="1" applyAlignment="1">
      <alignment/>
    </xf>
    <xf numFmtId="3" fontId="14" fillId="26" borderId="57" xfId="0" applyNumberFormat="1" applyFont="1" applyFill="1" applyBorder="1" applyAlignment="1">
      <alignment/>
    </xf>
    <xf numFmtId="3" fontId="14" fillId="26" borderId="32" xfId="0" applyNumberFormat="1" applyFont="1" applyFill="1" applyBorder="1" applyAlignment="1">
      <alignment/>
    </xf>
    <xf numFmtId="3" fontId="14" fillId="26" borderId="47" xfId="0" applyNumberFormat="1" applyFont="1" applyFill="1" applyBorder="1" applyAlignment="1">
      <alignment/>
    </xf>
    <xf numFmtId="3" fontId="14" fillId="27" borderId="57" xfId="0" applyNumberFormat="1" applyFont="1" applyFill="1" applyBorder="1" applyAlignment="1">
      <alignment/>
    </xf>
    <xf numFmtId="3" fontId="14" fillId="27" borderId="32" xfId="0" applyNumberFormat="1" applyFont="1" applyFill="1" applyBorder="1" applyAlignment="1">
      <alignment/>
    </xf>
    <xf numFmtId="3" fontId="14" fillId="27" borderId="47" xfId="0" applyNumberFormat="1" applyFont="1" applyFill="1" applyBorder="1" applyAlignment="1">
      <alignment/>
    </xf>
    <xf numFmtId="3" fontId="13" fillId="6" borderId="57" xfId="0" applyNumberFormat="1" applyFont="1" applyFill="1" applyBorder="1" applyAlignment="1">
      <alignment/>
    </xf>
    <xf numFmtId="3" fontId="13" fillId="6" borderId="32" xfId="0" applyNumberFormat="1" applyFont="1" applyFill="1" applyBorder="1" applyAlignment="1">
      <alignment/>
    </xf>
    <xf numFmtId="3" fontId="13" fillId="6" borderId="47" xfId="0" applyNumberFormat="1" applyFont="1" applyFill="1" applyBorder="1" applyAlignment="1">
      <alignment/>
    </xf>
    <xf numFmtId="3" fontId="14" fillId="0" borderId="33" xfId="0" applyNumberFormat="1" applyFont="1" applyBorder="1" applyAlignment="1">
      <alignment/>
    </xf>
    <xf numFmtId="3" fontId="13" fillId="0" borderId="47" xfId="0" applyNumberFormat="1" applyFont="1" applyBorder="1" applyAlignment="1">
      <alignment/>
    </xf>
    <xf numFmtId="3" fontId="15" fillId="6" borderId="57" xfId="0" applyNumberFormat="1" applyFont="1" applyFill="1" applyBorder="1" applyAlignment="1">
      <alignment/>
    </xf>
    <xf numFmtId="3" fontId="15" fillId="6" borderId="33" xfId="0" applyNumberFormat="1" applyFont="1" applyFill="1" applyBorder="1" applyAlignment="1">
      <alignment/>
    </xf>
    <xf numFmtId="3" fontId="14" fillId="0" borderId="59" xfId="0" applyNumberFormat="1" applyFont="1" applyBorder="1" applyAlignment="1">
      <alignment/>
    </xf>
    <xf numFmtId="3" fontId="14" fillId="25" borderId="57" xfId="0" applyNumberFormat="1" applyFont="1" applyFill="1" applyBorder="1" applyAlignment="1">
      <alignment/>
    </xf>
    <xf numFmtId="3" fontId="14" fillId="25" borderId="32" xfId="0" applyNumberFormat="1" applyFont="1" applyFill="1" applyBorder="1" applyAlignment="1">
      <alignment/>
    </xf>
    <xf numFmtId="3" fontId="14" fillId="25" borderId="47" xfId="0" applyNumberFormat="1" applyFont="1" applyFill="1" applyBorder="1" applyAlignment="1">
      <alignment/>
    </xf>
    <xf numFmtId="3" fontId="14" fillId="25" borderId="33" xfId="0" applyNumberFormat="1" applyFont="1" applyFill="1" applyBorder="1" applyAlignment="1">
      <alignment/>
    </xf>
    <xf numFmtId="0" fontId="35" fillId="0" borderId="67" xfId="0" applyFont="1" applyBorder="1" applyAlignment="1">
      <alignment/>
    </xf>
    <xf numFmtId="3" fontId="13" fillId="6" borderId="68" xfId="0" applyNumberFormat="1" applyFont="1" applyFill="1" applyBorder="1" applyAlignment="1">
      <alignment/>
    </xf>
    <xf numFmtId="0" fontId="14" fillId="0" borderId="75" xfId="0" applyFont="1" applyBorder="1" applyAlignment="1">
      <alignment/>
    </xf>
    <xf numFmtId="3" fontId="14" fillId="0" borderId="61" xfId="0" applyNumberFormat="1" applyFont="1" applyBorder="1" applyAlignment="1">
      <alignment/>
    </xf>
    <xf numFmtId="3" fontId="14" fillId="0" borderId="37" xfId="0" applyNumberFormat="1" applyFont="1" applyBorder="1" applyAlignment="1">
      <alignment/>
    </xf>
    <xf numFmtId="3" fontId="14" fillId="0" borderId="36" xfId="0" applyNumberFormat="1" applyFont="1" applyBorder="1" applyAlignment="1">
      <alignment/>
    </xf>
    <xf numFmtId="3" fontId="14" fillId="26" borderId="61" xfId="0" applyNumberFormat="1" applyFont="1" applyFill="1" applyBorder="1" applyAlignment="1">
      <alignment/>
    </xf>
    <xf numFmtId="3" fontId="14" fillId="26" borderId="36" xfId="0" applyNumberFormat="1" applyFont="1" applyFill="1" applyBorder="1" applyAlignment="1">
      <alignment/>
    </xf>
    <xf numFmtId="3" fontId="14" fillId="26" borderId="53" xfId="0" applyNumberFormat="1" applyFont="1" applyFill="1" applyBorder="1" applyAlignment="1">
      <alignment/>
    </xf>
    <xf numFmtId="3" fontId="14" fillId="27" borderId="61" xfId="0" applyNumberFormat="1" applyFont="1" applyFill="1" applyBorder="1" applyAlignment="1">
      <alignment/>
    </xf>
    <xf numFmtId="3" fontId="14" fillId="27" borderId="36" xfId="0" applyNumberFormat="1" applyFont="1" applyFill="1" applyBorder="1" applyAlignment="1">
      <alignment/>
    </xf>
    <xf numFmtId="3" fontId="14" fillId="27" borderId="53" xfId="0" applyNumberFormat="1" applyFont="1" applyFill="1" applyBorder="1" applyAlignment="1">
      <alignment/>
    </xf>
    <xf numFmtId="3" fontId="13" fillId="6" borderId="61" xfId="0" applyNumberFormat="1" applyFont="1" applyFill="1" applyBorder="1" applyAlignment="1">
      <alignment/>
    </xf>
    <xf numFmtId="3" fontId="13" fillId="6" borderId="36" xfId="0" applyNumberFormat="1" applyFont="1" applyFill="1" applyBorder="1" applyAlignment="1">
      <alignment/>
    </xf>
    <xf numFmtId="3" fontId="13" fillId="6" borderId="53" xfId="0" applyNumberFormat="1" applyFont="1" applyFill="1" applyBorder="1" applyAlignment="1">
      <alignment/>
    </xf>
    <xf numFmtId="3" fontId="14" fillId="0" borderId="37" xfId="0" applyNumberFormat="1" applyFont="1" applyBorder="1" applyAlignment="1">
      <alignment/>
    </xf>
    <xf numFmtId="3" fontId="13" fillId="0" borderId="53" xfId="0" applyNumberFormat="1" applyFont="1" applyBorder="1" applyAlignment="1">
      <alignment/>
    </xf>
    <xf numFmtId="3" fontId="15" fillId="6" borderId="61" xfId="0" applyNumberFormat="1" applyFont="1" applyFill="1" applyBorder="1" applyAlignment="1">
      <alignment/>
    </xf>
    <xf numFmtId="3" fontId="15" fillId="6" borderId="37" xfId="0" applyNumberFormat="1" applyFont="1" applyFill="1" applyBorder="1" applyAlignment="1">
      <alignment/>
    </xf>
    <xf numFmtId="3" fontId="14" fillId="0" borderId="76" xfId="0" applyNumberFormat="1" applyFont="1" applyBorder="1" applyAlignment="1">
      <alignment/>
    </xf>
    <xf numFmtId="3" fontId="14" fillId="25" borderId="61" xfId="0" applyNumberFormat="1" applyFont="1" applyFill="1" applyBorder="1" applyAlignment="1">
      <alignment/>
    </xf>
    <xf numFmtId="3" fontId="14" fillId="25" borderId="36" xfId="0" applyNumberFormat="1" applyFont="1" applyFill="1" applyBorder="1" applyAlignment="1">
      <alignment/>
    </xf>
    <xf numFmtId="3" fontId="14" fillId="25" borderId="53" xfId="0" applyNumberFormat="1" applyFont="1" applyFill="1" applyBorder="1" applyAlignment="1">
      <alignment/>
    </xf>
    <xf numFmtId="3" fontId="14" fillId="25" borderId="37" xfId="0" applyNumberFormat="1" applyFont="1" applyFill="1" applyBorder="1" applyAlignment="1">
      <alignment/>
    </xf>
    <xf numFmtId="0" fontId="15" fillId="6" borderId="60" xfId="0" applyFont="1" applyFill="1" applyBorder="1" applyAlignment="1">
      <alignment/>
    </xf>
    <xf numFmtId="3" fontId="15" fillId="6" borderId="77" xfId="0" applyNumberFormat="1" applyFont="1" applyFill="1" applyBorder="1" applyAlignment="1">
      <alignment/>
    </xf>
    <xf numFmtId="3" fontId="15" fillId="6" borderId="78" xfId="0" applyNumberFormat="1" applyFont="1" applyFill="1" applyBorder="1" applyAlignment="1">
      <alignment/>
    </xf>
    <xf numFmtId="3" fontId="15" fillId="6" borderId="79" xfId="0" applyNumberFormat="1" applyFont="1" applyFill="1" applyBorder="1" applyAlignment="1">
      <alignment/>
    </xf>
    <xf numFmtId="3" fontId="15" fillId="26" borderId="79" xfId="0" applyNumberFormat="1" applyFont="1" applyFill="1" applyBorder="1" applyAlignment="1">
      <alignment/>
    </xf>
    <xf numFmtId="3" fontId="15" fillId="27" borderId="79" xfId="0" applyNumberFormat="1" applyFont="1" applyFill="1" applyBorder="1" applyAlignment="1">
      <alignment/>
    </xf>
    <xf numFmtId="3" fontId="13" fillId="6" borderId="79" xfId="0" applyNumberFormat="1" applyFont="1" applyFill="1" applyBorder="1" applyAlignment="1">
      <alignment/>
    </xf>
    <xf numFmtId="3" fontId="15" fillId="6" borderId="79" xfId="0" applyNumberFormat="1" applyFont="1" applyFill="1" applyBorder="1" applyAlignment="1">
      <alignment/>
    </xf>
    <xf numFmtId="3" fontId="15" fillId="6" borderId="80" xfId="0" applyNumberFormat="1" applyFont="1" applyFill="1" applyBorder="1" applyAlignment="1">
      <alignment/>
    </xf>
    <xf numFmtId="3" fontId="15" fillId="25" borderId="79" xfId="0" applyNumberFormat="1" applyFont="1" applyFill="1" applyBorder="1" applyAlignment="1">
      <alignment/>
    </xf>
    <xf numFmtId="3" fontId="15" fillId="25" borderId="78" xfId="0" applyNumberFormat="1" applyFont="1" applyFill="1" applyBorder="1" applyAlignment="1">
      <alignment/>
    </xf>
    <xf numFmtId="0" fontId="14" fillId="0" borderId="81" xfId="0" applyFont="1" applyBorder="1" applyAlignment="1">
      <alignment/>
    </xf>
    <xf numFmtId="0" fontId="14" fillId="0" borderId="82" xfId="0" applyFont="1" applyBorder="1" applyAlignment="1">
      <alignment/>
    </xf>
    <xf numFmtId="0" fontId="14" fillId="0" borderId="83" xfId="0" applyFont="1" applyBorder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4" fillId="25" borderId="0" xfId="0" applyFont="1" applyFill="1" applyAlignment="1">
      <alignment/>
    </xf>
    <xf numFmtId="3" fontId="14" fillId="6" borderId="51" xfId="0" applyNumberFormat="1" applyFont="1" applyFill="1" applyBorder="1" applyAlignment="1">
      <alignment/>
    </xf>
    <xf numFmtId="3" fontId="14" fillId="6" borderId="48" xfId="0" applyNumberFormat="1" applyFont="1" applyFill="1" applyBorder="1" applyAlignment="1">
      <alignment/>
    </xf>
    <xf numFmtId="0" fontId="35" fillId="0" borderId="10" xfId="0" applyFont="1" applyBorder="1" applyAlignment="1">
      <alignment/>
    </xf>
    <xf numFmtId="3" fontId="35" fillId="6" borderId="48" xfId="0" applyNumberFormat="1" applyFont="1" applyFill="1" applyBorder="1" applyAlignment="1">
      <alignment/>
    </xf>
    <xf numFmtId="3" fontId="15" fillId="6" borderId="64" xfId="0" applyNumberFormat="1" applyFont="1" applyFill="1" applyBorder="1" applyAlignment="1">
      <alignment/>
    </xf>
    <xf numFmtId="3" fontId="35" fillId="6" borderId="66" xfId="0" applyNumberFormat="1" applyFont="1" applyFill="1" applyBorder="1" applyAlignment="1">
      <alignment/>
    </xf>
    <xf numFmtId="3" fontId="14" fillId="6" borderId="53" xfId="0" applyNumberFormat="1" applyFont="1" applyFill="1" applyBorder="1" applyAlignment="1">
      <alignment/>
    </xf>
    <xf numFmtId="3" fontId="35" fillId="0" borderId="37" xfId="0" applyNumberFormat="1" applyFont="1" applyBorder="1" applyAlignment="1">
      <alignment/>
    </xf>
    <xf numFmtId="0" fontId="15" fillId="6" borderId="14" xfId="0" applyFont="1" applyFill="1" applyBorder="1" applyAlignment="1">
      <alignment/>
    </xf>
    <xf numFmtId="3" fontId="35" fillId="0" borderId="61" xfId="0" applyNumberFormat="1" applyFont="1" applyBorder="1" applyAlignment="1">
      <alignment/>
    </xf>
    <xf numFmtId="3" fontId="35" fillId="0" borderId="76" xfId="0" applyNumberFormat="1" applyFont="1" applyBorder="1" applyAlignment="1">
      <alignment/>
    </xf>
    <xf numFmtId="3" fontId="35" fillId="0" borderId="36" xfId="0" applyNumberFormat="1" applyFont="1" applyBorder="1" applyAlignment="1">
      <alignment/>
    </xf>
    <xf numFmtId="3" fontId="35" fillId="26" borderId="61" xfId="0" applyNumberFormat="1" applyFont="1" applyFill="1" applyBorder="1" applyAlignment="1">
      <alignment/>
    </xf>
    <xf numFmtId="3" fontId="35" fillId="26" borderId="36" xfId="0" applyNumberFormat="1" applyFont="1" applyFill="1" applyBorder="1" applyAlignment="1">
      <alignment/>
    </xf>
    <xf numFmtId="3" fontId="35" fillId="26" borderId="53" xfId="0" applyNumberFormat="1" applyFont="1" applyFill="1" applyBorder="1" applyAlignment="1">
      <alignment/>
    </xf>
    <xf numFmtId="3" fontId="35" fillId="27" borderId="61" xfId="0" applyNumberFormat="1" applyFont="1" applyFill="1" applyBorder="1" applyAlignment="1">
      <alignment/>
    </xf>
    <xf numFmtId="3" fontId="35" fillId="27" borderId="36" xfId="0" applyNumberFormat="1" applyFont="1" applyFill="1" applyBorder="1" applyAlignment="1">
      <alignment/>
    </xf>
    <xf numFmtId="3" fontId="35" fillId="27" borderId="53" xfId="0" applyNumberFormat="1" applyFont="1" applyFill="1" applyBorder="1" applyAlignment="1">
      <alignment/>
    </xf>
    <xf numFmtId="3" fontId="35" fillId="6" borderId="53" xfId="0" applyNumberFormat="1" applyFont="1" applyFill="1" applyBorder="1" applyAlignment="1">
      <alignment/>
    </xf>
    <xf numFmtId="3" fontId="35" fillId="25" borderId="61" xfId="0" applyNumberFormat="1" applyFont="1" applyFill="1" applyBorder="1" applyAlignment="1">
      <alignment/>
    </xf>
    <xf numFmtId="3" fontId="35" fillId="25" borderId="36" xfId="0" applyNumberFormat="1" applyFont="1" applyFill="1" applyBorder="1" applyAlignment="1">
      <alignment/>
    </xf>
    <xf numFmtId="3" fontId="35" fillId="25" borderId="53" xfId="0" applyNumberFormat="1" applyFont="1" applyFill="1" applyBorder="1" applyAlignment="1">
      <alignment/>
    </xf>
    <xf numFmtId="3" fontId="35" fillId="25" borderId="37" xfId="0" applyNumberFormat="1" applyFont="1" applyFill="1" applyBorder="1" applyAlignment="1">
      <alignment/>
    </xf>
    <xf numFmtId="0" fontId="15" fillId="6" borderId="41" xfId="0" applyFont="1" applyFill="1" applyBorder="1" applyAlignment="1">
      <alignment/>
    </xf>
    <xf numFmtId="3" fontId="15" fillId="6" borderId="52" xfId="0" applyNumberFormat="1" applyFont="1" applyFill="1" applyBorder="1" applyAlignment="1">
      <alignment/>
    </xf>
    <xf numFmtId="3" fontId="15" fillId="26" borderId="72" xfId="0" applyNumberFormat="1" applyFont="1" applyFill="1" applyBorder="1" applyAlignment="1">
      <alignment/>
    </xf>
    <xf numFmtId="3" fontId="15" fillId="26" borderId="52" xfId="0" applyNumberFormat="1" applyFont="1" applyFill="1" applyBorder="1" applyAlignment="1">
      <alignment/>
    </xf>
    <xf numFmtId="3" fontId="15" fillId="27" borderId="72" xfId="0" applyNumberFormat="1" applyFont="1" applyFill="1" applyBorder="1" applyAlignment="1">
      <alignment/>
    </xf>
    <xf numFmtId="3" fontId="15" fillId="27" borderId="52" xfId="0" applyNumberFormat="1" applyFont="1" applyFill="1" applyBorder="1" applyAlignment="1">
      <alignment/>
    </xf>
    <xf numFmtId="3" fontId="13" fillId="6" borderId="72" xfId="0" applyNumberFormat="1" applyFont="1" applyFill="1" applyBorder="1" applyAlignment="1">
      <alignment/>
    </xf>
    <xf numFmtId="3" fontId="15" fillId="6" borderId="73" xfId="0" applyNumberFormat="1" applyFont="1" applyFill="1" applyBorder="1" applyAlignment="1">
      <alignment/>
    </xf>
    <xf numFmtId="3" fontId="15" fillId="6" borderId="52" xfId="0" applyNumberFormat="1" applyFont="1" applyFill="1" applyBorder="1" applyAlignment="1">
      <alignment/>
    </xf>
    <xf numFmtId="3" fontId="15" fillId="25" borderId="72" xfId="0" applyNumberFormat="1" applyFont="1" applyFill="1" applyBorder="1" applyAlignment="1">
      <alignment/>
    </xf>
    <xf numFmtId="3" fontId="15" fillId="25" borderId="52" xfId="0" applyNumberFormat="1" applyFont="1" applyFill="1" applyBorder="1" applyAlignment="1">
      <alignment/>
    </xf>
    <xf numFmtId="0" fontId="15" fillId="6" borderId="14" xfId="0" applyFont="1" applyFill="1" applyBorder="1" applyAlignment="1">
      <alignment wrapText="1"/>
    </xf>
    <xf numFmtId="3" fontId="15" fillId="6" borderId="19" xfId="0" applyNumberFormat="1" applyFont="1" applyFill="1" applyBorder="1" applyAlignment="1">
      <alignment/>
    </xf>
    <xf numFmtId="3" fontId="15" fillId="6" borderId="16" xfId="0" applyNumberFormat="1" applyFont="1" applyFill="1" applyBorder="1" applyAlignment="1">
      <alignment/>
    </xf>
    <xf numFmtId="3" fontId="15" fillId="26" borderId="71" xfId="0" applyNumberFormat="1" applyFont="1" applyFill="1" applyBorder="1" applyAlignment="1">
      <alignment/>
    </xf>
    <xf numFmtId="3" fontId="15" fillId="26" borderId="16" xfId="0" applyNumberFormat="1" applyFont="1" applyFill="1" applyBorder="1" applyAlignment="1">
      <alignment/>
    </xf>
    <xf numFmtId="3" fontId="15" fillId="26" borderId="50" xfId="0" applyNumberFormat="1" applyFont="1" applyFill="1" applyBorder="1" applyAlignment="1">
      <alignment/>
    </xf>
    <xf numFmtId="3" fontId="15" fillId="27" borderId="71" xfId="0" applyNumberFormat="1" applyFont="1" applyFill="1" applyBorder="1" applyAlignment="1">
      <alignment/>
    </xf>
    <xf numFmtId="3" fontId="15" fillId="27" borderId="16" xfId="0" applyNumberFormat="1" applyFont="1" applyFill="1" applyBorder="1" applyAlignment="1">
      <alignment/>
    </xf>
    <xf numFmtId="3" fontId="15" fillId="27" borderId="50" xfId="0" applyNumberFormat="1" applyFont="1" applyFill="1" applyBorder="1" applyAlignment="1">
      <alignment/>
    </xf>
    <xf numFmtId="3" fontId="15" fillId="25" borderId="71" xfId="0" applyNumberFormat="1" applyFont="1" applyFill="1" applyBorder="1" applyAlignment="1">
      <alignment/>
    </xf>
    <xf numFmtId="3" fontId="15" fillId="25" borderId="16" xfId="0" applyNumberFormat="1" applyFont="1" applyFill="1" applyBorder="1" applyAlignment="1">
      <alignment/>
    </xf>
    <xf numFmtId="3" fontId="15" fillId="25" borderId="50" xfId="0" applyNumberFormat="1" applyFont="1" applyFill="1" applyBorder="1" applyAlignment="1">
      <alignment/>
    </xf>
    <xf numFmtId="3" fontId="15" fillId="25" borderId="17" xfId="0" applyNumberFormat="1" applyFont="1" applyFill="1" applyBorder="1" applyAlignment="1">
      <alignment/>
    </xf>
    <xf numFmtId="3" fontId="15" fillId="25" borderId="0" xfId="0" applyNumberFormat="1" applyFont="1" applyFill="1" applyAlignment="1">
      <alignment/>
    </xf>
    <xf numFmtId="0" fontId="15" fillId="6" borderId="42" xfId="0" applyFont="1" applyFill="1" applyBorder="1" applyAlignment="1">
      <alignment/>
    </xf>
    <xf numFmtId="3" fontId="15" fillId="6" borderId="54" xfId="0" applyNumberFormat="1" applyFont="1" applyFill="1" applyBorder="1" applyAlignment="1">
      <alignment/>
    </xf>
    <xf numFmtId="3" fontId="15" fillId="26" borderId="77" xfId="0" applyNumberFormat="1" applyFont="1" applyFill="1" applyBorder="1" applyAlignment="1">
      <alignment/>
    </xf>
    <xf numFmtId="3" fontId="15" fillId="26" borderId="54" xfId="0" applyNumberFormat="1" applyFont="1" applyFill="1" applyBorder="1" applyAlignment="1">
      <alignment/>
    </xf>
    <xf numFmtId="3" fontId="15" fillId="27" borderId="77" xfId="0" applyNumberFormat="1" applyFont="1" applyFill="1" applyBorder="1" applyAlignment="1">
      <alignment/>
    </xf>
    <xf numFmtId="3" fontId="15" fillId="27" borderId="54" xfId="0" applyNumberFormat="1" applyFont="1" applyFill="1" applyBorder="1" applyAlignment="1">
      <alignment/>
    </xf>
    <xf numFmtId="3" fontId="13" fillId="6" borderId="77" xfId="0" applyNumberFormat="1" applyFont="1" applyFill="1" applyBorder="1" applyAlignment="1">
      <alignment/>
    </xf>
    <xf numFmtId="3" fontId="15" fillId="6" borderId="78" xfId="0" applyNumberFormat="1" applyFont="1" applyFill="1" applyBorder="1" applyAlignment="1">
      <alignment/>
    </xf>
    <xf numFmtId="3" fontId="15" fillId="6" borderId="54" xfId="0" applyNumberFormat="1" applyFont="1" applyFill="1" applyBorder="1" applyAlignment="1">
      <alignment/>
    </xf>
    <xf numFmtId="0" fontId="15" fillId="0" borderId="58" xfId="0" applyFont="1" applyBorder="1" applyAlignment="1">
      <alignment/>
    </xf>
    <xf numFmtId="4" fontId="15" fillId="0" borderId="57" xfId="0" applyNumberFormat="1" applyFont="1" applyBorder="1" applyAlignment="1">
      <alignment/>
    </xf>
    <xf numFmtId="4" fontId="15" fillId="0" borderId="33" xfId="0" applyNumberFormat="1" applyFont="1" applyBorder="1" applyAlignment="1">
      <alignment/>
    </xf>
    <xf numFmtId="4" fontId="15" fillId="0" borderId="47" xfId="0" applyNumberFormat="1" applyFont="1" applyBorder="1" applyAlignment="1">
      <alignment/>
    </xf>
    <xf numFmtId="4" fontId="15" fillId="26" borderId="57" xfId="0" applyNumberFormat="1" applyFont="1" applyFill="1" applyBorder="1" applyAlignment="1">
      <alignment/>
    </xf>
    <xf numFmtId="4" fontId="15" fillId="26" borderId="33" xfId="0" applyNumberFormat="1" applyFont="1" applyFill="1" applyBorder="1" applyAlignment="1">
      <alignment/>
    </xf>
    <xf numFmtId="4" fontId="15" fillId="27" borderId="57" xfId="0" applyNumberFormat="1" applyFont="1" applyFill="1" applyBorder="1" applyAlignment="1">
      <alignment/>
    </xf>
    <xf numFmtId="4" fontId="15" fillId="27" borderId="33" xfId="0" applyNumberFormat="1" applyFont="1" applyFill="1" applyBorder="1" applyAlignment="1">
      <alignment/>
    </xf>
    <xf numFmtId="4" fontId="15" fillId="0" borderId="15" xfId="0" applyNumberFormat="1" applyFont="1" applyBorder="1" applyAlignment="1">
      <alignment/>
    </xf>
    <xf numFmtId="4" fontId="15" fillId="0" borderId="32" xfId="0" applyNumberFormat="1" applyFont="1" applyBorder="1" applyAlignment="1">
      <alignment/>
    </xf>
    <xf numFmtId="4" fontId="15" fillId="20" borderId="47" xfId="0" applyNumberFormat="1" applyFont="1" applyFill="1" applyBorder="1" applyAlignment="1">
      <alignment/>
    </xf>
    <xf numFmtId="3" fontId="15" fillId="0" borderId="0" xfId="0" applyNumberFormat="1" applyFont="1" applyAlignment="1">
      <alignment/>
    </xf>
    <xf numFmtId="4" fontId="15" fillId="25" borderId="0" xfId="0" applyNumberFormat="1" applyFont="1" applyFill="1" applyAlignment="1">
      <alignment/>
    </xf>
    <xf numFmtId="0" fontId="15" fillId="25" borderId="0" xfId="0" applyFont="1" applyFill="1" applyAlignment="1">
      <alignment/>
    </xf>
    <xf numFmtId="3" fontId="14" fillId="0" borderId="64" xfId="0" applyNumberFormat="1" applyFont="1" applyBorder="1" applyAlignment="1">
      <alignment horizontal="center"/>
    </xf>
    <xf numFmtId="4" fontId="14" fillId="0" borderId="65" xfId="0" applyNumberFormat="1" applyFont="1" applyBorder="1" applyAlignment="1">
      <alignment/>
    </xf>
    <xf numFmtId="4" fontId="14" fillId="0" borderId="25" xfId="0" applyNumberFormat="1" applyFont="1" applyBorder="1" applyAlignment="1">
      <alignment/>
    </xf>
    <xf numFmtId="4" fontId="14" fillId="0" borderId="48" xfId="0" applyNumberFormat="1" applyFont="1" applyBorder="1" applyAlignment="1">
      <alignment/>
    </xf>
    <xf numFmtId="4" fontId="14" fillId="0" borderId="26" xfId="0" applyNumberFormat="1" applyFont="1" applyBorder="1" applyAlignment="1">
      <alignment/>
    </xf>
    <xf numFmtId="4" fontId="14" fillId="26" borderId="26" xfId="0" applyNumberFormat="1" applyFont="1" applyFill="1" applyBorder="1" applyAlignment="1">
      <alignment/>
    </xf>
    <xf numFmtId="4" fontId="14" fillId="26" borderId="25" xfId="0" applyNumberFormat="1" applyFont="1" applyFill="1" applyBorder="1" applyAlignment="1">
      <alignment/>
    </xf>
    <xf numFmtId="4" fontId="14" fillId="27" borderId="26" xfId="0" applyNumberFormat="1" applyFont="1" applyFill="1" applyBorder="1" applyAlignment="1">
      <alignment/>
    </xf>
    <xf numFmtId="4" fontId="14" fillId="27" borderId="25" xfId="0" applyNumberFormat="1" applyFont="1" applyFill="1" applyBorder="1" applyAlignment="1">
      <alignment/>
    </xf>
    <xf numFmtId="4" fontId="14" fillId="0" borderId="10" xfId="0" applyNumberFormat="1" applyFont="1" applyBorder="1" applyAlignment="1">
      <alignment/>
    </xf>
    <xf numFmtId="4" fontId="14" fillId="0" borderId="24" xfId="0" applyNumberFormat="1" applyFont="1" applyBorder="1" applyAlignment="1">
      <alignment/>
    </xf>
    <xf numFmtId="4" fontId="14" fillId="20" borderId="48" xfId="0" applyNumberFormat="1" applyFont="1" applyFill="1" applyBorder="1" applyAlignment="1">
      <alignment/>
    </xf>
    <xf numFmtId="3" fontId="14" fillId="0" borderId="0" xfId="0" applyNumberFormat="1" applyFont="1" applyAlignment="1">
      <alignment/>
    </xf>
    <xf numFmtId="3" fontId="14" fillId="25" borderId="0" xfId="0" applyNumberFormat="1" applyFont="1" applyFill="1" applyAlignment="1">
      <alignment/>
    </xf>
    <xf numFmtId="4" fontId="14" fillId="25" borderId="0" xfId="0" applyNumberFormat="1" applyFont="1" applyFill="1" applyAlignment="1">
      <alignment/>
    </xf>
    <xf numFmtId="0" fontId="14" fillId="25" borderId="0" xfId="0" applyFont="1" applyFill="1" applyAlignment="1">
      <alignment/>
    </xf>
    <xf numFmtId="0" fontId="14" fillId="0" borderId="0" xfId="0" applyFont="1" applyAlignment="1">
      <alignment/>
    </xf>
    <xf numFmtId="3" fontId="15" fillId="0" borderId="75" xfId="0" applyNumberFormat="1" applyFont="1" applyBorder="1" applyAlignment="1">
      <alignment/>
    </xf>
    <xf numFmtId="4" fontId="15" fillId="0" borderId="61" xfId="0" applyNumberFormat="1" applyFont="1" applyBorder="1" applyAlignment="1">
      <alignment/>
    </xf>
    <xf numFmtId="4" fontId="15" fillId="0" borderId="37" xfId="0" applyNumberFormat="1" applyFont="1" applyBorder="1" applyAlignment="1">
      <alignment/>
    </xf>
    <xf numFmtId="4" fontId="15" fillId="0" borderId="53" xfId="0" applyNumberFormat="1" applyFont="1" applyBorder="1" applyAlignment="1">
      <alignment/>
    </xf>
    <xf numFmtId="4" fontId="15" fillId="0" borderId="38" xfId="0" applyNumberFormat="1" applyFont="1" applyBorder="1" applyAlignment="1">
      <alignment/>
    </xf>
    <xf numFmtId="4" fontId="15" fillId="26" borderId="38" xfId="0" applyNumberFormat="1" applyFont="1" applyFill="1" applyBorder="1" applyAlignment="1">
      <alignment/>
    </xf>
    <xf numFmtId="4" fontId="15" fillId="26" borderId="37" xfId="0" applyNumberFormat="1" applyFont="1" applyFill="1" applyBorder="1" applyAlignment="1">
      <alignment/>
    </xf>
    <xf numFmtId="4" fontId="15" fillId="27" borderId="38" xfId="0" applyNumberFormat="1" applyFont="1" applyFill="1" applyBorder="1" applyAlignment="1">
      <alignment/>
    </xf>
    <xf numFmtId="4" fontId="15" fillId="27" borderId="37" xfId="0" applyNumberFormat="1" applyFont="1" applyFill="1" applyBorder="1" applyAlignment="1">
      <alignment/>
    </xf>
    <xf numFmtId="4" fontId="15" fillId="0" borderId="11" xfId="0" applyNumberFormat="1" applyFont="1" applyBorder="1" applyAlignment="1">
      <alignment/>
    </xf>
    <xf numFmtId="4" fontId="15" fillId="0" borderId="36" xfId="0" applyNumberFormat="1" applyFont="1" applyBorder="1" applyAlignment="1">
      <alignment/>
    </xf>
    <xf numFmtId="4" fontId="15" fillId="20" borderId="53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3" fontId="4" fillId="28" borderId="0" xfId="0" applyNumberFormat="1" applyFont="1" applyFill="1" applyAlignment="1">
      <alignment vertical="top"/>
    </xf>
    <xf numFmtId="3" fontId="4" fillId="28" borderId="0" xfId="0" applyNumberFormat="1" applyFont="1" applyFill="1" applyAlignment="1">
      <alignment horizontal="right" vertical="top"/>
    </xf>
    <xf numFmtId="0" fontId="6" fillId="0" borderId="0" xfId="0" applyFont="1" applyAlignment="1">
      <alignment vertical="top"/>
    </xf>
    <xf numFmtId="0" fontId="5" fillId="0" borderId="0" xfId="0" applyFont="1" applyAlignment="1">
      <alignment vertical="top"/>
    </xf>
    <xf numFmtId="3" fontId="5" fillId="0" borderId="0" xfId="0" applyNumberFormat="1" applyFont="1" applyAlignment="1">
      <alignment vertical="top"/>
    </xf>
    <xf numFmtId="3" fontId="5" fillId="0" borderId="0" xfId="0" applyNumberFormat="1" applyFont="1" applyAlignment="1">
      <alignment horizontal="right" vertical="top"/>
    </xf>
    <xf numFmtId="3" fontId="4" fillId="0" borderId="0" xfId="0" applyNumberFormat="1" applyFont="1" applyAlignment="1">
      <alignment horizontal="right" vertical="top"/>
    </xf>
    <xf numFmtId="3" fontId="4" fillId="29" borderId="0" xfId="0" applyNumberFormat="1" applyFont="1" applyFill="1" applyAlignment="1">
      <alignment horizontal="right" vertical="top"/>
    </xf>
    <xf numFmtId="0" fontId="6" fillId="0" borderId="0" xfId="0" applyFont="1" applyAlignment="1">
      <alignment horizontal="left" vertical="top"/>
    </xf>
    <xf numFmtId="3" fontId="4" fillId="29" borderId="0" xfId="0" applyNumberFormat="1" applyFont="1" applyFill="1" applyAlignment="1">
      <alignment vertical="top"/>
    </xf>
    <xf numFmtId="0" fontId="3" fillId="0" borderId="0" xfId="0" applyFont="1" applyAlignment="1">
      <alignment vertical="top"/>
    </xf>
    <xf numFmtId="3" fontId="6" fillId="0" borderId="0" xfId="0" applyNumberFormat="1" applyFont="1" applyAlignment="1">
      <alignment vertical="top"/>
    </xf>
    <xf numFmtId="0" fontId="5" fillId="0" borderId="0" xfId="0" applyFont="1" applyAlignment="1">
      <alignment vertical="top" wrapText="1"/>
    </xf>
    <xf numFmtId="0" fontId="4" fillId="29" borderId="0" xfId="0" applyFont="1" applyFill="1" applyAlignment="1">
      <alignment vertical="top"/>
    </xf>
    <xf numFmtId="0" fontId="45" fillId="28" borderId="0" xfId="0" applyFont="1" applyFill="1" applyAlignment="1">
      <alignment vertical="top"/>
    </xf>
    <xf numFmtId="0" fontId="5" fillId="0" borderId="0" xfId="0" applyFont="1" applyAlignment="1">
      <alignment horizontal="center" vertical="center" wrapText="1"/>
    </xf>
    <xf numFmtId="1" fontId="4" fillId="28" borderId="0" xfId="101" applyNumberFormat="1" applyFont="1" applyFill="1" applyAlignment="1">
      <alignment horizontal="left" vertical="top"/>
      <protection/>
    </xf>
    <xf numFmtId="0" fontId="4" fillId="28" borderId="0" xfId="101" applyFont="1" applyFill="1" applyAlignment="1">
      <alignment vertical="top" wrapText="1"/>
      <protection/>
    </xf>
    <xf numFmtId="3" fontId="4" fillId="28" borderId="0" xfId="101" applyNumberFormat="1" applyFont="1" applyFill="1" applyAlignment="1">
      <alignment horizontal="right" vertical="top"/>
      <protection/>
    </xf>
    <xf numFmtId="3" fontId="10" fillId="28" borderId="0" xfId="0" applyNumberFormat="1" applyFont="1" applyFill="1" applyAlignment="1">
      <alignment vertical="top"/>
    </xf>
    <xf numFmtId="0" fontId="4" fillId="28" borderId="0" xfId="0" applyFont="1" applyFill="1" applyAlignment="1">
      <alignment vertical="top" wrapText="1"/>
    </xf>
    <xf numFmtId="0" fontId="4" fillId="28" borderId="0" xfId="0" applyFont="1" applyFill="1" applyAlignment="1">
      <alignment horizontal="left" vertical="top" wrapText="1"/>
    </xf>
    <xf numFmtId="0" fontId="4" fillId="28" borderId="0" xfId="0" applyFont="1" applyFill="1" applyAlignment="1">
      <alignment vertical="top"/>
    </xf>
    <xf numFmtId="0" fontId="4" fillId="29" borderId="0" xfId="101" applyFont="1" applyFill="1" applyAlignment="1">
      <alignment horizontal="left" vertical="top"/>
      <protection/>
    </xf>
    <xf numFmtId="0" fontId="4" fillId="29" borderId="0" xfId="101" applyFont="1" applyFill="1" applyAlignment="1">
      <alignment vertical="top" wrapText="1"/>
      <protection/>
    </xf>
    <xf numFmtId="3" fontId="4" fillId="29" borderId="0" xfId="101" applyNumberFormat="1" applyFont="1" applyFill="1" applyAlignment="1">
      <alignment horizontal="right" vertical="top"/>
      <protection/>
    </xf>
    <xf numFmtId="0" fontId="4" fillId="29" borderId="0" xfId="101" applyFont="1" applyFill="1" applyAlignment="1">
      <alignment horizontal="center" vertical="top"/>
      <protection/>
    </xf>
    <xf numFmtId="0" fontId="4" fillId="25" borderId="0" xfId="101" applyFont="1" applyFill="1" applyAlignment="1">
      <alignment horizontal="left" vertical="top"/>
      <protection/>
    </xf>
    <xf numFmtId="0" fontId="34" fillId="25" borderId="0" xfId="0" applyFont="1" applyFill="1" applyAlignment="1">
      <alignment/>
    </xf>
    <xf numFmtId="3" fontId="4" fillId="25" borderId="0" xfId="0" applyNumberFormat="1" applyFont="1" applyFill="1" applyAlignment="1">
      <alignment vertical="top"/>
    </xf>
    <xf numFmtId="0" fontId="4" fillId="28" borderId="0" xfId="101" applyFont="1" applyFill="1" applyAlignment="1">
      <alignment horizontal="left" vertical="top"/>
      <protection/>
    </xf>
    <xf numFmtId="0" fontId="34" fillId="28" borderId="0" xfId="0" applyFont="1" applyFill="1" applyAlignment="1">
      <alignment/>
    </xf>
    <xf numFmtId="0" fontId="4" fillId="0" borderId="0" xfId="101" applyFont="1" applyAlignment="1">
      <alignment horizontal="left" vertical="top"/>
      <protection/>
    </xf>
    <xf numFmtId="3" fontId="10" fillId="0" borderId="0" xfId="0" applyNumberFormat="1" applyFont="1" applyAlignment="1">
      <alignment vertical="top"/>
    </xf>
    <xf numFmtId="0" fontId="5" fillId="29" borderId="0" xfId="0" applyFont="1" applyFill="1" applyAlignment="1">
      <alignment vertical="top"/>
    </xf>
    <xf numFmtId="0" fontId="4" fillId="28" borderId="0" xfId="0" applyFont="1" applyFill="1" applyAlignment="1">
      <alignment horizontal="left" vertical="top"/>
    </xf>
    <xf numFmtId="3" fontId="5" fillId="28" borderId="0" xfId="0" applyNumberFormat="1" applyFont="1" applyFill="1" applyAlignment="1">
      <alignment vertical="top"/>
    </xf>
    <xf numFmtId="0" fontId="6" fillId="0" borderId="0" xfId="0" applyFont="1" applyAlignment="1">
      <alignment horizontal="right" vertical="top"/>
    </xf>
    <xf numFmtId="0" fontId="6" fillId="0" borderId="0" xfId="0" applyFont="1" applyAlignment="1">
      <alignment horizontal="center" vertical="top"/>
    </xf>
    <xf numFmtId="3" fontId="5" fillId="0" borderId="0" xfId="0" applyNumberFormat="1" applyFont="1" applyAlignment="1">
      <alignment horizontal="center" vertical="top"/>
    </xf>
    <xf numFmtId="0" fontId="4" fillId="9" borderId="0" xfId="101" applyFont="1" applyFill="1" applyAlignment="1">
      <alignment horizontal="left" vertical="top"/>
      <protection/>
    </xf>
    <xf numFmtId="0" fontId="4" fillId="9" borderId="0" xfId="101" applyFont="1" applyFill="1" applyAlignment="1">
      <alignment vertical="top"/>
      <protection/>
    </xf>
    <xf numFmtId="3" fontId="4" fillId="9" borderId="0" xfId="101" applyNumberFormat="1" applyFont="1" applyFill="1" applyAlignment="1">
      <alignment horizontal="right" vertical="top"/>
      <protection/>
    </xf>
    <xf numFmtId="0" fontId="5" fillId="0" borderId="0" xfId="0" applyFont="1" applyAlignment="1">
      <alignment horizontal="center" vertical="top"/>
    </xf>
    <xf numFmtId="3" fontId="6" fillId="0" borderId="0" xfId="0" applyNumberFormat="1" applyFont="1" applyAlignment="1">
      <alignment horizontal="right" vertical="top"/>
    </xf>
    <xf numFmtId="3" fontId="3" fillId="0" borderId="0" xfId="0" applyNumberFormat="1" applyFont="1" applyAlignment="1">
      <alignment vertical="top"/>
    </xf>
    <xf numFmtId="0" fontId="5" fillId="0" borderId="0" xfId="0" applyFont="1" applyAlignment="1">
      <alignment horizontal="left" vertical="top" wrapText="1"/>
    </xf>
    <xf numFmtId="0" fontId="5" fillId="28" borderId="0" xfId="0" applyFont="1" applyFill="1" applyAlignment="1">
      <alignment vertical="top"/>
    </xf>
    <xf numFmtId="0" fontId="4" fillId="0" borderId="0" xfId="0" applyFont="1" applyAlignment="1">
      <alignment vertical="top" wrapText="1"/>
    </xf>
    <xf numFmtId="3" fontId="0" fillId="0" borderId="0" xfId="0" applyNumberFormat="1" applyAlignment="1">
      <alignment vertical="top"/>
    </xf>
    <xf numFmtId="3" fontId="4" fillId="0" borderId="0" xfId="0" applyNumberFormat="1" applyFont="1" applyAlignment="1">
      <alignment horizontal="right" vertical="top" wrapText="1"/>
    </xf>
    <xf numFmtId="0" fontId="4" fillId="0" borderId="0" xfId="0" applyFont="1" applyAlignment="1">
      <alignment horizontal="left" vertical="top" wrapText="1"/>
    </xf>
  </cellXfs>
  <cellStyles count="10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Ezres 2" xfId="70"/>
    <cellStyle name="Figyelmeztetés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Hivatkozott cella" xfId="78"/>
    <cellStyle name="Input" xfId="79"/>
    <cellStyle name="Jegyzet" xfId="80"/>
    <cellStyle name="Jelölőszín 1" xfId="81"/>
    <cellStyle name="Jelölőszín 2" xfId="82"/>
    <cellStyle name="Jelölőszín 3" xfId="83"/>
    <cellStyle name="Jelölőszín 4" xfId="84"/>
    <cellStyle name="Jelölőszín 5" xfId="85"/>
    <cellStyle name="Jelölőszín 6" xfId="86"/>
    <cellStyle name="Jó" xfId="87"/>
    <cellStyle name="Kimenet" xfId="88"/>
    <cellStyle name="Followed Hyperlink" xfId="89"/>
    <cellStyle name="Linked Cell" xfId="90"/>
    <cellStyle name="Magyarázó szöveg" xfId="91"/>
    <cellStyle name="Neutral" xfId="92"/>
    <cellStyle name="Normál 2" xfId="93"/>
    <cellStyle name="Normál 2 2" xfId="94"/>
    <cellStyle name="Normál 2_mellékletek 2013. III. névi rendelethez Kőszeg" xfId="95"/>
    <cellStyle name="Normál 3" xfId="96"/>
    <cellStyle name="Normál 3 2" xfId="97"/>
    <cellStyle name="Normál 3 3" xfId="98"/>
    <cellStyle name="Normál_2013. költségvetés mell 2" xfId="99"/>
    <cellStyle name="Normal_KTRSZJ" xfId="100"/>
    <cellStyle name="Normál_melléklet összesen_2012. koncepció kiegészítő táblázatok 2" xfId="101"/>
    <cellStyle name="Normál_R_2MELL 2" xfId="102"/>
    <cellStyle name="Note" xfId="103"/>
    <cellStyle name="Output" xfId="104"/>
    <cellStyle name="Összesen" xfId="105"/>
    <cellStyle name="Currency" xfId="106"/>
    <cellStyle name="Currency [0]" xfId="107"/>
    <cellStyle name="Rossz" xfId="108"/>
    <cellStyle name="Semleges" xfId="109"/>
    <cellStyle name="Számítás" xfId="110"/>
    <cellStyle name="Percent" xfId="111"/>
    <cellStyle name="Title" xfId="112"/>
    <cellStyle name="Total" xfId="113"/>
    <cellStyle name="Warning Text" xfId="1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&#337;szeg%202018.%20I.%20f&#233;l&#233;vi%20m&#243;dos&#237;t&#225;s%20mell&#233;kl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ímrend"/>
      <sheetName val="1. melléklet"/>
      <sheetName val="2. melléklet"/>
      <sheetName val="3. melléklet  "/>
      <sheetName val="4. melléklet"/>
      <sheetName val="5. melléklet "/>
    </sheetNames>
    <sheetDataSet>
      <sheetData sheetId="4">
        <row r="58">
          <cell r="C58">
            <v>1402086851</v>
          </cell>
          <cell r="D58">
            <v>1515458021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76"/>
  <sheetViews>
    <sheetView zoomScalePageLayoutView="0" workbookViewId="0" topLeftCell="A1">
      <selection activeCell="F33" sqref="F33"/>
    </sheetView>
  </sheetViews>
  <sheetFormatPr defaultColWidth="9.00390625" defaultRowHeight="12.75"/>
  <cols>
    <col min="1" max="1" width="12.00390625" style="4" customWidth="1"/>
    <col min="2" max="2" width="12.25390625" style="4" customWidth="1"/>
    <col min="3" max="3" width="6.00390625" style="2" customWidth="1"/>
    <col min="4" max="4" width="37.125" style="2" customWidth="1"/>
    <col min="5" max="16384" width="9.125" style="2" customWidth="1"/>
  </cols>
  <sheetData>
    <row r="1" ht="18.75" customHeight="1"/>
    <row r="2" spans="1:8" ht="15.75">
      <c r="A2" s="123" t="s">
        <v>31</v>
      </c>
      <c r="B2" s="123"/>
      <c r="C2" s="123"/>
      <c r="D2" s="123"/>
      <c r="E2" s="123"/>
      <c r="F2" s="123"/>
      <c r="G2" s="7"/>
      <c r="H2" s="7"/>
    </row>
    <row r="3" spans="1:6" ht="12.75">
      <c r="A3" s="6"/>
      <c r="B3" s="6"/>
      <c r="C3" s="5"/>
      <c r="D3" s="5"/>
      <c r="E3" s="5"/>
      <c r="F3" s="5"/>
    </row>
    <row r="4" spans="1:6" ht="27.75" customHeight="1">
      <c r="A4" s="6"/>
      <c r="B4" s="6"/>
      <c r="C4" s="5"/>
      <c r="D4" s="5"/>
      <c r="E4" s="5"/>
      <c r="F4" s="5"/>
    </row>
    <row r="5" spans="1:6" ht="12.75">
      <c r="A5" s="8" t="s">
        <v>32</v>
      </c>
      <c r="B5" s="8"/>
      <c r="C5" s="5"/>
      <c r="D5" s="5"/>
      <c r="E5" s="5"/>
      <c r="F5" s="5"/>
    </row>
    <row r="6" spans="1:6" ht="12.75">
      <c r="A6" s="8"/>
      <c r="B6" s="8" t="s">
        <v>33</v>
      </c>
      <c r="C6" s="5"/>
      <c r="D6" s="5"/>
      <c r="E6" s="5"/>
      <c r="F6" s="5"/>
    </row>
    <row r="7" spans="1:6" ht="25.5" customHeight="1">
      <c r="A7" s="8"/>
      <c r="B7" s="8" t="s">
        <v>4</v>
      </c>
      <c r="C7" s="9"/>
      <c r="D7" s="10" t="s">
        <v>54</v>
      </c>
      <c r="E7" s="5"/>
      <c r="F7" s="5"/>
    </row>
    <row r="8" spans="1:6" ht="25.5" customHeight="1">
      <c r="A8" s="8"/>
      <c r="B8" s="8" t="s">
        <v>5</v>
      </c>
      <c r="C8" s="9"/>
      <c r="D8" s="11" t="s">
        <v>34</v>
      </c>
      <c r="E8" s="5"/>
      <c r="F8" s="5"/>
    </row>
    <row r="9" spans="1:6" ht="25.5" customHeight="1">
      <c r="A9" s="8"/>
      <c r="B9" s="8" t="s">
        <v>6</v>
      </c>
      <c r="C9" s="9"/>
      <c r="D9" s="4" t="s">
        <v>65</v>
      </c>
      <c r="E9" s="5"/>
      <c r="F9" s="5"/>
    </row>
    <row r="10" spans="1:6" ht="25.5" customHeight="1">
      <c r="A10" s="8"/>
      <c r="B10" s="8" t="s">
        <v>7</v>
      </c>
      <c r="C10" s="9"/>
      <c r="D10" s="11" t="s">
        <v>161</v>
      </c>
      <c r="E10" s="5"/>
      <c r="F10" s="5"/>
    </row>
    <row r="11" spans="1:6" ht="25.5" customHeight="1">
      <c r="A11" s="8"/>
      <c r="B11" s="8" t="s">
        <v>8</v>
      </c>
      <c r="C11" s="9"/>
      <c r="D11" s="62" t="s">
        <v>203</v>
      </c>
      <c r="E11" s="5"/>
      <c r="F11" s="5"/>
    </row>
    <row r="12" spans="1:6" ht="25.5" customHeight="1">
      <c r="A12" s="8"/>
      <c r="B12" s="8" t="s">
        <v>18</v>
      </c>
      <c r="C12" s="9"/>
      <c r="D12" s="11" t="s">
        <v>204</v>
      </c>
      <c r="E12" s="62"/>
      <c r="F12" s="62"/>
    </row>
    <row r="13" spans="1:6" ht="25.5" customHeight="1">
      <c r="A13" s="8"/>
      <c r="B13" s="8" t="s">
        <v>19</v>
      </c>
      <c r="C13" s="9"/>
      <c r="D13" s="11" t="s">
        <v>205</v>
      </c>
      <c r="E13" s="5"/>
      <c r="F13" s="5"/>
    </row>
    <row r="14" spans="1:6" ht="25.5" customHeight="1">
      <c r="A14" s="8"/>
      <c r="B14" s="8" t="s">
        <v>21</v>
      </c>
      <c r="C14" s="9"/>
      <c r="D14" s="11" t="s">
        <v>35</v>
      </c>
      <c r="E14" s="5"/>
      <c r="F14" s="5"/>
    </row>
    <row r="15" spans="1:6" ht="25.5" customHeight="1">
      <c r="A15" s="8" t="s">
        <v>1</v>
      </c>
      <c r="B15" s="6"/>
      <c r="C15" s="5"/>
      <c r="D15" s="10" t="s">
        <v>36</v>
      </c>
      <c r="E15" s="5"/>
      <c r="F15" s="5"/>
    </row>
    <row r="16" spans="1:6" ht="12.75">
      <c r="A16" s="6"/>
      <c r="B16" s="6"/>
      <c r="C16" s="5"/>
      <c r="D16" s="5"/>
      <c r="E16" s="5"/>
      <c r="F16" s="5"/>
    </row>
    <row r="17" spans="1:6" ht="12.75">
      <c r="A17" s="6"/>
      <c r="B17" s="6"/>
      <c r="C17" s="5"/>
      <c r="D17" s="5"/>
      <c r="E17" s="5"/>
      <c r="F17" s="5"/>
    </row>
    <row r="18" spans="1:6" ht="12.75">
      <c r="A18" s="6"/>
      <c r="B18" s="6"/>
      <c r="C18" s="5"/>
      <c r="D18" s="5"/>
      <c r="E18" s="5"/>
      <c r="F18" s="5"/>
    </row>
    <row r="19" spans="1:6" ht="12.75">
      <c r="A19" s="6"/>
      <c r="B19" s="6"/>
      <c r="C19" s="5"/>
      <c r="D19" s="5"/>
      <c r="E19" s="5"/>
      <c r="F19" s="5"/>
    </row>
    <row r="20" spans="1:6" ht="12.75">
      <c r="A20" s="6"/>
      <c r="B20" s="6"/>
      <c r="C20" s="5"/>
      <c r="D20" s="5"/>
      <c r="E20" s="5"/>
      <c r="F20" s="5"/>
    </row>
    <row r="21" spans="1:6" ht="12.75">
      <c r="A21" s="6"/>
      <c r="B21" s="6"/>
      <c r="C21" s="5"/>
      <c r="D21" s="5"/>
      <c r="E21" s="5"/>
      <c r="F21" s="5"/>
    </row>
    <row r="22" spans="1:6" ht="12.75">
      <c r="A22" s="6"/>
      <c r="B22" s="6"/>
      <c r="C22" s="5"/>
      <c r="D22" s="5"/>
      <c r="E22" s="5"/>
      <c r="F22" s="5"/>
    </row>
    <row r="23" spans="1:6" ht="12.75">
      <c r="A23" s="6"/>
      <c r="B23" s="6"/>
      <c r="C23" s="5"/>
      <c r="D23" s="5"/>
      <c r="E23" s="5"/>
      <c r="F23" s="5"/>
    </row>
    <row r="24" spans="1:6" ht="12.75">
      <c r="A24" s="6"/>
      <c r="B24" s="6"/>
      <c r="C24" s="5"/>
      <c r="D24" s="5"/>
      <c r="E24" s="5"/>
      <c r="F24" s="5"/>
    </row>
    <row r="25" spans="1:6" ht="12.75">
      <c r="A25" s="6"/>
      <c r="B25" s="6"/>
      <c r="C25" s="5"/>
      <c r="D25" s="5"/>
      <c r="E25" s="5"/>
      <c r="F25" s="5"/>
    </row>
    <row r="26" spans="1:6" ht="12.75">
      <c r="A26" s="6"/>
      <c r="B26" s="6"/>
      <c r="C26" s="5"/>
      <c r="D26" s="5"/>
      <c r="E26" s="5"/>
      <c r="F26" s="5"/>
    </row>
    <row r="27" spans="1:6" ht="12.75">
      <c r="A27" s="6"/>
      <c r="B27" s="6"/>
      <c r="C27" s="5"/>
      <c r="D27" s="5"/>
      <c r="E27" s="5"/>
      <c r="F27" s="5"/>
    </row>
    <row r="28" spans="1:6" ht="12.75">
      <c r="A28" s="6"/>
      <c r="B28" s="6"/>
      <c r="C28" s="5"/>
      <c r="D28" s="5"/>
      <c r="E28" s="5"/>
      <c r="F28" s="5"/>
    </row>
    <row r="29" spans="1:6" ht="12.75">
      <c r="A29" s="6"/>
      <c r="B29" s="6"/>
      <c r="C29" s="5"/>
      <c r="D29" s="5"/>
      <c r="E29" s="5"/>
      <c r="F29" s="5"/>
    </row>
    <row r="30" spans="1:6" ht="12.75">
      <c r="A30" s="6"/>
      <c r="B30" s="6"/>
      <c r="C30" s="5"/>
      <c r="D30" s="5"/>
      <c r="E30" s="5"/>
      <c r="F30" s="5"/>
    </row>
    <row r="31" spans="1:6" ht="12.75">
      <c r="A31" s="6"/>
      <c r="B31" s="6"/>
      <c r="C31" s="5"/>
      <c r="D31" s="5"/>
      <c r="E31" s="5"/>
      <c r="F31" s="5"/>
    </row>
    <row r="32" spans="1:6" ht="12.75">
      <c r="A32" s="6"/>
      <c r="B32" s="6"/>
      <c r="C32" s="5"/>
      <c r="D32" s="5"/>
      <c r="E32" s="5"/>
      <c r="F32" s="5"/>
    </row>
    <row r="33" spans="1:6" ht="12.75">
      <c r="A33" s="6"/>
      <c r="B33" s="6"/>
      <c r="C33" s="5"/>
      <c r="D33" s="5"/>
      <c r="E33" s="5"/>
      <c r="F33" s="5"/>
    </row>
    <row r="34" spans="1:6" ht="12.75">
      <c r="A34" s="6"/>
      <c r="B34" s="6"/>
      <c r="C34" s="5"/>
      <c r="D34" s="5"/>
      <c r="E34" s="5"/>
      <c r="F34" s="5"/>
    </row>
    <row r="35" spans="1:6" ht="12.75">
      <c r="A35" s="6"/>
      <c r="B35" s="6"/>
      <c r="C35" s="5"/>
      <c r="D35" s="5"/>
      <c r="E35" s="5"/>
      <c r="F35" s="5"/>
    </row>
    <row r="36" spans="1:6" ht="12.75">
      <c r="A36" s="6"/>
      <c r="B36" s="6"/>
      <c r="C36" s="5"/>
      <c r="D36" s="5"/>
      <c r="E36" s="5"/>
      <c r="F36" s="5"/>
    </row>
    <row r="37" spans="1:6" ht="12.75">
      <c r="A37" s="6"/>
      <c r="B37" s="6"/>
      <c r="C37" s="5"/>
      <c r="D37" s="5"/>
      <c r="E37" s="5"/>
      <c r="F37" s="5"/>
    </row>
    <row r="38" spans="1:6" ht="12.75">
      <c r="A38" s="6"/>
      <c r="B38" s="6"/>
      <c r="C38" s="5"/>
      <c r="D38" s="5"/>
      <c r="E38" s="5"/>
      <c r="F38" s="5"/>
    </row>
    <row r="39" spans="1:6" ht="12.75">
      <c r="A39" s="6"/>
      <c r="B39" s="6"/>
      <c r="C39" s="5"/>
      <c r="D39" s="5"/>
      <c r="E39" s="5"/>
      <c r="F39" s="5"/>
    </row>
    <row r="40" spans="1:6" ht="12.75">
      <c r="A40" s="6"/>
      <c r="B40" s="6"/>
      <c r="C40" s="5"/>
      <c r="D40" s="5"/>
      <c r="E40" s="5"/>
      <c r="F40" s="5"/>
    </row>
    <row r="41" spans="1:6" ht="12.75">
      <c r="A41" s="6"/>
      <c r="B41" s="6"/>
      <c r="C41" s="5"/>
      <c r="D41" s="5"/>
      <c r="E41" s="5"/>
      <c r="F41" s="5"/>
    </row>
    <row r="42" spans="1:6" ht="12.75">
      <c r="A42" s="6"/>
      <c r="B42" s="6"/>
      <c r="C42" s="5"/>
      <c r="D42" s="5"/>
      <c r="E42" s="5"/>
      <c r="F42" s="5"/>
    </row>
    <row r="43" spans="1:6" ht="12.75">
      <c r="A43" s="6"/>
      <c r="B43" s="6"/>
      <c r="C43" s="5"/>
      <c r="D43" s="5"/>
      <c r="E43" s="5"/>
      <c r="F43" s="5"/>
    </row>
    <row r="44" spans="1:6" ht="12.75">
      <c r="A44" s="6"/>
      <c r="B44" s="6"/>
      <c r="C44" s="5"/>
      <c r="D44" s="5"/>
      <c r="E44" s="5"/>
      <c r="F44" s="5"/>
    </row>
    <row r="45" spans="1:6" ht="12.75">
      <c r="A45" s="6"/>
      <c r="B45" s="6"/>
      <c r="C45" s="5"/>
      <c r="D45" s="5"/>
      <c r="E45" s="5"/>
      <c r="F45" s="5"/>
    </row>
    <row r="46" spans="1:6" ht="12.75">
      <c r="A46" s="6"/>
      <c r="B46" s="6"/>
      <c r="C46" s="5"/>
      <c r="D46" s="5"/>
      <c r="E46" s="5"/>
      <c r="F46" s="5"/>
    </row>
    <row r="47" spans="1:6" ht="12.75">
      <c r="A47" s="6"/>
      <c r="B47" s="6"/>
      <c r="C47" s="5"/>
      <c r="D47" s="5"/>
      <c r="E47" s="5"/>
      <c r="F47" s="5"/>
    </row>
    <row r="48" spans="1:6" ht="12.75">
      <c r="A48" s="6"/>
      <c r="B48" s="6"/>
      <c r="C48" s="5"/>
      <c r="D48" s="5"/>
      <c r="E48" s="5"/>
      <c r="F48" s="5"/>
    </row>
    <row r="49" spans="1:6" ht="12.75">
      <c r="A49" s="6"/>
      <c r="B49" s="6"/>
      <c r="C49" s="5"/>
      <c r="D49" s="5"/>
      <c r="E49" s="5"/>
      <c r="F49" s="5"/>
    </row>
    <row r="50" spans="1:6" ht="12.75">
      <c r="A50" s="6"/>
      <c r="B50" s="6"/>
      <c r="C50" s="5"/>
      <c r="D50" s="5"/>
      <c r="E50" s="5"/>
      <c r="F50" s="5"/>
    </row>
    <row r="51" spans="1:6" ht="12.75">
      <c r="A51" s="6"/>
      <c r="B51" s="6"/>
      <c r="C51" s="5"/>
      <c r="D51" s="5"/>
      <c r="E51" s="5"/>
      <c r="F51" s="5"/>
    </row>
    <row r="52" spans="1:6" ht="12.75">
      <c r="A52" s="6"/>
      <c r="B52" s="6"/>
      <c r="C52" s="5"/>
      <c r="D52" s="5"/>
      <c r="E52" s="5"/>
      <c r="F52" s="5"/>
    </row>
    <row r="53" spans="1:6" ht="12.75">
      <c r="A53" s="6"/>
      <c r="B53" s="6"/>
      <c r="C53" s="5"/>
      <c r="D53" s="5"/>
      <c r="E53" s="5"/>
      <c r="F53" s="5"/>
    </row>
    <row r="54" spans="1:6" ht="12.75">
      <c r="A54" s="6"/>
      <c r="B54" s="6"/>
      <c r="C54" s="5"/>
      <c r="D54" s="5"/>
      <c r="E54" s="5"/>
      <c r="F54" s="5"/>
    </row>
    <row r="55" spans="1:6" ht="12.75">
      <c r="A55" s="6"/>
      <c r="B55" s="6"/>
      <c r="C55" s="5"/>
      <c r="D55" s="5"/>
      <c r="E55" s="5"/>
      <c r="F55" s="5"/>
    </row>
    <row r="56" spans="1:6" ht="12.75">
      <c r="A56" s="6"/>
      <c r="B56" s="6"/>
      <c r="C56" s="5"/>
      <c r="D56" s="5"/>
      <c r="E56" s="5"/>
      <c r="F56" s="5"/>
    </row>
    <row r="57" spans="1:6" ht="12.75">
      <c r="A57" s="6"/>
      <c r="B57" s="6"/>
      <c r="C57" s="5"/>
      <c r="D57" s="5"/>
      <c r="E57" s="5"/>
      <c r="F57" s="5"/>
    </row>
    <row r="58" spans="1:6" ht="12.75">
      <c r="A58" s="6"/>
      <c r="B58" s="6"/>
      <c r="C58" s="5"/>
      <c r="D58" s="5"/>
      <c r="E58" s="5"/>
      <c r="F58" s="5"/>
    </row>
    <row r="59" spans="1:6" ht="12.75">
      <c r="A59" s="6"/>
      <c r="B59" s="6"/>
      <c r="C59" s="5"/>
      <c r="D59" s="5"/>
      <c r="E59" s="5"/>
      <c r="F59" s="5"/>
    </row>
    <row r="60" spans="1:6" ht="12.75">
      <c r="A60" s="6"/>
      <c r="B60" s="6"/>
      <c r="C60" s="5"/>
      <c r="D60" s="5"/>
      <c r="E60" s="5"/>
      <c r="F60" s="5"/>
    </row>
    <row r="61" spans="1:6" ht="12.75">
      <c r="A61" s="6"/>
      <c r="B61" s="6"/>
      <c r="C61" s="5"/>
      <c r="D61" s="5"/>
      <c r="E61" s="5"/>
      <c r="F61" s="5"/>
    </row>
    <row r="62" spans="1:6" ht="12.75">
      <c r="A62" s="6"/>
      <c r="B62" s="6"/>
      <c r="C62" s="5"/>
      <c r="D62" s="5"/>
      <c r="E62" s="5"/>
      <c r="F62" s="5"/>
    </row>
    <row r="63" spans="1:6" ht="12.75">
      <c r="A63" s="6"/>
      <c r="B63" s="6"/>
      <c r="C63" s="5"/>
      <c r="D63" s="5"/>
      <c r="E63" s="5"/>
      <c r="F63" s="5"/>
    </row>
    <row r="64" spans="1:6" ht="12.75">
      <c r="A64" s="6"/>
      <c r="B64" s="6"/>
      <c r="C64" s="5"/>
      <c r="D64" s="5"/>
      <c r="E64" s="5"/>
      <c r="F64" s="5"/>
    </row>
    <row r="65" spans="1:6" ht="12.75">
      <c r="A65" s="6"/>
      <c r="B65" s="6"/>
      <c r="C65" s="5"/>
      <c r="D65" s="5"/>
      <c r="E65" s="5"/>
      <c r="F65" s="5"/>
    </row>
    <row r="66" spans="1:6" ht="12.75">
      <c r="A66" s="6"/>
      <c r="B66" s="6"/>
      <c r="C66" s="5"/>
      <c r="D66" s="5"/>
      <c r="E66" s="5"/>
      <c r="F66" s="5"/>
    </row>
    <row r="67" spans="1:6" ht="12.75">
      <c r="A67" s="6"/>
      <c r="B67" s="6"/>
      <c r="C67" s="5"/>
      <c r="D67" s="5"/>
      <c r="E67" s="5"/>
      <c r="F67" s="5"/>
    </row>
    <row r="68" spans="1:6" ht="12.75">
      <c r="A68" s="6"/>
      <c r="B68" s="6"/>
      <c r="C68" s="5"/>
      <c r="D68" s="5"/>
      <c r="E68" s="5"/>
      <c r="F68" s="5"/>
    </row>
    <row r="69" spans="1:6" ht="12.75">
      <c r="A69" s="6"/>
      <c r="B69" s="6"/>
      <c r="C69" s="5"/>
      <c r="D69" s="5"/>
      <c r="E69" s="5"/>
      <c r="F69" s="5"/>
    </row>
    <row r="70" spans="1:6" ht="12.75">
      <c r="A70" s="6"/>
      <c r="B70" s="6"/>
      <c r="C70" s="5"/>
      <c r="D70" s="5"/>
      <c r="E70" s="5"/>
      <c r="F70" s="5"/>
    </row>
    <row r="71" spans="1:6" ht="12.75">
      <c r="A71" s="6"/>
      <c r="B71" s="6"/>
      <c r="C71" s="5"/>
      <c r="D71" s="5"/>
      <c r="E71" s="5"/>
      <c r="F71" s="5"/>
    </row>
    <row r="72" spans="1:6" ht="12.75">
      <c r="A72" s="6"/>
      <c r="B72" s="6"/>
      <c r="C72" s="5"/>
      <c r="D72" s="5"/>
      <c r="E72" s="5"/>
      <c r="F72" s="5"/>
    </row>
    <row r="73" spans="1:6" ht="12.75">
      <c r="A73" s="6"/>
      <c r="B73" s="6"/>
      <c r="C73" s="5"/>
      <c r="D73" s="5"/>
      <c r="E73" s="5"/>
      <c r="F73" s="5"/>
    </row>
    <row r="74" spans="1:6" ht="12.75">
      <c r="A74" s="6"/>
      <c r="B74" s="6"/>
      <c r="C74" s="5"/>
      <c r="D74" s="5"/>
      <c r="E74" s="5"/>
      <c r="F74" s="5"/>
    </row>
    <row r="75" spans="1:6" ht="12.75">
      <c r="A75" s="6"/>
      <c r="B75" s="6"/>
      <c r="C75" s="5"/>
      <c r="D75" s="5"/>
      <c r="E75" s="5"/>
      <c r="F75" s="5"/>
    </row>
    <row r="76" spans="1:6" ht="12.75">
      <c r="A76" s="6"/>
      <c r="B76" s="6"/>
      <c r="C76" s="5"/>
      <c r="D76" s="5"/>
      <c r="E76" s="5"/>
      <c r="F76" s="5"/>
    </row>
  </sheetData>
  <sheetProtection/>
  <mergeCells count="1">
    <mergeCell ref="A2:F2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3"/>
  <sheetViews>
    <sheetView tabSelected="1" zoomScaleSheetLayoutView="100" zoomScalePageLayoutView="0" workbookViewId="0" topLeftCell="A1">
      <selection activeCell="A3" sqref="A3:D3"/>
    </sheetView>
  </sheetViews>
  <sheetFormatPr defaultColWidth="9.00390625" defaultRowHeight="12.75"/>
  <cols>
    <col min="1" max="1" width="61.375" style="142" customWidth="1"/>
    <col min="2" max="4" width="15.75390625" style="142" customWidth="1"/>
    <col min="5" max="5" width="3.375" style="142" customWidth="1"/>
    <col min="6" max="16384" width="9.125" style="142" customWidth="1"/>
  </cols>
  <sheetData>
    <row r="1" ht="15.75">
      <c r="A1" s="141" t="s">
        <v>378</v>
      </c>
    </row>
    <row r="2" spans="1:4" ht="15.75">
      <c r="A2" s="123" t="s">
        <v>23</v>
      </c>
      <c r="B2" s="123"/>
      <c r="C2" s="123"/>
      <c r="D2" s="123"/>
    </row>
    <row r="3" spans="1:4" ht="15.75">
      <c r="A3" s="123" t="s">
        <v>206</v>
      </c>
      <c r="B3" s="123"/>
      <c r="C3" s="123"/>
      <c r="D3" s="123"/>
    </row>
    <row r="4" spans="1:4" s="5" customFormat="1" ht="21" customHeight="1" thickBot="1">
      <c r="A4" s="143" t="s">
        <v>208</v>
      </c>
      <c r="B4" s="143"/>
      <c r="C4" s="143"/>
      <c r="D4" s="143"/>
    </row>
    <row r="5" spans="1:4" s="5" customFormat="1" ht="42" customHeight="1" thickBot="1">
      <c r="A5" s="144" t="s">
        <v>24</v>
      </c>
      <c r="B5" s="145" t="s">
        <v>207</v>
      </c>
      <c r="C5" s="146" t="s">
        <v>307</v>
      </c>
      <c r="D5" s="146" t="s">
        <v>308</v>
      </c>
    </row>
    <row r="6" spans="1:4" s="5" customFormat="1" ht="12.75">
      <c r="A6" s="147" t="s">
        <v>121</v>
      </c>
      <c r="B6" s="148">
        <f>B7+B8</f>
        <v>890978777</v>
      </c>
      <c r="C6" s="148">
        <f>C7+C8</f>
        <v>954732041</v>
      </c>
      <c r="D6" s="148">
        <f>D7+D8</f>
        <v>63753264</v>
      </c>
    </row>
    <row r="7" spans="1:4" s="5" customFormat="1" ht="12.75">
      <c r="A7" s="149" t="s">
        <v>118</v>
      </c>
      <c r="B7" s="150">
        <v>828336315</v>
      </c>
      <c r="C7" s="150">
        <v>850114232</v>
      </c>
      <c r="D7" s="150">
        <f>C7-B7</f>
        <v>21777917</v>
      </c>
    </row>
    <row r="8" spans="1:4" s="5" customFormat="1" ht="12.75">
      <c r="A8" s="149" t="s">
        <v>119</v>
      </c>
      <c r="B8" s="150">
        <v>62642462</v>
      </c>
      <c r="C8" s="150">
        <v>104617809</v>
      </c>
      <c r="D8" s="150">
        <f>C8-B8</f>
        <v>41975347</v>
      </c>
    </row>
    <row r="9" spans="1:4" s="5" customFormat="1" ht="12.75">
      <c r="A9" s="151" t="s">
        <v>67</v>
      </c>
      <c r="B9" s="152">
        <v>489859309</v>
      </c>
      <c r="C9" s="152">
        <v>489859309</v>
      </c>
      <c r="D9" s="152">
        <f>C9-B9</f>
        <v>0</v>
      </c>
    </row>
    <row r="10" spans="1:4" s="5" customFormat="1" ht="12.75">
      <c r="A10" s="151" t="s">
        <v>68</v>
      </c>
      <c r="B10" s="152">
        <v>258005190</v>
      </c>
      <c r="C10" s="152">
        <v>258005190</v>
      </c>
      <c r="D10" s="152">
        <f>C10-B10</f>
        <v>0</v>
      </c>
    </row>
    <row r="11" spans="1:4" s="5" customFormat="1" ht="13.5" thickBot="1">
      <c r="A11" s="153" t="s">
        <v>70</v>
      </c>
      <c r="B11" s="154">
        <v>28095435</v>
      </c>
      <c r="C11" s="154">
        <v>23980486</v>
      </c>
      <c r="D11" s="154">
        <f>C11-B11</f>
        <v>-4114949</v>
      </c>
    </row>
    <row r="12" spans="1:4" s="6" customFormat="1" ht="13.5" thickBot="1">
      <c r="A12" s="155" t="s">
        <v>103</v>
      </c>
      <c r="B12" s="156">
        <f>B6+B9+B10+B11</f>
        <v>1666938711</v>
      </c>
      <c r="C12" s="156">
        <f>C6+C9+C10+C11</f>
        <v>1726577026</v>
      </c>
      <c r="D12" s="156">
        <f>D6+D9+D10+D11</f>
        <v>59638315</v>
      </c>
    </row>
    <row r="13" spans="1:4" s="5" customFormat="1" ht="12.75">
      <c r="A13" s="147" t="s">
        <v>82</v>
      </c>
      <c r="B13" s="157">
        <f>B14+B15+B16</f>
        <v>41720075</v>
      </c>
      <c r="C13" s="157">
        <f>C14+C15+C16</f>
        <v>178335518</v>
      </c>
      <c r="D13" s="157">
        <f>D14+D15+D16</f>
        <v>136615443</v>
      </c>
    </row>
    <row r="14" spans="1:4" s="5" customFormat="1" ht="12.75">
      <c r="A14" s="158" t="s">
        <v>100</v>
      </c>
      <c r="B14" s="159">
        <v>0</v>
      </c>
      <c r="C14" s="159">
        <v>96301000</v>
      </c>
      <c r="D14" s="159">
        <f>C14-B14</f>
        <v>96301000</v>
      </c>
    </row>
    <row r="15" spans="1:4" s="5" customFormat="1" ht="12.75">
      <c r="A15" s="158" t="s">
        <v>283</v>
      </c>
      <c r="B15" s="159">
        <v>120075</v>
      </c>
      <c r="C15" s="159">
        <v>120075</v>
      </c>
      <c r="D15" s="159">
        <f>C15-B15</f>
        <v>0</v>
      </c>
    </row>
    <row r="16" spans="1:4" s="5" customFormat="1" ht="12.75">
      <c r="A16" s="158" t="s">
        <v>309</v>
      </c>
      <c r="B16" s="159">
        <v>41600000</v>
      </c>
      <c r="C16" s="159">
        <v>81914443</v>
      </c>
      <c r="D16" s="159">
        <f>C16-B16</f>
        <v>40314443</v>
      </c>
    </row>
    <row r="17" spans="1:4" s="5" customFormat="1" ht="12.75">
      <c r="A17" s="151" t="s">
        <v>69</v>
      </c>
      <c r="B17" s="152">
        <v>205340627</v>
      </c>
      <c r="C17" s="152">
        <v>183353173</v>
      </c>
      <c r="D17" s="152">
        <f>C17-B17</f>
        <v>-21987454</v>
      </c>
    </row>
    <row r="18" spans="1:4" s="5" customFormat="1" ht="12.75">
      <c r="A18" s="151" t="s">
        <v>60</v>
      </c>
      <c r="B18" s="152">
        <f>SUM(B19:B20)</f>
        <v>14294359</v>
      </c>
      <c r="C18" s="152">
        <f>SUM(C19:C20)</f>
        <v>14294359</v>
      </c>
      <c r="D18" s="152">
        <f>SUM(D19:D20)</f>
        <v>0</v>
      </c>
    </row>
    <row r="19" spans="1:4" s="5" customFormat="1" ht="12.75">
      <c r="A19" s="160" t="s">
        <v>101</v>
      </c>
      <c r="B19" s="150">
        <v>12815928</v>
      </c>
      <c r="C19" s="150">
        <v>12815928</v>
      </c>
      <c r="D19" s="150">
        <f>C19-B19</f>
        <v>0</v>
      </c>
    </row>
    <row r="20" spans="1:4" s="5" customFormat="1" ht="13.5" thickBot="1">
      <c r="A20" s="160" t="s">
        <v>120</v>
      </c>
      <c r="B20" s="161">
        <v>1478431</v>
      </c>
      <c r="C20" s="161">
        <v>1478431</v>
      </c>
      <c r="D20" s="161">
        <f>C20-B20</f>
        <v>0</v>
      </c>
    </row>
    <row r="21" spans="1:4" s="6" customFormat="1" ht="14.25" customHeight="1" thickBot="1">
      <c r="A21" s="155" t="s">
        <v>104</v>
      </c>
      <c r="B21" s="156">
        <f>B18+B17+B13</f>
        <v>261355061</v>
      </c>
      <c r="C21" s="156">
        <f>C18+C17+C13</f>
        <v>375983050</v>
      </c>
      <c r="D21" s="156">
        <f>D18+D17+D13</f>
        <v>114627989</v>
      </c>
    </row>
    <row r="22" spans="1:4" s="6" customFormat="1" ht="15.75" customHeight="1" thickBot="1">
      <c r="A22" s="162" t="s">
        <v>102</v>
      </c>
      <c r="B22" s="163">
        <f>B21+B12</f>
        <v>1928293772</v>
      </c>
      <c r="C22" s="163">
        <f>C21+C12</f>
        <v>2102560076</v>
      </c>
      <c r="D22" s="163">
        <f>D21+D12</f>
        <v>174266304</v>
      </c>
    </row>
    <row r="23" spans="1:4" s="5" customFormat="1" ht="12.75">
      <c r="A23" s="164" t="s">
        <v>66</v>
      </c>
      <c r="B23" s="148">
        <f>SUM(B24:B25)</f>
        <v>1369911367</v>
      </c>
      <c r="C23" s="148">
        <f>SUM(C24:C25)</f>
        <v>1467173842</v>
      </c>
      <c r="D23" s="148">
        <f>SUM(D24:D25)</f>
        <v>97262475</v>
      </c>
    </row>
    <row r="24" spans="1:4" s="5" customFormat="1" ht="12.75">
      <c r="A24" s="158" t="s">
        <v>105</v>
      </c>
      <c r="B24" s="150">
        <v>229179577</v>
      </c>
      <c r="C24" s="150">
        <f>326442052+1676400-419581</f>
        <v>327698871</v>
      </c>
      <c r="D24" s="150">
        <f>C24-B24</f>
        <v>98519294</v>
      </c>
    </row>
    <row r="25" spans="1:4" s="5" customFormat="1" ht="13.5" thickBot="1">
      <c r="A25" s="165" t="s">
        <v>106</v>
      </c>
      <c r="B25" s="166">
        <v>1140731790</v>
      </c>
      <c r="C25" s="166">
        <f>1140731790-1676400+419581</f>
        <v>1139474971</v>
      </c>
      <c r="D25" s="166">
        <f>C25-B25</f>
        <v>-1256819</v>
      </c>
    </row>
    <row r="26" spans="1:4" s="6" customFormat="1" ht="15.75" customHeight="1" thickBot="1">
      <c r="A26" s="155" t="s">
        <v>107</v>
      </c>
      <c r="B26" s="156">
        <f>SUM(B23)</f>
        <v>1369911367</v>
      </c>
      <c r="C26" s="156">
        <f>SUM(C23)</f>
        <v>1467173842</v>
      </c>
      <c r="D26" s="156">
        <f>SUM(D23)</f>
        <v>97262475</v>
      </c>
    </row>
    <row r="27" spans="1:4" s="6" customFormat="1" ht="15.75" customHeight="1" thickBot="1">
      <c r="A27" s="167" t="s">
        <v>25</v>
      </c>
      <c r="B27" s="168">
        <f>B12+B21+B23</f>
        <v>3298205139</v>
      </c>
      <c r="C27" s="168">
        <f>C12+C21+C23</f>
        <v>3569733918</v>
      </c>
      <c r="D27" s="168">
        <f>D12+D21+D23</f>
        <v>271528779</v>
      </c>
    </row>
    <row r="28" s="5" customFormat="1" ht="12.75"/>
    <row r="29" spans="1:4" s="5" customFormat="1" ht="13.5" thickBot="1">
      <c r="A29" s="143" t="s">
        <v>209</v>
      </c>
      <c r="B29" s="143"/>
      <c r="C29" s="143"/>
      <c r="D29" s="143"/>
    </row>
    <row r="30" spans="1:4" s="5" customFormat="1" ht="45" customHeight="1" thickBot="1">
      <c r="A30" s="169" t="s">
        <v>24</v>
      </c>
      <c r="B30" s="170" t="s">
        <v>207</v>
      </c>
      <c r="C30" s="146" t="s">
        <v>307</v>
      </c>
      <c r="D30" s="146" t="s">
        <v>308</v>
      </c>
    </row>
    <row r="31" spans="1:4" s="5" customFormat="1" ht="12.75">
      <c r="A31" s="147" t="s">
        <v>26</v>
      </c>
      <c r="B31" s="157">
        <v>735842951</v>
      </c>
      <c r="C31" s="157">
        <v>765651318</v>
      </c>
      <c r="D31" s="157">
        <f>C31-B31</f>
        <v>29808367</v>
      </c>
    </row>
    <row r="32" spans="1:4" s="5" customFormat="1" ht="12.75">
      <c r="A32" s="151" t="s">
        <v>27</v>
      </c>
      <c r="B32" s="152">
        <v>164004809</v>
      </c>
      <c r="C32" s="152">
        <v>171148292</v>
      </c>
      <c r="D32" s="152">
        <f>C32-B32</f>
        <v>7143483</v>
      </c>
    </row>
    <row r="33" spans="1:4" s="5" customFormat="1" ht="12.75">
      <c r="A33" s="151" t="s">
        <v>15</v>
      </c>
      <c r="B33" s="152">
        <v>854234071</v>
      </c>
      <c r="C33" s="152">
        <v>936173806</v>
      </c>
      <c r="D33" s="152">
        <f>C33-B33</f>
        <v>81939735</v>
      </c>
    </row>
    <row r="34" spans="1:4" s="5" customFormat="1" ht="12.75">
      <c r="A34" s="151" t="s">
        <v>28</v>
      </c>
      <c r="B34" s="152">
        <v>24500000</v>
      </c>
      <c r="C34" s="152">
        <v>24500000</v>
      </c>
      <c r="D34" s="152">
        <f>C34-B34</f>
        <v>0</v>
      </c>
    </row>
    <row r="35" spans="1:4" s="5" customFormat="1" ht="12.75">
      <c r="A35" s="151" t="s">
        <v>122</v>
      </c>
      <c r="B35" s="152">
        <f>SUM(B36:B39)</f>
        <v>88986530</v>
      </c>
      <c r="C35" s="152">
        <f>SUM(C36:C39)</f>
        <v>148566997</v>
      </c>
      <c r="D35" s="152">
        <f>SUM(D36:D39)</f>
        <v>59580467</v>
      </c>
    </row>
    <row r="36" spans="1:4" s="5" customFormat="1" ht="12.75">
      <c r="A36" s="158" t="s">
        <v>108</v>
      </c>
      <c r="B36" s="150">
        <v>0</v>
      </c>
      <c r="C36" s="150">
        <v>16017886</v>
      </c>
      <c r="D36" s="150">
        <f>C36-B36</f>
        <v>16017886</v>
      </c>
    </row>
    <row r="37" spans="1:4" s="5" customFormat="1" ht="12.75">
      <c r="A37" s="158" t="s">
        <v>110</v>
      </c>
      <c r="B37" s="150">
        <v>4103300</v>
      </c>
      <c r="C37" s="150">
        <v>4162918</v>
      </c>
      <c r="D37" s="150">
        <f>C37-B37</f>
        <v>59618</v>
      </c>
    </row>
    <row r="38" spans="1:4" s="5" customFormat="1" ht="12.75">
      <c r="A38" s="158" t="s">
        <v>109</v>
      </c>
      <c r="B38" s="150">
        <v>53083516</v>
      </c>
      <c r="C38" s="150">
        <v>55798036</v>
      </c>
      <c r="D38" s="150">
        <f>C38-B38</f>
        <v>2714520</v>
      </c>
    </row>
    <row r="39" spans="1:4" s="5" customFormat="1" ht="13.5" thickBot="1">
      <c r="A39" s="158" t="s">
        <v>123</v>
      </c>
      <c r="B39" s="171">
        <v>31799714</v>
      </c>
      <c r="C39" s="171">
        <v>72588157</v>
      </c>
      <c r="D39" s="171">
        <f>C39-B39</f>
        <v>40788443</v>
      </c>
    </row>
    <row r="40" spans="1:4" s="5" customFormat="1" ht="13.5" thickBot="1">
      <c r="A40" s="155" t="s">
        <v>114</v>
      </c>
      <c r="B40" s="156">
        <f>B31+B32+B33+B34+B35</f>
        <v>1867568361</v>
      </c>
      <c r="C40" s="156">
        <f>C31+C32+C33+C34+C35</f>
        <v>2046040413</v>
      </c>
      <c r="D40" s="156">
        <f>D31+D32+D33+D34+D35</f>
        <v>178472052</v>
      </c>
    </row>
    <row r="41" spans="1:4" s="5" customFormat="1" ht="12.75">
      <c r="A41" s="147" t="s">
        <v>59</v>
      </c>
      <c r="B41" s="152">
        <v>1285231319</v>
      </c>
      <c r="C41" s="152">
        <v>1316623423</v>
      </c>
      <c r="D41" s="152">
        <f>C41-B41</f>
        <v>31392104</v>
      </c>
    </row>
    <row r="42" spans="1:4" s="5" customFormat="1" ht="12.75">
      <c r="A42" s="172" t="s">
        <v>17</v>
      </c>
      <c r="B42" s="157">
        <v>104421475</v>
      </c>
      <c r="C42" s="157">
        <v>166086098</v>
      </c>
      <c r="D42" s="157">
        <f>C42-B42</f>
        <v>61664623</v>
      </c>
    </row>
    <row r="43" spans="1:4" s="5" customFormat="1" ht="12.75">
      <c r="A43" s="151" t="s">
        <v>88</v>
      </c>
      <c r="B43" s="152">
        <f>SUM(B44:B46)</f>
        <v>12434057</v>
      </c>
      <c r="C43" s="152">
        <f>SUM(C44:C46)</f>
        <v>12434057</v>
      </c>
      <c r="D43" s="152">
        <f>SUM(D44:D46)</f>
        <v>0</v>
      </c>
    </row>
    <row r="44" spans="1:4" s="5" customFormat="1" ht="12.75">
      <c r="A44" s="158" t="s">
        <v>111</v>
      </c>
      <c r="B44" s="150">
        <v>1165207</v>
      </c>
      <c r="C44" s="150">
        <v>1165207</v>
      </c>
      <c r="D44" s="150">
        <f>C44-B44</f>
        <v>0</v>
      </c>
    </row>
    <row r="45" spans="1:4" s="5" customFormat="1" ht="12.75">
      <c r="A45" s="158" t="s">
        <v>112</v>
      </c>
      <c r="B45" s="150">
        <v>5802000</v>
      </c>
      <c r="C45" s="150">
        <v>5802000</v>
      </c>
      <c r="D45" s="150">
        <f>C45-B45</f>
        <v>0</v>
      </c>
    </row>
    <row r="46" spans="1:4" s="5" customFormat="1" ht="13.5" thickBot="1">
      <c r="A46" s="158" t="s">
        <v>113</v>
      </c>
      <c r="B46" s="166">
        <v>5466850</v>
      </c>
      <c r="C46" s="166">
        <v>5466850</v>
      </c>
      <c r="D46" s="166">
        <f>C46-B46</f>
        <v>0</v>
      </c>
    </row>
    <row r="47" spans="1:4" s="5" customFormat="1" ht="13.5" thickBot="1">
      <c r="A47" s="155" t="s">
        <v>115</v>
      </c>
      <c r="B47" s="156">
        <f>B41+B42+B43</f>
        <v>1402086851</v>
      </c>
      <c r="C47" s="156">
        <f>C41+C42+C43</f>
        <v>1495143578</v>
      </c>
      <c r="D47" s="156">
        <f>D41+D42+D43</f>
        <v>93056727</v>
      </c>
    </row>
    <row r="48" spans="1:4" s="6" customFormat="1" ht="15.75" customHeight="1" thickBot="1">
      <c r="A48" s="162" t="s">
        <v>116</v>
      </c>
      <c r="B48" s="163">
        <f>B47+B40</f>
        <v>3269655212</v>
      </c>
      <c r="C48" s="163">
        <f>C47+C40</f>
        <v>3541183991</v>
      </c>
      <c r="D48" s="163">
        <f>D47+D40</f>
        <v>271528779</v>
      </c>
    </row>
    <row r="49" spans="1:4" s="5" customFormat="1" ht="15.75" customHeight="1" thickBot="1">
      <c r="A49" s="173" t="s">
        <v>117</v>
      </c>
      <c r="B49" s="174">
        <v>28549927</v>
      </c>
      <c r="C49" s="174">
        <v>28549927</v>
      </c>
      <c r="D49" s="174">
        <f>C49-B49</f>
        <v>0</v>
      </c>
    </row>
    <row r="50" spans="1:4" s="6" customFormat="1" ht="15.75" customHeight="1" thickBot="1">
      <c r="A50" s="167" t="s">
        <v>29</v>
      </c>
      <c r="B50" s="168">
        <f>B49+B48</f>
        <v>3298205139</v>
      </c>
      <c r="C50" s="168">
        <f>C49+C48</f>
        <v>3569733918</v>
      </c>
      <c r="D50" s="168">
        <f>D49+D48</f>
        <v>271528779</v>
      </c>
    </row>
    <row r="53" spans="1:4" ht="15.75">
      <c r="A53" s="175"/>
      <c r="B53" s="175"/>
      <c r="C53" s="175"/>
      <c r="D53" s="175"/>
    </row>
  </sheetData>
  <sheetProtection/>
  <mergeCells count="4">
    <mergeCell ref="A2:D2"/>
    <mergeCell ref="A3:D3"/>
    <mergeCell ref="A4:D4"/>
    <mergeCell ref="A29:D29"/>
  </mergeCells>
  <printOptions/>
  <pageMargins left="0" right="0" top="0.6692913385826772" bottom="0.7086614173228347" header="0.5118110236220472" footer="0.5118110236220472"/>
  <pageSetup horizontalDpi="360" verticalDpi="36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5"/>
  <sheetViews>
    <sheetView view="pageBreakPreview" zoomScaleSheetLayoutView="100" zoomScalePageLayoutView="0" workbookViewId="0" topLeftCell="A1">
      <selection activeCell="B4" sqref="B4"/>
    </sheetView>
  </sheetViews>
  <sheetFormatPr defaultColWidth="9.00390625" defaultRowHeight="12.75"/>
  <cols>
    <col min="1" max="1" width="2.875" style="177" customWidth="1"/>
    <col min="2" max="2" width="92.875" style="177" customWidth="1"/>
    <col min="3" max="4" width="14.75390625" style="176" customWidth="1"/>
    <col min="5" max="5" width="12.375" style="176" bestFit="1" customWidth="1"/>
    <col min="6" max="16384" width="9.125" style="177" customWidth="1"/>
  </cols>
  <sheetData>
    <row r="1" spans="1:5" s="180" customFormat="1" ht="15" customHeight="1">
      <c r="A1" s="178"/>
      <c r="B1" s="178" t="s">
        <v>379</v>
      </c>
      <c r="C1" s="179"/>
      <c r="D1" s="179"/>
      <c r="E1" s="179"/>
    </row>
    <row r="2" spans="1:5" s="180" customFormat="1" ht="9" customHeight="1">
      <c r="A2" s="178"/>
      <c r="B2" s="178"/>
      <c r="C2" s="179"/>
      <c r="D2" s="179"/>
      <c r="E2" s="179"/>
    </row>
    <row r="3" spans="1:5" ht="12.75">
      <c r="A3" s="181" t="s">
        <v>196</v>
      </c>
      <c r="B3" s="181"/>
      <c r="C3" s="181"/>
      <c r="D3" s="182"/>
      <c r="E3" s="182"/>
    </row>
    <row r="4" spans="2:5" s="183" customFormat="1" ht="34.5">
      <c r="B4" s="183" t="s">
        <v>0</v>
      </c>
      <c r="C4" s="184" t="s">
        <v>197</v>
      </c>
      <c r="D4" s="184" t="s">
        <v>311</v>
      </c>
      <c r="E4" s="185" t="s">
        <v>312</v>
      </c>
    </row>
    <row r="5" s="186" customFormat="1" ht="12.75">
      <c r="A5" s="186" t="s">
        <v>198</v>
      </c>
    </row>
    <row r="6" spans="2:5" s="187" customFormat="1" ht="12.75" customHeight="1">
      <c r="B6" s="188" t="s">
        <v>293</v>
      </c>
      <c r="C6" s="189">
        <f>C7+C8+C13+C16+C14+C15+C18+C17</f>
        <v>251927795</v>
      </c>
      <c r="D6" s="189">
        <f>D7+D8+D13+D16+D14+D15+D18+D17</f>
        <v>252452151</v>
      </c>
      <c r="E6" s="189">
        <f>D6-C6</f>
        <v>524356</v>
      </c>
    </row>
    <row r="7" spans="2:5" ht="12.75" customHeight="1">
      <c r="B7" s="190" t="s">
        <v>37</v>
      </c>
      <c r="C7" s="176">
        <v>160666400</v>
      </c>
      <c r="D7" s="176">
        <v>160666400</v>
      </c>
      <c r="E7" s="176">
        <f>D7-C7</f>
        <v>0</v>
      </c>
    </row>
    <row r="8" spans="2:5" ht="12.75" customHeight="1">
      <c r="B8" s="191" t="s">
        <v>38</v>
      </c>
      <c r="C8" s="176">
        <f>C9+C10+C11+C12</f>
        <v>73192055</v>
      </c>
      <c r="D8" s="176">
        <f>D9+D10+D11+D12</f>
        <v>73192055</v>
      </c>
      <c r="E8" s="176">
        <f aca="true" t="shared" si="0" ref="E8:E53">D8-C8</f>
        <v>0</v>
      </c>
    </row>
    <row r="9" spans="2:5" ht="12.75" customHeight="1">
      <c r="B9" s="192" t="s">
        <v>57</v>
      </c>
      <c r="C9" s="176">
        <v>3213027</v>
      </c>
      <c r="D9" s="176">
        <v>3213027</v>
      </c>
      <c r="E9" s="176">
        <f t="shared" si="0"/>
        <v>0</v>
      </c>
    </row>
    <row r="10" spans="2:5" ht="12.75" customHeight="1">
      <c r="B10" s="193" t="s">
        <v>56</v>
      </c>
      <c r="C10" s="176">
        <v>45640000</v>
      </c>
      <c r="D10" s="176">
        <v>45640000</v>
      </c>
      <c r="E10" s="176">
        <f t="shared" si="0"/>
        <v>0</v>
      </c>
    </row>
    <row r="11" spans="2:5" ht="12.75" customHeight="1">
      <c r="B11" s="193" t="s">
        <v>55</v>
      </c>
      <c r="C11" s="176">
        <v>3588728</v>
      </c>
      <c r="D11" s="176">
        <v>3588728</v>
      </c>
      <c r="E11" s="176">
        <f t="shared" si="0"/>
        <v>0</v>
      </c>
    </row>
    <row r="12" spans="2:5" ht="12.75" customHeight="1">
      <c r="B12" s="193" t="s">
        <v>73</v>
      </c>
      <c r="C12" s="176">
        <v>20750300</v>
      </c>
      <c r="D12" s="176">
        <v>20750300</v>
      </c>
      <c r="E12" s="176">
        <f t="shared" si="0"/>
        <v>0</v>
      </c>
    </row>
    <row r="13" spans="2:5" ht="12.75" customHeight="1">
      <c r="B13" s="190" t="s">
        <v>74</v>
      </c>
      <c r="C13" s="176">
        <v>0</v>
      </c>
      <c r="D13" s="176">
        <v>0</v>
      </c>
      <c r="E13" s="176">
        <f t="shared" si="0"/>
        <v>0</v>
      </c>
    </row>
    <row r="14" spans="2:5" ht="12.75" customHeight="1">
      <c r="B14" s="190" t="s">
        <v>75</v>
      </c>
      <c r="C14" s="176">
        <v>0</v>
      </c>
      <c r="D14" s="176">
        <v>0</v>
      </c>
      <c r="E14" s="176">
        <f t="shared" si="0"/>
        <v>0</v>
      </c>
    </row>
    <row r="15" spans="2:5" ht="12.75" customHeight="1">
      <c r="B15" s="190" t="s">
        <v>76</v>
      </c>
      <c r="C15" s="176">
        <v>16020640</v>
      </c>
      <c r="D15" s="176">
        <v>16020640</v>
      </c>
      <c r="E15" s="176">
        <f t="shared" si="0"/>
        <v>0</v>
      </c>
    </row>
    <row r="16" spans="2:5" ht="12.75" customHeight="1">
      <c r="B16" s="190" t="s">
        <v>50</v>
      </c>
      <c r="C16" s="176">
        <v>0</v>
      </c>
      <c r="D16" s="176">
        <v>0</v>
      </c>
      <c r="E16" s="176">
        <f t="shared" si="0"/>
        <v>0</v>
      </c>
    </row>
    <row r="17" spans="2:5" ht="12.75" customHeight="1">
      <c r="B17" s="190" t="s">
        <v>313</v>
      </c>
      <c r="C17" s="176">
        <v>0</v>
      </c>
      <c r="D17" s="176">
        <v>524356</v>
      </c>
      <c r="E17" s="176">
        <f>D17-C17</f>
        <v>524356</v>
      </c>
    </row>
    <row r="18" spans="2:5" ht="12.75" customHeight="1">
      <c r="B18" s="190" t="s">
        <v>199</v>
      </c>
      <c r="C18" s="176">
        <v>2048700</v>
      </c>
      <c r="D18" s="176">
        <v>2048700</v>
      </c>
      <c r="E18" s="176">
        <f t="shared" si="0"/>
        <v>0</v>
      </c>
    </row>
    <row r="19" spans="2:5" ht="12.75" customHeight="1">
      <c r="B19" s="194" t="s">
        <v>41</v>
      </c>
      <c r="C19" s="189">
        <f>C20+C21+C23+C22</f>
        <v>243584034</v>
      </c>
      <c r="D19" s="189">
        <f>D20+D21+D23+D22</f>
        <v>244508034</v>
      </c>
      <c r="E19" s="189">
        <f t="shared" si="0"/>
        <v>924000</v>
      </c>
    </row>
    <row r="20" spans="2:5" ht="12.75" customHeight="1">
      <c r="B20" s="195" t="s">
        <v>77</v>
      </c>
      <c r="C20" s="176">
        <f>102226200+51260400+35280000+17640000</f>
        <v>206406600</v>
      </c>
      <c r="D20" s="176">
        <f>102226200+51260400+35280000+17640000</f>
        <v>206406600</v>
      </c>
      <c r="E20" s="176">
        <f t="shared" si="0"/>
        <v>0</v>
      </c>
    </row>
    <row r="21" spans="2:5" ht="12.75" customHeight="1">
      <c r="B21" s="196" t="s">
        <v>48</v>
      </c>
      <c r="C21" s="176">
        <f>20969667+10593767</f>
        <v>31563434</v>
      </c>
      <c r="D21" s="176">
        <f>20969667+10593767</f>
        <v>31563434</v>
      </c>
      <c r="E21" s="176">
        <f t="shared" si="0"/>
        <v>0</v>
      </c>
    </row>
    <row r="22" spans="2:5" ht="12.75" customHeight="1">
      <c r="B22" s="190" t="s">
        <v>162</v>
      </c>
      <c r="C22" s="176">
        <v>5614000</v>
      </c>
      <c r="D22" s="176">
        <v>5614000</v>
      </c>
      <c r="E22" s="176">
        <f>D22-C22</f>
        <v>0</v>
      </c>
    </row>
    <row r="23" spans="2:5" ht="12.75" customHeight="1">
      <c r="B23" s="190" t="s">
        <v>314</v>
      </c>
      <c r="C23" s="176">
        <v>0</v>
      </c>
      <c r="D23" s="176">
        <v>924000</v>
      </c>
      <c r="E23" s="176">
        <f t="shared" si="0"/>
        <v>924000</v>
      </c>
    </row>
    <row r="24" spans="2:5" ht="12.75" customHeight="1">
      <c r="B24" s="194" t="s">
        <v>42</v>
      </c>
      <c r="C24" s="189">
        <f>SUM(C25:C33)</f>
        <v>289515396</v>
      </c>
      <c r="D24" s="189">
        <f>SUM(D25:D33)</f>
        <v>300389198</v>
      </c>
      <c r="E24" s="189">
        <f t="shared" si="0"/>
        <v>10873802</v>
      </c>
    </row>
    <row r="25" spans="2:5" ht="12.75" customHeight="1">
      <c r="B25" s="190" t="s">
        <v>315</v>
      </c>
      <c r="C25" s="176">
        <v>0</v>
      </c>
      <c r="D25" s="176">
        <v>10873802</v>
      </c>
      <c r="E25" s="176">
        <f t="shared" si="0"/>
        <v>10873802</v>
      </c>
    </row>
    <row r="26" spans="2:5" ht="12.75" customHeight="1">
      <c r="B26" s="190" t="s">
        <v>78</v>
      </c>
      <c r="C26" s="176">
        <v>34272000</v>
      </c>
      <c r="D26" s="176">
        <v>34272000</v>
      </c>
      <c r="E26" s="176">
        <f t="shared" si="0"/>
        <v>0</v>
      </c>
    </row>
    <row r="27" spans="2:5" ht="12.75" customHeight="1">
      <c r="B27" s="190" t="s">
        <v>79</v>
      </c>
      <c r="C27" s="176">
        <f>8500000+11550000+4539520+6600000+6431000+8656200+12250000</f>
        <v>58526720</v>
      </c>
      <c r="D27" s="176">
        <f>8500000+11550000+4539520+6600000+6431000+8656200+12250000</f>
        <v>58526720</v>
      </c>
      <c r="E27" s="176">
        <f t="shared" si="0"/>
        <v>0</v>
      </c>
    </row>
    <row r="28" spans="2:5" ht="26.25" customHeight="1">
      <c r="B28" s="190" t="s">
        <v>80</v>
      </c>
      <c r="C28" s="176">
        <f>22784000+3597000</f>
        <v>26381000</v>
      </c>
      <c r="D28" s="176">
        <f>22784000+3597000</f>
        <v>26381000</v>
      </c>
      <c r="E28" s="176">
        <f t="shared" si="0"/>
        <v>0</v>
      </c>
    </row>
    <row r="29" spans="2:5" ht="12.75" customHeight="1">
      <c r="B29" s="190" t="s">
        <v>52</v>
      </c>
      <c r="C29" s="176">
        <v>58482000</v>
      </c>
      <c r="D29" s="176">
        <v>58482000</v>
      </c>
      <c r="E29" s="176">
        <f t="shared" si="0"/>
        <v>0</v>
      </c>
    </row>
    <row r="30" spans="2:5" ht="12.75" customHeight="1">
      <c r="B30" s="190" t="s">
        <v>51</v>
      </c>
      <c r="C30" s="176">
        <v>88945076</v>
      </c>
      <c r="D30" s="176">
        <v>88945076</v>
      </c>
      <c r="E30" s="176">
        <f t="shared" si="0"/>
        <v>0</v>
      </c>
    </row>
    <row r="31" spans="2:5" ht="12.75" customHeight="1">
      <c r="B31" s="190" t="s">
        <v>200</v>
      </c>
      <c r="C31" s="176">
        <v>8838000</v>
      </c>
      <c r="D31" s="176">
        <v>8838000</v>
      </c>
      <c r="E31" s="176">
        <f t="shared" si="0"/>
        <v>0</v>
      </c>
    </row>
    <row r="32" spans="2:5" ht="12.75" customHeight="1">
      <c r="B32" s="190" t="s">
        <v>201</v>
      </c>
      <c r="C32" s="176">
        <v>6584600</v>
      </c>
      <c r="D32" s="176">
        <v>6584600</v>
      </c>
      <c r="E32" s="176">
        <f t="shared" si="0"/>
        <v>0</v>
      </c>
    </row>
    <row r="33" spans="2:5" ht="12.75" customHeight="1">
      <c r="B33" s="190" t="s">
        <v>202</v>
      </c>
      <c r="C33" s="176">
        <v>7486000</v>
      </c>
      <c r="D33" s="176">
        <v>7486000</v>
      </c>
      <c r="E33" s="176">
        <f t="shared" si="0"/>
        <v>0</v>
      </c>
    </row>
    <row r="34" spans="2:5" ht="12.75" customHeight="1">
      <c r="B34" s="194" t="s">
        <v>53</v>
      </c>
      <c r="C34" s="189">
        <f>SUM(C35:C38)</f>
        <v>43309090</v>
      </c>
      <c r="D34" s="189">
        <f>SUM(D35:D38)</f>
        <v>49049185</v>
      </c>
      <c r="E34" s="189">
        <f t="shared" si="0"/>
        <v>5740095</v>
      </c>
    </row>
    <row r="35" spans="2:5" ht="12.75" customHeight="1">
      <c r="B35" s="190" t="s">
        <v>58</v>
      </c>
      <c r="C35" s="176">
        <v>13829090</v>
      </c>
      <c r="D35" s="176">
        <v>13829090</v>
      </c>
      <c r="E35" s="176">
        <f t="shared" si="0"/>
        <v>0</v>
      </c>
    </row>
    <row r="36" spans="2:5" ht="12.75" customHeight="1">
      <c r="B36" s="190" t="s">
        <v>43</v>
      </c>
      <c r="C36" s="176">
        <v>29480000</v>
      </c>
      <c r="D36" s="176">
        <v>29480000</v>
      </c>
      <c r="E36" s="176">
        <f>D36-C36</f>
        <v>0</v>
      </c>
    </row>
    <row r="37" spans="2:5" ht="12.75" customHeight="1">
      <c r="B37" s="190" t="s">
        <v>316</v>
      </c>
      <c r="C37" s="176">
        <v>0</v>
      </c>
      <c r="D37" s="176">
        <v>1895435</v>
      </c>
      <c r="E37" s="176">
        <f>D37-C37</f>
        <v>1895435</v>
      </c>
    </row>
    <row r="38" spans="2:5" ht="12.75" customHeight="1">
      <c r="B38" s="190" t="s">
        <v>317</v>
      </c>
      <c r="C38" s="176">
        <v>0</v>
      </c>
      <c r="D38" s="176">
        <v>3844660</v>
      </c>
      <c r="E38" s="176">
        <f t="shared" si="0"/>
        <v>3844660</v>
      </c>
    </row>
    <row r="39" spans="2:5" ht="12.75" customHeight="1">
      <c r="B39" s="194" t="s">
        <v>49</v>
      </c>
      <c r="C39" s="189">
        <v>-41507133</v>
      </c>
      <c r="D39" s="189">
        <v>-41507133</v>
      </c>
      <c r="E39" s="189">
        <f t="shared" si="0"/>
        <v>0</v>
      </c>
    </row>
    <row r="40" spans="2:5" s="197" customFormat="1" ht="16.5" customHeight="1">
      <c r="B40" s="198" t="s">
        <v>39</v>
      </c>
      <c r="C40" s="199">
        <f>C6+C19+C24+C34</f>
        <v>828336315</v>
      </c>
      <c r="D40" s="199">
        <f>D6+D19+D24+D34</f>
        <v>846398568</v>
      </c>
      <c r="E40" s="199">
        <f t="shared" si="0"/>
        <v>18062253</v>
      </c>
    </row>
    <row r="41" spans="1:6" s="202" customFormat="1" ht="17.25" customHeight="1">
      <c r="A41" s="186" t="s">
        <v>318</v>
      </c>
      <c r="B41" s="200"/>
      <c r="C41" s="201">
        <f>SUM(C43:C43)</f>
        <v>0</v>
      </c>
      <c r="D41" s="201">
        <f>D42</f>
        <v>3715664</v>
      </c>
      <c r="E41" s="201">
        <f t="shared" si="0"/>
        <v>3715664</v>
      </c>
      <c r="F41" s="200"/>
    </row>
    <row r="42" spans="2:5" s="187" customFormat="1" ht="12.75" customHeight="1">
      <c r="B42" s="188" t="s">
        <v>319</v>
      </c>
      <c r="C42" s="189">
        <f>SUM(C43:C44)</f>
        <v>0</v>
      </c>
      <c r="D42" s="189">
        <f>SUM(D43:D44)</f>
        <v>3715664</v>
      </c>
      <c r="E42" s="189">
        <f t="shared" si="0"/>
        <v>3715664</v>
      </c>
    </row>
    <row r="43" spans="1:6" s="202" customFormat="1" ht="15">
      <c r="A43" s="186"/>
      <c r="B43" s="190" t="s">
        <v>320</v>
      </c>
      <c r="C43" s="176"/>
      <c r="D43" s="176">
        <v>2315264</v>
      </c>
      <c r="E43" s="176">
        <f t="shared" si="0"/>
        <v>2315264</v>
      </c>
      <c r="F43" s="200"/>
    </row>
    <row r="44" spans="1:6" ht="14.25">
      <c r="A44" s="200"/>
      <c r="B44" s="195" t="s">
        <v>321</v>
      </c>
      <c r="C44" s="200"/>
      <c r="D44" s="203">
        <v>1400400</v>
      </c>
      <c r="E44" s="203">
        <f t="shared" si="0"/>
        <v>1400400</v>
      </c>
      <c r="F44" s="200"/>
    </row>
    <row r="45" spans="1:5" s="207" customFormat="1" ht="31.5">
      <c r="A45" s="204"/>
      <c r="B45" s="205" t="s">
        <v>322</v>
      </c>
      <c r="C45" s="206">
        <f>C41+C40</f>
        <v>828336315</v>
      </c>
      <c r="D45" s="206">
        <f>D41+D40</f>
        <v>850114232</v>
      </c>
      <c r="E45" s="206">
        <f t="shared" si="0"/>
        <v>21777917</v>
      </c>
    </row>
    <row r="46" ht="16.5" customHeight="1"/>
    <row r="47" spans="1:6" s="202" customFormat="1" ht="17.25" customHeight="1">
      <c r="A47" s="186" t="s">
        <v>318</v>
      </c>
      <c r="B47" s="200"/>
      <c r="C47" s="201">
        <f>SUM(C48)</f>
        <v>0</v>
      </c>
      <c r="D47" s="201">
        <f>SUM(D48)</f>
        <v>96301000</v>
      </c>
      <c r="E47" s="201">
        <f t="shared" si="0"/>
        <v>96301000</v>
      </c>
      <c r="F47" s="200"/>
    </row>
    <row r="48" spans="2:5" s="187" customFormat="1" ht="12.75" customHeight="1">
      <c r="B48" s="188" t="s">
        <v>323</v>
      </c>
      <c r="C48" s="189">
        <f>SUM(C49:C52)</f>
        <v>0</v>
      </c>
      <c r="D48" s="189">
        <f>SUM(D49:D52)</f>
        <v>96301000</v>
      </c>
      <c r="E48" s="189">
        <f t="shared" si="0"/>
        <v>96301000</v>
      </c>
    </row>
    <row r="49" spans="1:6" s="202" customFormat="1" ht="15">
      <c r="A49" s="186"/>
      <c r="B49" s="190" t="s">
        <v>324</v>
      </c>
      <c r="C49" s="176">
        <v>0</v>
      </c>
      <c r="D49" s="176">
        <v>85750000</v>
      </c>
      <c r="E49" s="176">
        <f t="shared" si="0"/>
        <v>85750000</v>
      </c>
      <c r="F49" s="200"/>
    </row>
    <row r="50" spans="1:6" s="202" customFormat="1" ht="15">
      <c r="A50" s="186"/>
      <c r="B50" s="190" t="s">
        <v>325</v>
      </c>
      <c r="C50" s="176">
        <v>0</v>
      </c>
      <c r="D50" s="176">
        <v>10551000</v>
      </c>
      <c r="E50" s="176">
        <f t="shared" si="0"/>
        <v>10551000</v>
      </c>
      <c r="F50" s="200"/>
    </row>
    <row r="51" spans="1:6" s="202" customFormat="1" ht="15">
      <c r="A51" s="186"/>
      <c r="B51" s="208"/>
      <c r="C51" s="176">
        <v>0</v>
      </c>
      <c r="D51" s="176">
        <v>0</v>
      </c>
      <c r="E51" s="176">
        <f t="shared" si="0"/>
        <v>0</v>
      </c>
      <c r="F51" s="200"/>
    </row>
    <row r="52" spans="1:6" s="202" customFormat="1" ht="15">
      <c r="A52" s="186"/>
      <c r="B52" s="208"/>
      <c r="C52" s="176">
        <v>0</v>
      </c>
      <c r="D52" s="176">
        <v>0</v>
      </c>
      <c r="E52" s="176">
        <f t="shared" si="0"/>
        <v>0</v>
      </c>
      <c r="F52" s="200"/>
    </row>
    <row r="53" spans="1:5" s="207" customFormat="1" ht="18" customHeight="1">
      <c r="A53" s="204"/>
      <c r="B53" s="204" t="s">
        <v>326</v>
      </c>
      <c r="C53" s="206">
        <f>C47</f>
        <v>0</v>
      </c>
      <c r="D53" s="206">
        <f>D47</f>
        <v>96301000</v>
      </c>
      <c r="E53" s="206">
        <f t="shared" si="0"/>
        <v>96301000</v>
      </c>
    </row>
    <row r="54" spans="3:5" s="207" customFormat="1" ht="18" customHeight="1">
      <c r="C54" s="209"/>
      <c r="D54" s="209"/>
      <c r="E54" s="209"/>
    </row>
    <row r="55" spans="1:6" s="202" customFormat="1" ht="15.75">
      <c r="A55" s="186"/>
      <c r="B55" s="190"/>
      <c r="C55" s="210">
        <f>C53+C45</f>
        <v>828336315</v>
      </c>
      <c r="D55" s="210">
        <f>D53+D45</f>
        <v>946415232</v>
      </c>
      <c r="E55" s="209">
        <f>D55-C55</f>
        <v>118078917</v>
      </c>
      <c r="F55" s="200"/>
    </row>
  </sheetData>
  <sheetProtection/>
  <mergeCells count="1">
    <mergeCell ref="A3:C3"/>
  </mergeCells>
  <printOptions/>
  <pageMargins left="0.984251968503937" right="0.3937007874015748" top="0.1968503937007874" bottom="0.1968503937007874" header="0.5118110236220472" footer="0.5118110236220472"/>
  <pageSetup horizontalDpi="300" verticalDpi="3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X53"/>
  <sheetViews>
    <sheetView view="pageBreakPreview" zoomScaleSheetLayoutView="100" zoomScalePageLayoutView="0" workbookViewId="0" topLeftCell="A1">
      <pane xSplit="1" ySplit="3" topLeftCell="B22" activePane="bottomRight" state="frozen"/>
      <selection pane="topLeft" activeCell="E50" sqref="E50"/>
      <selection pane="topRight" activeCell="E50" sqref="E50"/>
      <selection pane="bottomLeft" activeCell="E50" sqref="E50"/>
      <selection pane="bottomRight" activeCell="BX53" sqref="BX53"/>
    </sheetView>
  </sheetViews>
  <sheetFormatPr defaultColWidth="9.00390625" defaultRowHeight="12.75"/>
  <cols>
    <col min="1" max="1" width="48.00390625" style="142" customWidth="1"/>
    <col min="2" max="2" width="12.75390625" style="142" customWidth="1"/>
    <col min="3" max="3" width="12.625" style="142" customWidth="1"/>
    <col min="4" max="4" width="12.375" style="142" customWidth="1"/>
    <col min="5" max="5" width="10.875" style="142" customWidth="1"/>
    <col min="6" max="6" width="14.00390625" style="142" customWidth="1"/>
    <col min="7" max="7" width="12.875" style="142" customWidth="1"/>
    <col min="8" max="8" width="12.75390625" style="142" customWidth="1"/>
    <col min="9" max="9" width="13.25390625" style="142" customWidth="1"/>
    <col min="10" max="10" width="12.125" style="142" customWidth="1"/>
    <col min="11" max="11" width="11.25390625" style="142" customWidth="1"/>
    <col min="12" max="12" width="13.625" style="142" customWidth="1"/>
    <col min="13" max="13" width="12.75390625" style="142" customWidth="1"/>
    <col min="14" max="14" width="12.625" style="142" customWidth="1"/>
    <col min="15" max="15" width="13.75390625" style="142" customWidth="1"/>
    <col min="16" max="16" width="11.75390625" style="142" customWidth="1"/>
    <col min="17" max="17" width="12.625" style="142" customWidth="1"/>
    <col min="18" max="18" width="14.125" style="142" customWidth="1"/>
    <col min="19" max="19" width="11.75390625" style="142" customWidth="1"/>
    <col min="20" max="20" width="12.625" style="142" customWidth="1"/>
    <col min="21" max="21" width="14.125" style="142" customWidth="1"/>
    <col min="22" max="22" width="11.75390625" style="142" customWidth="1"/>
    <col min="23" max="23" width="12.625" style="142" customWidth="1"/>
    <col min="24" max="24" width="14.125" style="142" customWidth="1"/>
    <col min="25" max="25" width="11.75390625" style="142" customWidth="1"/>
    <col min="26" max="26" width="12.625" style="142" customWidth="1"/>
    <col min="27" max="27" width="14.125" style="142" customWidth="1"/>
    <col min="28" max="28" width="11.75390625" style="142" customWidth="1"/>
    <col min="29" max="29" width="12.625" style="142" customWidth="1"/>
    <col min="30" max="30" width="14.125" style="142" customWidth="1"/>
    <col min="31" max="31" width="11.75390625" style="142" customWidth="1"/>
    <col min="32" max="32" width="12.625" style="142" customWidth="1"/>
    <col min="33" max="33" width="13.375" style="142" customWidth="1"/>
    <col min="34" max="35" width="11.75390625" style="142" customWidth="1"/>
    <col min="36" max="36" width="13.75390625" style="142" customWidth="1"/>
    <col min="37" max="37" width="12.875" style="142" customWidth="1"/>
    <col min="38" max="38" width="11.75390625" style="142" customWidth="1"/>
    <col min="39" max="39" width="13.75390625" style="142" customWidth="1"/>
    <col min="40" max="40" width="12.875" style="142" customWidth="1"/>
    <col min="41" max="41" width="11.75390625" style="142" customWidth="1"/>
    <col min="42" max="42" width="13.75390625" style="142" customWidth="1"/>
    <col min="43" max="43" width="12.875" style="142" customWidth="1"/>
    <col min="44" max="44" width="11.75390625" style="142" customWidth="1"/>
    <col min="45" max="45" width="13.75390625" style="142" customWidth="1"/>
    <col min="46" max="46" width="12.875" style="142" customWidth="1"/>
    <col min="47" max="47" width="11.75390625" style="142" customWidth="1"/>
    <col min="48" max="48" width="13.00390625" style="142" customWidth="1"/>
    <col min="49" max="49" width="12.875" style="142" customWidth="1"/>
    <col min="50" max="50" width="12.75390625" style="211" customWidth="1"/>
    <col min="51" max="51" width="13.125" style="142" customWidth="1"/>
    <col min="52" max="52" width="11.875" style="142" customWidth="1"/>
    <col min="53" max="53" width="12.75390625" style="142" customWidth="1"/>
    <col min="54" max="54" width="13.375" style="142" customWidth="1"/>
    <col min="55" max="55" width="11.75390625" style="142" customWidth="1"/>
    <col min="56" max="56" width="13.25390625" style="212" customWidth="1"/>
    <col min="57" max="57" width="13.25390625" style="142" customWidth="1"/>
    <col min="58" max="58" width="11.875" style="142" customWidth="1"/>
    <col min="59" max="59" width="12.25390625" style="142" bestFit="1" customWidth="1"/>
    <col min="60" max="60" width="13.00390625" style="142" customWidth="1"/>
    <col min="61" max="61" width="12.375" style="142" customWidth="1"/>
    <col min="62" max="62" width="12.25390625" style="213" hidden="1" customWidth="1"/>
    <col min="63" max="63" width="14.00390625" style="213" hidden="1" customWidth="1"/>
    <col min="64" max="64" width="13.00390625" style="213" hidden="1" customWidth="1"/>
    <col min="65" max="65" width="12.625" style="213" hidden="1" customWidth="1"/>
    <col min="66" max="66" width="10.375" style="213" hidden="1" customWidth="1"/>
    <col min="67" max="67" width="14.00390625" style="213" hidden="1" customWidth="1"/>
    <col min="68" max="68" width="13.625" style="213" hidden="1" customWidth="1"/>
    <col min="69" max="69" width="12.875" style="213" hidden="1" customWidth="1"/>
    <col min="70" max="70" width="10.25390625" style="213" hidden="1" customWidth="1"/>
    <col min="71" max="72" width="11.375" style="213" hidden="1" customWidth="1"/>
    <col min="73" max="73" width="10.75390625" style="213" hidden="1" customWidth="1"/>
    <col min="74" max="74" width="1.12109375" style="213" hidden="1" customWidth="1"/>
    <col min="75" max="75" width="10.875" style="213" hidden="1" customWidth="1"/>
    <col min="76" max="16384" width="9.125" style="142" customWidth="1"/>
  </cols>
  <sheetData>
    <row r="1" ht="15.75">
      <c r="A1" s="141" t="s">
        <v>380</v>
      </c>
    </row>
    <row r="2" ht="16.5" thickBot="1">
      <c r="A2" s="214" t="s">
        <v>214</v>
      </c>
    </row>
    <row r="3" spans="1:75" s="33" customFormat="1" ht="27" customHeight="1">
      <c r="A3" s="215" t="s">
        <v>208</v>
      </c>
      <c r="B3" s="216" t="s">
        <v>54</v>
      </c>
      <c r="C3" s="217"/>
      <c r="D3" s="218"/>
      <c r="E3" s="219" t="s">
        <v>141</v>
      </c>
      <c r="F3" s="220"/>
      <c r="G3" s="221"/>
      <c r="H3" s="222" t="s">
        <v>65</v>
      </c>
      <c r="I3" s="223"/>
      <c r="J3" s="224"/>
      <c r="K3" s="219" t="s">
        <v>40</v>
      </c>
      <c r="L3" s="220"/>
      <c r="M3" s="221"/>
      <c r="N3" s="219" t="s">
        <v>161</v>
      </c>
      <c r="O3" s="220"/>
      <c r="P3" s="221"/>
      <c r="Q3" s="225" t="s">
        <v>213</v>
      </c>
      <c r="R3" s="226"/>
      <c r="S3" s="227"/>
      <c r="T3" s="225" t="s">
        <v>327</v>
      </c>
      <c r="U3" s="226"/>
      <c r="V3" s="227"/>
      <c r="W3" s="225" t="s">
        <v>328</v>
      </c>
      <c r="X3" s="226"/>
      <c r="Y3" s="227"/>
      <c r="Z3" s="225" t="s">
        <v>210</v>
      </c>
      <c r="AA3" s="226"/>
      <c r="AB3" s="227"/>
      <c r="AC3" s="228" t="s">
        <v>329</v>
      </c>
      <c r="AD3" s="229"/>
      <c r="AE3" s="230"/>
      <c r="AF3" s="225" t="s">
        <v>211</v>
      </c>
      <c r="AG3" s="226"/>
      <c r="AH3" s="227"/>
      <c r="AI3" s="231" t="s">
        <v>330</v>
      </c>
      <c r="AJ3" s="232"/>
      <c r="AK3" s="233"/>
      <c r="AL3" s="231" t="s">
        <v>331</v>
      </c>
      <c r="AM3" s="232"/>
      <c r="AN3" s="233"/>
      <c r="AO3" s="231" t="s">
        <v>332</v>
      </c>
      <c r="AP3" s="232"/>
      <c r="AQ3" s="233"/>
      <c r="AR3" s="231" t="s">
        <v>333</v>
      </c>
      <c r="AS3" s="232"/>
      <c r="AT3" s="233"/>
      <c r="AU3" s="231" t="s">
        <v>212</v>
      </c>
      <c r="AV3" s="232"/>
      <c r="AW3" s="233"/>
      <c r="AX3" s="234" t="s">
        <v>16</v>
      </c>
      <c r="AY3" s="235"/>
      <c r="AZ3" s="236"/>
      <c r="BA3" s="219" t="s">
        <v>35</v>
      </c>
      <c r="BB3" s="220"/>
      <c r="BC3" s="221"/>
      <c r="BD3" s="237" t="s">
        <v>148</v>
      </c>
      <c r="BE3" s="238"/>
      <c r="BF3" s="239"/>
      <c r="BG3" s="219" t="s">
        <v>156</v>
      </c>
      <c r="BH3" s="220"/>
      <c r="BI3" s="221"/>
      <c r="BJ3" s="240" t="s">
        <v>157</v>
      </c>
      <c r="BK3" s="241"/>
      <c r="BL3" s="242"/>
      <c r="BM3" s="243"/>
      <c r="BN3" s="240" t="s">
        <v>159</v>
      </c>
      <c r="BO3" s="241"/>
      <c r="BP3" s="242"/>
      <c r="BQ3" s="243"/>
      <c r="BR3" s="240" t="s">
        <v>160</v>
      </c>
      <c r="BS3" s="241"/>
      <c r="BT3" s="242"/>
      <c r="BU3" s="243"/>
      <c r="BV3" s="244"/>
      <c r="BW3" s="245"/>
    </row>
    <row r="4" spans="1:75" s="33" customFormat="1" ht="39" customHeight="1" thickBot="1">
      <c r="A4" s="246"/>
      <c r="B4" s="247" t="s">
        <v>334</v>
      </c>
      <c r="C4" s="248" t="s">
        <v>335</v>
      </c>
      <c r="D4" s="249" t="s">
        <v>336</v>
      </c>
      <c r="E4" s="247" t="s">
        <v>334</v>
      </c>
      <c r="F4" s="248" t="s">
        <v>335</v>
      </c>
      <c r="G4" s="249" t="s">
        <v>336</v>
      </c>
      <c r="H4" s="250" t="s">
        <v>334</v>
      </c>
      <c r="I4" s="248" t="s">
        <v>335</v>
      </c>
      <c r="J4" s="249" t="s">
        <v>336</v>
      </c>
      <c r="K4" s="251" t="s">
        <v>334</v>
      </c>
      <c r="L4" s="248" t="s">
        <v>335</v>
      </c>
      <c r="M4" s="249" t="s">
        <v>336</v>
      </c>
      <c r="N4" s="251" t="s">
        <v>334</v>
      </c>
      <c r="O4" s="248" t="s">
        <v>335</v>
      </c>
      <c r="P4" s="249" t="s">
        <v>336</v>
      </c>
      <c r="Q4" s="251" t="s">
        <v>334</v>
      </c>
      <c r="R4" s="248" t="s">
        <v>335</v>
      </c>
      <c r="S4" s="249" t="s">
        <v>336</v>
      </c>
      <c r="T4" s="251" t="s">
        <v>334</v>
      </c>
      <c r="U4" s="248" t="s">
        <v>335</v>
      </c>
      <c r="V4" s="249" t="s">
        <v>336</v>
      </c>
      <c r="W4" s="251" t="s">
        <v>334</v>
      </c>
      <c r="X4" s="248" t="s">
        <v>335</v>
      </c>
      <c r="Y4" s="249" t="s">
        <v>336</v>
      </c>
      <c r="Z4" s="251" t="s">
        <v>334</v>
      </c>
      <c r="AA4" s="248" t="s">
        <v>335</v>
      </c>
      <c r="AB4" s="249" t="s">
        <v>336</v>
      </c>
      <c r="AC4" s="251" t="s">
        <v>334</v>
      </c>
      <c r="AD4" s="248" t="s">
        <v>335</v>
      </c>
      <c r="AE4" s="249" t="s">
        <v>336</v>
      </c>
      <c r="AF4" s="252" t="s">
        <v>334</v>
      </c>
      <c r="AG4" s="253" t="s">
        <v>335</v>
      </c>
      <c r="AH4" s="254" t="s">
        <v>336</v>
      </c>
      <c r="AI4" s="251" t="s">
        <v>334</v>
      </c>
      <c r="AJ4" s="248" t="s">
        <v>335</v>
      </c>
      <c r="AK4" s="249" t="s">
        <v>336</v>
      </c>
      <c r="AL4" s="251" t="s">
        <v>334</v>
      </c>
      <c r="AM4" s="248" t="s">
        <v>335</v>
      </c>
      <c r="AN4" s="249" t="s">
        <v>336</v>
      </c>
      <c r="AO4" s="251" t="s">
        <v>334</v>
      </c>
      <c r="AP4" s="248" t="s">
        <v>335</v>
      </c>
      <c r="AQ4" s="249" t="s">
        <v>336</v>
      </c>
      <c r="AR4" s="251" t="s">
        <v>334</v>
      </c>
      <c r="AS4" s="248" t="s">
        <v>335</v>
      </c>
      <c r="AT4" s="249" t="s">
        <v>336</v>
      </c>
      <c r="AU4" s="255" t="s">
        <v>334</v>
      </c>
      <c r="AV4" s="256" t="s">
        <v>335</v>
      </c>
      <c r="AW4" s="257" t="s">
        <v>336</v>
      </c>
      <c r="AX4" s="258" t="s">
        <v>334</v>
      </c>
      <c r="AY4" s="259" t="s">
        <v>335</v>
      </c>
      <c r="AZ4" s="260" t="s">
        <v>336</v>
      </c>
      <c r="BA4" s="251" t="s">
        <v>334</v>
      </c>
      <c r="BB4" s="248" t="s">
        <v>335</v>
      </c>
      <c r="BC4" s="249" t="s">
        <v>336</v>
      </c>
      <c r="BD4" s="261" t="s">
        <v>334</v>
      </c>
      <c r="BE4" s="259" t="s">
        <v>335</v>
      </c>
      <c r="BF4" s="260" t="s">
        <v>336</v>
      </c>
      <c r="BG4" s="251" t="s">
        <v>334</v>
      </c>
      <c r="BH4" s="248" t="s">
        <v>335</v>
      </c>
      <c r="BI4" s="249" t="s">
        <v>336</v>
      </c>
      <c r="BJ4" s="262" t="s">
        <v>334</v>
      </c>
      <c r="BK4" s="263" t="s">
        <v>337</v>
      </c>
      <c r="BL4" s="263" t="s">
        <v>338</v>
      </c>
      <c r="BM4" s="264" t="s">
        <v>336</v>
      </c>
      <c r="BN4" s="265" t="s">
        <v>334</v>
      </c>
      <c r="BO4" s="263" t="s">
        <v>337</v>
      </c>
      <c r="BP4" s="263" t="s">
        <v>338</v>
      </c>
      <c r="BQ4" s="264" t="s">
        <v>336</v>
      </c>
      <c r="BR4" s="265" t="s">
        <v>334</v>
      </c>
      <c r="BS4" s="263" t="s">
        <v>337</v>
      </c>
      <c r="BT4" s="263" t="s">
        <v>338</v>
      </c>
      <c r="BU4" s="264" t="s">
        <v>336</v>
      </c>
      <c r="BV4" s="266"/>
      <c r="BW4" s="245"/>
    </row>
    <row r="5" spans="1:75" s="5" customFormat="1" ht="26.25" customHeight="1">
      <c r="A5" s="267" t="s">
        <v>121</v>
      </c>
      <c r="B5" s="268">
        <f>B6+B7</f>
        <v>0</v>
      </c>
      <c r="C5" s="269">
        <f>C6+C7</f>
        <v>0</v>
      </c>
      <c r="D5" s="157">
        <f>C5-B5</f>
        <v>0</v>
      </c>
      <c r="E5" s="268">
        <f>E6+E7</f>
        <v>0</v>
      </c>
      <c r="F5" s="269">
        <f>F6+F7</f>
        <v>25000000</v>
      </c>
      <c r="G5" s="157">
        <f>F5-E5</f>
        <v>25000000</v>
      </c>
      <c r="H5" s="268">
        <f>H6+H7</f>
        <v>0</v>
      </c>
      <c r="I5" s="269">
        <f>I6+I7</f>
        <v>0</v>
      </c>
      <c r="J5" s="157">
        <f>I5-H5</f>
        <v>0</v>
      </c>
      <c r="K5" s="268">
        <f>K6+K7</f>
        <v>0</v>
      </c>
      <c r="L5" s="269">
        <f>L6+L7</f>
        <v>3347121</v>
      </c>
      <c r="M5" s="157">
        <f>L5-K5</f>
        <v>3347121</v>
      </c>
      <c r="N5" s="268">
        <f>N6+N7</f>
        <v>38220000</v>
      </c>
      <c r="O5" s="269">
        <f>O6+O7</f>
        <v>38220000</v>
      </c>
      <c r="P5" s="157">
        <f>O5-N5</f>
        <v>0</v>
      </c>
      <c r="Q5" s="268">
        <f>Q6+Q7</f>
        <v>0</v>
      </c>
      <c r="R5" s="269">
        <f>R6+R7</f>
        <v>0</v>
      </c>
      <c r="S5" s="157">
        <f>R5-Q5</f>
        <v>0</v>
      </c>
      <c r="T5" s="268">
        <f>T6+T7</f>
        <v>0</v>
      </c>
      <c r="U5" s="269">
        <f>U6+U7</f>
        <v>0</v>
      </c>
      <c r="V5" s="157">
        <f>U5-T5</f>
        <v>0</v>
      </c>
      <c r="W5" s="268">
        <f>W6+W7</f>
        <v>0</v>
      </c>
      <c r="X5" s="269">
        <f>X6+X7</f>
        <v>0</v>
      </c>
      <c r="Y5" s="157">
        <f>X5-W5</f>
        <v>0</v>
      </c>
      <c r="Z5" s="268">
        <f>Z6+Z7</f>
        <v>0</v>
      </c>
      <c r="AA5" s="269">
        <f>AA6+AA7</f>
        <v>0</v>
      </c>
      <c r="AB5" s="157">
        <f>AA5-Z5</f>
        <v>0</v>
      </c>
      <c r="AC5" s="268">
        <f>AC6+AC7</f>
        <v>0</v>
      </c>
      <c r="AD5" s="269">
        <f>AD6+AD7</f>
        <v>0</v>
      </c>
      <c r="AE5" s="157">
        <f>AD5-AC5</f>
        <v>0</v>
      </c>
      <c r="AF5" s="270">
        <f aca="true" t="shared" si="0" ref="AF5:AG25">Q5+T5+W5+Z5+AC5</f>
        <v>0</v>
      </c>
      <c r="AG5" s="271">
        <f t="shared" si="0"/>
        <v>0</v>
      </c>
      <c r="AH5" s="272">
        <f>AG5-AF5</f>
        <v>0</v>
      </c>
      <c r="AI5" s="268">
        <f>AI6+AI7</f>
        <v>0</v>
      </c>
      <c r="AJ5" s="269">
        <f>AJ6+AJ7</f>
        <v>0</v>
      </c>
      <c r="AK5" s="157">
        <f>AJ5-AI5</f>
        <v>0</v>
      </c>
      <c r="AL5" s="268">
        <f>AL6+AL7</f>
        <v>0</v>
      </c>
      <c r="AM5" s="269">
        <f>AM6+AM7</f>
        <v>0</v>
      </c>
      <c r="AN5" s="157">
        <f>AM5-AL5</f>
        <v>0</v>
      </c>
      <c r="AO5" s="268">
        <f>AO6+AO7</f>
        <v>0</v>
      </c>
      <c r="AP5" s="269">
        <f>AP6+AP7</f>
        <v>0</v>
      </c>
      <c r="AQ5" s="157">
        <f>AP5-AO5</f>
        <v>0</v>
      </c>
      <c r="AR5" s="268">
        <f>AR6+AR7</f>
        <v>0</v>
      </c>
      <c r="AS5" s="269">
        <f>AS6+AS7</f>
        <v>0</v>
      </c>
      <c r="AT5" s="157">
        <f>AS5-AR5</f>
        <v>0</v>
      </c>
      <c r="AU5" s="273">
        <f aca="true" t="shared" si="1" ref="AU5:AV25">AI5+AL5+AR5+AO5</f>
        <v>0</v>
      </c>
      <c r="AV5" s="274">
        <f t="shared" si="1"/>
        <v>0</v>
      </c>
      <c r="AW5" s="275">
        <f>AV5-AU5</f>
        <v>0</v>
      </c>
      <c r="AX5" s="276">
        <f>AX6+AX7</f>
        <v>38220000</v>
      </c>
      <c r="AY5" s="277">
        <f>AY6+AY7</f>
        <v>66567121</v>
      </c>
      <c r="AZ5" s="278">
        <f>AY5-AX5</f>
        <v>28347121</v>
      </c>
      <c r="BA5" s="268">
        <f>BA6+BA7</f>
        <v>852758777</v>
      </c>
      <c r="BB5" s="279">
        <f>BB6+BB7</f>
        <v>888164920</v>
      </c>
      <c r="BC5" s="280">
        <f>BB5-BA5</f>
        <v>35406143</v>
      </c>
      <c r="BD5" s="281">
        <f>BD6+BD7</f>
        <v>890978777</v>
      </c>
      <c r="BE5" s="282">
        <f>BE6+BE7</f>
        <v>954732041</v>
      </c>
      <c r="BF5" s="278">
        <f>BE5-BD5</f>
        <v>63753264</v>
      </c>
      <c r="BG5" s="283">
        <f>BG6+BG7</f>
        <v>890978777</v>
      </c>
      <c r="BH5" s="283">
        <f>BH6+BH7</f>
        <v>954732041</v>
      </c>
      <c r="BI5" s="283">
        <f aca="true" t="shared" si="2" ref="BI5:BU5">BI6+BI7</f>
        <v>63753264</v>
      </c>
      <c r="BJ5" s="284">
        <f t="shared" si="2"/>
        <v>914521000</v>
      </c>
      <c r="BK5" s="285">
        <f t="shared" si="2"/>
        <v>966846000</v>
      </c>
      <c r="BL5" s="285">
        <f t="shared" si="2"/>
        <v>966846000</v>
      </c>
      <c r="BM5" s="286">
        <f>BL5-BK5</f>
        <v>0</v>
      </c>
      <c r="BN5" s="285">
        <f t="shared" si="2"/>
        <v>67004</v>
      </c>
      <c r="BO5" s="285">
        <f t="shared" si="2"/>
        <v>68104</v>
      </c>
      <c r="BP5" s="285">
        <f t="shared" si="2"/>
        <v>69204</v>
      </c>
      <c r="BQ5" s="286">
        <f t="shared" si="2"/>
        <v>1100</v>
      </c>
      <c r="BR5" s="284">
        <f t="shared" si="2"/>
        <v>0</v>
      </c>
      <c r="BS5" s="287">
        <f t="shared" si="2"/>
        <v>0</v>
      </c>
      <c r="BT5" s="287">
        <f t="shared" si="2"/>
        <v>0</v>
      </c>
      <c r="BU5" s="286">
        <f t="shared" si="2"/>
        <v>0</v>
      </c>
      <c r="BV5" s="288"/>
      <c r="BW5" s="288">
        <f>BS5+BO5+BK5</f>
        <v>966914104</v>
      </c>
    </row>
    <row r="6" spans="1:75" s="5" customFormat="1" ht="13.5">
      <c r="A6" s="289" t="s">
        <v>118</v>
      </c>
      <c r="B6" s="290"/>
      <c r="C6" s="291"/>
      <c r="D6" s="150">
        <f aca="true" t="shared" si="3" ref="D6:D25">C6-B6</f>
        <v>0</v>
      </c>
      <c r="E6" s="292"/>
      <c r="F6" s="291"/>
      <c r="G6" s="150">
        <f aca="true" t="shared" si="4" ref="G6:G25">F6-E6</f>
        <v>0</v>
      </c>
      <c r="H6" s="291"/>
      <c r="I6" s="291"/>
      <c r="J6" s="150">
        <f aca="true" t="shared" si="5" ref="J6:J25">I6-H6</f>
        <v>0</v>
      </c>
      <c r="K6" s="290"/>
      <c r="L6" s="292"/>
      <c r="M6" s="150">
        <f aca="true" t="shared" si="6" ref="M6:M25">L6-K6</f>
        <v>0</v>
      </c>
      <c r="N6" s="290"/>
      <c r="O6" s="292"/>
      <c r="P6" s="150">
        <f aca="true" t="shared" si="7" ref="P6:P25">O6-N6</f>
        <v>0</v>
      </c>
      <c r="Q6" s="290"/>
      <c r="R6" s="292"/>
      <c r="S6" s="150">
        <f aca="true" t="shared" si="8" ref="S6:S25">R6-Q6</f>
        <v>0</v>
      </c>
      <c r="T6" s="290"/>
      <c r="U6" s="292"/>
      <c r="V6" s="150">
        <f aca="true" t="shared" si="9" ref="V6:V25">U6-T6</f>
        <v>0</v>
      </c>
      <c r="W6" s="290"/>
      <c r="X6" s="292"/>
      <c r="Y6" s="150">
        <f aca="true" t="shared" si="10" ref="Y6:Y25">X6-W6</f>
        <v>0</v>
      </c>
      <c r="Z6" s="290"/>
      <c r="AA6" s="292"/>
      <c r="AB6" s="150">
        <f aca="true" t="shared" si="11" ref="AB6:AB25">AA6-Z6</f>
        <v>0</v>
      </c>
      <c r="AC6" s="290"/>
      <c r="AD6" s="292"/>
      <c r="AE6" s="150">
        <f aca="true" t="shared" si="12" ref="AE6:AE25">AD6-AC6</f>
        <v>0</v>
      </c>
      <c r="AF6" s="293">
        <f t="shared" si="0"/>
        <v>0</v>
      </c>
      <c r="AG6" s="294">
        <f t="shared" si="0"/>
        <v>0</v>
      </c>
      <c r="AH6" s="295">
        <f aca="true" t="shared" si="13" ref="AH6:AH25">AG6-AF6</f>
        <v>0</v>
      </c>
      <c r="AI6" s="290"/>
      <c r="AJ6" s="292"/>
      <c r="AK6" s="150">
        <f aca="true" t="shared" si="14" ref="AK6:AK25">AJ6-AI6</f>
        <v>0</v>
      </c>
      <c r="AL6" s="290"/>
      <c r="AM6" s="292"/>
      <c r="AN6" s="150">
        <f aca="true" t="shared" si="15" ref="AN6:AN25">AM6-AL6</f>
        <v>0</v>
      </c>
      <c r="AO6" s="290"/>
      <c r="AP6" s="292"/>
      <c r="AQ6" s="150">
        <f aca="true" t="shared" si="16" ref="AQ6:AQ25">AP6-AO6</f>
        <v>0</v>
      </c>
      <c r="AR6" s="290"/>
      <c r="AS6" s="292"/>
      <c r="AT6" s="150">
        <f aca="true" t="shared" si="17" ref="AT6:AT25">AS6-AR6</f>
        <v>0</v>
      </c>
      <c r="AU6" s="296">
        <f t="shared" si="1"/>
        <v>0</v>
      </c>
      <c r="AV6" s="297">
        <f t="shared" si="1"/>
        <v>0</v>
      </c>
      <c r="AW6" s="298">
        <f aca="true" t="shared" si="18" ref="AW6:AW25">AV6-AU6</f>
        <v>0</v>
      </c>
      <c r="AX6" s="299">
        <f aca="true" t="shared" si="19" ref="AX6:AY10">B6+E6+H6+K6+N6+AU6+AF6</f>
        <v>0</v>
      </c>
      <c r="AY6" s="299">
        <f t="shared" si="19"/>
        <v>0</v>
      </c>
      <c r="AZ6" s="300">
        <f aca="true" t="shared" si="20" ref="AZ6:AZ25">AY6-AX6</f>
        <v>0</v>
      </c>
      <c r="BA6" s="290">
        <v>828336315</v>
      </c>
      <c r="BB6" s="291">
        <v>850114232</v>
      </c>
      <c r="BC6" s="301">
        <f aca="true" t="shared" si="21" ref="BC6:BC25">BB6-BA6</f>
        <v>21777917</v>
      </c>
      <c r="BD6" s="302">
        <f aca="true" t="shared" si="22" ref="BD6:BE10">BA6+AX6</f>
        <v>828336315</v>
      </c>
      <c r="BE6" s="303">
        <f t="shared" si="22"/>
        <v>850114232</v>
      </c>
      <c r="BF6" s="300">
        <f aca="true" t="shared" si="23" ref="BF6:BF25">BE6-BD6</f>
        <v>21777917</v>
      </c>
      <c r="BG6" s="304">
        <f>BD6</f>
        <v>828336315</v>
      </c>
      <c r="BH6" s="304">
        <f>BE6</f>
        <v>850114232</v>
      </c>
      <c r="BI6" s="304">
        <f>BF6</f>
        <v>21777917</v>
      </c>
      <c r="BJ6" s="305">
        <v>843598000</v>
      </c>
      <c r="BK6" s="306">
        <f>BJ6+33214000</f>
        <v>876812000</v>
      </c>
      <c r="BL6" s="306">
        <f>BK6+0</f>
        <v>876812000</v>
      </c>
      <c r="BM6" s="307">
        <f>BL6-BK6</f>
        <v>0</v>
      </c>
      <c r="BN6" s="308"/>
      <c r="BO6" s="306">
        <f>BN6</f>
        <v>0</v>
      </c>
      <c r="BP6" s="306">
        <f>BO6</f>
        <v>0</v>
      </c>
      <c r="BQ6" s="307">
        <f>BO6-BN6</f>
        <v>0</v>
      </c>
      <c r="BR6" s="305"/>
      <c r="BS6" s="306">
        <f aca="true" t="shared" si="24" ref="BS6:BT10">BR6</f>
        <v>0</v>
      </c>
      <c r="BT6" s="306">
        <f t="shared" si="24"/>
        <v>0</v>
      </c>
      <c r="BU6" s="307">
        <f>BS6-BR6</f>
        <v>0</v>
      </c>
      <c r="BV6" s="309"/>
      <c r="BW6" s="288">
        <f aca="true" t="shared" si="25" ref="BW6:BW25">BS6+BO6+BK6</f>
        <v>876812000</v>
      </c>
    </row>
    <row r="7" spans="1:75" s="5" customFormat="1" ht="13.5">
      <c r="A7" s="289" t="s">
        <v>142</v>
      </c>
      <c r="B7" s="290"/>
      <c r="C7" s="291">
        <v>0</v>
      </c>
      <c r="D7" s="150">
        <f t="shared" si="3"/>
        <v>0</v>
      </c>
      <c r="E7" s="292"/>
      <c r="F7" s="291">
        <v>25000000</v>
      </c>
      <c r="G7" s="150">
        <f t="shared" si="4"/>
        <v>25000000</v>
      </c>
      <c r="H7" s="291"/>
      <c r="I7" s="291">
        <v>0</v>
      </c>
      <c r="J7" s="150">
        <f t="shared" si="5"/>
        <v>0</v>
      </c>
      <c r="K7" s="290">
        <v>0</v>
      </c>
      <c r="L7" s="292">
        <v>3347121</v>
      </c>
      <c r="M7" s="150">
        <f t="shared" si="6"/>
        <v>3347121</v>
      </c>
      <c r="N7" s="290">
        <v>38220000</v>
      </c>
      <c r="O7" s="292">
        <v>38220000</v>
      </c>
      <c r="P7" s="150">
        <f t="shared" si="7"/>
        <v>0</v>
      </c>
      <c r="Q7" s="290">
        <v>0</v>
      </c>
      <c r="R7" s="292">
        <v>0</v>
      </c>
      <c r="S7" s="150">
        <f t="shared" si="8"/>
        <v>0</v>
      </c>
      <c r="T7" s="290">
        <v>0</v>
      </c>
      <c r="U7" s="292">
        <v>0</v>
      </c>
      <c r="V7" s="150">
        <f t="shared" si="9"/>
        <v>0</v>
      </c>
      <c r="W7" s="290">
        <v>0</v>
      </c>
      <c r="X7" s="292">
        <v>0</v>
      </c>
      <c r="Y7" s="150">
        <f t="shared" si="10"/>
        <v>0</v>
      </c>
      <c r="Z7" s="290"/>
      <c r="AA7" s="292">
        <v>0</v>
      </c>
      <c r="AB7" s="150">
        <f t="shared" si="11"/>
        <v>0</v>
      </c>
      <c r="AC7" s="290">
        <v>0</v>
      </c>
      <c r="AD7" s="292">
        <v>0</v>
      </c>
      <c r="AE7" s="150">
        <f t="shared" si="12"/>
        <v>0</v>
      </c>
      <c r="AF7" s="293">
        <f t="shared" si="0"/>
        <v>0</v>
      </c>
      <c r="AG7" s="294">
        <f t="shared" si="0"/>
        <v>0</v>
      </c>
      <c r="AH7" s="295">
        <f t="shared" si="13"/>
        <v>0</v>
      </c>
      <c r="AI7" s="290">
        <v>0</v>
      </c>
      <c r="AJ7" s="292">
        <v>0</v>
      </c>
      <c r="AK7" s="150">
        <f t="shared" si="14"/>
        <v>0</v>
      </c>
      <c r="AL7" s="290">
        <v>0</v>
      </c>
      <c r="AM7" s="292">
        <v>0</v>
      </c>
      <c r="AN7" s="150">
        <f t="shared" si="15"/>
        <v>0</v>
      </c>
      <c r="AO7" s="290">
        <v>0</v>
      </c>
      <c r="AP7" s="292">
        <v>0</v>
      </c>
      <c r="AQ7" s="150">
        <f t="shared" si="16"/>
        <v>0</v>
      </c>
      <c r="AR7" s="290"/>
      <c r="AS7" s="292"/>
      <c r="AT7" s="150">
        <f t="shared" si="17"/>
        <v>0</v>
      </c>
      <c r="AU7" s="296">
        <f t="shared" si="1"/>
        <v>0</v>
      </c>
      <c r="AV7" s="297">
        <f t="shared" si="1"/>
        <v>0</v>
      </c>
      <c r="AW7" s="298">
        <f t="shared" si="18"/>
        <v>0</v>
      </c>
      <c r="AX7" s="299">
        <f t="shared" si="19"/>
        <v>38220000</v>
      </c>
      <c r="AY7" s="310">
        <f t="shared" si="19"/>
        <v>66567121</v>
      </c>
      <c r="AZ7" s="300">
        <f t="shared" si="20"/>
        <v>28347121</v>
      </c>
      <c r="BA7" s="290">
        <v>24422462</v>
      </c>
      <c r="BB7" s="291">
        <v>38050688</v>
      </c>
      <c r="BC7" s="301">
        <f t="shared" si="21"/>
        <v>13628226</v>
      </c>
      <c r="BD7" s="302">
        <f t="shared" si="22"/>
        <v>62642462</v>
      </c>
      <c r="BE7" s="303">
        <f t="shared" si="22"/>
        <v>104617809</v>
      </c>
      <c r="BF7" s="300">
        <f t="shared" si="23"/>
        <v>41975347</v>
      </c>
      <c r="BG7" s="304">
        <f>BD7</f>
        <v>62642462</v>
      </c>
      <c r="BH7" s="304">
        <f>BE7</f>
        <v>104617809</v>
      </c>
      <c r="BI7" s="304">
        <f>BF7</f>
        <v>41975347</v>
      </c>
      <c r="BJ7" s="305">
        <f>914521000-843598000</f>
        <v>70923000</v>
      </c>
      <c r="BK7" s="306">
        <f>BJ7+860000+559000+352000+491000+155000+16694000</f>
        <v>90034000</v>
      </c>
      <c r="BL7" s="306">
        <f>BK7+0</f>
        <v>90034000</v>
      </c>
      <c r="BM7" s="307">
        <f aca="true" t="shared" si="26" ref="BM7:BM25">BL7-BK7</f>
        <v>0</v>
      </c>
      <c r="BN7" s="308">
        <v>67004</v>
      </c>
      <c r="BO7" s="306">
        <f>BN7+1100</f>
        <v>68104</v>
      </c>
      <c r="BP7" s="306">
        <f>BO7+1100</f>
        <v>69204</v>
      </c>
      <c r="BQ7" s="307">
        <f>BO7-BN7</f>
        <v>1100</v>
      </c>
      <c r="BR7" s="305"/>
      <c r="BS7" s="306">
        <f t="shared" si="24"/>
        <v>0</v>
      </c>
      <c r="BT7" s="306">
        <f t="shared" si="24"/>
        <v>0</v>
      </c>
      <c r="BU7" s="307">
        <f>BS7-BR7</f>
        <v>0</v>
      </c>
      <c r="BV7" s="309"/>
      <c r="BW7" s="288">
        <f t="shared" si="25"/>
        <v>90102104</v>
      </c>
    </row>
    <row r="8" spans="1:75" s="5" customFormat="1" ht="13.5">
      <c r="A8" s="311" t="s">
        <v>67</v>
      </c>
      <c r="B8" s="312"/>
      <c r="C8" s="313"/>
      <c r="D8" s="152">
        <f t="shared" si="3"/>
        <v>0</v>
      </c>
      <c r="E8" s="314"/>
      <c r="F8" s="313"/>
      <c r="G8" s="152">
        <f t="shared" si="4"/>
        <v>0</v>
      </c>
      <c r="H8" s="313"/>
      <c r="I8" s="313"/>
      <c r="J8" s="152">
        <f t="shared" si="5"/>
        <v>0</v>
      </c>
      <c r="K8" s="312"/>
      <c r="L8" s="314"/>
      <c r="M8" s="152">
        <f t="shared" si="6"/>
        <v>0</v>
      </c>
      <c r="N8" s="312"/>
      <c r="O8" s="314"/>
      <c r="P8" s="152">
        <f t="shared" si="7"/>
        <v>0</v>
      </c>
      <c r="Q8" s="312"/>
      <c r="R8" s="314"/>
      <c r="S8" s="152">
        <f t="shared" si="8"/>
        <v>0</v>
      </c>
      <c r="T8" s="312"/>
      <c r="U8" s="314"/>
      <c r="V8" s="152">
        <f t="shared" si="9"/>
        <v>0</v>
      </c>
      <c r="W8" s="312"/>
      <c r="X8" s="314"/>
      <c r="Y8" s="152">
        <f t="shared" si="10"/>
        <v>0</v>
      </c>
      <c r="Z8" s="312"/>
      <c r="AA8" s="314"/>
      <c r="AB8" s="152">
        <f t="shared" si="11"/>
        <v>0</v>
      </c>
      <c r="AC8" s="312"/>
      <c r="AD8" s="314"/>
      <c r="AE8" s="152">
        <f t="shared" si="12"/>
        <v>0</v>
      </c>
      <c r="AF8" s="315">
        <f t="shared" si="0"/>
        <v>0</v>
      </c>
      <c r="AG8" s="316">
        <f t="shared" si="0"/>
        <v>0</v>
      </c>
      <c r="AH8" s="317">
        <f t="shared" si="13"/>
        <v>0</v>
      </c>
      <c r="AI8" s="312"/>
      <c r="AJ8" s="314"/>
      <c r="AK8" s="152">
        <f t="shared" si="14"/>
        <v>0</v>
      </c>
      <c r="AL8" s="312"/>
      <c r="AM8" s="314"/>
      <c r="AN8" s="152">
        <f t="shared" si="15"/>
        <v>0</v>
      </c>
      <c r="AO8" s="312"/>
      <c r="AP8" s="314"/>
      <c r="AQ8" s="152">
        <f t="shared" si="16"/>
        <v>0</v>
      </c>
      <c r="AR8" s="312"/>
      <c r="AS8" s="314"/>
      <c r="AT8" s="152">
        <f t="shared" si="17"/>
        <v>0</v>
      </c>
      <c r="AU8" s="318">
        <f t="shared" si="1"/>
        <v>0</v>
      </c>
      <c r="AV8" s="319">
        <f t="shared" si="1"/>
        <v>0</v>
      </c>
      <c r="AW8" s="320">
        <f t="shared" si="18"/>
        <v>0</v>
      </c>
      <c r="AX8" s="299">
        <f t="shared" si="19"/>
        <v>0</v>
      </c>
      <c r="AY8" s="310">
        <f t="shared" si="19"/>
        <v>0</v>
      </c>
      <c r="AZ8" s="300">
        <f t="shared" si="20"/>
        <v>0</v>
      </c>
      <c r="BA8" s="312">
        <v>489859309</v>
      </c>
      <c r="BB8" s="321">
        <v>489859309</v>
      </c>
      <c r="BC8" s="301">
        <f t="shared" si="21"/>
        <v>0</v>
      </c>
      <c r="BD8" s="302">
        <f t="shared" si="22"/>
        <v>489859309</v>
      </c>
      <c r="BE8" s="303">
        <f t="shared" si="22"/>
        <v>489859309</v>
      </c>
      <c r="BF8" s="300">
        <f t="shared" si="23"/>
        <v>0</v>
      </c>
      <c r="BG8" s="322">
        <f>BD8</f>
        <v>489859309</v>
      </c>
      <c r="BH8" s="322">
        <f>BE8</f>
        <v>489859309</v>
      </c>
      <c r="BI8" s="322">
        <f>BF8</f>
        <v>0</v>
      </c>
      <c r="BJ8" s="323">
        <v>454978290</v>
      </c>
      <c r="BK8" s="324">
        <v>454978290</v>
      </c>
      <c r="BL8" s="324">
        <v>454978290</v>
      </c>
      <c r="BM8" s="325">
        <f t="shared" si="26"/>
        <v>0</v>
      </c>
      <c r="BN8" s="326"/>
      <c r="BO8" s="324">
        <f aca="true" t="shared" si="27" ref="BO8:BP10">BN8</f>
        <v>0</v>
      </c>
      <c r="BP8" s="324">
        <f t="shared" si="27"/>
        <v>0</v>
      </c>
      <c r="BQ8" s="325">
        <f>BO8-BN8</f>
        <v>0</v>
      </c>
      <c r="BR8" s="323"/>
      <c r="BS8" s="324">
        <f t="shared" si="24"/>
        <v>0</v>
      </c>
      <c r="BT8" s="324">
        <f t="shared" si="24"/>
        <v>0</v>
      </c>
      <c r="BU8" s="325">
        <f>BS8-BR8</f>
        <v>0</v>
      </c>
      <c r="BV8" s="288"/>
      <c r="BW8" s="288">
        <f t="shared" si="25"/>
        <v>454978290</v>
      </c>
    </row>
    <row r="9" spans="1:75" s="5" customFormat="1" ht="13.5">
      <c r="A9" s="311" t="s">
        <v>68</v>
      </c>
      <c r="B9" s="312">
        <v>1500000</v>
      </c>
      <c r="C9" s="313">
        <v>1500000</v>
      </c>
      <c r="D9" s="152">
        <f t="shared" si="3"/>
        <v>0</v>
      </c>
      <c r="E9" s="314">
        <v>80740000</v>
      </c>
      <c r="F9" s="313">
        <v>80740000</v>
      </c>
      <c r="G9" s="152">
        <f t="shared" si="4"/>
        <v>0</v>
      </c>
      <c r="H9" s="313">
        <v>4000000</v>
      </c>
      <c r="I9" s="313">
        <v>4000000</v>
      </c>
      <c r="J9" s="152">
        <f t="shared" si="5"/>
        <v>0</v>
      </c>
      <c r="K9" s="312">
        <v>1700000</v>
      </c>
      <c r="L9" s="314">
        <v>1700000</v>
      </c>
      <c r="M9" s="152">
        <f t="shared" si="6"/>
        <v>0</v>
      </c>
      <c r="N9" s="312">
        <v>56233710</v>
      </c>
      <c r="O9" s="314">
        <v>56233710</v>
      </c>
      <c r="P9" s="152">
        <f t="shared" si="7"/>
        <v>0</v>
      </c>
      <c r="Q9" s="312">
        <v>450000</v>
      </c>
      <c r="R9" s="314">
        <v>450000</v>
      </c>
      <c r="S9" s="152">
        <f t="shared" si="8"/>
        <v>0</v>
      </c>
      <c r="T9" s="312">
        <v>0</v>
      </c>
      <c r="U9" s="314">
        <v>0</v>
      </c>
      <c r="V9" s="152">
        <f t="shared" si="9"/>
        <v>0</v>
      </c>
      <c r="W9" s="312">
        <v>472000</v>
      </c>
      <c r="X9" s="314">
        <v>472000</v>
      </c>
      <c r="Y9" s="152">
        <f t="shared" si="10"/>
        <v>0</v>
      </c>
      <c r="Z9" s="312">
        <v>0</v>
      </c>
      <c r="AA9" s="314">
        <v>0</v>
      </c>
      <c r="AB9" s="152">
        <f t="shared" si="11"/>
        <v>0</v>
      </c>
      <c r="AC9" s="312">
        <v>0</v>
      </c>
      <c r="AD9" s="314">
        <v>0</v>
      </c>
      <c r="AE9" s="152">
        <f t="shared" si="12"/>
        <v>0</v>
      </c>
      <c r="AF9" s="315">
        <f t="shared" si="0"/>
        <v>922000</v>
      </c>
      <c r="AG9" s="316">
        <f t="shared" si="0"/>
        <v>922000</v>
      </c>
      <c r="AH9" s="317">
        <f t="shared" si="13"/>
        <v>0</v>
      </c>
      <c r="AI9" s="312">
        <v>1400000</v>
      </c>
      <c r="AJ9" s="314">
        <v>1400000</v>
      </c>
      <c r="AK9" s="152">
        <f t="shared" si="14"/>
        <v>0</v>
      </c>
      <c r="AL9" s="312">
        <v>150000</v>
      </c>
      <c r="AM9" s="314">
        <v>150000</v>
      </c>
      <c r="AN9" s="152">
        <f t="shared" si="15"/>
        <v>0</v>
      </c>
      <c r="AO9" s="312">
        <v>0</v>
      </c>
      <c r="AP9" s="314">
        <v>0</v>
      </c>
      <c r="AQ9" s="152">
        <f t="shared" si="16"/>
        <v>0</v>
      </c>
      <c r="AR9" s="312">
        <v>61600</v>
      </c>
      <c r="AS9" s="314">
        <v>61600</v>
      </c>
      <c r="AT9" s="152">
        <f t="shared" si="17"/>
        <v>0</v>
      </c>
      <c r="AU9" s="318">
        <f t="shared" si="1"/>
        <v>1611600</v>
      </c>
      <c r="AV9" s="319">
        <f t="shared" si="1"/>
        <v>1611600</v>
      </c>
      <c r="AW9" s="320">
        <f t="shared" si="18"/>
        <v>0</v>
      </c>
      <c r="AX9" s="299">
        <f t="shared" si="19"/>
        <v>146707310</v>
      </c>
      <c r="AY9" s="310">
        <f t="shared" si="19"/>
        <v>146707310</v>
      </c>
      <c r="AZ9" s="300">
        <f t="shared" si="20"/>
        <v>0</v>
      </c>
      <c r="BA9" s="312">
        <v>111297880</v>
      </c>
      <c r="BB9" s="321">
        <v>111297880</v>
      </c>
      <c r="BC9" s="301">
        <f t="shared" si="21"/>
        <v>0</v>
      </c>
      <c r="BD9" s="302">
        <f t="shared" si="22"/>
        <v>258005190</v>
      </c>
      <c r="BE9" s="303">
        <f t="shared" si="22"/>
        <v>258005190</v>
      </c>
      <c r="BF9" s="300">
        <f t="shared" si="23"/>
        <v>0</v>
      </c>
      <c r="BG9" s="322">
        <f>BD9</f>
        <v>258005190</v>
      </c>
      <c r="BH9" s="322">
        <f>BE9</f>
        <v>258005190</v>
      </c>
      <c r="BI9" s="322">
        <f>BF9</f>
        <v>0</v>
      </c>
      <c r="BJ9" s="323">
        <v>167678000</v>
      </c>
      <c r="BK9" s="324">
        <f>BJ9+1252000+600000+6688000</f>
        <v>176218000</v>
      </c>
      <c r="BL9" s="324">
        <f>BK9+0</f>
        <v>176218000</v>
      </c>
      <c r="BM9" s="325">
        <f t="shared" si="26"/>
        <v>0</v>
      </c>
      <c r="BN9" s="326">
        <v>45305</v>
      </c>
      <c r="BO9" s="324">
        <f t="shared" si="27"/>
        <v>45305</v>
      </c>
      <c r="BP9" s="324">
        <f t="shared" si="27"/>
        <v>45305</v>
      </c>
      <c r="BQ9" s="325">
        <f>BO9-BN9</f>
        <v>0</v>
      </c>
      <c r="BR9" s="323"/>
      <c r="BS9" s="324">
        <f t="shared" si="24"/>
        <v>0</v>
      </c>
      <c r="BT9" s="324">
        <f t="shared" si="24"/>
        <v>0</v>
      </c>
      <c r="BU9" s="325">
        <f>BS9-BR9</f>
        <v>0</v>
      </c>
      <c r="BV9" s="288"/>
      <c r="BW9" s="288">
        <f t="shared" si="25"/>
        <v>176263305</v>
      </c>
    </row>
    <row r="10" spans="1:75" s="5" customFormat="1" ht="14.25" thickBot="1">
      <c r="A10" s="327" t="s">
        <v>70</v>
      </c>
      <c r="B10" s="328"/>
      <c r="C10" s="329"/>
      <c r="D10" s="154">
        <f t="shared" si="3"/>
        <v>0</v>
      </c>
      <c r="E10" s="330">
        <v>28095435</v>
      </c>
      <c r="F10" s="329">
        <v>23980486</v>
      </c>
      <c r="G10" s="154">
        <f t="shared" si="4"/>
        <v>-4114949</v>
      </c>
      <c r="H10" s="329"/>
      <c r="I10" s="329"/>
      <c r="J10" s="154">
        <f t="shared" si="5"/>
        <v>0</v>
      </c>
      <c r="K10" s="328"/>
      <c r="L10" s="330"/>
      <c r="M10" s="154">
        <f t="shared" si="6"/>
        <v>0</v>
      </c>
      <c r="N10" s="328"/>
      <c r="O10" s="330">
        <f>N10</f>
        <v>0</v>
      </c>
      <c r="P10" s="154">
        <f t="shared" si="7"/>
        <v>0</v>
      </c>
      <c r="Q10" s="328"/>
      <c r="R10" s="330"/>
      <c r="S10" s="154">
        <f t="shared" si="8"/>
        <v>0</v>
      </c>
      <c r="T10" s="328"/>
      <c r="U10" s="330"/>
      <c r="V10" s="154">
        <f t="shared" si="9"/>
        <v>0</v>
      </c>
      <c r="W10" s="328"/>
      <c r="X10" s="330">
        <v>0</v>
      </c>
      <c r="Y10" s="154">
        <f t="shared" si="10"/>
        <v>0</v>
      </c>
      <c r="Z10" s="328"/>
      <c r="AA10" s="330"/>
      <c r="AB10" s="154">
        <f t="shared" si="11"/>
        <v>0</v>
      </c>
      <c r="AC10" s="328"/>
      <c r="AD10" s="330"/>
      <c r="AE10" s="154">
        <f t="shared" si="12"/>
        <v>0</v>
      </c>
      <c r="AF10" s="331">
        <f t="shared" si="0"/>
        <v>0</v>
      </c>
      <c r="AG10" s="332">
        <f t="shared" si="0"/>
        <v>0</v>
      </c>
      <c r="AH10" s="333">
        <f t="shared" si="13"/>
        <v>0</v>
      </c>
      <c r="AI10" s="328"/>
      <c r="AJ10" s="330"/>
      <c r="AK10" s="154">
        <f t="shared" si="14"/>
        <v>0</v>
      </c>
      <c r="AL10" s="328"/>
      <c r="AM10" s="330"/>
      <c r="AN10" s="154">
        <f t="shared" si="15"/>
        <v>0</v>
      </c>
      <c r="AO10" s="328"/>
      <c r="AP10" s="330"/>
      <c r="AQ10" s="154">
        <f t="shared" si="16"/>
        <v>0</v>
      </c>
      <c r="AR10" s="328"/>
      <c r="AS10" s="330"/>
      <c r="AT10" s="154">
        <f t="shared" si="17"/>
        <v>0</v>
      </c>
      <c r="AU10" s="334">
        <f t="shared" si="1"/>
        <v>0</v>
      </c>
      <c r="AV10" s="335">
        <f t="shared" si="1"/>
        <v>0</v>
      </c>
      <c r="AW10" s="336">
        <f t="shared" si="18"/>
        <v>0</v>
      </c>
      <c r="AX10" s="299">
        <f t="shared" si="19"/>
        <v>28095435</v>
      </c>
      <c r="AY10" s="337">
        <f t="shared" si="19"/>
        <v>23980486</v>
      </c>
      <c r="AZ10" s="338">
        <f t="shared" si="20"/>
        <v>-4114949</v>
      </c>
      <c r="BA10" s="328">
        <v>0</v>
      </c>
      <c r="BB10" s="339">
        <v>0</v>
      </c>
      <c r="BC10" s="340">
        <f t="shared" si="21"/>
        <v>0</v>
      </c>
      <c r="BD10" s="341">
        <f t="shared" si="22"/>
        <v>28095435</v>
      </c>
      <c r="BE10" s="342">
        <f t="shared" si="22"/>
        <v>23980486</v>
      </c>
      <c r="BF10" s="338">
        <f t="shared" si="23"/>
        <v>-4114949</v>
      </c>
      <c r="BG10" s="343">
        <f>BD10</f>
        <v>28095435</v>
      </c>
      <c r="BH10" s="343">
        <f>BE10</f>
        <v>23980486</v>
      </c>
      <c r="BI10" s="343">
        <f>BF10</f>
        <v>-4114949</v>
      </c>
      <c r="BJ10" s="344"/>
      <c r="BK10" s="345">
        <f>BJ10</f>
        <v>0</v>
      </c>
      <c r="BL10" s="345">
        <f>BK10</f>
        <v>0</v>
      </c>
      <c r="BM10" s="346">
        <f t="shared" si="26"/>
        <v>0</v>
      </c>
      <c r="BN10" s="347"/>
      <c r="BO10" s="345">
        <f t="shared" si="27"/>
        <v>0</v>
      </c>
      <c r="BP10" s="345">
        <f t="shared" si="27"/>
        <v>0</v>
      </c>
      <c r="BQ10" s="346">
        <f>BO10-BN10</f>
        <v>0</v>
      </c>
      <c r="BR10" s="344"/>
      <c r="BS10" s="345">
        <f t="shared" si="24"/>
        <v>0</v>
      </c>
      <c r="BT10" s="345">
        <f t="shared" si="24"/>
        <v>0</v>
      </c>
      <c r="BU10" s="346">
        <f>BS10-BR10</f>
        <v>0</v>
      </c>
      <c r="BV10" s="288"/>
      <c r="BW10" s="288">
        <f t="shared" si="25"/>
        <v>0</v>
      </c>
    </row>
    <row r="11" spans="1:75" s="6" customFormat="1" ht="14.25" thickBot="1">
      <c r="A11" s="348" t="s">
        <v>103</v>
      </c>
      <c r="B11" s="349">
        <f>B5+B8+B9+B10</f>
        <v>1500000</v>
      </c>
      <c r="C11" s="349">
        <f>C5+C8+C9+C10</f>
        <v>1500000</v>
      </c>
      <c r="D11" s="350">
        <f t="shared" si="3"/>
        <v>0</v>
      </c>
      <c r="E11" s="351">
        <f>E5+E8+E9+E10</f>
        <v>108835435</v>
      </c>
      <c r="F11" s="352">
        <f>F5+F8+F9+F10</f>
        <v>129720486</v>
      </c>
      <c r="G11" s="350">
        <f t="shared" si="4"/>
        <v>20885051</v>
      </c>
      <c r="H11" s="352">
        <f>H5+H8+H9+H10</f>
        <v>4000000</v>
      </c>
      <c r="I11" s="352">
        <f>I5+I8+I9+I10</f>
        <v>4000000</v>
      </c>
      <c r="J11" s="350">
        <f t="shared" si="5"/>
        <v>0</v>
      </c>
      <c r="K11" s="349">
        <f>K5+K8+K9+K10</f>
        <v>1700000</v>
      </c>
      <c r="L11" s="351">
        <f>L5+L8+L9+L10</f>
        <v>5047121</v>
      </c>
      <c r="M11" s="350">
        <f t="shared" si="6"/>
        <v>3347121</v>
      </c>
      <c r="N11" s="349">
        <f>N5+N8+N9+N10</f>
        <v>94453710</v>
      </c>
      <c r="O11" s="351">
        <f>O5+O8+O9+O10</f>
        <v>94453710</v>
      </c>
      <c r="P11" s="350">
        <f t="shared" si="7"/>
        <v>0</v>
      </c>
      <c r="Q11" s="349">
        <f>Q5+Q8+Q9+Q10</f>
        <v>450000</v>
      </c>
      <c r="R11" s="351">
        <f>R5+R8+R9+R10</f>
        <v>450000</v>
      </c>
      <c r="S11" s="350">
        <f t="shared" si="8"/>
        <v>0</v>
      </c>
      <c r="T11" s="349">
        <f>T5+T8+T9+T10</f>
        <v>0</v>
      </c>
      <c r="U11" s="351">
        <f>U5+U8+U9+U10</f>
        <v>0</v>
      </c>
      <c r="V11" s="350">
        <f t="shared" si="9"/>
        <v>0</v>
      </c>
      <c r="W11" s="349">
        <f>W5+W8+W9+W10</f>
        <v>472000</v>
      </c>
      <c r="X11" s="351">
        <f>X5+X8+X9+X10</f>
        <v>472000</v>
      </c>
      <c r="Y11" s="350">
        <f t="shared" si="10"/>
        <v>0</v>
      </c>
      <c r="Z11" s="349">
        <f>Z5+Z8+Z9+Z10</f>
        <v>0</v>
      </c>
      <c r="AA11" s="351">
        <f>AA5+AA8+AA9+AA10</f>
        <v>0</v>
      </c>
      <c r="AB11" s="350">
        <f t="shared" si="11"/>
        <v>0</v>
      </c>
      <c r="AC11" s="349">
        <f>AC5+AC8+AC9+AC10</f>
        <v>0</v>
      </c>
      <c r="AD11" s="351">
        <f>AD5+AD8+AD9+AD10</f>
        <v>0</v>
      </c>
      <c r="AE11" s="350">
        <f t="shared" si="12"/>
        <v>0</v>
      </c>
      <c r="AF11" s="353">
        <f t="shared" si="0"/>
        <v>922000</v>
      </c>
      <c r="AG11" s="354">
        <f t="shared" si="0"/>
        <v>922000</v>
      </c>
      <c r="AH11" s="355">
        <f t="shared" si="13"/>
        <v>0</v>
      </c>
      <c r="AI11" s="349">
        <f>AI5+AI8+AI9+AI10</f>
        <v>1400000</v>
      </c>
      <c r="AJ11" s="351">
        <f>AJ5+AJ8+AJ9+AJ10</f>
        <v>1400000</v>
      </c>
      <c r="AK11" s="350">
        <f t="shared" si="14"/>
        <v>0</v>
      </c>
      <c r="AL11" s="349">
        <f>AL5+AL8+AL9+AL10</f>
        <v>150000</v>
      </c>
      <c r="AM11" s="351">
        <f>AM5+AM8+AM9+AM10</f>
        <v>150000</v>
      </c>
      <c r="AN11" s="350">
        <f t="shared" si="15"/>
        <v>0</v>
      </c>
      <c r="AO11" s="349">
        <f>AO5+AO8+AO9+AO10</f>
        <v>0</v>
      </c>
      <c r="AP11" s="351">
        <f>AP5+AP8+AP9+AP10</f>
        <v>0</v>
      </c>
      <c r="AQ11" s="350">
        <f t="shared" si="16"/>
        <v>0</v>
      </c>
      <c r="AR11" s="349">
        <f>AR5+AR8+AR9+AR10</f>
        <v>61600</v>
      </c>
      <c r="AS11" s="351">
        <f>AS5+AS8+AS9+AS10</f>
        <v>61600</v>
      </c>
      <c r="AT11" s="350">
        <f t="shared" si="17"/>
        <v>0</v>
      </c>
      <c r="AU11" s="356">
        <f t="shared" si="1"/>
        <v>1611600</v>
      </c>
      <c r="AV11" s="357">
        <f t="shared" si="1"/>
        <v>1611600</v>
      </c>
      <c r="AW11" s="358">
        <f t="shared" si="18"/>
        <v>0</v>
      </c>
      <c r="AX11" s="359">
        <f>AX5+AX8+AX9+AX10</f>
        <v>213022745</v>
      </c>
      <c r="AY11" s="360">
        <f>AY5+AY8+AY9+AY10</f>
        <v>237254917</v>
      </c>
      <c r="AZ11" s="361">
        <f t="shared" si="20"/>
        <v>24232172</v>
      </c>
      <c r="BA11" s="349">
        <f>BA5+BA8+BA9+BA10</f>
        <v>1453915966</v>
      </c>
      <c r="BB11" s="362">
        <f>BB5+BB8+BB9+BB10</f>
        <v>1489322109</v>
      </c>
      <c r="BC11" s="363">
        <f t="shared" si="21"/>
        <v>35406143</v>
      </c>
      <c r="BD11" s="364">
        <f>BD5+BD8+BD9+BD10</f>
        <v>1666938711</v>
      </c>
      <c r="BE11" s="362">
        <f>BE5+BE8+BE9+BE10</f>
        <v>1726577026</v>
      </c>
      <c r="BF11" s="363">
        <f t="shared" si="23"/>
        <v>59638315</v>
      </c>
      <c r="BG11" s="365">
        <f>BG5+BG8+BG9+BG10</f>
        <v>1666938711</v>
      </c>
      <c r="BH11" s="365">
        <f>BH5+BH8+BH9+BH10</f>
        <v>1726577026</v>
      </c>
      <c r="BI11" s="365">
        <f>BI5+BI8+BI9+BI10</f>
        <v>59638315</v>
      </c>
      <c r="BJ11" s="366">
        <f aca="true" t="shared" si="28" ref="BJ11:BQ11">BJ5+BJ8+BJ9+BJ10</f>
        <v>1537177290</v>
      </c>
      <c r="BK11" s="367">
        <f t="shared" si="28"/>
        <v>1598042290</v>
      </c>
      <c r="BL11" s="367">
        <f>BL5+BL8+BL9+BL10</f>
        <v>1598042290</v>
      </c>
      <c r="BM11" s="368">
        <f t="shared" si="26"/>
        <v>0</v>
      </c>
      <c r="BN11" s="369">
        <f t="shared" si="28"/>
        <v>112309</v>
      </c>
      <c r="BO11" s="367">
        <f t="shared" si="28"/>
        <v>113409</v>
      </c>
      <c r="BP11" s="367">
        <f>BP5+BP8+BP9+BP10</f>
        <v>114509</v>
      </c>
      <c r="BQ11" s="368">
        <f t="shared" si="28"/>
        <v>1100</v>
      </c>
      <c r="BR11" s="366">
        <f>BR5+BR8+BR9+BR10</f>
        <v>0</v>
      </c>
      <c r="BS11" s="367">
        <f>BS5+BS8+BS9+BS10</f>
        <v>0</v>
      </c>
      <c r="BT11" s="367">
        <f>BT5+BT8+BT9+BT10</f>
        <v>0</v>
      </c>
      <c r="BU11" s="368">
        <f>BU5+BU8+BU9+BU10</f>
        <v>0</v>
      </c>
      <c r="BV11" s="370"/>
      <c r="BW11" s="288">
        <f t="shared" si="25"/>
        <v>1598155699</v>
      </c>
    </row>
    <row r="12" spans="1:75" s="5" customFormat="1" ht="13.5">
      <c r="A12" s="267" t="s">
        <v>82</v>
      </c>
      <c r="B12" s="268"/>
      <c r="C12" s="269"/>
      <c r="D12" s="157">
        <f t="shared" si="3"/>
        <v>0</v>
      </c>
      <c r="E12" s="371"/>
      <c r="F12" s="269"/>
      <c r="G12" s="157">
        <f t="shared" si="4"/>
        <v>0</v>
      </c>
      <c r="H12" s="269"/>
      <c r="I12" s="269"/>
      <c r="J12" s="157">
        <f t="shared" si="5"/>
        <v>0</v>
      </c>
      <c r="K12" s="268"/>
      <c r="L12" s="371"/>
      <c r="M12" s="157">
        <f t="shared" si="6"/>
        <v>0</v>
      </c>
      <c r="N12" s="268"/>
      <c r="O12" s="371"/>
      <c r="P12" s="157">
        <f t="shared" si="7"/>
        <v>0</v>
      </c>
      <c r="Q12" s="268"/>
      <c r="R12" s="371"/>
      <c r="S12" s="157">
        <f t="shared" si="8"/>
        <v>0</v>
      </c>
      <c r="T12" s="268"/>
      <c r="U12" s="371"/>
      <c r="V12" s="157">
        <f t="shared" si="9"/>
        <v>0</v>
      </c>
      <c r="W12" s="268"/>
      <c r="X12" s="371"/>
      <c r="Y12" s="157">
        <f t="shared" si="10"/>
        <v>0</v>
      </c>
      <c r="Z12" s="268"/>
      <c r="AA12" s="371"/>
      <c r="AB12" s="157">
        <f t="shared" si="11"/>
        <v>0</v>
      </c>
      <c r="AC12" s="268"/>
      <c r="AD12" s="371"/>
      <c r="AE12" s="157">
        <f t="shared" si="12"/>
        <v>0</v>
      </c>
      <c r="AF12" s="270">
        <f t="shared" si="0"/>
        <v>0</v>
      </c>
      <c r="AG12" s="372">
        <f t="shared" si="0"/>
        <v>0</v>
      </c>
      <c r="AH12" s="272">
        <f t="shared" si="13"/>
        <v>0</v>
      </c>
      <c r="AI12" s="268"/>
      <c r="AJ12" s="371"/>
      <c r="AK12" s="157">
        <f t="shared" si="14"/>
        <v>0</v>
      </c>
      <c r="AL12" s="268"/>
      <c r="AM12" s="371"/>
      <c r="AN12" s="157">
        <f t="shared" si="15"/>
        <v>0</v>
      </c>
      <c r="AO12" s="268"/>
      <c r="AP12" s="371"/>
      <c r="AQ12" s="157">
        <f t="shared" si="16"/>
        <v>0</v>
      </c>
      <c r="AR12" s="268"/>
      <c r="AS12" s="371"/>
      <c r="AT12" s="157">
        <f t="shared" si="17"/>
        <v>0</v>
      </c>
      <c r="AU12" s="273">
        <f t="shared" si="1"/>
        <v>0</v>
      </c>
      <c r="AV12" s="373">
        <f t="shared" si="1"/>
        <v>0</v>
      </c>
      <c r="AW12" s="275">
        <f t="shared" si="18"/>
        <v>0</v>
      </c>
      <c r="AX12" s="276">
        <f aca="true" t="shared" si="29" ref="AX12:AY14">B12+E12+H12+K12+N12+AU12+AF12</f>
        <v>0</v>
      </c>
      <c r="AY12" s="277">
        <f t="shared" si="29"/>
        <v>0</v>
      </c>
      <c r="AZ12" s="278">
        <f t="shared" si="20"/>
        <v>0</v>
      </c>
      <c r="BA12" s="268">
        <v>41720075</v>
      </c>
      <c r="BB12" s="279">
        <v>178335518</v>
      </c>
      <c r="BC12" s="280">
        <f t="shared" si="21"/>
        <v>136615443</v>
      </c>
      <c r="BD12" s="281">
        <f aca="true" t="shared" si="30" ref="BD12:BE14">BA12+AX12</f>
        <v>41720075</v>
      </c>
      <c r="BE12" s="282">
        <f t="shared" si="30"/>
        <v>178335518</v>
      </c>
      <c r="BF12" s="278">
        <f t="shared" si="23"/>
        <v>136615443</v>
      </c>
      <c r="BG12" s="283">
        <f aca="true" t="shared" si="31" ref="BG12:BH14">BD12</f>
        <v>41720075</v>
      </c>
      <c r="BH12" s="283">
        <f t="shared" si="31"/>
        <v>178335518</v>
      </c>
      <c r="BI12" s="283">
        <f>BF12</f>
        <v>136615443</v>
      </c>
      <c r="BJ12" s="284">
        <v>101293</v>
      </c>
      <c r="BK12" s="306">
        <f>BJ12+671111</f>
        <v>772404</v>
      </c>
      <c r="BL12" s="306">
        <f>BK12+671111</f>
        <v>1443515</v>
      </c>
      <c r="BM12" s="286">
        <f t="shared" si="26"/>
        <v>671111</v>
      </c>
      <c r="BN12" s="285">
        <v>20240</v>
      </c>
      <c r="BO12" s="306">
        <f aca="true" t="shared" si="32" ref="BO12:BP14">BN12</f>
        <v>20240</v>
      </c>
      <c r="BP12" s="306">
        <f t="shared" si="32"/>
        <v>20240</v>
      </c>
      <c r="BQ12" s="286">
        <f>BO12-BN12</f>
        <v>0</v>
      </c>
      <c r="BR12" s="284"/>
      <c r="BS12" s="306">
        <f aca="true" t="shared" si="33" ref="BS12:BT14">BR12</f>
        <v>0</v>
      </c>
      <c r="BT12" s="306">
        <f t="shared" si="33"/>
        <v>0</v>
      </c>
      <c r="BU12" s="286">
        <f>BS12-BR12</f>
        <v>0</v>
      </c>
      <c r="BV12" s="288"/>
      <c r="BW12" s="288">
        <f t="shared" si="25"/>
        <v>792644</v>
      </c>
    </row>
    <row r="13" spans="1:75" s="5" customFormat="1" ht="13.5">
      <c r="A13" s="374" t="s">
        <v>100</v>
      </c>
      <c r="B13" s="290"/>
      <c r="C13" s="291"/>
      <c r="D13" s="150">
        <f t="shared" si="3"/>
        <v>0</v>
      </c>
      <c r="E13" s="375"/>
      <c r="F13" s="291"/>
      <c r="G13" s="150">
        <f t="shared" si="4"/>
        <v>0</v>
      </c>
      <c r="H13" s="376"/>
      <c r="I13" s="291"/>
      <c r="J13" s="150">
        <f t="shared" si="5"/>
        <v>0</v>
      </c>
      <c r="K13" s="377"/>
      <c r="L13" s="292"/>
      <c r="M13" s="150">
        <f t="shared" si="6"/>
        <v>0</v>
      </c>
      <c r="N13" s="377"/>
      <c r="O13" s="292"/>
      <c r="P13" s="150">
        <f t="shared" si="7"/>
        <v>0</v>
      </c>
      <c r="Q13" s="377"/>
      <c r="R13" s="292"/>
      <c r="S13" s="150">
        <f t="shared" si="8"/>
        <v>0</v>
      </c>
      <c r="T13" s="377"/>
      <c r="U13" s="292"/>
      <c r="V13" s="150">
        <f t="shared" si="9"/>
        <v>0</v>
      </c>
      <c r="W13" s="377"/>
      <c r="X13" s="292"/>
      <c r="Y13" s="150">
        <f t="shared" si="10"/>
        <v>0</v>
      </c>
      <c r="Z13" s="377"/>
      <c r="AA13" s="292"/>
      <c r="AB13" s="150">
        <f t="shared" si="11"/>
        <v>0</v>
      </c>
      <c r="AC13" s="377"/>
      <c r="AD13" s="292"/>
      <c r="AE13" s="150">
        <f t="shared" si="12"/>
        <v>0</v>
      </c>
      <c r="AF13" s="378">
        <f t="shared" si="0"/>
        <v>0</v>
      </c>
      <c r="AG13" s="294">
        <f t="shared" si="0"/>
        <v>0</v>
      </c>
      <c r="AH13" s="295">
        <f t="shared" si="13"/>
        <v>0</v>
      </c>
      <c r="AI13" s="377"/>
      <c r="AJ13" s="292"/>
      <c r="AK13" s="150">
        <f t="shared" si="14"/>
        <v>0</v>
      </c>
      <c r="AL13" s="377"/>
      <c r="AM13" s="292"/>
      <c r="AN13" s="150">
        <f t="shared" si="15"/>
        <v>0</v>
      </c>
      <c r="AO13" s="377"/>
      <c r="AP13" s="292"/>
      <c r="AQ13" s="150">
        <f t="shared" si="16"/>
        <v>0</v>
      </c>
      <c r="AR13" s="377"/>
      <c r="AS13" s="292"/>
      <c r="AT13" s="150">
        <f t="shared" si="17"/>
        <v>0</v>
      </c>
      <c r="AU13" s="379">
        <f t="shared" si="1"/>
        <v>0</v>
      </c>
      <c r="AV13" s="297">
        <f t="shared" si="1"/>
        <v>0</v>
      </c>
      <c r="AW13" s="298">
        <f t="shared" si="18"/>
        <v>0</v>
      </c>
      <c r="AX13" s="276">
        <f t="shared" si="29"/>
        <v>0</v>
      </c>
      <c r="AY13" s="310">
        <f t="shared" si="29"/>
        <v>0</v>
      </c>
      <c r="AZ13" s="300">
        <f t="shared" si="20"/>
        <v>0</v>
      </c>
      <c r="BA13" s="377">
        <v>0</v>
      </c>
      <c r="BB13" s="291">
        <v>96301000</v>
      </c>
      <c r="BC13" s="301">
        <f t="shared" si="21"/>
        <v>96301000</v>
      </c>
      <c r="BD13" s="281">
        <f t="shared" si="30"/>
        <v>0</v>
      </c>
      <c r="BE13" s="303">
        <f t="shared" si="30"/>
        <v>96301000</v>
      </c>
      <c r="BF13" s="300">
        <f t="shared" si="23"/>
        <v>96301000</v>
      </c>
      <c r="BG13" s="380">
        <f t="shared" si="31"/>
        <v>0</v>
      </c>
      <c r="BH13" s="380">
        <f t="shared" si="31"/>
        <v>96301000</v>
      </c>
      <c r="BI13" s="380">
        <f>BF13</f>
        <v>96301000</v>
      </c>
      <c r="BJ13" s="381">
        <v>100000000</v>
      </c>
      <c r="BK13" s="306">
        <f>BJ13+93000000</f>
        <v>193000000</v>
      </c>
      <c r="BL13" s="306">
        <f>BK13+0</f>
        <v>193000000</v>
      </c>
      <c r="BM13" s="307">
        <f t="shared" si="26"/>
        <v>0</v>
      </c>
      <c r="BN13" s="382"/>
      <c r="BO13" s="306">
        <f t="shared" si="32"/>
        <v>0</v>
      </c>
      <c r="BP13" s="306">
        <f t="shared" si="32"/>
        <v>0</v>
      </c>
      <c r="BQ13" s="307">
        <f>BO13-BN13</f>
        <v>0</v>
      </c>
      <c r="BR13" s="381"/>
      <c r="BS13" s="306">
        <f t="shared" si="33"/>
        <v>0</v>
      </c>
      <c r="BT13" s="306">
        <f t="shared" si="33"/>
        <v>0</v>
      </c>
      <c r="BU13" s="307">
        <f>BS13-BR13</f>
        <v>0</v>
      </c>
      <c r="BV13" s="309"/>
      <c r="BW13" s="288">
        <f t="shared" si="25"/>
        <v>193000000</v>
      </c>
    </row>
    <row r="14" spans="1:75" s="5" customFormat="1" ht="13.5">
      <c r="A14" s="311" t="s">
        <v>69</v>
      </c>
      <c r="B14" s="312"/>
      <c r="C14" s="313"/>
      <c r="D14" s="152">
        <f t="shared" si="3"/>
        <v>0</v>
      </c>
      <c r="E14" s="314"/>
      <c r="F14" s="313"/>
      <c r="G14" s="152">
        <f t="shared" si="4"/>
        <v>0</v>
      </c>
      <c r="H14" s="313"/>
      <c r="I14" s="313"/>
      <c r="J14" s="152">
        <f t="shared" si="5"/>
        <v>0</v>
      </c>
      <c r="K14" s="312"/>
      <c r="L14" s="314"/>
      <c r="M14" s="152">
        <f t="shared" si="6"/>
        <v>0</v>
      </c>
      <c r="N14" s="312"/>
      <c r="O14" s="314"/>
      <c r="P14" s="152">
        <f t="shared" si="7"/>
        <v>0</v>
      </c>
      <c r="Q14" s="312"/>
      <c r="R14" s="314"/>
      <c r="S14" s="152">
        <f t="shared" si="8"/>
        <v>0</v>
      </c>
      <c r="T14" s="312"/>
      <c r="U14" s="314"/>
      <c r="V14" s="152">
        <f t="shared" si="9"/>
        <v>0</v>
      </c>
      <c r="W14" s="312"/>
      <c r="X14" s="314"/>
      <c r="Y14" s="152">
        <f t="shared" si="10"/>
        <v>0</v>
      </c>
      <c r="Z14" s="312"/>
      <c r="AA14" s="314"/>
      <c r="AB14" s="152">
        <f t="shared" si="11"/>
        <v>0</v>
      </c>
      <c r="AC14" s="312"/>
      <c r="AD14" s="314"/>
      <c r="AE14" s="152">
        <f t="shared" si="12"/>
        <v>0</v>
      </c>
      <c r="AF14" s="315">
        <f t="shared" si="0"/>
        <v>0</v>
      </c>
      <c r="AG14" s="316">
        <f t="shared" si="0"/>
        <v>0</v>
      </c>
      <c r="AH14" s="317">
        <f t="shared" si="13"/>
        <v>0</v>
      </c>
      <c r="AI14" s="312"/>
      <c r="AJ14" s="314"/>
      <c r="AK14" s="152">
        <f t="shared" si="14"/>
        <v>0</v>
      </c>
      <c r="AL14" s="312"/>
      <c r="AM14" s="314"/>
      <c r="AN14" s="152">
        <f t="shared" si="15"/>
        <v>0</v>
      </c>
      <c r="AO14" s="312"/>
      <c r="AP14" s="314"/>
      <c r="AQ14" s="152">
        <f t="shared" si="16"/>
        <v>0</v>
      </c>
      <c r="AR14" s="312"/>
      <c r="AS14" s="314"/>
      <c r="AT14" s="152">
        <f t="shared" si="17"/>
        <v>0</v>
      </c>
      <c r="AU14" s="318">
        <f t="shared" si="1"/>
        <v>0</v>
      </c>
      <c r="AV14" s="319">
        <f t="shared" si="1"/>
        <v>0</v>
      </c>
      <c r="AW14" s="320">
        <f t="shared" si="18"/>
        <v>0</v>
      </c>
      <c r="AX14" s="276">
        <f t="shared" si="29"/>
        <v>0</v>
      </c>
      <c r="AY14" s="310">
        <f t="shared" si="29"/>
        <v>0</v>
      </c>
      <c r="AZ14" s="300">
        <f t="shared" si="20"/>
        <v>0</v>
      </c>
      <c r="BA14" s="312">
        <v>205340627</v>
      </c>
      <c r="BB14" s="321">
        <v>183353173</v>
      </c>
      <c r="BC14" s="301">
        <f t="shared" si="21"/>
        <v>-21987454</v>
      </c>
      <c r="BD14" s="302">
        <f t="shared" si="30"/>
        <v>205340627</v>
      </c>
      <c r="BE14" s="303">
        <f t="shared" si="30"/>
        <v>183353173</v>
      </c>
      <c r="BF14" s="300">
        <f t="shared" si="23"/>
        <v>-21987454</v>
      </c>
      <c r="BG14" s="322">
        <f t="shared" si="31"/>
        <v>205340627</v>
      </c>
      <c r="BH14" s="322">
        <f t="shared" si="31"/>
        <v>183353173</v>
      </c>
      <c r="BI14" s="322">
        <f>BF14</f>
        <v>-21987454</v>
      </c>
      <c r="BJ14" s="323">
        <v>87248000</v>
      </c>
      <c r="BK14" s="306">
        <v>87248000</v>
      </c>
      <c r="BL14" s="306">
        <v>87248000</v>
      </c>
      <c r="BM14" s="325">
        <f t="shared" si="26"/>
        <v>0</v>
      </c>
      <c r="BN14" s="326"/>
      <c r="BO14" s="306">
        <f t="shared" si="32"/>
        <v>0</v>
      </c>
      <c r="BP14" s="306">
        <f t="shared" si="32"/>
        <v>0</v>
      </c>
      <c r="BQ14" s="325">
        <f>BO14-BN14</f>
        <v>0</v>
      </c>
      <c r="BR14" s="323"/>
      <c r="BS14" s="306">
        <f t="shared" si="33"/>
        <v>0</v>
      </c>
      <c r="BT14" s="306">
        <f t="shared" si="33"/>
        <v>0</v>
      </c>
      <c r="BU14" s="325">
        <f>BS14-BR14</f>
        <v>0</v>
      </c>
      <c r="BV14" s="288"/>
      <c r="BW14" s="288">
        <f t="shared" si="25"/>
        <v>87248000</v>
      </c>
    </row>
    <row r="15" spans="1:75" s="5" customFormat="1" ht="13.5">
      <c r="A15" s="311" t="s">
        <v>60</v>
      </c>
      <c r="B15" s="312">
        <f>SUM(B16:B17)</f>
        <v>0</v>
      </c>
      <c r="C15" s="313">
        <f>SUM(C16:C17)</f>
        <v>0</v>
      </c>
      <c r="D15" s="152">
        <f t="shared" si="3"/>
        <v>0</v>
      </c>
      <c r="E15" s="314">
        <f>SUM(E16:E17)</f>
        <v>1478431</v>
      </c>
      <c r="F15" s="313">
        <f>SUM(F16:F17)</f>
        <v>1478431</v>
      </c>
      <c r="G15" s="152">
        <f t="shared" si="4"/>
        <v>0</v>
      </c>
      <c r="H15" s="313">
        <f>SUM(H16:H17)</f>
        <v>0</v>
      </c>
      <c r="I15" s="313">
        <f>SUM(I16:I17)</f>
        <v>0</v>
      </c>
      <c r="J15" s="152">
        <f t="shared" si="5"/>
        <v>0</v>
      </c>
      <c r="K15" s="312">
        <f>SUM(K16:K17)</f>
        <v>0</v>
      </c>
      <c r="L15" s="314">
        <f>SUM(L16:L17)</f>
        <v>0</v>
      </c>
      <c r="M15" s="152">
        <f t="shared" si="6"/>
        <v>0</v>
      </c>
      <c r="N15" s="312">
        <f>SUM(N16:N17)</f>
        <v>0</v>
      </c>
      <c r="O15" s="314">
        <f>SUM(O16:O17)</f>
        <v>0</v>
      </c>
      <c r="P15" s="152">
        <f t="shared" si="7"/>
        <v>0</v>
      </c>
      <c r="Q15" s="312">
        <f>SUM(Q16:Q17)</f>
        <v>0</v>
      </c>
      <c r="R15" s="314">
        <f>SUM(R16:R17)</f>
        <v>0</v>
      </c>
      <c r="S15" s="152">
        <f t="shared" si="8"/>
        <v>0</v>
      </c>
      <c r="T15" s="312">
        <f>SUM(T16:T17)</f>
        <v>0</v>
      </c>
      <c r="U15" s="314">
        <f>SUM(U16:U17)</f>
        <v>0</v>
      </c>
      <c r="V15" s="152">
        <f t="shared" si="9"/>
        <v>0</v>
      </c>
      <c r="W15" s="312">
        <f>SUM(W16:W17)</f>
        <v>0</v>
      </c>
      <c r="X15" s="314">
        <f>SUM(X16:X17)</f>
        <v>0</v>
      </c>
      <c r="Y15" s="152">
        <f t="shared" si="10"/>
        <v>0</v>
      </c>
      <c r="Z15" s="312">
        <f>SUM(Z16:Z17)</f>
        <v>0</v>
      </c>
      <c r="AA15" s="314">
        <f>SUM(AA16:AA17)</f>
        <v>0</v>
      </c>
      <c r="AB15" s="152">
        <f t="shared" si="11"/>
        <v>0</v>
      </c>
      <c r="AC15" s="312">
        <f>SUM(AC16:AC17)</f>
        <v>0</v>
      </c>
      <c r="AD15" s="314">
        <f>SUM(AD16:AD17)</f>
        <v>0</v>
      </c>
      <c r="AE15" s="152">
        <f t="shared" si="12"/>
        <v>0</v>
      </c>
      <c r="AF15" s="315">
        <f t="shared" si="0"/>
        <v>0</v>
      </c>
      <c r="AG15" s="316">
        <f t="shared" si="0"/>
        <v>0</v>
      </c>
      <c r="AH15" s="317">
        <f t="shared" si="13"/>
        <v>0</v>
      </c>
      <c r="AI15" s="383">
        <f>SUM(AI16:AI17)</f>
        <v>0</v>
      </c>
      <c r="AJ15" s="314">
        <f>SUM(AJ16:AJ17)</f>
        <v>0</v>
      </c>
      <c r="AK15" s="152">
        <f t="shared" si="14"/>
        <v>0</v>
      </c>
      <c r="AL15" s="312">
        <f>SUM(AL16:AL17)</f>
        <v>0</v>
      </c>
      <c r="AM15" s="312">
        <f>SUM(AM16:AM17)</f>
        <v>0</v>
      </c>
      <c r="AN15" s="152">
        <f t="shared" si="15"/>
        <v>0</v>
      </c>
      <c r="AO15" s="383">
        <f>SUM(AO16:AO17)</f>
        <v>0</v>
      </c>
      <c r="AP15" s="314">
        <f>SUM(AP16:AP17)</f>
        <v>0</v>
      </c>
      <c r="AQ15" s="152">
        <f t="shared" si="16"/>
        <v>0</v>
      </c>
      <c r="AR15" s="383">
        <f>SUM(AR16:AR17)</f>
        <v>0</v>
      </c>
      <c r="AS15" s="314">
        <f>SUM(AS16:AS17)</f>
        <v>0</v>
      </c>
      <c r="AT15" s="152">
        <f t="shared" si="17"/>
        <v>0</v>
      </c>
      <c r="AU15" s="318">
        <f t="shared" si="1"/>
        <v>0</v>
      </c>
      <c r="AV15" s="319">
        <f t="shared" si="1"/>
        <v>0</v>
      </c>
      <c r="AW15" s="320">
        <f t="shared" si="18"/>
        <v>0</v>
      </c>
      <c r="AX15" s="299">
        <f>SUM(AX16:AX17)</f>
        <v>1478431</v>
      </c>
      <c r="AY15" s="310">
        <f>SUM(AY16:AY17)</f>
        <v>1478431</v>
      </c>
      <c r="AZ15" s="300">
        <f t="shared" si="20"/>
        <v>0</v>
      </c>
      <c r="BA15" s="312">
        <f>SUM(BA16:BA17)</f>
        <v>12815928</v>
      </c>
      <c r="BB15" s="321">
        <f>SUM(BB16:BB17)</f>
        <v>12815928</v>
      </c>
      <c r="BC15" s="301">
        <f t="shared" si="21"/>
        <v>0</v>
      </c>
      <c r="BD15" s="302">
        <f>SUM(BD16:BD17)</f>
        <v>14294359</v>
      </c>
      <c r="BE15" s="303">
        <f>SUM(BE16:BE17)</f>
        <v>14294359</v>
      </c>
      <c r="BF15" s="300">
        <f t="shared" si="23"/>
        <v>0</v>
      </c>
      <c r="BG15" s="322">
        <f aca="true" t="shared" si="34" ref="BG15:BU15">SUM(BG16:BG17)</f>
        <v>14294359</v>
      </c>
      <c r="BH15" s="322">
        <f>SUM(BH16:BH17)</f>
        <v>14294359</v>
      </c>
      <c r="BI15" s="322">
        <f t="shared" si="34"/>
        <v>0</v>
      </c>
      <c r="BJ15" s="323">
        <f t="shared" si="34"/>
        <v>8218000</v>
      </c>
      <c r="BK15" s="324">
        <f t="shared" si="34"/>
        <v>8218000</v>
      </c>
      <c r="BL15" s="324">
        <f t="shared" si="34"/>
        <v>8218000</v>
      </c>
      <c r="BM15" s="325">
        <f t="shared" si="26"/>
        <v>0</v>
      </c>
      <c r="BN15" s="326">
        <f t="shared" si="34"/>
        <v>5139</v>
      </c>
      <c r="BO15" s="324">
        <f t="shared" si="34"/>
        <v>5139</v>
      </c>
      <c r="BP15" s="324">
        <f t="shared" si="34"/>
        <v>5139</v>
      </c>
      <c r="BQ15" s="325">
        <f t="shared" si="34"/>
        <v>0</v>
      </c>
      <c r="BR15" s="323">
        <f t="shared" si="34"/>
        <v>0</v>
      </c>
      <c r="BS15" s="324">
        <f t="shared" si="34"/>
        <v>0</v>
      </c>
      <c r="BT15" s="324">
        <f t="shared" si="34"/>
        <v>0</v>
      </c>
      <c r="BU15" s="325">
        <f t="shared" si="34"/>
        <v>0</v>
      </c>
      <c r="BV15" s="288"/>
      <c r="BW15" s="288">
        <f t="shared" si="25"/>
        <v>8223139</v>
      </c>
    </row>
    <row r="16" spans="1:75" s="5" customFormat="1" ht="26.25">
      <c r="A16" s="384" t="s">
        <v>149</v>
      </c>
      <c r="B16" s="290"/>
      <c r="C16" s="291"/>
      <c r="D16" s="150">
        <f t="shared" si="3"/>
        <v>0</v>
      </c>
      <c r="E16" s="292"/>
      <c r="F16" s="291"/>
      <c r="G16" s="150">
        <f t="shared" si="4"/>
        <v>0</v>
      </c>
      <c r="H16" s="291"/>
      <c r="I16" s="291"/>
      <c r="J16" s="150">
        <f t="shared" si="5"/>
        <v>0</v>
      </c>
      <c r="K16" s="290"/>
      <c r="L16" s="292"/>
      <c r="M16" s="150">
        <f t="shared" si="6"/>
        <v>0</v>
      </c>
      <c r="N16" s="290"/>
      <c r="O16" s="292"/>
      <c r="P16" s="150">
        <f t="shared" si="7"/>
        <v>0</v>
      </c>
      <c r="Q16" s="290"/>
      <c r="R16" s="292"/>
      <c r="S16" s="150">
        <f t="shared" si="8"/>
        <v>0</v>
      </c>
      <c r="T16" s="290"/>
      <c r="U16" s="292"/>
      <c r="V16" s="150">
        <f t="shared" si="9"/>
        <v>0</v>
      </c>
      <c r="W16" s="290"/>
      <c r="X16" s="292"/>
      <c r="Y16" s="150">
        <f t="shared" si="10"/>
        <v>0</v>
      </c>
      <c r="Z16" s="290"/>
      <c r="AA16" s="292"/>
      <c r="AB16" s="150">
        <f t="shared" si="11"/>
        <v>0</v>
      </c>
      <c r="AC16" s="290"/>
      <c r="AD16" s="292"/>
      <c r="AE16" s="150">
        <f t="shared" si="12"/>
        <v>0</v>
      </c>
      <c r="AF16" s="293">
        <f t="shared" si="0"/>
        <v>0</v>
      </c>
      <c r="AG16" s="294">
        <f t="shared" si="0"/>
        <v>0</v>
      </c>
      <c r="AH16" s="295">
        <f t="shared" si="13"/>
        <v>0</v>
      </c>
      <c r="AI16" s="290"/>
      <c r="AJ16" s="292"/>
      <c r="AK16" s="150">
        <f t="shared" si="14"/>
        <v>0</v>
      </c>
      <c r="AL16" s="290"/>
      <c r="AM16" s="292"/>
      <c r="AN16" s="150">
        <f t="shared" si="15"/>
        <v>0</v>
      </c>
      <c r="AO16" s="290"/>
      <c r="AP16" s="292"/>
      <c r="AQ16" s="150">
        <f t="shared" si="16"/>
        <v>0</v>
      </c>
      <c r="AR16" s="290"/>
      <c r="AS16" s="292"/>
      <c r="AT16" s="150">
        <f t="shared" si="17"/>
        <v>0</v>
      </c>
      <c r="AU16" s="296">
        <f t="shared" si="1"/>
        <v>0</v>
      </c>
      <c r="AV16" s="297">
        <f t="shared" si="1"/>
        <v>0</v>
      </c>
      <c r="AW16" s="298">
        <f t="shared" si="18"/>
        <v>0</v>
      </c>
      <c r="AX16" s="299">
        <f>B16+E16+H16+K16+N16+AU16+AF16</f>
        <v>0</v>
      </c>
      <c r="AY16" s="310">
        <f>C16+F16+I16+L16+O16+AV16+AG16</f>
        <v>0</v>
      </c>
      <c r="AZ16" s="300">
        <f t="shared" si="20"/>
        <v>0</v>
      </c>
      <c r="BA16" s="290">
        <v>12815928</v>
      </c>
      <c r="BB16" s="291">
        <v>12815928</v>
      </c>
      <c r="BC16" s="301">
        <f t="shared" si="21"/>
        <v>0</v>
      </c>
      <c r="BD16" s="302">
        <f>BA16+AX16</f>
        <v>12815928</v>
      </c>
      <c r="BE16" s="303">
        <f>BB16+AY16</f>
        <v>12815928</v>
      </c>
      <c r="BF16" s="300">
        <f t="shared" si="23"/>
        <v>0</v>
      </c>
      <c r="BG16" s="304">
        <f>BD16</f>
        <v>12815928</v>
      </c>
      <c r="BH16" s="304">
        <f>BE16</f>
        <v>12815928</v>
      </c>
      <c r="BI16" s="304">
        <f>BF16</f>
        <v>0</v>
      </c>
      <c r="BJ16" s="305">
        <v>8218000</v>
      </c>
      <c r="BK16" s="306">
        <v>8218000</v>
      </c>
      <c r="BL16" s="306">
        <v>8218000</v>
      </c>
      <c r="BM16" s="307">
        <f t="shared" si="26"/>
        <v>0</v>
      </c>
      <c r="BN16" s="308">
        <v>5139</v>
      </c>
      <c r="BO16" s="306">
        <f>BN16</f>
        <v>5139</v>
      </c>
      <c r="BP16" s="306">
        <f>BO16</f>
        <v>5139</v>
      </c>
      <c r="BQ16" s="307">
        <f>BO16-BN16</f>
        <v>0</v>
      </c>
      <c r="BR16" s="305"/>
      <c r="BS16" s="306">
        <f>BR16</f>
        <v>0</v>
      </c>
      <c r="BT16" s="306">
        <f>BS16</f>
        <v>0</v>
      </c>
      <c r="BU16" s="307">
        <f>BS16-BR16</f>
        <v>0</v>
      </c>
      <c r="BV16" s="309"/>
      <c r="BW16" s="288">
        <f t="shared" si="25"/>
        <v>8223139</v>
      </c>
    </row>
    <row r="17" spans="1:75" s="5" customFormat="1" ht="14.25" thickBot="1">
      <c r="A17" s="384" t="s">
        <v>150</v>
      </c>
      <c r="B17" s="385"/>
      <c r="C17" s="386"/>
      <c r="D17" s="161">
        <f t="shared" si="3"/>
        <v>0</v>
      </c>
      <c r="E17" s="387">
        <v>1478431</v>
      </c>
      <c r="F17" s="386">
        <v>1478431</v>
      </c>
      <c r="G17" s="161">
        <f t="shared" si="4"/>
        <v>0</v>
      </c>
      <c r="H17" s="386"/>
      <c r="I17" s="386"/>
      <c r="J17" s="161">
        <f t="shared" si="5"/>
        <v>0</v>
      </c>
      <c r="K17" s="385"/>
      <c r="L17" s="387"/>
      <c r="M17" s="161">
        <f t="shared" si="6"/>
        <v>0</v>
      </c>
      <c r="N17" s="385"/>
      <c r="O17" s="387"/>
      <c r="P17" s="161">
        <f t="shared" si="7"/>
        <v>0</v>
      </c>
      <c r="Q17" s="385"/>
      <c r="R17" s="387"/>
      <c r="S17" s="161">
        <f t="shared" si="8"/>
        <v>0</v>
      </c>
      <c r="T17" s="385"/>
      <c r="U17" s="387"/>
      <c r="V17" s="161">
        <f t="shared" si="9"/>
        <v>0</v>
      </c>
      <c r="W17" s="385"/>
      <c r="X17" s="387"/>
      <c r="Y17" s="161">
        <f t="shared" si="10"/>
        <v>0</v>
      </c>
      <c r="Z17" s="385"/>
      <c r="AA17" s="387"/>
      <c r="AB17" s="161">
        <f t="shared" si="11"/>
        <v>0</v>
      </c>
      <c r="AC17" s="385"/>
      <c r="AD17" s="387"/>
      <c r="AE17" s="161">
        <f t="shared" si="12"/>
        <v>0</v>
      </c>
      <c r="AF17" s="388">
        <f t="shared" si="0"/>
        <v>0</v>
      </c>
      <c r="AG17" s="389">
        <f t="shared" si="0"/>
        <v>0</v>
      </c>
      <c r="AH17" s="390">
        <f t="shared" si="13"/>
        <v>0</v>
      </c>
      <c r="AI17" s="385"/>
      <c r="AJ17" s="387"/>
      <c r="AK17" s="161">
        <f t="shared" si="14"/>
        <v>0</v>
      </c>
      <c r="AL17" s="385"/>
      <c r="AM17" s="387"/>
      <c r="AN17" s="161">
        <f t="shared" si="15"/>
        <v>0</v>
      </c>
      <c r="AO17" s="385"/>
      <c r="AP17" s="387"/>
      <c r="AQ17" s="161">
        <f t="shared" si="16"/>
        <v>0</v>
      </c>
      <c r="AR17" s="385"/>
      <c r="AS17" s="387"/>
      <c r="AT17" s="161">
        <f t="shared" si="17"/>
        <v>0</v>
      </c>
      <c r="AU17" s="391">
        <f t="shared" si="1"/>
        <v>0</v>
      </c>
      <c r="AV17" s="392">
        <f t="shared" si="1"/>
        <v>0</v>
      </c>
      <c r="AW17" s="393">
        <f t="shared" si="18"/>
        <v>0</v>
      </c>
      <c r="AX17" s="299">
        <f>B17+E17+H17+K17+N17+AU17+AF17</f>
        <v>1478431</v>
      </c>
      <c r="AY17" s="337">
        <f>C17+F17+I17+L17+O17+AV17+AG17</f>
        <v>1478431</v>
      </c>
      <c r="AZ17" s="338">
        <f t="shared" si="20"/>
        <v>0</v>
      </c>
      <c r="BA17" s="385">
        <v>0</v>
      </c>
      <c r="BB17" s="386">
        <v>0</v>
      </c>
      <c r="BC17" s="340">
        <f t="shared" si="21"/>
        <v>0</v>
      </c>
      <c r="BD17" s="341">
        <f>BA17+AX17</f>
        <v>1478431</v>
      </c>
      <c r="BE17" s="342">
        <f>BB17+AY17</f>
        <v>1478431</v>
      </c>
      <c r="BF17" s="338">
        <f t="shared" si="23"/>
        <v>0</v>
      </c>
      <c r="BG17" s="394">
        <f>BD17</f>
        <v>1478431</v>
      </c>
      <c r="BH17" s="394">
        <f>BE17</f>
        <v>1478431</v>
      </c>
      <c r="BI17" s="394">
        <f>BF17</f>
        <v>0</v>
      </c>
      <c r="BJ17" s="395"/>
      <c r="BK17" s="396">
        <f>BJ17</f>
        <v>0</v>
      </c>
      <c r="BL17" s="396">
        <f>BK17</f>
        <v>0</v>
      </c>
      <c r="BM17" s="397">
        <f t="shared" si="26"/>
        <v>0</v>
      </c>
      <c r="BN17" s="398"/>
      <c r="BO17" s="396">
        <f>BN17</f>
        <v>0</v>
      </c>
      <c r="BP17" s="396">
        <f>BO17</f>
        <v>0</v>
      </c>
      <c r="BQ17" s="397">
        <f>BO17-BN17</f>
        <v>0</v>
      </c>
      <c r="BR17" s="395"/>
      <c r="BS17" s="396">
        <f>BR17</f>
        <v>0</v>
      </c>
      <c r="BT17" s="396">
        <f>BS17</f>
        <v>0</v>
      </c>
      <c r="BU17" s="397">
        <f>BS17-BR17</f>
        <v>0</v>
      </c>
      <c r="BV17" s="309"/>
      <c r="BW17" s="288">
        <f t="shared" si="25"/>
        <v>0</v>
      </c>
    </row>
    <row r="18" spans="1:75" s="6" customFormat="1" ht="14.25" customHeight="1" thickBot="1">
      <c r="A18" s="348" t="s">
        <v>104</v>
      </c>
      <c r="B18" s="349">
        <f>B15+B14+B12</f>
        <v>0</v>
      </c>
      <c r="C18" s="349">
        <f>C15+C14+C12</f>
        <v>0</v>
      </c>
      <c r="D18" s="350">
        <f t="shared" si="3"/>
        <v>0</v>
      </c>
      <c r="E18" s="351">
        <f>E15+E14+E12</f>
        <v>1478431</v>
      </c>
      <c r="F18" s="352">
        <f>F15+F14+F12</f>
        <v>1478431</v>
      </c>
      <c r="G18" s="350">
        <f t="shared" si="4"/>
        <v>0</v>
      </c>
      <c r="H18" s="352">
        <f>H15+H14+H12</f>
        <v>0</v>
      </c>
      <c r="I18" s="352">
        <f>I15+I14+I12</f>
        <v>0</v>
      </c>
      <c r="J18" s="350">
        <f t="shared" si="5"/>
        <v>0</v>
      </c>
      <c r="K18" s="349">
        <f>K15+K14+K12</f>
        <v>0</v>
      </c>
      <c r="L18" s="351">
        <f>L15+L14+L12</f>
        <v>0</v>
      </c>
      <c r="M18" s="350">
        <f t="shared" si="6"/>
        <v>0</v>
      </c>
      <c r="N18" s="349">
        <f>N15+N14+N12</f>
        <v>0</v>
      </c>
      <c r="O18" s="351">
        <f>O15+O14+O12</f>
        <v>0</v>
      </c>
      <c r="P18" s="350">
        <f t="shared" si="7"/>
        <v>0</v>
      </c>
      <c r="Q18" s="349">
        <f>Q15+Q14+Q12</f>
        <v>0</v>
      </c>
      <c r="R18" s="351">
        <f>R15+R14+R12</f>
        <v>0</v>
      </c>
      <c r="S18" s="350">
        <f t="shared" si="8"/>
        <v>0</v>
      </c>
      <c r="T18" s="349">
        <f>T15+T14+T12</f>
        <v>0</v>
      </c>
      <c r="U18" s="351">
        <f>U15+U14+U12</f>
        <v>0</v>
      </c>
      <c r="V18" s="350">
        <f t="shared" si="9"/>
        <v>0</v>
      </c>
      <c r="W18" s="349">
        <f>W15+W14+W12</f>
        <v>0</v>
      </c>
      <c r="X18" s="351">
        <f>X15+X14+X12</f>
        <v>0</v>
      </c>
      <c r="Y18" s="350">
        <f t="shared" si="10"/>
        <v>0</v>
      </c>
      <c r="Z18" s="349">
        <f>Z15+Z14+Z12</f>
        <v>0</v>
      </c>
      <c r="AA18" s="351">
        <f>AA15+AA14+AA12</f>
        <v>0</v>
      </c>
      <c r="AB18" s="350">
        <f t="shared" si="11"/>
        <v>0</v>
      </c>
      <c r="AC18" s="349">
        <f>AC15+AC14+AC12</f>
        <v>0</v>
      </c>
      <c r="AD18" s="351">
        <f>AD15+AD14+AD12</f>
        <v>0</v>
      </c>
      <c r="AE18" s="350">
        <f t="shared" si="12"/>
        <v>0</v>
      </c>
      <c r="AF18" s="353">
        <f t="shared" si="0"/>
        <v>0</v>
      </c>
      <c r="AG18" s="354">
        <f t="shared" si="0"/>
        <v>0</v>
      </c>
      <c r="AH18" s="355">
        <f t="shared" si="13"/>
        <v>0</v>
      </c>
      <c r="AI18" s="349">
        <f>AI15+AI14+AI12</f>
        <v>0</v>
      </c>
      <c r="AJ18" s="351">
        <f>AJ15+AJ14+AJ12</f>
        <v>0</v>
      </c>
      <c r="AK18" s="350">
        <f t="shared" si="14"/>
        <v>0</v>
      </c>
      <c r="AL18" s="349">
        <f>AL15+AL14+AL12</f>
        <v>0</v>
      </c>
      <c r="AM18" s="351">
        <f>AM15+AM14+AM12</f>
        <v>0</v>
      </c>
      <c r="AN18" s="350">
        <f t="shared" si="15"/>
        <v>0</v>
      </c>
      <c r="AO18" s="349">
        <f>AO15+AO14+AO12</f>
        <v>0</v>
      </c>
      <c r="AP18" s="351">
        <f>AP15+AP14+AP12</f>
        <v>0</v>
      </c>
      <c r="AQ18" s="350">
        <f t="shared" si="16"/>
        <v>0</v>
      </c>
      <c r="AR18" s="349">
        <f>AR15+AR14+AR12</f>
        <v>0</v>
      </c>
      <c r="AS18" s="351">
        <f>AS15+AS14+AS12</f>
        <v>0</v>
      </c>
      <c r="AT18" s="350">
        <f t="shared" si="17"/>
        <v>0</v>
      </c>
      <c r="AU18" s="356">
        <f t="shared" si="1"/>
        <v>0</v>
      </c>
      <c r="AV18" s="357">
        <f t="shared" si="1"/>
        <v>0</v>
      </c>
      <c r="AW18" s="358">
        <f t="shared" si="18"/>
        <v>0</v>
      </c>
      <c r="AX18" s="359">
        <f aca="true" t="shared" si="35" ref="AX18:BQ18">AX15+AX14+AX12</f>
        <v>1478431</v>
      </c>
      <c r="AY18" s="360">
        <f t="shared" si="35"/>
        <v>1478431</v>
      </c>
      <c r="AZ18" s="361">
        <f t="shared" si="20"/>
        <v>0</v>
      </c>
      <c r="BA18" s="349">
        <f t="shared" si="35"/>
        <v>259876630</v>
      </c>
      <c r="BB18" s="362">
        <f>BB15+BB14+BB12</f>
        <v>374504619</v>
      </c>
      <c r="BC18" s="363">
        <f t="shared" si="21"/>
        <v>114627989</v>
      </c>
      <c r="BD18" s="364">
        <f t="shared" si="35"/>
        <v>261355061</v>
      </c>
      <c r="BE18" s="362">
        <f>BE15+BE14+BE12</f>
        <v>375983050</v>
      </c>
      <c r="BF18" s="363">
        <f t="shared" si="23"/>
        <v>114627989</v>
      </c>
      <c r="BG18" s="365">
        <f>BG15+BG14+BG12</f>
        <v>261355061</v>
      </c>
      <c r="BH18" s="365">
        <f>BH15+BH14+BH12</f>
        <v>375983050</v>
      </c>
      <c r="BI18" s="365">
        <f t="shared" si="35"/>
        <v>114627989</v>
      </c>
      <c r="BJ18" s="366">
        <f t="shared" si="35"/>
        <v>95567293</v>
      </c>
      <c r="BK18" s="367">
        <f t="shared" si="35"/>
        <v>96238404</v>
      </c>
      <c r="BL18" s="367">
        <f>BL15+BL14+BL12</f>
        <v>96909515</v>
      </c>
      <c r="BM18" s="368">
        <f t="shared" si="26"/>
        <v>671111</v>
      </c>
      <c r="BN18" s="369">
        <f t="shared" si="35"/>
        <v>25379</v>
      </c>
      <c r="BO18" s="367">
        <f t="shared" si="35"/>
        <v>25379</v>
      </c>
      <c r="BP18" s="367">
        <f>BP15+BP14+BP12</f>
        <v>25379</v>
      </c>
      <c r="BQ18" s="368">
        <f t="shared" si="35"/>
        <v>0</v>
      </c>
      <c r="BR18" s="366">
        <f>BR15+BR14+BR12</f>
        <v>0</v>
      </c>
      <c r="BS18" s="367">
        <f>BS15+BS14+BS12</f>
        <v>0</v>
      </c>
      <c r="BT18" s="367">
        <f>BT15+BT14+BT12</f>
        <v>0</v>
      </c>
      <c r="BU18" s="368">
        <f>BU15+BU14+BU12</f>
        <v>0</v>
      </c>
      <c r="BV18" s="370"/>
      <c r="BW18" s="288">
        <f t="shared" si="25"/>
        <v>96263783</v>
      </c>
    </row>
    <row r="19" spans="1:75" s="6" customFormat="1" ht="15.75" customHeight="1" thickBot="1">
      <c r="A19" s="399" t="s">
        <v>102</v>
      </c>
      <c r="B19" s="349">
        <f>B18+B11</f>
        <v>1500000</v>
      </c>
      <c r="C19" s="349">
        <f>C18+C11</f>
        <v>1500000</v>
      </c>
      <c r="D19" s="350">
        <f t="shared" si="3"/>
        <v>0</v>
      </c>
      <c r="E19" s="400">
        <f>E18+E11</f>
        <v>110313866</v>
      </c>
      <c r="F19" s="352">
        <f>F18+F11</f>
        <v>131198917</v>
      </c>
      <c r="G19" s="350">
        <f t="shared" si="4"/>
        <v>20885051</v>
      </c>
      <c r="H19" s="401">
        <f>H18+H11</f>
        <v>4000000</v>
      </c>
      <c r="I19" s="352">
        <f>I18+I11</f>
        <v>4000000</v>
      </c>
      <c r="J19" s="350">
        <f t="shared" si="5"/>
        <v>0</v>
      </c>
      <c r="K19" s="402">
        <f>K18+K11</f>
        <v>1700000</v>
      </c>
      <c r="L19" s="351">
        <f>L18+L11</f>
        <v>5047121</v>
      </c>
      <c r="M19" s="350">
        <f t="shared" si="6"/>
        <v>3347121</v>
      </c>
      <c r="N19" s="402">
        <f>N18+N11</f>
        <v>94453710</v>
      </c>
      <c r="O19" s="351">
        <f>O18+O11</f>
        <v>94453710</v>
      </c>
      <c r="P19" s="350">
        <f t="shared" si="7"/>
        <v>0</v>
      </c>
      <c r="Q19" s="402">
        <f>Q18+Q11</f>
        <v>450000</v>
      </c>
      <c r="R19" s="351">
        <f>R18+R11</f>
        <v>450000</v>
      </c>
      <c r="S19" s="350">
        <f t="shared" si="8"/>
        <v>0</v>
      </c>
      <c r="T19" s="402">
        <f>T18+T11</f>
        <v>0</v>
      </c>
      <c r="U19" s="351">
        <f>U18+U11</f>
        <v>0</v>
      </c>
      <c r="V19" s="350">
        <f t="shared" si="9"/>
        <v>0</v>
      </c>
      <c r="W19" s="402">
        <f>W18+W11</f>
        <v>472000</v>
      </c>
      <c r="X19" s="351">
        <f>X18+X11</f>
        <v>472000</v>
      </c>
      <c r="Y19" s="350">
        <f t="shared" si="10"/>
        <v>0</v>
      </c>
      <c r="Z19" s="402">
        <f>Z18+Z11</f>
        <v>0</v>
      </c>
      <c r="AA19" s="351">
        <f>AA18+AA11</f>
        <v>0</v>
      </c>
      <c r="AB19" s="350">
        <f t="shared" si="11"/>
        <v>0</v>
      </c>
      <c r="AC19" s="402">
        <f>AC18+AC11</f>
        <v>0</v>
      </c>
      <c r="AD19" s="351">
        <f>AD18+AD11</f>
        <v>0</v>
      </c>
      <c r="AE19" s="350">
        <f t="shared" si="12"/>
        <v>0</v>
      </c>
      <c r="AF19" s="403">
        <f t="shared" si="0"/>
        <v>922000</v>
      </c>
      <c r="AG19" s="354">
        <f t="shared" si="0"/>
        <v>922000</v>
      </c>
      <c r="AH19" s="355">
        <f t="shared" si="13"/>
        <v>0</v>
      </c>
      <c r="AI19" s="402">
        <f>AI18+AI11</f>
        <v>1400000</v>
      </c>
      <c r="AJ19" s="351">
        <f>AJ18+AJ11</f>
        <v>1400000</v>
      </c>
      <c r="AK19" s="350">
        <f t="shared" si="14"/>
        <v>0</v>
      </c>
      <c r="AL19" s="402">
        <f>AL18+AL11</f>
        <v>150000</v>
      </c>
      <c r="AM19" s="351">
        <f>AM18+AM11</f>
        <v>150000</v>
      </c>
      <c r="AN19" s="350">
        <f t="shared" si="15"/>
        <v>0</v>
      </c>
      <c r="AO19" s="402">
        <f>AO18+AO11</f>
        <v>0</v>
      </c>
      <c r="AP19" s="351">
        <f>AP18+AP11</f>
        <v>0</v>
      </c>
      <c r="AQ19" s="350">
        <f t="shared" si="16"/>
        <v>0</v>
      </c>
      <c r="AR19" s="402">
        <f>AR18+AR11</f>
        <v>61600</v>
      </c>
      <c r="AS19" s="351">
        <f>AS18+AS11</f>
        <v>61600</v>
      </c>
      <c r="AT19" s="350">
        <f t="shared" si="17"/>
        <v>0</v>
      </c>
      <c r="AU19" s="404">
        <f t="shared" si="1"/>
        <v>1611600</v>
      </c>
      <c r="AV19" s="357">
        <f t="shared" si="1"/>
        <v>1611600</v>
      </c>
      <c r="AW19" s="358">
        <f t="shared" si="18"/>
        <v>0</v>
      </c>
      <c r="AX19" s="405">
        <f>AX18+AX11</f>
        <v>214501176</v>
      </c>
      <c r="AY19" s="360">
        <f>AY18+AY11</f>
        <v>238733348</v>
      </c>
      <c r="AZ19" s="361">
        <f t="shared" si="20"/>
        <v>24232172</v>
      </c>
      <c r="BA19" s="402">
        <f>BA18+BA11</f>
        <v>1713792596</v>
      </c>
      <c r="BB19" s="362">
        <f>BB18+BB11</f>
        <v>1863826728</v>
      </c>
      <c r="BC19" s="363">
        <f t="shared" si="21"/>
        <v>150034132</v>
      </c>
      <c r="BD19" s="406">
        <f>BD18+BD11</f>
        <v>1928293772</v>
      </c>
      <c r="BE19" s="362">
        <f>BE18+BE11</f>
        <v>2102560076</v>
      </c>
      <c r="BF19" s="363">
        <f t="shared" si="23"/>
        <v>174266304</v>
      </c>
      <c r="BG19" s="407">
        <f>BG18+BG11</f>
        <v>1928293772</v>
      </c>
      <c r="BH19" s="407">
        <f>BH18+BH11</f>
        <v>2102560076</v>
      </c>
      <c r="BI19" s="407">
        <f>BI18+BI11</f>
        <v>174266304</v>
      </c>
      <c r="BJ19" s="408">
        <f aca="true" t="shared" si="36" ref="BJ19:BQ19">BJ18+BJ11</f>
        <v>1632744583</v>
      </c>
      <c r="BK19" s="367">
        <f t="shared" si="36"/>
        <v>1694280694</v>
      </c>
      <c r="BL19" s="367">
        <f>BL18+BL11</f>
        <v>1694951805</v>
      </c>
      <c r="BM19" s="368">
        <f t="shared" si="26"/>
        <v>671111</v>
      </c>
      <c r="BN19" s="409">
        <f t="shared" si="36"/>
        <v>137688</v>
      </c>
      <c r="BO19" s="367">
        <f t="shared" si="36"/>
        <v>138788</v>
      </c>
      <c r="BP19" s="367">
        <f>BP18+BP11</f>
        <v>139888</v>
      </c>
      <c r="BQ19" s="368">
        <f t="shared" si="36"/>
        <v>1100</v>
      </c>
      <c r="BR19" s="408">
        <f>BR18+BR11</f>
        <v>0</v>
      </c>
      <c r="BS19" s="367">
        <f>BS18+BS11</f>
        <v>0</v>
      </c>
      <c r="BT19" s="367">
        <f>BT18+BT11</f>
        <v>0</v>
      </c>
      <c r="BU19" s="368">
        <f>BU18+BU11</f>
        <v>0</v>
      </c>
      <c r="BV19" s="370"/>
      <c r="BW19" s="288">
        <f t="shared" si="25"/>
        <v>1694419482</v>
      </c>
    </row>
    <row r="20" spans="1:75" s="5" customFormat="1" ht="13.5">
      <c r="A20" s="410" t="s">
        <v>66</v>
      </c>
      <c r="B20" s="411">
        <f>SUM(B21:B22)</f>
        <v>0</v>
      </c>
      <c r="C20" s="412">
        <f>SUM(C21:C22)</f>
        <v>178626</v>
      </c>
      <c r="D20" s="148">
        <f t="shared" si="3"/>
        <v>178626</v>
      </c>
      <c r="E20" s="413">
        <f>SUM(E21:E22)</f>
        <v>0</v>
      </c>
      <c r="F20" s="412">
        <f>SUM(F21:F22)</f>
        <v>13173309</v>
      </c>
      <c r="G20" s="148">
        <f t="shared" si="4"/>
        <v>13173309</v>
      </c>
      <c r="H20" s="412">
        <f>SUM(H21:H22)</f>
        <v>0</v>
      </c>
      <c r="I20" s="412">
        <f>SUM(I21:I22)</f>
        <v>10137507</v>
      </c>
      <c r="J20" s="148">
        <f t="shared" si="5"/>
        <v>10137507</v>
      </c>
      <c r="K20" s="411">
        <f>SUM(K21:K22)</f>
        <v>16000000</v>
      </c>
      <c r="L20" s="413">
        <f>SUM(L21:L22)</f>
        <v>17165396</v>
      </c>
      <c r="M20" s="148">
        <f t="shared" si="6"/>
        <v>1165396</v>
      </c>
      <c r="N20" s="411">
        <f>SUM(N21:N22)</f>
        <v>0</v>
      </c>
      <c r="O20" s="413">
        <f>SUM(O21:O22)</f>
        <v>8636768</v>
      </c>
      <c r="P20" s="148">
        <f t="shared" si="7"/>
        <v>8636768</v>
      </c>
      <c r="Q20" s="411">
        <f>SUM(Q21:Q22)</f>
        <v>0</v>
      </c>
      <c r="R20" s="413">
        <f>SUM(R21:R22)</f>
        <v>4603502</v>
      </c>
      <c r="S20" s="148">
        <f t="shared" si="8"/>
        <v>4603502</v>
      </c>
      <c r="T20" s="411">
        <f>SUM(T21:T22)</f>
        <v>0</v>
      </c>
      <c r="U20" s="413">
        <f>SUM(U21:U22)</f>
        <v>796843</v>
      </c>
      <c r="V20" s="148">
        <f t="shared" si="9"/>
        <v>796843</v>
      </c>
      <c r="W20" s="411">
        <f>SUM(W21:W22)</f>
        <v>0</v>
      </c>
      <c r="X20" s="413">
        <f>SUM(X21:X22)</f>
        <v>3404677</v>
      </c>
      <c r="Y20" s="148">
        <f t="shared" si="10"/>
        <v>3404677</v>
      </c>
      <c r="Z20" s="411">
        <f>SUM(Z21:Z22)</f>
        <v>0</v>
      </c>
      <c r="AA20" s="413">
        <f>SUM(AA21:AA22)</f>
        <v>1848434</v>
      </c>
      <c r="AB20" s="148">
        <f t="shared" si="11"/>
        <v>1848434</v>
      </c>
      <c r="AC20" s="411">
        <f>SUM(AC21:AC22)</f>
        <v>0</v>
      </c>
      <c r="AD20" s="413">
        <f>SUM(AD21:AD22)</f>
        <v>1454934</v>
      </c>
      <c r="AE20" s="148">
        <f t="shared" si="12"/>
        <v>1454934</v>
      </c>
      <c r="AF20" s="414">
        <f t="shared" si="0"/>
        <v>0</v>
      </c>
      <c r="AG20" s="415">
        <f t="shared" si="0"/>
        <v>12108390</v>
      </c>
      <c r="AH20" s="416">
        <f t="shared" si="13"/>
        <v>12108390</v>
      </c>
      <c r="AI20" s="411">
        <f>SUM(AI21:AI22)</f>
        <v>0</v>
      </c>
      <c r="AJ20" s="413">
        <f>SUM(AJ21:AJ22)</f>
        <v>4488003</v>
      </c>
      <c r="AK20" s="148">
        <f t="shared" si="14"/>
        <v>4488003</v>
      </c>
      <c r="AL20" s="411">
        <f>SUM(AL21:AL22)</f>
        <v>0</v>
      </c>
      <c r="AM20" s="413">
        <f>SUM(AM21:AM22)</f>
        <v>963255</v>
      </c>
      <c r="AN20" s="148">
        <f t="shared" si="15"/>
        <v>963255</v>
      </c>
      <c r="AO20" s="411">
        <f>SUM(AO21:AO22)</f>
        <v>0</v>
      </c>
      <c r="AP20" s="413">
        <f>SUM(AP21:AP22)</f>
        <v>1180425</v>
      </c>
      <c r="AQ20" s="148">
        <f t="shared" si="16"/>
        <v>1180425</v>
      </c>
      <c r="AR20" s="411">
        <f>SUM(AR21:AR22)</f>
        <v>0</v>
      </c>
      <c r="AS20" s="413">
        <f>SUM(AS21:AS22)</f>
        <v>1059947</v>
      </c>
      <c r="AT20" s="148">
        <f t="shared" si="17"/>
        <v>1059947</v>
      </c>
      <c r="AU20" s="417">
        <f t="shared" si="1"/>
        <v>0</v>
      </c>
      <c r="AV20" s="418">
        <f t="shared" si="1"/>
        <v>7691630</v>
      </c>
      <c r="AW20" s="419">
        <f t="shared" si="18"/>
        <v>7691630</v>
      </c>
      <c r="AX20" s="420">
        <f>SUM(AX21:AX22)</f>
        <v>16000000</v>
      </c>
      <c r="AY20" s="421">
        <f>SUM(AY21:AY22)</f>
        <v>69091626</v>
      </c>
      <c r="AZ20" s="422">
        <f t="shared" si="20"/>
        <v>53091626</v>
      </c>
      <c r="BA20" s="411">
        <f>SUM(BA21:BA22)</f>
        <v>1353911367</v>
      </c>
      <c r="BB20" s="423">
        <f>SUM(BB21:BB22)</f>
        <v>1398082216</v>
      </c>
      <c r="BC20" s="424">
        <f t="shared" si="21"/>
        <v>44170849</v>
      </c>
      <c r="BD20" s="425">
        <f>SUM(BD21:BD22)</f>
        <v>1369911367</v>
      </c>
      <c r="BE20" s="426">
        <f>SUM(BE21:BE22)</f>
        <v>1467173842</v>
      </c>
      <c r="BF20" s="422">
        <f t="shared" si="23"/>
        <v>97262475</v>
      </c>
      <c r="BG20" s="427">
        <f aca="true" t="shared" si="37" ref="BG20:BU20">SUM(BG21:BG22)</f>
        <v>1369911367</v>
      </c>
      <c r="BH20" s="427">
        <f>SUM(BH21:BH22)</f>
        <v>1467173842</v>
      </c>
      <c r="BI20" s="427">
        <f t="shared" si="37"/>
        <v>97262475</v>
      </c>
      <c r="BJ20" s="428">
        <f t="shared" si="37"/>
        <v>105275000</v>
      </c>
      <c r="BK20" s="429">
        <f t="shared" si="37"/>
        <v>160247720</v>
      </c>
      <c r="BL20" s="429">
        <f t="shared" si="37"/>
        <v>160247720</v>
      </c>
      <c r="BM20" s="430">
        <f t="shared" si="26"/>
        <v>0</v>
      </c>
      <c r="BN20" s="431">
        <f t="shared" si="37"/>
        <v>0</v>
      </c>
      <c r="BO20" s="429">
        <f t="shared" si="37"/>
        <v>0</v>
      </c>
      <c r="BP20" s="429">
        <f t="shared" si="37"/>
        <v>0</v>
      </c>
      <c r="BQ20" s="430">
        <f t="shared" si="37"/>
        <v>0</v>
      </c>
      <c r="BR20" s="428">
        <f t="shared" si="37"/>
        <v>0</v>
      </c>
      <c r="BS20" s="429">
        <f t="shared" si="37"/>
        <v>0</v>
      </c>
      <c r="BT20" s="429">
        <f t="shared" si="37"/>
        <v>0</v>
      </c>
      <c r="BU20" s="430">
        <f t="shared" si="37"/>
        <v>0</v>
      </c>
      <c r="BV20" s="288"/>
      <c r="BW20" s="288">
        <f t="shared" si="25"/>
        <v>160247720</v>
      </c>
    </row>
    <row r="21" spans="1:75" s="5" customFormat="1" ht="13.5">
      <c r="A21" s="374" t="s">
        <v>105</v>
      </c>
      <c r="B21" s="290"/>
      <c r="C21" s="291">
        <v>178626</v>
      </c>
      <c r="D21" s="150">
        <f t="shared" si="3"/>
        <v>178626</v>
      </c>
      <c r="E21" s="292"/>
      <c r="F21" s="291">
        <v>13173309</v>
      </c>
      <c r="G21" s="150">
        <f t="shared" si="4"/>
        <v>13173309</v>
      </c>
      <c r="H21" s="291"/>
      <c r="I21" s="291">
        <v>10137507</v>
      </c>
      <c r="J21" s="150">
        <f t="shared" si="5"/>
        <v>10137507</v>
      </c>
      <c r="K21" s="290">
        <v>16000000</v>
      </c>
      <c r="L21" s="292">
        <v>17165396</v>
      </c>
      <c r="M21" s="150">
        <f t="shared" si="6"/>
        <v>1165396</v>
      </c>
      <c r="N21" s="290"/>
      <c r="O21" s="292">
        <v>8636768</v>
      </c>
      <c r="P21" s="150">
        <f t="shared" si="7"/>
        <v>8636768</v>
      </c>
      <c r="Q21" s="290"/>
      <c r="R21" s="292">
        <v>4603502</v>
      </c>
      <c r="S21" s="150">
        <f t="shared" si="8"/>
        <v>4603502</v>
      </c>
      <c r="T21" s="290"/>
      <c r="U21" s="292">
        <v>796843</v>
      </c>
      <c r="V21" s="150">
        <f t="shared" si="9"/>
        <v>796843</v>
      </c>
      <c r="W21" s="290"/>
      <c r="X21" s="292">
        <v>3404677</v>
      </c>
      <c r="Y21" s="150">
        <f t="shared" si="10"/>
        <v>3404677</v>
      </c>
      <c r="Z21" s="290"/>
      <c r="AA21" s="292">
        <v>1848434</v>
      </c>
      <c r="AB21" s="150">
        <f t="shared" si="11"/>
        <v>1848434</v>
      </c>
      <c r="AC21" s="290"/>
      <c r="AD21" s="292">
        <v>1454934</v>
      </c>
      <c r="AE21" s="150">
        <f t="shared" si="12"/>
        <v>1454934</v>
      </c>
      <c r="AF21" s="293">
        <f t="shared" si="0"/>
        <v>0</v>
      </c>
      <c r="AG21" s="294">
        <f t="shared" si="0"/>
        <v>12108390</v>
      </c>
      <c r="AH21" s="295">
        <f t="shared" si="13"/>
        <v>12108390</v>
      </c>
      <c r="AI21" s="290"/>
      <c r="AJ21" s="292">
        <v>4488003</v>
      </c>
      <c r="AK21" s="150">
        <f t="shared" si="14"/>
        <v>4488003</v>
      </c>
      <c r="AL21" s="290"/>
      <c r="AM21" s="292">
        <v>963255</v>
      </c>
      <c r="AN21" s="150">
        <f t="shared" si="15"/>
        <v>963255</v>
      </c>
      <c r="AO21" s="290"/>
      <c r="AP21" s="292">
        <v>1180425</v>
      </c>
      <c r="AQ21" s="150">
        <f t="shared" si="16"/>
        <v>1180425</v>
      </c>
      <c r="AR21" s="290"/>
      <c r="AS21" s="292">
        <v>1059947</v>
      </c>
      <c r="AT21" s="150">
        <f t="shared" si="17"/>
        <v>1059947</v>
      </c>
      <c r="AU21" s="296">
        <f t="shared" si="1"/>
        <v>0</v>
      </c>
      <c r="AV21" s="297">
        <f t="shared" si="1"/>
        <v>7691630</v>
      </c>
      <c r="AW21" s="298">
        <f t="shared" si="18"/>
        <v>7691630</v>
      </c>
      <c r="AX21" s="299">
        <f aca="true" t="shared" si="38" ref="AX21:AY23">B21+E21+H21+K21+N21+AU21+AF21</f>
        <v>16000000</v>
      </c>
      <c r="AY21" s="310">
        <f t="shared" si="38"/>
        <v>69091626</v>
      </c>
      <c r="AZ21" s="300">
        <f t="shared" si="20"/>
        <v>53091626</v>
      </c>
      <c r="BA21" s="290">
        <v>213179577</v>
      </c>
      <c r="BB21" s="291">
        <f>257350426+1676400-419581</f>
        <v>258607245</v>
      </c>
      <c r="BC21" s="301">
        <f t="shared" si="21"/>
        <v>45427668</v>
      </c>
      <c r="BD21" s="302">
        <f aca="true" t="shared" si="39" ref="BD21:BE23">BA21+AX21</f>
        <v>229179577</v>
      </c>
      <c r="BE21" s="303">
        <f t="shared" si="39"/>
        <v>327698871</v>
      </c>
      <c r="BF21" s="300">
        <f t="shared" si="23"/>
        <v>98519294</v>
      </c>
      <c r="BG21" s="304">
        <f>BD21</f>
        <v>229179577</v>
      </c>
      <c r="BH21" s="304">
        <f>BE21</f>
        <v>327698871</v>
      </c>
      <c r="BI21" s="304">
        <f>BF21</f>
        <v>98519294</v>
      </c>
      <c r="BJ21" s="305">
        <v>85000000</v>
      </c>
      <c r="BK21" s="306">
        <f>BJ21+54972720</f>
        <v>139972720</v>
      </c>
      <c r="BL21" s="306">
        <f>BK21+0</f>
        <v>139972720</v>
      </c>
      <c r="BM21" s="307">
        <f t="shared" si="26"/>
        <v>0</v>
      </c>
      <c r="BN21" s="308"/>
      <c r="BO21" s="306">
        <f aca="true" t="shared" si="40" ref="BO21:BP23">BN21</f>
        <v>0</v>
      </c>
      <c r="BP21" s="306">
        <f t="shared" si="40"/>
        <v>0</v>
      </c>
      <c r="BQ21" s="307">
        <f>BO21-BN21</f>
        <v>0</v>
      </c>
      <c r="BR21" s="305"/>
      <c r="BS21" s="306">
        <f aca="true" t="shared" si="41" ref="BS21:BT23">BR21</f>
        <v>0</v>
      </c>
      <c r="BT21" s="306">
        <f t="shared" si="41"/>
        <v>0</v>
      </c>
      <c r="BU21" s="307">
        <f>BS21-BR21</f>
        <v>0</v>
      </c>
      <c r="BV21" s="309"/>
      <c r="BW21" s="288">
        <f t="shared" si="25"/>
        <v>139972720</v>
      </c>
    </row>
    <row r="22" spans="1:75" s="5" customFormat="1" ht="13.5">
      <c r="A22" s="432" t="s">
        <v>106</v>
      </c>
      <c r="B22" s="290"/>
      <c r="C22" s="291"/>
      <c r="D22" s="150">
        <f t="shared" si="3"/>
        <v>0</v>
      </c>
      <c r="E22" s="387"/>
      <c r="F22" s="291"/>
      <c r="G22" s="150">
        <f t="shared" si="4"/>
        <v>0</v>
      </c>
      <c r="H22" s="386"/>
      <c r="I22" s="291"/>
      <c r="J22" s="150">
        <f t="shared" si="5"/>
        <v>0</v>
      </c>
      <c r="K22" s="385"/>
      <c r="L22" s="292"/>
      <c r="M22" s="150">
        <f t="shared" si="6"/>
        <v>0</v>
      </c>
      <c r="N22" s="385"/>
      <c r="O22" s="292"/>
      <c r="P22" s="150">
        <f t="shared" si="7"/>
        <v>0</v>
      </c>
      <c r="Q22" s="385"/>
      <c r="R22" s="292"/>
      <c r="S22" s="150">
        <f t="shared" si="8"/>
        <v>0</v>
      </c>
      <c r="T22" s="385"/>
      <c r="U22" s="292"/>
      <c r="V22" s="150">
        <f t="shared" si="9"/>
        <v>0</v>
      </c>
      <c r="W22" s="385"/>
      <c r="X22" s="292"/>
      <c r="Y22" s="150">
        <f t="shared" si="10"/>
        <v>0</v>
      </c>
      <c r="Z22" s="385"/>
      <c r="AA22" s="292"/>
      <c r="AB22" s="150">
        <f t="shared" si="11"/>
        <v>0</v>
      </c>
      <c r="AC22" s="385"/>
      <c r="AD22" s="292"/>
      <c r="AE22" s="150">
        <f t="shared" si="12"/>
        <v>0</v>
      </c>
      <c r="AF22" s="388">
        <f t="shared" si="0"/>
        <v>0</v>
      </c>
      <c r="AG22" s="294">
        <f t="shared" si="0"/>
        <v>0</v>
      </c>
      <c r="AH22" s="295">
        <f t="shared" si="13"/>
        <v>0</v>
      </c>
      <c r="AI22" s="385"/>
      <c r="AJ22" s="292"/>
      <c r="AK22" s="150">
        <f t="shared" si="14"/>
        <v>0</v>
      </c>
      <c r="AL22" s="385"/>
      <c r="AM22" s="292"/>
      <c r="AN22" s="150">
        <f t="shared" si="15"/>
        <v>0</v>
      </c>
      <c r="AO22" s="385"/>
      <c r="AP22" s="292"/>
      <c r="AQ22" s="150">
        <f t="shared" si="16"/>
        <v>0</v>
      </c>
      <c r="AR22" s="385"/>
      <c r="AS22" s="292"/>
      <c r="AT22" s="150">
        <f t="shared" si="17"/>
        <v>0</v>
      </c>
      <c r="AU22" s="391">
        <f t="shared" si="1"/>
        <v>0</v>
      </c>
      <c r="AV22" s="297">
        <f t="shared" si="1"/>
        <v>0</v>
      </c>
      <c r="AW22" s="298">
        <f t="shared" si="18"/>
        <v>0</v>
      </c>
      <c r="AX22" s="433">
        <f t="shared" si="38"/>
        <v>0</v>
      </c>
      <c r="AY22" s="310">
        <f t="shared" si="38"/>
        <v>0</v>
      </c>
      <c r="AZ22" s="300">
        <f t="shared" si="20"/>
        <v>0</v>
      </c>
      <c r="BA22" s="385">
        <v>1140731790</v>
      </c>
      <c r="BB22" s="291">
        <f>1140731790-1676400+419581</f>
        <v>1139474971</v>
      </c>
      <c r="BC22" s="301">
        <f t="shared" si="21"/>
        <v>-1256819</v>
      </c>
      <c r="BD22" s="341">
        <f t="shared" si="39"/>
        <v>1140731790</v>
      </c>
      <c r="BE22" s="303">
        <f t="shared" si="39"/>
        <v>1139474971</v>
      </c>
      <c r="BF22" s="300">
        <f t="shared" si="23"/>
        <v>-1256819</v>
      </c>
      <c r="BG22" s="394">
        <f>BD22</f>
        <v>1140731790</v>
      </c>
      <c r="BH22" s="394">
        <f>BE22</f>
        <v>1139474971</v>
      </c>
      <c r="BI22" s="394">
        <f>BF22</f>
        <v>-1256819</v>
      </c>
      <c r="BJ22" s="395">
        <v>20275000</v>
      </c>
      <c r="BK22" s="306">
        <f>BJ22</f>
        <v>20275000</v>
      </c>
      <c r="BL22" s="306">
        <f>BK22</f>
        <v>20275000</v>
      </c>
      <c r="BM22" s="307">
        <f t="shared" si="26"/>
        <v>0</v>
      </c>
      <c r="BN22" s="398"/>
      <c r="BO22" s="306">
        <f t="shared" si="40"/>
        <v>0</v>
      </c>
      <c r="BP22" s="306">
        <f t="shared" si="40"/>
        <v>0</v>
      </c>
      <c r="BQ22" s="307">
        <f>BO22-BN22</f>
        <v>0</v>
      </c>
      <c r="BR22" s="395"/>
      <c r="BS22" s="306">
        <f t="shared" si="41"/>
        <v>0</v>
      </c>
      <c r="BT22" s="306">
        <f t="shared" si="41"/>
        <v>0</v>
      </c>
      <c r="BU22" s="307">
        <f>BS22-BR22</f>
        <v>0</v>
      </c>
      <c r="BV22" s="309"/>
      <c r="BW22" s="288">
        <f t="shared" si="25"/>
        <v>20275000</v>
      </c>
    </row>
    <row r="23" spans="1:75" s="5" customFormat="1" ht="14.25" thickBot="1">
      <c r="A23" s="434" t="s">
        <v>147</v>
      </c>
      <c r="B23" s="435">
        <v>41898470</v>
      </c>
      <c r="C23" s="436">
        <v>44973733</v>
      </c>
      <c r="D23" s="171">
        <f t="shared" si="3"/>
        <v>3075263</v>
      </c>
      <c r="E23" s="437">
        <v>68918613</v>
      </c>
      <c r="F23" s="436">
        <v>68113284</v>
      </c>
      <c r="G23" s="171">
        <f t="shared" si="4"/>
        <v>-805329</v>
      </c>
      <c r="H23" s="436">
        <v>45831543</v>
      </c>
      <c r="I23" s="436">
        <v>43586770</v>
      </c>
      <c r="J23" s="171">
        <f t="shared" si="5"/>
        <v>-2244773</v>
      </c>
      <c r="K23" s="435">
        <v>311480037</v>
      </c>
      <c r="L23" s="437">
        <v>310955783</v>
      </c>
      <c r="M23" s="171">
        <f t="shared" si="6"/>
        <v>-524254</v>
      </c>
      <c r="N23" s="435">
        <v>139824343</v>
      </c>
      <c r="O23" s="437">
        <v>150464340</v>
      </c>
      <c r="P23" s="171">
        <f t="shared" si="7"/>
        <v>10639997</v>
      </c>
      <c r="Q23" s="435">
        <v>85586981</v>
      </c>
      <c r="R23" s="437">
        <v>85117403</v>
      </c>
      <c r="S23" s="171">
        <f t="shared" si="8"/>
        <v>-469578</v>
      </c>
      <c r="T23" s="435">
        <v>27521589</v>
      </c>
      <c r="U23" s="437">
        <v>27589723</v>
      </c>
      <c r="V23" s="171">
        <f t="shared" si="9"/>
        <v>68134</v>
      </c>
      <c r="W23" s="435">
        <v>51464936</v>
      </c>
      <c r="X23" s="437">
        <v>51565203</v>
      </c>
      <c r="Y23" s="171">
        <f t="shared" si="10"/>
        <v>100267</v>
      </c>
      <c r="Z23" s="435">
        <v>19334953</v>
      </c>
      <c r="AA23" s="437">
        <v>19415684</v>
      </c>
      <c r="AB23" s="171">
        <f t="shared" si="11"/>
        <v>80731</v>
      </c>
      <c r="AC23" s="435">
        <v>14208750</v>
      </c>
      <c r="AD23" s="437">
        <v>14208750</v>
      </c>
      <c r="AE23" s="171">
        <f t="shared" si="12"/>
        <v>0</v>
      </c>
      <c r="AF23" s="438">
        <f t="shared" si="0"/>
        <v>198117209</v>
      </c>
      <c r="AG23" s="439">
        <f t="shared" si="0"/>
        <v>197896763</v>
      </c>
      <c r="AH23" s="440">
        <f t="shared" si="13"/>
        <v>-220446</v>
      </c>
      <c r="AI23" s="435">
        <v>83125714</v>
      </c>
      <c r="AJ23" s="437">
        <v>82788054</v>
      </c>
      <c r="AK23" s="171">
        <f t="shared" si="14"/>
        <v>-337660</v>
      </c>
      <c r="AL23" s="435">
        <v>22825244</v>
      </c>
      <c r="AM23" s="437">
        <v>22861904</v>
      </c>
      <c r="AN23" s="171">
        <f t="shared" si="15"/>
        <v>36660</v>
      </c>
      <c r="AO23" s="435">
        <v>0</v>
      </c>
      <c r="AP23" s="437">
        <v>0</v>
      </c>
      <c r="AQ23" s="171">
        <f t="shared" si="16"/>
        <v>0</v>
      </c>
      <c r="AR23" s="435">
        <v>14950977</v>
      </c>
      <c r="AS23" s="437">
        <v>14950977</v>
      </c>
      <c r="AT23" s="171">
        <f t="shared" si="17"/>
        <v>0</v>
      </c>
      <c r="AU23" s="441">
        <f t="shared" si="1"/>
        <v>120901935</v>
      </c>
      <c r="AV23" s="442">
        <f t="shared" si="1"/>
        <v>120600935</v>
      </c>
      <c r="AW23" s="443">
        <f t="shared" si="18"/>
        <v>-301000</v>
      </c>
      <c r="AX23" s="444">
        <f t="shared" si="38"/>
        <v>926972150</v>
      </c>
      <c r="AY23" s="445">
        <f t="shared" si="38"/>
        <v>936591608</v>
      </c>
      <c r="AZ23" s="446">
        <f t="shared" si="20"/>
        <v>9619458</v>
      </c>
      <c r="BA23" s="435"/>
      <c r="BB23" s="447">
        <f>BA23</f>
        <v>0</v>
      </c>
      <c r="BC23" s="448">
        <f t="shared" si="21"/>
        <v>0</v>
      </c>
      <c r="BD23" s="449">
        <f t="shared" si="39"/>
        <v>926972150</v>
      </c>
      <c r="BE23" s="450">
        <f t="shared" si="39"/>
        <v>936591608</v>
      </c>
      <c r="BF23" s="446">
        <f t="shared" si="23"/>
        <v>9619458</v>
      </c>
      <c r="BG23" s="451">
        <f>AX23-BD23</f>
        <v>0</v>
      </c>
      <c r="BH23" s="451">
        <f>BE23-AY23</f>
        <v>0</v>
      </c>
      <c r="BI23" s="451">
        <f>BF23-AZ23</f>
        <v>0</v>
      </c>
      <c r="BJ23" s="452"/>
      <c r="BK23" s="453">
        <f>BJ23</f>
        <v>0</v>
      </c>
      <c r="BL23" s="453">
        <f>BK23</f>
        <v>0</v>
      </c>
      <c r="BM23" s="454">
        <f t="shared" si="26"/>
        <v>0</v>
      </c>
      <c r="BN23" s="455"/>
      <c r="BO23" s="453">
        <f t="shared" si="40"/>
        <v>0</v>
      </c>
      <c r="BP23" s="453">
        <f t="shared" si="40"/>
        <v>0</v>
      </c>
      <c r="BQ23" s="454">
        <f>BO23-BN23</f>
        <v>0</v>
      </c>
      <c r="BR23" s="452"/>
      <c r="BS23" s="453">
        <f t="shared" si="41"/>
        <v>0</v>
      </c>
      <c r="BT23" s="453">
        <f t="shared" si="41"/>
        <v>0</v>
      </c>
      <c r="BU23" s="454">
        <f>BS23-BR23</f>
        <v>0</v>
      </c>
      <c r="BV23" s="288"/>
      <c r="BW23" s="288">
        <f t="shared" si="25"/>
        <v>0</v>
      </c>
    </row>
    <row r="24" spans="1:75" s="6" customFormat="1" ht="15.75" customHeight="1" thickBot="1">
      <c r="A24" s="348" t="s">
        <v>107</v>
      </c>
      <c r="B24" s="349">
        <f>SUM(B20+B23)</f>
        <v>41898470</v>
      </c>
      <c r="C24" s="349">
        <f>SUM(C20+C23)</f>
        <v>45152359</v>
      </c>
      <c r="D24" s="350">
        <f t="shared" si="3"/>
        <v>3253889</v>
      </c>
      <c r="E24" s="351">
        <f>SUM(E20+E23)</f>
        <v>68918613</v>
      </c>
      <c r="F24" s="352">
        <f>SUM(F20+F23)</f>
        <v>81286593</v>
      </c>
      <c r="G24" s="350">
        <f t="shared" si="4"/>
        <v>12367980</v>
      </c>
      <c r="H24" s="352">
        <f>SUM(H20+H23)</f>
        <v>45831543</v>
      </c>
      <c r="I24" s="352">
        <f>SUM(I20+I23)</f>
        <v>53724277</v>
      </c>
      <c r="J24" s="350">
        <f t="shared" si="5"/>
        <v>7892734</v>
      </c>
      <c r="K24" s="349">
        <f>SUM(K20+K23)</f>
        <v>327480037</v>
      </c>
      <c r="L24" s="351">
        <f>SUM(L20+L23)</f>
        <v>328121179</v>
      </c>
      <c r="M24" s="350">
        <f t="shared" si="6"/>
        <v>641142</v>
      </c>
      <c r="N24" s="349">
        <f>SUM(N20+N23)</f>
        <v>139824343</v>
      </c>
      <c r="O24" s="351">
        <f>SUM(O20+O23)</f>
        <v>159101108</v>
      </c>
      <c r="P24" s="350">
        <f t="shared" si="7"/>
        <v>19276765</v>
      </c>
      <c r="Q24" s="349">
        <f>SUM(Q20+Q23)</f>
        <v>85586981</v>
      </c>
      <c r="R24" s="351">
        <f>SUM(R20+R23)</f>
        <v>89720905</v>
      </c>
      <c r="S24" s="350">
        <f t="shared" si="8"/>
        <v>4133924</v>
      </c>
      <c r="T24" s="349">
        <f>SUM(T20+T23)</f>
        <v>27521589</v>
      </c>
      <c r="U24" s="351">
        <f>SUM(U20+U23)</f>
        <v>28386566</v>
      </c>
      <c r="V24" s="350">
        <f t="shared" si="9"/>
        <v>864977</v>
      </c>
      <c r="W24" s="349">
        <f>SUM(W20+W23)</f>
        <v>51464936</v>
      </c>
      <c r="X24" s="351">
        <f>SUM(X20+X23)</f>
        <v>54969880</v>
      </c>
      <c r="Y24" s="350">
        <f t="shared" si="10"/>
        <v>3504944</v>
      </c>
      <c r="Z24" s="349">
        <f>SUM(Z20+Z23)</f>
        <v>19334953</v>
      </c>
      <c r="AA24" s="351">
        <f>SUM(AA20+AA23)</f>
        <v>21264118</v>
      </c>
      <c r="AB24" s="350">
        <f t="shared" si="11"/>
        <v>1929165</v>
      </c>
      <c r="AC24" s="349">
        <f>SUM(AC20+AC23)</f>
        <v>14208750</v>
      </c>
      <c r="AD24" s="351">
        <f>SUM(AD20+AD23)</f>
        <v>15663684</v>
      </c>
      <c r="AE24" s="350">
        <f t="shared" si="12"/>
        <v>1454934</v>
      </c>
      <c r="AF24" s="353">
        <f t="shared" si="0"/>
        <v>198117209</v>
      </c>
      <c r="AG24" s="354">
        <f t="shared" si="0"/>
        <v>210005153</v>
      </c>
      <c r="AH24" s="355">
        <f t="shared" si="13"/>
        <v>11887944</v>
      </c>
      <c r="AI24" s="349">
        <f>SUM(AI20+AI23)</f>
        <v>83125714</v>
      </c>
      <c r="AJ24" s="351">
        <f>SUM(AJ20+AJ23)</f>
        <v>87276057</v>
      </c>
      <c r="AK24" s="350">
        <f t="shared" si="14"/>
        <v>4150343</v>
      </c>
      <c r="AL24" s="349">
        <f>SUM(AL20+AL23)</f>
        <v>22825244</v>
      </c>
      <c r="AM24" s="351">
        <f>SUM(AM20+AM23)</f>
        <v>23825159</v>
      </c>
      <c r="AN24" s="350">
        <f t="shared" si="15"/>
        <v>999915</v>
      </c>
      <c r="AO24" s="349">
        <f>SUM(AO20+AO23)</f>
        <v>0</v>
      </c>
      <c r="AP24" s="351">
        <f>SUM(AP20+AP23)</f>
        <v>1180425</v>
      </c>
      <c r="AQ24" s="350">
        <f t="shared" si="16"/>
        <v>1180425</v>
      </c>
      <c r="AR24" s="349">
        <f>SUM(AR20+AR23)</f>
        <v>14950977</v>
      </c>
      <c r="AS24" s="351">
        <f>SUM(AS20+AS23)</f>
        <v>16010924</v>
      </c>
      <c r="AT24" s="350">
        <f t="shared" si="17"/>
        <v>1059947</v>
      </c>
      <c r="AU24" s="356">
        <f t="shared" si="1"/>
        <v>120901935</v>
      </c>
      <c r="AV24" s="357">
        <f t="shared" si="1"/>
        <v>128292565</v>
      </c>
      <c r="AW24" s="358">
        <f t="shared" si="18"/>
        <v>7390630</v>
      </c>
      <c r="AX24" s="359">
        <f aca="true" t="shared" si="42" ref="AX24:BQ24">SUM(AX20+AX23)</f>
        <v>942972150</v>
      </c>
      <c r="AY24" s="360">
        <f t="shared" si="42"/>
        <v>1005683234</v>
      </c>
      <c r="AZ24" s="361">
        <f t="shared" si="20"/>
        <v>62711084</v>
      </c>
      <c r="BA24" s="349">
        <f t="shared" si="42"/>
        <v>1353911367</v>
      </c>
      <c r="BB24" s="362">
        <f>SUM(BB20+BB23)</f>
        <v>1398082216</v>
      </c>
      <c r="BC24" s="363">
        <f t="shared" si="21"/>
        <v>44170849</v>
      </c>
      <c r="BD24" s="364">
        <f t="shared" si="42"/>
        <v>2296883517</v>
      </c>
      <c r="BE24" s="362">
        <f>SUM(BE20+BE23)</f>
        <v>2403765450</v>
      </c>
      <c r="BF24" s="363">
        <f t="shared" si="23"/>
        <v>106881933</v>
      </c>
      <c r="BG24" s="365">
        <f t="shared" si="42"/>
        <v>1369911367</v>
      </c>
      <c r="BH24" s="365">
        <f>SUM(BH20+BH23)</f>
        <v>1467173842</v>
      </c>
      <c r="BI24" s="365">
        <f t="shared" si="42"/>
        <v>97262475</v>
      </c>
      <c r="BJ24" s="366">
        <f t="shared" si="42"/>
        <v>105275000</v>
      </c>
      <c r="BK24" s="367">
        <f t="shared" si="42"/>
        <v>160247720</v>
      </c>
      <c r="BL24" s="367">
        <f>SUM(BL20+BL23)</f>
        <v>160247720</v>
      </c>
      <c r="BM24" s="368">
        <f t="shared" si="26"/>
        <v>0</v>
      </c>
      <c r="BN24" s="369">
        <f t="shared" si="42"/>
        <v>0</v>
      </c>
      <c r="BO24" s="367">
        <f t="shared" si="42"/>
        <v>0</v>
      </c>
      <c r="BP24" s="367">
        <f>SUM(BP20+BP23)</f>
        <v>0</v>
      </c>
      <c r="BQ24" s="368">
        <f t="shared" si="42"/>
        <v>0</v>
      </c>
      <c r="BR24" s="366">
        <f>SUM(BR20+BR23)</f>
        <v>0</v>
      </c>
      <c r="BS24" s="367">
        <f>SUM(BS20+BS23)</f>
        <v>0</v>
      </c>
      <c r="BT24" s="367">
        <f>SUM(BT20+BT23)</f>
        <v>0</v>
      </c>
      <c r="BU24" s="368">
        <f>SUM(BU20+BU23)</f>
        <v>0</v>
      </c>
      <c r="BV24" s="370"/>
      <c r="BW24" s="288">
        <f t="shared" si="25"/>
        <v>160247720</v>
      </c>
    </row>
    <row r="25" spans="1:75" s="6" customFormat="1" ht="15.75" customHeight="1" thickBot="1">
      <c r="A25" s="456" t="s">
        <v>25</v>
      </c>
      <c r="B25" s="349">
        <f>B24+B19</f>
        <v>43398470</v>
      </c>
      <c r="C25" s="349">
        <f>C24+C19</f>
        <v>46652359</v>
      </c>
      <c r="D25" s="350">
        <f t="shared" si="3"/>
        <v>3253889</v>
      </c>
      <c r="E25" s="457">
        <f>E24+E19</f>
        <v>179232479</v>
      </c>
      <c r="F25" s="352">
        <f>F24+F19</f>
        <v>212485510</v>
      </c>
      <c r="G25" s="350">
        <f t="shared" si="4"/>
        <v>33253031</v>
      </c>
      <c r="H25" s="458">
        <f>H24+H19</f>
        <v>49831543</v>
      </c>
      <c r="I25" s="352">
        <f>I24+I19</f>
        <v>57724277</v>
      </c>
      <c r="J25" s="350">
        <f t="shared" si="5"/>
        <v>7892734</v>
      </c>
      <c r="K25" s="459">
        <f>K24+K19</f>
        <v>329180037</v>
      </c>
      <c r="L25" s="351">
        <f>L24+L19</f>
        <v>333168300</v>
      </c>
      <c r="M25" s="350">
        <f t="shared" si="6"/>
        <v>3988263</v>
      </c>
      <c r="N25" s="459">
        <f>N24+N19</f>
        <v>234278053</v>
      </c>
      <c r="O25" s="351">
        <f>O24+O19</f>
        <v>253554818</v>
      </c>
      <c r="P25" s="350">
        <f t="shared" si="7"/>
        <v>19276765</v>
      </c>
      <c r="Q25" s="459">
        <f>Q24+Q19</f>
        <v>86036981</v>
      </c>
      <c r="R25" s="351">
        <f>R24+R19</f>
        <v>90170905</v>
      </c>
      <c r="S25" s="350">
        <f t="shared" si="8"/>
        <v>4133924</v>
      </c>
      <c r="T25" s="459">
        <f>T24+T19</f>
        <v>27521589</v>
      </c>
      <c r="U25" s="351">
        <f>U24+U19</f>
        <v>28386566</v>
      </c>
      <c r="V25" s="350">
        <f t="shared" si="9"/>
        <v>864977</v>
      </c>
      <c r="W25" s="459">
        <f>W24+W19</f>
        <v>51936936</v>
      </c>
      <c r="X25" s="351">
        <f>X24+X19</f>
        <v>55441880</v>
      </c>
      <c r="Y25" s="350">
        <f t="shared" si="10"/>
        <v>3504944</v>
      </c>
      <c r="Z25" s="459">
        <f>Z24+Z19</f>
        <v>19334953</v>
      </c>
      <c r="AA25" s="351">
        <f>AA24+AA19</f>
        <v>21264118</v>
      </c>
      <c r="AB25" s="350">
        <f t="shared" si="11"/>
        <v>1929165</v>
      </c>
      <c r="AC25" s="459">
        <f>AC24+AC19</f>
        <v>14208750</v>
      </c>
      <c r="AD25" s="351">
        <f>AD24+AD19</f>
        <v>15663684</v>
      </c>
      <c r="AE25" s="350">
        <f t="shared" si="12"/>
        <v>1454934</v>
      </c>
      <c r="AF25" s="460">
        <f t="shared" si="0"/>
        <v>199039209</v>
      </c>
      <c r="AG25" s="354">
        <f t="shared" si="0"/>
        <v>210927153</v>
      </c>
      <c r="AH25" s="355">
        <f t="shared" si="13"/>
        <v>11887944</v>
      </c>
      <c r="AI25" s="459">
        <f>AI24+AI19</f>
        <v>84525714</v>
      </c>
      <c r="AJ25" s="351">
        <f>AJ24+AJ19</f>
        <v>88676057</v>
      </c>
      <c r="AK25" s="350">
        <f t="shared" si="14"/>
        <v>4150343</v>
      </c>
      <c r="AL25" s="459">
        <f>AL24+AL19</f>
        <v>22975244</v>
      </c>
      <c r="AM25" s="351">
        <f>AM24+AM19</f>
        <v>23975159</v>
      </c>
      <c r="AN25" s="350">
        <f t="shared" si="15"/>
        <v>999915</v>
      </c>
      <c r="AO25" s="459">
        <f>AO24+AO19</f>
        <v>0</v>
      </c>
      <c r="AP25" s="351">
        <f>AP24+AP19</f>
        <v>1180425</v>
      </c>
      <c r="AQ25" s="350">
        <f t="shared" si="16"/>
        <v>1180425</v>
      </c>
      <c r="AR25" s="459">
        <f>AR24+AR19</f>
        <v>15012577</v>
      </c>
      <c r="AS25" s="351">
        <f>AS24+AS19</f>
        <v>16072524</v>
      </c>
      <c r="AT25" s="350">
        <f t="shared" si="17"/>
        <v>1059947</v>
      </c>
      <c r="AU25" s="461">
        <f t="shared" si="1"/>
        <v>122513535</v>
      </c>
      <c r="AV25" s="357">
        <f t="shared" si="1"/>
        <v>129904165</v>
      </c>
      <c r="AW25" s="358">
        <f t="shared" si="18"/>
        <v>7390630</v>
      </c>
      <c r="AX25" s="462">
        <f aca="true" t="shared" si="43" ref="AX25:BQ25">AX24+AX19</f>
        <v>1157473326</v>
      </c>
      <c r="AY25" s="360">
        <f t="shared" si="43"/>
        <v>1244416582</v>
      </c>
      <c r="AZ25" s="361">
        <f t="shared" si="20"/>
        <v>86943256</v>
      </c>
      <c r="BA25" s="459">
        <f t="shared" si="43"/>
        <v>3067703963</v>
      </c>
      <c r="BB25" s="362">
        <f>BB24+BB19</f>
        <v>3261908944</v>
      </c>
      <c r="BC25" s="363">
        <f t="shared" si="21"/>
        <v>194204981</v>
      </c>
      <c r="BD25" s="463">
        <f t="shared" si="43"/>
        <v>4225177289</v>
      </c>
      <c r="BE25" s="362">
        <f>BE24+BE19</f>
        <v>4506325526</v>
      </c>
      <c r="BF25" s="363">
        <f t="shared" si="23"/>
        <v>281148237</v>
      </c>
      <c r="BG25" s="464">
        <f t="shared" si="43"/>
        <v>3298205139</v>
      </c>
      <c r="BH25" s="464">
        <f>BH24+BH19</f>
        <v>3569733918</v>
      </c>
      <c r="BI25" s="464">
        <f t="shared" si="43"/>
        <v>271528779</v>
      </c>
      <c r="BJ25" s="465">
        <f t="shared" si="43"/>
        <v>1738019583</v>
      </c>
      <c r="BK25" s="367">
        <f t="shared" si="43"/>
        <v>1854528414</v>
      </c>
      <c r="BL25" s="367">
        <f>BL24+BL19</f>
        <v>1855199525</v>
      </c>
      <c r="BM25" s="368">
        <f t="shared" si="26"/>
        <v>671111</v>
      </c>
      <c r="BN25" s="466">
        <f t="shared" si="43"/>
        <v>137688</v>
      </c>
      <c r="BO25" s="367">
        <f t="shared" si="43"/>
        <v>138788</v>
      </c>
      <c r="BP25" s="367">
        <f>BP24+BP19</f>
        <v>139888</v>
      </c>
      <c r="BQ25" s="368">
        <f t="shared" si="43"/>
        <v>1100</v>
      </c>
      <c r="BR25" s="465">
        <f>BR24+BR19</f>
        <v>0</v>
      </c>
      <c r="BS25" s="367">
        <f>BS24+BS19</f>
        <v>0</v>
      </c>
      <c r="BT25" s="367">
        <f>BT24+BT19</f>
        <v>0</v>
      </c>
      <c r="BU25" s="368">
        <f>BU24+BU19</f>
        <v>0</v>
      </c>
      <c r="BV25" s="370"/>
      <c r="BW25" s="288">
        <f t="shared" si="25"/>
        <v>1854667202</v>
      </c>
    </row>
    <row r="26" spans="5:75" s="5" customFormat="1" ht="7.5" customHeight="1" thickBot="1">
      <c r="E26" s="467"/>
      <c r="F26" s="468"/>
      <c r="G26" s="469"/>
      <c r="AX26" s="470"/>
      <c r="BD26" s="471"/>
      <c r="BJ26" s="472"/>
      <c r="BK26" s="472"/>
      <c r="BL26" s="472"/>
      <c r="BM26" s="472"/>
      <c r="BN26" s="472"/>
      <c r="BO26" s="472"/>
      <c r="BP26" s="472"/>
      <c r="BQ26" s="472"/>
      <c r="BR26" s="472"/>
      <c r="BS26" s="472"/>
      <c r="BT26" s="472"/>
      <c r="BU26" s="472"/>
      <c r="BV26" s="472"/>
      <c r="BW26" s="288">
        <f>SUM(BJ26:BR26)</f>
        <v>0</v>
      </c>
    </row>
    <row r="27" spans="1:75" s="5" customFormat="1" ht="25.5" customHeight="1">
      <c r="A27" s="215" t="s">
        <v>209</v>
      </c>
      <c r="B27" s="216" t="s">
        <v>54</v>
      </c>
      <c r="C27" s="217"/>
      <c r="D27" s="218"/>
      <c r="E27" s="219" t="s">
        <v>141</v>
      </c>
      <c r="F27" s="220"/>
      <c r="G27" s="221"/>
      <c r="H27" s="222" t="s">
        <v>65</v>
      </c>
      <c r="I27" s="223"/>
      <c r="J27" s="224"/>
      <c r="K27" s="219" t="s">
        <v>40</v>
      </c>
      <c r="L27" s="220"/>
      <c r="M27" s="221"/>
      <c r="N27" s="219" t="s">
        <v>161</v>
      </c>
      <c r="O27" s="220"/>
      <c r="P27" s="221"/>
      <c r="Q27" s="225" t="s">
        <v>213</v>
      </c>
      <c r="R27" s="226"/>
      <c r="S27" s="227"/>
      <c r="T27" s="225" t="s">
        <v>327</v>
      </c>
      <c r="U27" s="226"/>
      <c r="V27" s="227"/>
      <c r="W27" s="225" t="s">
        <v>328</v>
      </c>
      <c r="X27" s="226"/>
      <c r="Y27" s="227"/>
      <c r="Z27" s="225" t="s">
        <v>210</v>
      </c>
      <c r="AA27" s="226"/>
      <c r="AB27" s="227"/>
      <c r="AC27" s="225" t="s">
        <v>329</v>
      </c>
      <c r="AD27" s="226"/>
      <c r="AE27" s="227"/>
      <c r="AF27" s="225" t="s">
        <v>211</v>
      </c>
      <c r="AG27" s="226"/>
      <c r="AH27" s="227"/>
      <c r="AI27" s="231" t="s">
        <v>330</v>
      </c>
      <c r="AJ27" s="232"/>
      <c r="AK27" s="233"/>
      <c r="AL27" s="231" t="s">
        <v>331</v>
      </c>
      <c r="AM27" s="232"/>
      <c r="AN27" s="233"/>
      <c r="AO27" s="231" t="s">
        <v>332</v>
      </c>
      <c r="AP27" s="232"/>
      <c r="AQ27" s="233"/>
      <c r="AR27" s="231" t="s">
        <v>333</v>
      </c>
      <c r="AS27" s="232"/>
      <c r="AT27" s="233"/>
      <c r="AU27" s="231" t="s">
        <v>212</v>
      </c>
      <c r="AV27" s="232"/>
      <c r="AW27" s="233"/>
      <c r="AX27" s="234" t="s">
        <v>16</v>
      </c>
      <c r="AY27" s="235"/>
      <c r="AZ27" s="236"/>
      <c r="BA27" s="219" t="s">
        <v>35</v>
      </c>
      <c r="BB27" s="220"/>
      <c r="BC27" s="221"/>
      <c r="BD27" s="237" t="s">
        <v>148</v>
      </c>
      <c r="BE27" s="238"/>
      <c r="BF27" s="239"/>
      <c r="BG27" s="219" t="s">
        <v>156</v>
      </c>
      <c r="BH27" s="220"/>
      <c r="BI27" s="221"/>
      <c r="BJ27" s="240" t="s">
        <v>157</v>
      </c>
      <c r="BK27" s="241"/>
      <c r="BL27" s="242"/>
      <c r="BM27" s="243"/>
      <c r="BN27" s="240" t="s">
        <v>159</v>
      </c>
      <c r="BO27" s="241"/>
      <c r="BP27" s="242"/>
      <c r="BQ27" s="243"/>
      <c r="BR27" s="240" t="s">
        <v>160</v>
      </c>
      <c r="BS27" s="241"/>
      <c r="BT27" s="242"/>
      <c r="BU27" s="243"/>
      <c r="BV27" s="244"/>
      <c r="BW27" s="288">
        <f>SUM(BJ27:BR27)</f>
        <v>0</v>
      </c>
    </row>
    <row r="28" spans="1:75" s="5" customFormat="1" ht="26.25" thickBot="1">
      <c r="A28" s="246"/>
      <c r="B28" s="247" t="s">
        <v>334</v>
      </c>
      <c r="C28" s="248" t="s">
        <v>335</v>
      </c>
      <c r="D28" s="249" t="s">
        <v>336</v>
      </c>
      <c r="E28" s="247" t="s">
        <v>334</v>
      </c>
      <c r="F28" s="248" t="s">
        <v>335</v>
      </c>
      <c r="G28" s="249" t="s">
        <v>336</v>
      </c>
      <c r="H28" s="250" t="s">
        <v>334</v>
      </c>
      <c r="I28" s="248" t="s">
        <v>335</v>
      </c>
      <c r="J28" s="249" t="s">
        <v>336</v>
      </c>
      <c r="K28" s="251" t="s">
        <v>334</v>
      </c>
      <c r="L28" s="248" t="s">
        <v>335</v>
      </c>
      <c r="M28" s="249" t="s">
        <v>336</v>
      </c>
      <c r="N28" s="251" t="s">
        <v>334</v>
      </c>
      <c r="O28" s="248" t="s">
        <v>335</v>
      </c>
      <c r="P28" s="249" t="s">
        <v>336</v>
      </c>
      <c r="Q28" s="251" t="s">
        <v>334</v>
      </c>
      <c r="R28" s="248" t="s">
        <v>335</v>
      </c>
      <c r="S28" s="249" t="s">
        <v>336</v>
      </c>
      <c r="T28" s="251" t="s">
        <v>334</v>
      </c>
      <c r="U28" s="248" t="s">
        <v>335</v>
      </c>
      <c r="V28" s="249" t="s">
        <v>336</v>
      </c>
      <c r="W28" s="251" t="s">
        <v>334</v>
      </c>
      <c r="X28" s="248" t="s">
        <v>335</v>
      </c>
      <c r="Y28" s="249" t="s">
        <v>336</v>
      </c>
      <c r="Z28" s="251" t="s">
        <v>334</v>
      </c>
      <c r="AA28" s="248" t="s">
        <v>335</v>
      </c>
      <c r="AB28" s="249" t="s">
        <v>336</v>
      </c>
      <c r="AC28" s="251" t="s">
        <v>334</v>
      </c>
      <c r="AD28" s="248" t="s">
        <v>335</v>
      </c>
      <c r="AE28" s="249" t="s">
        <v>336</v>
      </c>
      <c r="AF28" s="252" t="s">
        <v>334</v>
      </c>
      <c r="AG28" s="253" t="s">
        <v>335</v>
      </c>
      <c r="AH28" s="254" t="s">
        <v>336</v>
      </c>
      <c r="AI28" s="251" t="s">
        <v>334</v>
      </c>
      <c r="AJ28" s="248" t="s">
        <v>335</v>
      </c>
      <c r="AK28" s="249" t="s">
        <v>336</v>
      </c>
      <c r="AL28" s="251" t="s">
        <v>334</v>
      </c>
      <c r="AM28" s="248" t="s">
        <v>335</v>
      </c>
      <c r="AN28" s="249" t="s">
        <v>336</v>
      </c>
      <c r="AO28" s="251" t="s">
        <v>334</v>
      </c>
      <c r="AP28" s="248" t="s">
        <v>335</v>
      </c>
      <c r="AQ28" s="249" t="s">
        <v>336</v>
      </c>
      <c r="AR28" s="251" t="s">
        <v>334</v>
      </c>
      <c r="AS28" s="248" t="s">
        <v>335</v>
      </c>
      <c r="AT28" s="249" t="s">
        <v>336</v>
      </c>
      <c r="AU28" s="255" t="s">
        <v>334</v>
      </c>
      <c r="AV28" s="256" t="s">
        <v>335</v>
      </c>
      <c r="AW28" s="257" t="s">
        <v>336</v>
      </c>
      <c r="AX28" s="258" t="s">
        <v>334</v>
      </c>
      <c r="AY28" s="259" t="s">
        <v>335</v>
      </c>
      <c r="AZ28" s="260" t="s">
        <v>336</v>
      </c>
      <c r="BA28" s="251" t="s">
        <v>334</v>
      </c>
      <c r="BB28" s="248" t="s">
        <v>335</v>
      </c>
      <c r="BC28" s="249" t="s">
        <v>336</v>
      </c>
      <c r="BD28" s="261" t="s">
        <v>334</v>
      </c>
      <c r="BE28" s="259" t="s">
        <v>335</v>
      </c>
      <c r="BF28" s="260" t="s">
        <v>336</v>
      </c>
      <c r="BG28" s="247" t="s">
        <v>334</v>
      </c>
      <c r="BH28" s="248" t="s">
        <v>335</v>
      </c>
      <c r="BI28" s="249" t="s">
        <v>336</v>
      </c>
      <c r="BJ28" s="262" t="s">
        <v>334</v>
      </c>
      <c r="BK28" s="263" t="s">
        <v>337</v>
      </c>
      <c r="BL28" s="263" t="s">
        <v>338</v>
      </c>
      <c r="BM28" s="264" t="s">
        <v>336</v>
      </c>
      <c r="BN28" s="265" t="s">
        <v>334</v>
      </c>
      <c r="BO28" s="263" t="s">
        <v>337</v>
      </c>
      <c r="BP28" s="263" t="s">
        <v>338</v>
      </c>
      <c r="BQ28" s="264" t="s">
        <v>336</v>
      </c>
      <c r="BR28" s="265" t="s">
        <v>334</v>
      </c>
      <c r="BS28" s="263" t="s">
        <v>337</v>
      </c>
      <c r="BT28" s="263" t="s">
        <v>338</v>
      </c>
      <c r="BU28" s="264" t="s">
        <v>336</v>
      </c>
      <c r="BV28" s="266"/>
      <c r="BW28" s="288"/>
    </row>
    <row r="29" spans="1:75" s="5" customFormat="1" ht="13.5">
      <c r="A29" s="172" t="s">
        <v>26</v>
      </c>
      <c r="B29" s="268">
        <v>24934840</v>
      </c>
      <c r="C29" s="269">
        <v>26104751</v>
      </c>
      <c r="D29" s="283">
        <f aca="true" t="shared" si="44" ref="D29:D48">C29-B29</f>
        <v>1169911</v>
      </c>
      <c r="E29" s="269">
        <v>52065195</v>
      </c>
      <c r="F29" s="269">
        <v>58871882</v>
      </c>
      <c r="G29" s="157">
        <f aca="true" t="shared" si="45" ref="G29:G48">F29-E29</f>
        <v>6806687</v>
      </c>
      <c r="H29" s="269">
        <v>31069724</v>
      </c>
      <c r="I29" s="269">
        <v>32080945</v>
      </c>
      <c r="J29" s="157">
        <f aca="true" t="shared" si="46" ref="J29:J48">I29-H29</f>
        <v>1011221</v>
      </c>
      <c r="K29" s="268">
        <v>213376522</v>
      </c>
      <c r="L29" s="371">
        <v>215969509</v>
      </c>
      <c r="M29" s="157">
        <f aca="true" t="shared" si="47" ref="M29:M48">L29-K29</f>
        <v>2592987</v>
      </c>
      <c r="N29" s="268">
        <v>131285416</v>
      </c>
      <c r="O29" s="371">
        <v>141475382</v>
      </c>
      <c r="P29" s="157">
        <f aca="true" t="shared" si="48" ref="P29:P48">O29-N29</f>
        <v>10189966</v>
      </c>
      <c r="Q29" s="268">
        <v>61929134</v>
      </c>
      <c r="R29" s="371">
        <v>63259026</v>
      </c>
      <c r="S29" s="157">
        <f aca="true" t="shared" si="49" ref="S29:S48">R29-Q29</f>
        <v>1329892</v>
      </c>
      <c r="T29" s="268">
        <v>20049578</v>
      </c>
      <c r="U29" s="371">
        <v>20158522</v>
      </c>
      <c r="V29" s="157">
        <f aca="true" t="shared" si="50" ref="V29:V48">U29-T29</f>
        <v>108944</v>
      </c>
      <c r="W29" s="268">
        <v>39427447</v>
      </c>
      <c r="X29" s="371">
        <v>40538491</v>
      </c>
      <c r="Y29" s="157">
        <f aca="true" t="shared" si="51" ref="Y29:Y48">X29-W29</f>
        <v>1111044</v>
      </c>
      <c r="Z29" s="268">
        <v>14366234</v>
      </c>
      <c r="AA29" s="371">
        <v>14490808</v>
      </c>
      <c r="AB29" s="157">
        <f aca="true" t="shared" si="52" ref="AB29:AB48">AA29-Z29</f>
        <v>124574</v>
      </c>
      <c r="AC29" s="268">
        <v>10397742</v>
      </c>
      <c r="AD29" s="371">
        <v>10455016</v>
      </c>
      <c r="AE29" s="157">
        <f aca="true" t="shared" si="53" ref="AE29:AE48">AD29-AC29</f>
        <v>57274</v>
      </c>
      <c r="AF29" s="270">
        <f aca="true" t="shared" si="54" ref="AF29:AG48">Q29+T29+W29+Z29+AC29</f>
        <v>146170135</v>
      </c>
      <c r="AG29" s="372">
        <f t="shared" si="54"/>
        <v>148901863</v>
      </c>
      <c r="AH29" s="272">
        <f aca="true" t="shared" si="55" ref="AH29:AH48">AG29-AF29</f>
        <v>2731728</v>
      </c>
      <c r="AI29" s="268">
        <v>60795379</v>
      </c>
      <c r="AJ29" s="371">
        <v>64271559</v>
      </c>
      <c r="AK29" s="157">
        <f aca="true" t="shared" si="56" ref="AK29:AK48">AJ29-AI29</f>
        <v>3476180</v>
      </c>
      <c r="AL29" s="268">
        <v>16613505</v>
      </c>
      <c r="AM29" s="371">
        <v>16644005</v>
      </c>
      <c r="AN29" s="157">
        <f aca="true" t="shared" si="57" ref="AN29:AN48">AM29-AL29</f>
        <v>30500</v>
      </c>
      <c r="AO29" s="268">
        <v>0</v>
      </c>
      <c r="AP29" s="371">
        <v>0</v>
      </c>
      <c r="AQ29" s="157">
        <f aca="true" t="shared" si="58" ref="AQ29:AQ48">AP29-AO29</f>
        <v>0</v>
      </c>
      <c r="AR29" s="268">
        <v>10727495</v>
      </c>
      <c r="AS29" s="371">
        <v>10727495</v>
      </c>
      <c r="AT29" s="157">
        <f aca="true" t="shared" si="59" ref="AT29:AT48">AS29-AR29</f>
        <v>0</v>
      </c>
      <c r="AU29" s="273">
        <f aca="true" t="shared" si="60" ref="AU29:AV48">AI29+AL29+AR29+AO29</f>
        <v>88136379</v>
      </c>
      <c r="AV29" s="373">
        <f t="shared" si="60"/>
        <v>91643059</v>
      </c>
      <c r="AW29" s="275">
        <f aca="true" t="shared" si="61" ref="AW29:AW48">AV29-AU29</f>
        <v>3506680</v>
      </c>
      <c r="AX29" s="276">
        <f aca="true" t="shared" si="62" ref="AX29:AY32">B29+E29+H29+K29+N29+AU29+AF29</f>
        <v>687038211</v>
      </c>
      <c r="AY29" s="277">
        <f t="shared" si="62"/>
        <v>715047391</v>
      </c>
      <c r="AZ29" s="473">
        <f aca="true" t="shared" si="63" ref="AZ29:AZ48">AY29-AX29</f>
        <v>28009180</v>
      </c>
      <c r="BA29" s="268">
        <v>48804740</v>
      </c>
      <c r="BB29" s="279">
        <v>50603927</v>
      </c>
      <c r="BC29" s="157">
        <f aca="true" t="shared" si="64" ref="BC29:BC48">BB29-BA29</f>
        <v>1799187</v>
      </c>
      <c r="BD29" s="281">
        <f aca="true" t="shared" si="65" ref="BD29:BE32">BA29+AX29</f>
        <v>735842951</v>
      </c>
      <c r="BE29" s="282">
        <f t="shared" si="65"/>
        <v>765651318</v>
      </c>
      <c r="BF29" s="473">
        <f aca="true" t="shared" si="66" ref="BF29:BF48">BE29-BD29</f>
        <v>29808367</v>
      </c>
      <c r="BG29" s="157">
        <f aca="true" t="shared" si="67" ref="BG29:BI32">BD29</f>
        <v>735842951</v>
      </c>
      <c r="BH29" s="157">
        <f t="shared" si="67"/>
        <v>765651318</v>
      </c>
      <c r="BI29" s="157">
        <f t="shared" si="67"/>
        <v>29808367</v>
      </c>
      <c r="BJ29" s="284">
        <v>354351</v>
      </c>
      <c r="BK29" s="287">
        <f>BJ29+1756+1323+1927+2902+16049+1213</f>
        <v>379521</v>
      </c>
      <c r="BL29" s="287">
        <f>BK29+1756+1323+1927+2902+16049+1213</f>
        <v>404691</v>
      </c>
      <c r="BM29" s="286">
        <f aca="true" t="shared" si="68" ref="BM29:BM48">BL29-BK29</f>
        <v>25170</v>
      </c>
      <c r="BN29" s="285">
        <v>24557</v>
      </c>
      <c r="BO29" s="287">
        <f>BN29-124+1722</f>
        <v>26155</v>
      </c>
      <c r="BP29" s="287">
        <f>BO29-124+1722</f>
        <v>27753</v>
      </c>
      <c r="BQ29" s="286">
        <f>BO29-BN29</f>
        <v>1598</v>
      </c>
      <c r="BR29" s="284">
        <v>56088</v>
      </c>
      <c r="BS29" s="287">
        <f aca="true" t="shared" si="69" ref="BS29:BT32">BR29</f>
        <v>56088</v>
      </c>
      <c r="BT29" s="287">
        <f t="shared" si="69"/>
        <v>56088</v>
      </c>
      <c r="BU29" s="286">
        <f>BS29-BR29</f>
        <v>0</v>
      </c>
      <c r="BV29" s="288"/>
      <c r="BW29" s="288">
        <f>BS29+BO29+BK29</f>
        <v>461764</v>
      </c>
    </row>
    <row r="30" spans="1:75" s="5" customFormat="1" ht="13.5">
      <c r="A30" s="151" t="s">
        <v>27</v>
      </c>
      <c r="B30" s="312">
        <v>5199120</v>
      </c>
      <c r="C30" s="313">
        <v>5387663</v>
      </c>
      <c r="D30" s="322">
        <f t="shared" si="44"/>
        <v>188543</v>
      </c>
      <c r="E30" s="313">
        <v>11021119</v>
      </c>
      <c r="F30" s="313">
        <v>12681314</v>
      </c>
      <c r="G30" s="152">
        <f t="shared" si="45"/>
        <v>1660195</v>
      </c>
      <c r="H30" s="313">
        <v>6459019</v>
      </c>
      <c r="I30" s="313">
        <v>6659611</v>
      </c>
      <c r="J30" s="152">
        <f t="shared" si="46"/>
        <v>200592</v>
      </c>
      <c r="K30" s="312">
        <v>50052615</v>
      </c>
      <c r="L30" s="314">
        <v>51014146</v>
      </c>
      <c r="M30" s="152">
        <f t="shared" si="47"/>
        <v>961531</v>
      </c>
      <c r="N30" s="312">
        <v>31226258</v>
      </c>
      <c r="O30" s="314">
        <v>33230864</v>
      </c>
      <c r="P30" s="152">
        <f t="shared" si="48"/>
        <v>2004606</v>
      </c>
      <c r="Q30" s="312">
        <v>14519497</v>
      </c>
      <c r="R30" s="314">
        <v>14771739</v>
      </c>
      <c r="S30" s="152">
        <f t="shared" si="49"/>
        <v>252242</v>
      </c>
      <c r="T30" s="312">
        <v>4133551</v>
      </c>
      <c r="U30" s="314">
        <v>4155053</v>
      </c>
      <c r="V30" s="152">
        <f t="shared" si="50"/>
        <v>21502</v>
      </c>
      <c r="W30" s="312">
        <v>7977279</v>
      </c>
      <c r="X30" s="314">
        <v>8194297</v>
      </c>
      <c r="Y30" s="152">
        <f t="shared" si="51"/>
        <v>217018</v>
      </c>
      <c r="Z30" s="312">
        <v>2940469</v>
      </c>
      <c r="AA30" s="314">
        <v>2965068</v>
      </c>
      <c r="AB30" s="152">
        <f t="shared" si="52"/>
        <v>24599</v>
      </c>
      <c r="AC30" s="312">
        <v>2112298</v>
      </c>
      <c r="AD30" s="314">
        <v>2123466</v>
      </c>
      <c r="AE30" s="152">
        <f t="shared" si="53"/>
        <v>11168</v>
      </c>
      <c r="AF30" s="315">
        <f t="shared" si="54"/>
        <v>31683094</v>
      </c>
      <c r="AG30" s="316">
        <f t="shared" si="54"/>
        <v>32209623</v>
      </c>
      <c r="AH30" s="317">
        <f t="shared" si="55"/>
        <v>526529</v>
      </c>
      <c r="AI30" s="312">
        <v>12430665</v>
      </c>
      <c r="AJ30" s="314">
        <v>13104828</v>
      </c>
      <c r="AK30" s="152">
        <f t="shared" si="56"/>
        <v>674163</v>
      </c>
      <c r="AL30" s="312">
        <v>3351909</v>
      </c>
      <c r="AM30" s="314">
        <v>3358069</v>
      </c>
      <c r="AN30" s="152">
        <f t="shared" si="57"/>
        <v>6160</v>
      </c>
      <c r="AO30" s="312">
        <v>0</v>
      </c>
      <c r="AP30" s="314">
        <v>0</v>
      </c>
      <c r="AQ30" s="152">
        <f t="shared" si="58"/>
        <v>0</v>
      </c>
      <c r="AR30" s="312">
        <v>2179592</v>
      </c>
      <c r="AS30" s="314">
        <v>2179592</v>
      </c>
      <c r="AT30" s="152">
        <f t="shared" si="59"/>
        <v>0</v>
      </c>
      <c r="AU30" s="318">
        <f t="shared" si="60"/>
        <v>17962166</v>
      </c>
      <c r="AV30" s="319">
        <f t="shared" si="60"/>
        <v>18642489</v>
      </c>
      <c r="AW30" s="320">
        <f t="shared" si="61"/>
        <v>680323</v>
      </c>
      <c r="AX30" s="276">
        <f t="shared" si="62"/>
        <v>153603391</v>
      </c>
      <c r="AY30" s="310">
        <f t="shared" si="62"/>
        <v>159825710</v>
      </c>
      <c r="AZ30" s="474">
        <f t="shared" si="63"/>
        <v>6222319</v>
      </c>
      <c r="BA30" s="312">
        <v>10401418</v>
      </c>
      <c r="BB30" s="321">
        <v>11322582</v>
      </c>
      <c r="BC30" s="152">
        <f t="shared" si="64"/>
        <v>921164</v>
      </c>
      <c r="BD30" s="302">
        <f t="shared" si="65"/>
        <v>164004809</v>
      </c>
      <c r="BE30" s="303">
        <f t="shared" si="65"/>
        <v>171148292</v>
      </c>
      <c r="BF30" s="474">
        <f t="shared" si="66"/>
        <v>7143483</v>
      </c>
      <c r="BG30" s="152">
        <f t="shared" si="67"/>
        <v>164004809</v>
      </c>
      <c r="BH30" s="152">
        <f t="shared" si="67"/>
        <v>171148292</v>
      </c>
      <c r="BI30" s="152">
        <f t="shared" si="67"/>
        <v>7143483</v>
      </c>
      <c r="BJ30" s="323">
        <v>83871</v>
      </c>
      <c r="BK30" s="324">
        <f>BJ30+299+453+405+578+2237+229</f>
        <v>88072</v>
      </c>
      <c r="BL30" s="324">
        <f>BK30+299+453+405+578+2237+229</f>
        <v>92273</v>
      </c>
      <c r="BM30" s="325">
        <f t="shared" si="68"/>
        <v>4201</v>
      </c>
      <c r="BN30" s="326">
        <v>6300</v>
      </c>
      <c r="BO30" s="324">
        <f>BN30+124+43</f>
        <v>6467</v>
      </c>
      <c r="BP30" s="324">
        <f>BO30+124+43</f>
        <v>6634</v>
      </c>
      <c r="BQ30" s="325">
        <f>BO30-BN30</f>
        <v>167</v>
      </c>
      <c r="BR30" s="323">
        <v>13885</v>
      </c>
      <c r="BS30" s="324">
        <f t="shared" si="69"/>
        <v>13885</v>
      </c>
      <c r="BT30" s="324">
        <f t="shared" si="69"/>
        <v>13885</v>
      </c>
      <c r="BU30" s="325">
        <f>BS30-BR30</f>
        <v>0</v>
      </c>
      <c r="BV30" s="288"/>
      <c r="BW30" s="288">
        <f aca="true" t="shared" si="70" ref="BW30:BW49">BS30+BO30+BK30</f>
        <v>108424</v>
      </c>
    </row>
    <row r="31" spans="1:75" s="5" customFormat="1" ht="13.5">
      <c r="A31" s="151" t="s">
        <v>15</v>
      </c>
      <c r="B31" s="312">
        <v>13264510</v>
      </c>
      <c r="C31" s="313">
        <v>14970842</v>
      </c>
      <c r="D31" s="322">
        <f t="shared" si="44"/>
        <v>1706332</v>
      </c>
      <c r="E31" s="313">
        <v>113223234</v>
      </c>
      <c r="F31" s="313">
        <v>129424196</v>
      </c>
      <c r="G31" s="152">
        <f t="shared" si="45"/>
        <v>16200962</v>
      </c>
      <c r="H31" s="313">
        <v>11921800</v>
      </c>
      <c r="I31" s="313">
        <v>15762721</v>
      </c>
      <c r="J31" s="152">
        <f t="shared" si="46"/>
        <v>3840921</v>
      </c>
      <c r="K31" s="312">
        <v>63750900</v>
      </c>
      <c r="L31" s="314">
        <v>63439897</v>
      </c>
      <c r="M31" s="152">
        <f t="shared" si="47"/>
        <v>-311003</v>
      </c>
      <c r="N31" s="312">
        <v>69609173</v>
      </c>
      <c r="O31" s="314">
        <v>73139402</v>
      </c>
      <c r="P31" s="152">
        <f t="shared" si="48"/>
        <v>3530229</v>
      </c>
      <c r="Q31" s="312">
        <v>9038350</v>
      </c>
      <c r="R31" s="314">
        <v>9038350</v>
      </c>
      <c r="S31" s="152">
        <f t="shared" si="49"/>
        <v>0</v>
      </c>
      <c r="T31" s="312">
        <v>3188460</v>
      </c>
      <c r="U31" s="314">
        <v>3188460</v>
      </c>
      <c r="V31" s="152">
        <f t="shared" si="50"/>
        <v>0</v>
      </c>
      <c r="W31" s="312">
        <v>4532210</v>
      </c>
      <c r="X31" s="314">
        <v>4532210</v>
      </c>
      <c r="Y31" s="152">
        <f t="shared" si="51"/>
        <v>0</v>
      </c>
      <c r="Z31" s="312">
        <v>2028250</v>
      </c>
      <c r="AA31" s="314">
        <v>2028250</v>
      </c>
      <c r="AB31" s="152">
        <f t="shared" si="52"/>
        <v>0</v>
      </c>
      <c r="AC31" s="312">
        <v>1698710</v>
      </c>
      <c r="AD31" s="314">
        <v>1698710</v>
      </c>
      <c r="AE31" s="152">
        <f t="shared" si="53"/>
        <v>0</v>
      </c>
      <c r="AF31" s="315">
        <f t="shared" si="54"/>
        <v>20485980</v>
      </c>
      <c r="AG31" s="316">
        <f t="shared" si="54"/>
        <v>20485980</v>
      </c>
      <c r="AH31" s="317">
        <f t="shared" si="55"/>
        <v>0</v>
      </c>
      <c r="AI31" s="312">
        <v>10299670</v>
      </c>
      <c r="AJ31" s="314">
        <v>10299670</v>
      </c>
      <c r="AK31" s="152">
        <f t="shared" si="56"/>
        <v>0</v>
      </c>
      <c r="AL31" s="312">
        <v>2682830</v>
      </c>
      <c r="AM31" s="314">
        <v>3646085</v>
      </c>
      <c r="AN31" s="152">
        <f t="shared" si="57"/>
        <v>963255</v>
      </c>
      <c r="AO31" s="312">
        <v>0</v>
      </c>
      <c r="AP31" s="314">
        <v>0</v>
      </c>
      <c r="AQ31" s="152">
        <f t="shared" si="58"/>
        <v>0</v>
      </c>
      <c r="AR31" s="312">
        <v>2105490</v>
      </c>
      <c r="AS31" s="314">
        <v>2405490</v>
      </c>
      <c r="AT31" s="152">
        <f t="shared" si="59"/>
        <v>300000</v>
      </c>
      <c r="AU31" s="318">
        <f t="shared" si="60"/>
        <v>15087990</v>
      </c>
      <c r="AV31" s="319">
        <f t="shared" si="60"/>
        <v>16351245</v>
      </c>
      <c r="AW31" s="320">
        <f t="shared" si="61"/>
        <v>1263255</v>
      </c>
      <c r="AX31" s="276">
        <f t="shared" si="62"/>
        <v>307343587</v>
      </c>
      <c r="AY31" s="310">
        <f t="shared" si="62"/>
        <v>333574283</v>
      </c>
      <c r="AZ31" s="474">
        <f t="shared" si="63"/>
        <v>26230696</v>
      </c>
      <c r="BA31" s="312">
        <v>546890484</v>
      </c>
      <c r="BB31" s="321">
        <v>602599523</v>
      </c>
      <c r="BC31" s="152">
        <f t="shared" si="64"/>
        <v>55709039</v>
      </c>
      <c r="BD31" s="302">
        <f t="shared" si="65"/>
        <v>854234071</v>
      </c>
      <c r="BE31" s="303">
        <f t="shared" si="65"/>
        <v>936173806</v>
      </c>
      <c r="BF31" s="474">
        <f t="shared" si="66"/>
        <v>81939735</v>
      </c>
      <c r="BG31" s="152">
        <f t="shared" si="67"/>
        <v>854234071</v>
      </c>
      <c r="BH31" s="152">
        <f t="shared" si="67"/>
        <v>936173806</v>
      </c>
      <c r="BI31" s="152">
        <f t="shared" si="67"/>
        <v>81939735</v>
      </c>
      <c r="BJ31" s="323">
        <v>626581</v>
      </c>
      <c r="BK31" s="324">
        <f>BJ31+2089+8501+4402+1000-699+19829</f>
        <v>661703</v>
      </c>
      <c r="BL31" s="324">
        <f>BK31+2089+8501+4402+1000-699+19829</f>
        <v>696825</v>
      </c>
      <c r="BM31" s="325">
        <f t="shared" si="68"/>
        <v>35122</v>
      </c>
      <c r="BN31" s="326">
        <v>98506</v>
      </c>
      <c r="BO31" s="324">
        <f>BN31+1100+7615</f>
        <v>107221</v>
      </c>
      <c r="BP31" s="324">
        <f>BO31+1100+7615</f>
        <v>115936</v>
      </c>
      <c r="BQ31" s="325">
        <f>BO31-BN31</f>
        <v>8715</v>
      </c>
      <c r="BR31" s="323">
        <v>19530</v>
      </c>
      <c r="BS31" s="324">
        <f t="shared" si="69"/>
        <v>19530</v>
      </c>
      <c r="BT31" s="324">
        <f t="shared" si="69"/>
        <v>19530</v>
      </c>
      <c r="BU31" s="325">
        <f>BS31-BR31</f>
        <v>0</v>
      </c>
      <c r="BV31" s="288"/>
      <c r="BW31" s="288">
        <f t="shared" si="70"/>
        <v>788454</v>
      </c>
    </row>
    <row r="32" spans="1:75" s="5" customFormat="1" ht="13.5">
      <c r="A32" s="151" t="s">
        <v>28</v>
      </c>
      <c r="B32" s="312"/>
      <c r="C32" s="313"/>
      <c r="D32" s="322">
        <f t="shared" si="44"/>
        <v>0</v>
      </c>
      <c r="E32" s="313"/>
      <c r="F32" s="313"/>
      <c r="G32" s="152">
        <f t="shared" si="45"/>
        <v>0</v>
      </c>
      <c r="H32" s="313"/>
      <c r="I32" s="313"/>
      <c r="J32" s="152">
        <f t="shared" si="46"/>
        <v>0</v>
      </c>
      <c r="K32" s="312"/>
      <c r="L32" s="314"/>
      <c r="M32" s="152">
        <f t="shared" si="47"/>
        <v>0</v>
      </c>
      <c r="N32" s="312"/>
      <c r="O32" s="314"/>
      <c r="P32" s="152">
        <f t="shared" si="48"/>
        <v>0</v>
      </c>
      <c r="Q32" s="312"/>
      <c r="R32" s="314"/>
      <c r="S32" s="152">
        <f t="shared" si="49"/>
        <v>0</v>
      </c>
      <c r="T32" s="312"/>
      <c r="U32" s="314"/>
      <c r="V32" s="152">
        <f t="shared" si="50"/>
        <v>0</v>
      </c>
      <c r="W32" s="312"/>
      <c r="X32" s="314"/>
      <c r="Y32" s="152">
        <f t="shared" si="51"/>
        <v>0</v>
      </c>
      <c r="Z32" s="312"/>
      <c r="AA32" s="314"/>
      <c r="AB32" s="152">
        <f t="shared" si="52"/>
        <v>0</v>
      </c>
      <c r="AC32" s="312"/>
      <c r="AD32" s="314"/>
      <c r="AE32" s="152">
        <f t="shared" si="53"/>
        <v>0</v>
      </c>
      <c r="AF32" s="315">
        <f t="shared" si="54"/>
        <v>0</v>
      </c>
      <c r="AG32" s="316">
        <f t="shared" si="54"/>
        <v>0</v>
      </c>
      <c r="AH32" s="317">
        <f t="shared" si="55"/>
        <v>0</v>
      </c>
      <c r="AI32" s="312"/>
      <c r="AJ32" s="314"/>
      <c r="AK32" s="152">
        <f t="shared" si="56"/>
        <v>0</v>
      </c>
      <c r="AL32" s="312"/>
      <c r="AM32" s="314"/>
      <c r="AN32" s="152">
        <f t="shared" si="57"/>
        <v>0</v>
      </c>
      <c r="AO32" s="312"/>
      <c r="AP32" s="314"/>
      <c r="AQ32" s="152">
        <f t="shared" si="58"/>
        <v>0</v>
      </c>
      <c r="AR32" s="312"/>
      <c r="AS32" s="314"/>
      <c r="AT32" s="152">
        <f t="shared" si="59"/>
        <v>0</v>
      </c>
      <c r="AU32" s="318">
        <f t="shared" si="60"/>
        <v>0</v>
      </c>
      <c r="AV32" s="319">
        <f t="shared" si="60"/>
        <v>0</v>
      </c>
      <c r="AW32" s="320">
        <f t="shared" si="61"/>
        <v>0</v>
      </c>
      <c r="AX32" s="276">
        <f t="shared" si="62"/>
        <v>0</v>
      </c>
      <c r="AY32" s="310">
        <f t="shared" si="62"/>
        <v>0</v>
      </c>
      <c r="AZ32" s="474">
        <f t="shared" si="63"/>
        <v>0</v>
      </c>
      <c r="BA32" s="312">
        <v>24500000</v>
      </c>
      <c r="BB32" s="321">
        <v>24500000</v>
      </c>
      <c r="BC32" s="152">
        <f t="shared" si="64"/>
        <v>0</v>
      </c>
      <c r="BD32" s="302">
        <f t="shared" si="65"/>
        <v>24500000</v>
      </c>
      <c r="BE32" s="303">
        <f t="shared" si="65"/>
        <v>24500000</v>
      </c>
      <c r="BF32" s="474">
        <f t="shared" si="66"/>
        <v>0</v>
      </c>
      <c r="BG32" s="152">
        <f t="shared" si="67"/>
        <v>24500000</v>
      </c>
      <c r="BH32" s="152">
        <f t="shared" si="67"/>
        <v>24500000</v>
      </c>
      <c r="BI32" s="152">
        <f t="shared" si="67"/>
        <v>0</v>
      </c>
      <c r="BJ32" s="323">
        <v>26800</v>
      </c>
      <c r="BK32" s="324">
        <f>BJ32</f>
        <v>26800</v>
      </c>
      <c r="BL32" s="324">
        <f>BK32</f>
        <v>26800</v>
      </c>
      <c r="BM32" s="325">
        <f t="shared" si="68"/>
        <v>0</v>
      </c>
      <c r="BN32" s="326"/>
      <c r="BO32" s="324">
        <f>BN32</f>
        <v>0</v>
      </c>
      <c r="BP32" s="324">
        <f>BO32</f>
        <v>0</v>
      </c>
      <c r="BQ32" s="325">
        <f>BO32-BN32</f>
        <v>0</v>
      </c>
      <c r="BR32" s="323"/>
      <c r="BS32" s="324">
        <f t="shared" si="69"/>
        <v>0</v>
      </c>
      <c r="BT32" s="324">
        <f t="shared" si="69"/>
        <v>0</v>
      </c>
      <c r="BU32" s="325">
        <f>BS32-BR32</f>
        <v>0</v>
      </c>
      <c r="BV32" s="288"/>
      <c r="BW32" s="288">
        <f t="shared" si="70"/>
        <v>26800</v>
      </c>
    </row>
    <row r="33" spans="1:75" s="5" customFormat="1" ht="13.5">
      <c r="A33" s="151" t="s">
        <v>122</v>
      </c>
      <c r="B33" s="312">
        <f>SUM(B34:B37)</f>
        <v>0</v>
      </c>
      <c r="C33" s="313">
        <f>SUM(C34:C37)</f>
        <v>0</v>
      </c>
      <c r="D33" s="322">
        <f t="shared" si="44"/>
        <v>0</v>
      </c>
      <c r="E33" s="313">
        <f>SUM(E34:E37)</f>
        <v>0</v>
      </c>
      <c r="F33" s="313">
        <f>SUM(F34:F37)</f>
        <v>3887187</v>
      </c>
      <c r="G33" s="152">
        <f t="shared" si="45"/>
        <v>3887187</v>
      </c>
      <c r="H33" s="313">
        <f>SUM(H34:H37)</f>
        <v>0</v>
      </c>
      <c r="I33" s="313">
        <f>SUM(I34:I37)</f>
        <v>400000</v>
      </c>
      <c r="J33" s="152">
        <f t="shared" si="46"/>
        <v>400000</v>
      </c>
      <c r="K33" s="312">
        <f>SUM(K34:K37)</f>
        <v>0</v>
      </c>
      <c r="L33" s="314">
        <f>SUM(L34:L37)</f>
        <v>74138</v>
      </c>
      <c r="M33" s="152">
        <f t="shared" si="47"/>
        <v>74138</v>
      </c>
      <c r="N33" s="312">
        <f>SUM(N34:N37)</f>
        <v>0</v>
      </c>
      <c r="O33" s="314">
        <f>SUM(O34:O37)</f>
        <v>3551964</v>
      </c>
      <c r="P33" s="152">
        <f t="shared" si="48"/>
        <v>3551964</v>
      </c>
      <c r="Q33" s="312">
        <f>SUM(Q34:Q37)</f>
        <v>0</v>
      </c>
      <c r="R33" s="314">
        <f>SUM(R34:R37)</f>
        <v>1236890</v>
      </c>
      <c r="S33" s="152">
        <f t="shared" si="49"/>
        <v>1236890</v>
      </c>
      <c r="T33" s="312">
        <f>SUM(T34:T37)</f>
        <v>0</v>
      </c>
      <c r="U33" s="314">
        <f>SUM(U34:U37)</f>
        <v>734531</v>
      </c>
      <c r="V33" s="152">
        <f t="shared" si="50"/>
        <v>734531</v>
      </c>
      <c r="W33" s="312">
        <f>SUM(W34:W37)</f>
        <v>0</v>
      </c>
      <c r="X33" s="314">
        <f>SUM(X34:X37)</f>
        <v>2176882</v>
      </c>
      <c r="Y33" s="152">
        <f t="shared" si="51"/>
        <v>2176882</v>
      </c>
      <c r="Z33" s="312">
        <f>SUM(Z34:Z37)</f>
        <v>0</v>
      </c>
      <c r="AA33" s="314">
        <f>SUM(AA34:AA37)</f>
        <v>0</v>
      </c>
      <c r="AB33" s="152">
        <f t="shared" si="52"/>
        <v>0</v>
      </c>
      <c r="AC33" s="383">
        <f>SUM(AC34:AC37)</f>
        <v>0</v>
      </c>
      <c r="AD33" s="314">
        <f>SUM(AD34:AD37)</f>
        <v>1386492</v>
      </c>
      <c r="AE33" s="152">
        <f t="shared" si="53"/>
        <v>1386492</v>
      </c>
      <c r="AF33" s="315">
        <f t="shared" si="54"/>
        <v>0</v>
      </c>
      <c r="AG33" s="316">
        <f t="shared" si="54"/>
        <v>5534795</v>
      </c>
      <c r="AH33" s="317">
        <f t="shared" si="55"/>
        <v>5534795</v>
      </c>
      <c r="AI33" s="383">
        <f>SUM(AI34:AI37)</f>
        <v>0</v>
      </c>
      <c r="AJ33" s="314">
        <f>SUM(AJ34:AJ37)</f>
        <v>0</v>
      </c>
      <c r="AK33" s="152">
        <f t="shared" si="56"/>
        <v>0</v>
      </c>
      <c r="AL33" s="383">
        <f>SUM(AL34:AL37)</f>
        <v>0</v>
      </c>
      <c r="AM33" s="313">
        <f>SUM(AM34:AM37)</f>
        <v>0</v>
      </c>
      <c r="AN33" s="152">
        <f t="shared" si="57"/>
        <v>0</v>
      </c>
      <c r="AO33" s="383">
        <f>SUM(AO34:AO37)</f>
        <v>0</v>
      </c>
      <c r="AP33" s="313">
        <f>SUM(AP34:AP37)</f>
        <v>1180425</v>
      </c>
      <c r="AQ33" s="152">
        <f t="shared" si="58"/>
        <v>1180425</v>
      </c>
      <c r="AR33" s="383">
        <f>SUM(AR34:AR37)</f>
        <v>0</v>
      </c>
      <c r="AS33" s="313">
        <f>SUM(AS34:AS37)</f>
        <v>759947</v>
      </c>
      <c r="AT33" s="152">
        <f t="shared" si="59"/>
        <v>759947</v>
      </c>
      <c r="AU33" s="318">
        <f t="shared" si="60"/>
        <v>0</v>
      </c>
      <c r="AV33" s="319">
        <f t="shared" si="60"/>
        <v>1940372</v>
      </c>
      <c r="AW33" s="320">
        <f t="shared" si="61"/>
        <v>1940372</v>
      </c>
      <c r="AX33" s="299">
        <f aca="true" t="shared" si="71" ref="AX33:BI33">SUM(AX34:AX37)</f>
        <v>0</v>
      </c>
      <c r="AY33" s="310">
        <f t="shared" si="71"/>
        <v>15388456</v>
      </c>
      <c r="AZ33" s="474">
        <f t="shared" si="63"/>
        <v>15388456</v>
      </c>
      <c r="BA33" s="312">
        <f t="shared" si="71"/>
        <v>88986530</v>
      </c>
      <c r="BB33" s="312">
        <f>SUM(BB34:BB37)</f>
        <v>133178541</v>
      </c>
      <c r="BC33" s="152">
        <f t="shared" si="64"/>
        <v>44192011</v>
      </c>
      <c r="BD33" s="302">
        <f t="shared" si="71"/>
        <v>88986530</v>
      </c>
      <c r="BE33" s="342">
        <f>SUM(BE34:BE37)</f>
        <v>148566997</v>
      </c>
      <c r="BF33" s="474">
        <f t="shared" si="66"/>
        <v>59580467</v>
      </c>
      <c r="BG33" s="152">
        <f t="shared" si="71"/>
        <v>88986530</v>
      </c>
      <c r="BH33" s="152">
        <f>SUM(BH34:BH37)</f>
        <v>148566997</v>
      </c>
      <c r="BI33" s="152">
        <f t="shared" si="71"/>
        <v>59580467</v>
      </c>
      <c r="BJ33" s="323">
        <f aca="true" t="shared" si="72" ref="BJ33:BQ33">SUM(BJ34:BJ37)</f>
        <v>335706</v>
      </c>
      <c r="BK33" s="324">
        <f t="shared" si="72"/>
        <v>358841</v>
      </c>
      <c r="BL33" s="324">
        <f>SUM(BL34:BL37)</f>
        <v>381976</v>
      </c>
      <c r="BM33" s="325">
        <f t="shared" si="68"/>
        <v>23135</v>
      </c>
      <c r="BN33" s="326">
        <f t="shared" si="72"/>
        <v>59243</v>
      </c>
      <c r="BO33" s="324">
        <f t="shared" si="72"/>
        <v>58131</v>
      </c>
      <c r="BP33" s="324">
        <f>SUM(BP34:BP37)</f>
        <v>57019</v>
      </c>
      <c r="BQ33" s="325">
        <f t="shared" si="72"/>
        <v>-1112</v>
      </c>
      <c r="BR33" s="323">
        <f>SUM(BR34:BR37)</f>
        <v>0</v>
      </c>
      <c r="BS33" s="324">
        <f>SUM(BS34:BS37)</f>
        <v>0</v>
      </c>
      <c r="BT33" s="324">
        <f>SUM(BT34:BT37)</f>
        <v>0</v>
      </c>
      <c r="BU33" s="325">
        <f>SUM(BU34:BU37)</f>
        <v>0</v>
      </c>
      <c r="BV33" s="288"/>
      <c r="BW33" s="288">
        <f t="shared" si="70"/>
        <v>416972</v>
      </c>
    </row>
    <row r="34" spans="1:75" s="5" customFormat="1" ht="13.5">
      <c r="A34" s="475" t="s">
        <v>108</v>
      </c>
      <c r="B34" s="290"/>
      <c r="C34" s="291"/>
      <c r="D34" s="304">
        <f t="shared" si="44"/>
        <v>0</v>
      </c>
      <c r="E34" s="291"/>
      <c r="F34" s="291">
        <v>3887187</v>
      </c>
      <c r="G34" s="150">
        <f t="shared" si="45"/>
        <v>3887187</v>
      </c>
      <c r="H34" s="291"/>
      <c r="I34" s="291">
        <v>400000</v>
      </c>
      <c r="J34" s="150">
        <f t="shared" si="46"/>
        <v>400000</v>
      </c>
      <c r="K34" s="290"/>
      <c r="L34" s="292"/>
      <c r="M34" s="150">
        <f t="shared" si="47"/>
        <v>0</v>
      </c>
      <c r="N34" s="290"/>
      <c r="O34" s="292">
        <v>3551964</v>
      </c>
      <c r="P34" s="150">
        <f t="shared" si="48"/>
        <v>3551964</v>
      </c>
      <c r="Q34" s="290"/>
      <c r="R34" s="292">
        <v>1236890</v>
      </c>
      <c r="S34" s="150">
        <f t="shared" si="49"/>
        <v>1236890</v>
      </c>
      <c r="T34" s="290"/>
      <c r="U34" s="292">
        <v>734531</v>
      </c>
      <c r="V34" s="150">
        <f t="shared" si="50"/>
        <v>734531</v>
      </c>
      <c r="W34" s="290"/>
      <c r="X34" s="292">
        <v>2176882</v>
      </c>
      <c r="Y34" s="150">
        <f t="shared" si="51"/>
        <v>2176882</v>
      </c>
      <c r="Z34" s="290"/>
      <c r="AA34" s="292"/>
      <c r="AB34" s="150">
        <f t="shared" si="52"/>
        <v>0</v>
      </c>
      <c r="AC34" s="290"/>
      <c r="AD34" s="292">
        <v>1386492</v>
      </c>
      <c r="AE34" s="150">
        <f t="shared" si="53"/>
        <v>1386492</v>
      </c>
      <c r="AF34" s="293">
        <f t="shared" si="54"/>
        <v>0</v>
      </c>
      <c r="AG34" s="294">
        <f t="shared" si="54"/>
        <v>5534795</v>
      </c>
      <c r="AH34" s="295">
        <f t="shared" si="55"/>
        <v>5534795</v>
      </c>
      <c r="AI34" s="290"/>
      <c r="AJ34" s="292"/>
      <c r="AK34" s="150">
        <f t="shared" si="56"/>
        <v>0</v>
      </c>
      <c r="AL34" s="290"/>
      <c r="AM34" s="292"/>
      <c r="AN34" s="150">
        <f t="shared" si="57"/>
        <v>0</v>
      </c>
      <c r="AO34" s="290"/>
      <c r="AP34" s="292">
        <v>1180425</v>
      </c>
      <c r="AQ34" s="150">
        <f t="shared" si="58"/>
        <v>1180425</v>
      </c>
      <c r="AR34" s="290"/>
      <c r="AS34" s="292">
        <v>759947</v>
      </c>
      <c r="AT34" s="150">
        <f t="shared" si="59"/>
        <v>759947</v>
      </c>
      <c r="AU34" s="296">
        <f t="shared" si="60"/>
        <v>0</v>
      </c>
      <c r="AV34" s="297">
        <f t="shared" si="60"/>
        <v>1940372</v>
      </c>
      <c r="AW34" s="298">
        <f t="shared" si="61"/>
        <v>1940372</v>
      </c>
      <c r="AX34" s="299">
        <f aca="true" t="shared" si="73" ref="AX34:AY37">B34+E34+H34+K34+N34+AU34+AF34</f>
        <v>0</v>
      </c>
      <c r="AY34" s="310">
        <f t="shared" si="73"/>
        <v>15314318</v>
      </c>
      <c r="AZ34" s="476">
        <f t="shared" si="63"/>
        <v>15314318</v>
      </c>
      <c r="BA34" s="290">
        <v>0</v>
      </c>
      <c r="BB34" s="291">
        <v>703568</v>
      </c>
      <c r="BC34" s="150">
        <f t="shared" si="64"/>
        <v>703568</v>
      </c>
      <c r="BD34" s="477">
        <f aca="true" t="shared" si="74" ref="BD34:BE37">BA34+AX34</f>
        <v>0</v>
      </c>
      <c r="BE34" s="303">
        <f t="shared" si="74"/>
        <v>16017886</v>
      </c>
      <c r="BF34" s="478">
        <f t="shared" si="66"/>
        <v>16017886</v>
      </c>
      <c r="BG34" s="150">
        <f aca="true" t="shared" si="75" ref="BG34:BI37">BD34</f>
        <v>0</v>
      </c>
      <c r="BH34" s="150">
        <f t="shared" si="75"/>
        <v>16017886</v>
      </c>
      <c r="BI34" s="150">
        <f t="shared" si="75"/>
        <v>16017886</v>
      </c>
      <c r="BJ34" s="305">
        <v>0</v>
      </c>
      <c r="BK34" s="306">
        <f>BJ34+485</f>
        <v>485</v>
      </c>
      <c r="BL34" s="306">
        <f>BK34+485</f>
        <v>970</v>
      </c>
      <c r="BM34" s="307">
        <f t="shared" si="68"/>
        <v>485</v>
      </c>
      <c r="BN34" s="308"/>
      <c r="BO34" s="306">
        <f>BN34</f>
        <v>0</v>
      </c>
      <c r="BP34" s="306">
        <f>BO34</f>
        <v>0</v>
      </c>
      <c r="BQ34" s="307">
        <f>BO34-BN34</f>
        <v>0</v>
      </c>
      <c r="BR34" s="305"/>
      <c r="BS34" s="306">
        <f aca="true" t="shared" si="76" ref="BS34:BT37">BR34</f>
        <v>0</v>
      </c>
      <c r="BT34" s="306">
        <f t="shared" si="76"/>
        <v>0</v>
      </c>
      <c r="BU34" s="307">
        <f>BS34-BR34</f>
        <v>0</v>
      </c>
      <c r="BV34" s="309"/>
      <c r="BW34" s="288">
        <f t="shared" si="70"/>
        <v>485</v>
      </c>
    </row>
    <row r="35" spans="1:75" s="5" customFormat="1" ht="13.5">
      <c r="A35" s="475" t="s">
        <v>143</v>
      </c>
      <c r="B35" s="290"/>
      <c r="C35" s="291"/>
      <c r="D35" s="304">
        <f t="shared" si="44"/>
        <v>0</v>
      </c>
      <c r="E35" s="291"/>
      <c r="F35" s="291"/>
      <c r="G35" s="150">
        <f t="shared" si="45"/>
        <v>0</v>
      </c>
      <c r="H35" s="291"/>
      <c r="I35" s="291"/>
      <c r="J35" s="150">
        <f t="shared" si="46"/>
        <v>0</v>
      </c>
      <c r="K35" s="290"/>
      <c r="L35" s="292">
        <v>59618</v>
      </c>
      <c r="M35" s="150">
        <f t="shared" si="47"/>
        <v>59618</v>
      </c>
      <c r="N35" s="290"/>
      <c r="O35" s="292">
        <v>0</v>
      </c>
      <c r="P35" s="150">
        <f t="shared" si="48"/>
        <v>0</v>
      </c>
      <c r="Q35" s="290"/>
      <c r="R35" s="292"/>
      <c r="S35" s="150">
        <f t="shared" si="49"/>
        <v>0</v>
      </c>
      <c r="T35" s="290"/>
      <c r="U35" s="292">
        <v>0</v>
      </c>
      <c r="V35" s="150">
        <f t="shared" si="50"/>
        <v>0</v>
      </c>
      <c r="W35" s="290"/>
      <c r="X35" s="292"/>
      <c r="Y35" s="150">
        <f t="shared" si="51"/>
        <v>0</v>
      </c>
      <c r="Z35" s="290"/>
      <c r="AA35" s="292">
        <v>0</v>
      </c>
      <c r="AB35" s="150">
        <f t="shared" si="52"/>
        <v>0</v>
      </c>
      <c r="AC35" s="290"/>
      <c r="AD35" s="292">
        <v>0</v>
      </c>
      <c r="AE35" s="150">
        <f t="shared" si="53"/>
        <v>0</v>
      </c>
      <c r="AF35" s="293">
        <f t="shared" si="54"/>
        <v>0</v>
      </c>
      <c r="AG35" s="294">
        <f t="shared" si="54"/>
        <v>0</v>
      </c>
      <c r="AH35" s="295">
        <f t="shared" si="55"/>
        <v>0</v>
      </c>
      <c r="AI35" s="290"/>
      <c r="AJ35" s="292"/>
      <c r="AK35" s="150">
        <f t="shared" si="56"/>
        <v>0</v>
      </c>
      <c r="AL35" s="290"/>
      <c r="AM35" s="292">
        <v>0</v>
      </c>
      <c r="AN35" s="150">
        <f t="shared" si="57"/>
        <v>0</v>
      </c>
      <c r="AO35" s="290"/>
      <c r="AP35" s="292">
        <v>0</v>
      </c>
      <c r="AQ35" s="150">
        <f t="shared" si="58"/>
        <v>0</v>
      </c>
      <c r="AR35" s="290"/>
      <c r="AS35" s="292">
        <v>0</v>
      </c>
      <c r="AT35" s="150">
        <f t="shared" si="59"/>
        <v>0</v>
      </c>
      <c r="AU35" s="296">
        <f t="shared" si="60"/>
        <v>0</v>
      </c>
      <c r="AV35" s="297">
        <f t="shared" si="60"/>
        <v>0</v>
      </c>
      <c r="AW35" s="298">
        <f t="shared" si="61"/>
        <v>0</v>
      </c>
      <c r="AX35" s="299">
        <f t="shared" si="73"/>
        <v>0</v>
      </c>
      <c r="AY35" s="310">
        <f t="shared" si="73"/>
        <v>59618</v>
      </c>
      <c r="AZ35" s="476">
        <f t="shared" si="63"/>
        <v>59618</v>
      </c>
      <c r="BA35" s="290">
        <v>4103300</v>
      </c>
      <c r="BB35" s="291">
        <v>4103300</v>
      </c>
      <c r="BC35" s="150">
        <f t="shared" si="64"/>
        <v>0</v>
      </c>
      <c r="BD35" s="302">
        <f t="shared" si="74"/>
        <v>4103300</v>
      </c>
      <c r="BE35" s="282">
        <f t="shared" si="74"/>
        <v>4162918</v>
      </c>
      <c r="BF35" s="476">
        <f t="shared" si="66"/>
        <v>59618</v>
      </c>
      <c r="BG35" s="150">
        <f t="shared" si="75"/>
        <v>4103300</v>
      </c>
      <c r="BH35" s="150">
        <f t="shared" si="75"/>
        <v>4162918</v>
      </c>
      <c r="BI35" s="150">
        <f t="shared" si="75"/>
        <v>59618</v>
      </c>
      <c r="BJ35" s="305">
        <v>314406</v>
      </c>
      <c r="BK35" s="306">
        <f>BJ35+1001+1579+2997</f>
        <v>319983</v>
      </c>
      <c r="BL35" s="306">
        <f>BK35+1001+1579+2997</f>
        <v>325560</v>
      </c>
      <c r="BM35" s="307">
        <f t="shared" si="68"/>
        <v>5577</v>
      </c>
      <c r="BN35" s="308">
        <v>1800</v>
      </c>
      <c r="BO35" s="306">
        <f>BN35</f>
        <v>1800</v>
      </c>
      <c r="BP35" s="306">
        <f>BO35</f>
        <v>1800</v>
      </c>
      <c r="BQ35" s="307">
        <f>BO35-BN35</f>
        <v>0</v>
      </c>
      <c r="BR35" s="305"/>
      <c r="BS35" s="306">
        <f t="shared" si="76"/>
        <v>0</v>
      </c>
      <c r="BT35" s="306">
        <f t="shared" si="76"/>
        <v>0</v>
      </c>
      <c r="BU35" s="307">
        <f>BS35-BR35</f>
        <v>0</v>
      </c>
      <c r="BV35" s="309"/>
      <c r="BW35" s="288">
        <f t="shared" si="70"/>
        <v>321783</v>
      </c>
    </row>
    <row r="36" spans="1:75" s="5" customFormat="1" ht="13.5">
      <c r="A36" s="475" t="s">
        <v>144</v>
      </c>
      <c r="B36" s="290"/>
      <c r="C36" s="291"/>
      <c r="D36" s="304">
        <f t="shared" si="44"/>
        <v>0</v>
      </c>
      <c r="E36" s="291"/>
      <c r="F36" s="291"/>
      <c r="G36" s="150">
        <f t="shared" si="45"/>
        <v>0</v>
      </c>
      <c r="H36" s="291"/>
      <c r="I36" s="291"/>
      <c r="J36" s="150">
        <f t="shared" si="46"/>
        <v>0</v>
      </c>
      <c r="K36" s="290"/>
      <c r="L36" s="292">
        <v>14520</v>
      </c>
      <c r="M36" s="150">
        <f t="shared" si="47"/>
        <v>14520</v>
      </c>
      <c r="N36" s="290"/>
      <c r="O36" s="292"/>
      <c r="P36" s="150">
        <f t="shared" si="48"/>
        <v>0</v>
      </c>
      <c r="Q36" s="290"/>
      <c r="R36" s="292"/>
      <c r="S36" s="150">
        <f t="shared" si="49"/>
        <v>0</v>
      </c>
      <c r="T36" s="290"/>
      <c r="U36" s="292"/>
      <c r="V36" s="150">
        <f t="shared" si="50"/>
        <v>0</v>
      </c>
      <c r="W36" s="290"/>
      <c r="X36" s="292"/>
      <c r="Y36" s="150">
        <f t="shared" si="51"/>
        <v>0</v>
      </c>
      <c r="Z36" s="290"/>
      <c r="AA36" s="292"/>
      <c r="AB36" s="150">
        <f t="shared" si="52"/>
        <v>0</v>
      </c>
      <c r="AC36" s="290"/>
      <c r="AD36" s="292"/>
      <c r="AE36" s="150">
        <f t="shared" si="53"/>
        <v>0</v>
      </c>
      <c r="AF36" s="293">
        <f t="shared" si="54"/>
        <v>0</v>
      </c>
      <c r="AG36" s="294">
        <f t="shared" si="54"/>
        <v>0</v>
      </c>
      <c r="AH36" s="295">
        <f t="shared" si="55"/>
        <v>0</v>
      </c>
      <c r="AI36" s="290"/>
      <c r="AJ36" s="292"/>
      <c r="AK36" s="150">
        <f t="shared" si="56"/>
        <v>0</v>
      </c>
      <c r="AL36" s="290"/>
      <c r="AM36" s="292"/>
      <c r="AN36" s="150">
        <f t="shared" si="57"/>
        <v>0</v>
      </c>
      <c r="AO36" s="290"/>
      <c r="AP36" s="292"/>
      <c r="AQ36" s="150">
        <f t="shared" si="58"/>
        <v>0</v>
      </c>
      <c r="AR36" s="290"/>
      <c r="AS36" s="292"/>
      <c r="AT36" s="150">
        <f t="shared" si="59"/>
        <v>0</v>
      </c>
      <c r="AU36" s="296">
        <f t="shared" si="60"/>
        <v>0</v>
      </c>
      <c r="AV36" s="297">
        <f t="shared" si="60"/>
        <v>0</v>
      </c>
      <c r="AW36" s="298">
        <f t="shared" si="61"/>
        <v>0</v>
      </c>
      <c r="AX36" s="299">
        <f t="shared" si="73"/>
        <v>0</v>
      </c>
      <c r="AY36" s="310">
        <f t="shared" si="73"/>
        <v>14520</v>
      </c>
      <c r="AZ36" s="476">
        <f t="shared" si="63"/>
        <v>14520</v>
      </c>
      <c r="BA36" s="290">
        <v>53083516</v>
      </c>
      <c r="BB36" s="291">
        <v>55783516</v>
      </c>
      <c r="BC36" s="150">
        <f t="shared" si="64"/>
        <v>2700000</v>
      </c>
      <c r="BD36" s="302">
        <f t="shared" si="74"/>
        <v>53083516</v>
      </c>
      <c r="BE36" s="303">
        <f t="shared" si="74"/>
        <v>55798036</v>
      </c>
      <c r="BF36" s="476">
        <f t="shared" si="66"/>
        <v>2714520</v>
      </c>
      <c r="BG36" s="150">
        <f t="shared" si="75"/>
        <v>53083516</v>
      </c>
      <c r="BH36" s="150">
        <f t="shared" si="75"/>
        <v>55798036</v>
      </c>
      <c r="BI36" s="150">
        <f t="shared" si="75"/>
        <v>2714520</v>
      </c>
      <c r="BJ36" s="305">
        <v>17800</v>
      </c>
      <c r="BK36" s="306">
        <f>BJ36</f>
        <v>17800</v>
      </c>
      <c r="BL36" s="306">
        <f>BK36</f>
        <v>17800</v>
      </c>
      <c r="BM36" s="307">
        <f t="shared" si="68"/>
        <v>0</v>
      </c>
      <c r="BN36" s="308">
        <v>25779</v>
      </c>
      <c r="BO36" s="306">
        <f>BN36-592</f>
        <v>25187</v>
      </c>
      <c r="BP36" s="306">
        <f>BO36-592</f>
        <v>24595</v>
      </c>
      <c r="BQ36" s="307">
        <f>BO36-BN36</f>
        <v>-592</v>
      </c>
      <c r="BR36" s="305"/>
      <c r="BS36" s="306">
        <f t="shared" si="76"/>
        <v>0</v>
      </c>
      <c r="BT36" s="306">
        <f t="shared" si="76"/>
        <v>0</v>
      </c>
      <c r="BU36" s="307">
        <f>BS36-BR36</f>
        <v>0</v>
      </c>
      <c r="BV36" s="309"/>
      <c r="BW36" s="288">
        <f t="shared" si="70"/>
        <v>42987</v>
      </c>
    </row>
    <row r="37" spans="1:75" s="5" customFormat="1" ht="14.25" thickBot="1">
      <c r="A37" s="475" t="s">
        <v>123</v>
      </c>
      <c r="B37" s="435"/>
      <c r="C37" s="436"/>
      <c r="D37" s="451">
        <f t="shared" si="44"/>
        <v>0</v>
      </c>
      <c r="E37" s="436"/>
      <c r="F37" s="436"/>
      <c r="G37" s="171">
        <f t="shared" si="45"/>
        <v>0</v>
      </c>
      <c r="H37" s="436"/>
      <c r="I37" s="436"/>
      <c r="J37" s="171">
        <f t="shared" si="46"/>
        <v>0</v>
      </c>
      <c r="K37" s="435"/>
      <c r="L37" s="437"/>
      <c r="M37" s="171">
        <f t="shared" si="47"/>
        <v>0</v>
      </c>
      <c r="N37" s="435"/>
      <c r="O37" s="437"/>
      <c r="P37" s="171">
        <f t="shared" si="48"/>
        <v>0</v>
      </c>
      <c r="Q37" s="435"/>
      <c r="R37" s="437"/>
      <c r="S37" s="171">
        <f t="shared" si="49"/>
        <v>0</v>
      </c>
      <c r="T37" s="435"/>
      <c r="U37" s="437"/>
      <c r="V37" s="171">
        <f t="shared" si="50"/>
        <v>0</v>
      </c>
      <c r="W37" s="435"/>
      <c r="X37" s="437"/>
      <c r="Y37" s="171">
        <f t="shared" si="51"/>
        <v>0</v>
      </c>
      <c r="Z37" s="435"/>
      <c r="AA37" s="437"/>
      <c r="AB37" s="171">
        <f t="shared" si="52"/>
        <v>0</v>
      </c>
      <c r="AC37" s="435"/>
      <c r="AD37" s="437"/>
      <c r="AE37" s="171">
        <f t="shared" si="53"/>
        <v>0</v>
      </c>
      <c r="AF37" s="438">
        <f t="shared" si="54"/>
        <v>0</v>
      </c>
      <c r="AG37" s="439">
        <f t="shared" si="54"/>
        <v>0</v>
      </c>
      <c r="AH37" s="440">
        <f t="shared" si="55"/>
        <v>0</v>
      </c>
      <c r="AI37" s="435"/>
      <c r="AJ37" s="437"/>
      <c r="AK37" s="171">
        <f t="shared" si="56"/>
        <v>0</v>
      </c>
      <c r="AL37" s="435"/>
      <c r="AM37" s="437"/>
      <c r="AN37" s="171">
        <f t="shared" si="57"/>
        <v>0</v>
      </c>
      <c r="AO37" s="435"/>
      <c r="AP37" s="437"/>
      <c r="AQ37" s="171">
        <f t="shared" si="58"/>
        <v>0</v>
      </c>
      <c r="AR37" s="435"/>
      <c r="AS37" s="437"/>
      <c r="AT37" s="171">
        <f t="shared" si="59"/>
        <v>0</v>
      </c>
      <c r="AU37" s="441">
        <f t="shared" si="60"/>
        <v>0</v>
      </c>
      <c r="AV37" s="442">
        <f t="shared" si="60"/>
        <v>0</v>
      </c>
      <c r="AW37" s="443">
        <f t="shared" si="61"/>
        <v>0</v>
      </c>
      <c r="AX37" s="299">
        <f t="shared" si="73"/>
        <v>0</v>
      </c>
      <c r="AY37" s="445">
        <f t="shared" si="73"/>
        <v>0</v>
      </c>
      <c r="AZ37" s="479">
        <f t="shared" si="63"/>
        <v>0</v>
      </c>
      <c r="BA37" s="435">
        <v>31799714</v>
      </c>
      <c r="BB37" s="480">
        <v>72588157</v>
      </c>
      <c r="BC37" s="171">
        <f t="shared" si="64"/>
        <v>40788443</v>
      </c>
      <c r="BD37" s="449">
        <f t="shared" si="74"/>
        <v>31799714</v>
      </c>
      <c r="BE37" s="450">
        <f t="shared" si="74"/>
        <v>72588157</v>
      </c>
      <c r="BF37" s="479">
        <f t="shared" si="66"/>
        <v>40788443</v>
      </c>
      <c r="BG37" s="171">
        <f t="shared" si="75"/>
        <v>31799714</v>
      </c>
      <c r="BH37" s="171">
        <f t="shared" si="75"/>
        <v>72588157</v>
      </c>
      <c r="BI37" s="171">
        <f t="shared" si="75"/>
        <v>40788443</v>
      </c>
      <c r="BJ37" s="452">
        <v>3500</v>
      </c>
      <c r="BK37" s="453">
        <f>BJ37+17073</f>
        <v>20573</v>
      </c>
      <c r="BL37" s="453">
        <f>BK37+17073</f>
        <v>37646</v>
      </c>
      <c r="BM37" s="454">
        <f t="shared" si="68"/>
        <v>17073</v>
      </c>
      <c r="BN37" s="455">
        <v>31664</v>
      </c>
      <c r="BO37" s="453">
        <f>BN37-520</f>
        <v>31144</v>
      </c>
      <c r="BP37" s="453">
        <f>BO37-520</f>
        <v>30624</v>
      </c>
      <c r="BQ37" s="454">
        <f>BO37-BN37</f>
        <v>-520</v>
      </c>
      <c r="BR37" s="452"/>
      <c r="BS37" s="453">
        <f t="shared" si="76"/>
        <v>0</v>
      </c>
      <c r="BT37" s="453">
        <f t="shared" si="76"/>
        <v>0</v>
      </c>
      <c r="BU37" s="454">
        <f>BS37-BR37</f>
        <v>0</v>
      </c>
      <c r="BV37" s="288"/>
      <c r="BW37" s="288">
        <f t="shared" si="70"/>
        <v>51717</v>
      </c>
    </row>
    <row r="38" spans="1:75" s="5" customFormat="1" ht="14.25" thickBot="1">
      <c r="A38" s="481" t="s">
        <v>114</v>
      </c>
      <c r="B38" s="349">
        <f>B29+B30+B31+B32+B33</f>
        <v>43398470</v>
      </c>
      <c r="C38" s="349">
        <f>C29+C30+C31+C32+C33</f>
        <v>46463256</v>
      </c>
      <c r="D38" s="365">
        <f t="shared" si="44"/>
        <v>3064786</v>
      </c>
      <c r="E38" s="352">
        <f>E29+E30+E31+E32+E33</f>
        <v>176309548</v>
      </c>
      <c r="F38" s="352">
        <f>F29+F30+F31+F32+F33</f>
        <v>204864579</v>
      </c>
      <c r="G38" s="350">
        <f t="shared" si="45"/>
        <v>28555031</v>
      </c>
      <c r="H38" s="352">
        <f>H29+H30+H31+H32+H33</f>
        <v>49450543</v>
      </c>
      <c r="I38" s="352">
        <f>I29+I30+I31+I32+I33</f>
        <v>54903277</v>
      </c>
      <c r="J38" s="350">
        <f t="shared" si="46"/>
        <v>5452734</v>
      </c>
      <c r="K38" s="349">
        <f>K29+K30+K31+K32+K33</f>
        <v>327180037</v>
      </c>
      <c r="L38" s="351">
        <f>L29+L30+L31+L32+L33</f>
        <v>330497690</v>
      </c>
      <c r="M38" s="350">
        <f t="shared" si="47"/>
        <v>3317653</v>
      </c>
      <c r="N38" s="349">
        <f>N29+N30+N31+N32+N33</f>
        <v>232120847</v>
      </c>
      <c r="O38" s="351">
        <f>O29+O30+O31+O32+O33</f>
        <v>251397612</v>
      </c>
      <c r="P38" s="350">
        <f t="shared" si="48"/>
        <v>19276765</v>
      </c>
      <c r="Q38" s="349">
        <f>Q29+Q30+Q31+Q32+Q33</f>
        <v>85486981</v>
      </c>
      <c r="R38" s="351">
        <f>R29+R30+R31+R32+R33</f>
        <v>88306005</v>
      </c>
      <c r="S38" s="350">
        <f t="shared" si="49"/>
        <v>2819024</v>
      </c>
      <c r="T38" s="349">
        <f>T29+T30+T31+T32+T33</f>
        <v>27371589</v>
      </c>
      <c r="U38" s="351">
        <f>U29+U30+U31+U32+U33</f>
        <v>28236566</v>
      </c>
      <c r="V38" s="350">
        <f t="shared" si="50"/>
        <v>864977</v>
      </c>
      <c r="W38" s="349">
        <f>W29+W30+W31+W32+W33</f>
        <v>51936936</v>
      </c>
      <c r="X38" s="351">
        <f>X29+X30+X31+X32+X33</f>
        <v>55441880</v>
      </c>
      <c r="Y38" s="350">
        <f t="shared" si="51"/>
        <v>3504944</v>
      </c>
      <c r="Z38" s="349">
        <f>Z29+Z30+Z31+Z32+Z33</f>
        <v>19334953</v>
      </c>
      <c r="AA38" s="351">
        <f>AA29+AA30+AA31+AA32+AA33</f>
        <v>19484126</v>
      </c>
      <c r="AB38" s="350">
        <f t="shared" si="52"/>
        <v>149173</v>
      </c>
      <c r="AC38" s="349">
        <f>AC29+AC30+AC31+AC32+AC33</f>
        <v>14208750</v>
      </c>
      <c r="AD38" s="351">
        <f>AD29+AD30+AD31+AD32+AD33</f>
        <v>15663684</v>
      </c>
      <c r="AE38" s="350">
        <f t="shared" si="53"/>
        <v>1454934</v>
      </c>
      <c r="AF38" s="353">
        <f t="shared" si="54"/>
        <v>198339209</v>
      </c>
      <c r="AG38" s="354">
        <f t="shared" si="54"/>
        <v>207132261</v>
      </c>
      <c r="AH38" s="355">
        <f t="shared" si="55"/>
        <v>8793052</v>
      </c>
      <c r="AI38" s="349">
        <f>AI29+AI30+AI31+AI32+AI33</f>
        <v>83525714</v>
      </c>
      <c r="AJ38" s="351">
        <f>AJ29+AJ30+AJ31+AJ32+AJ33</f>
        <v>87676057</v>
      </c>
      <c r="AK38" s="350">
        <f t="shared" si="56"/>
        <v>4150343</v>
      </c>
      <c r="AL38" s="349">
        <f>AL29+AL30+AL31+AL32+AL33</f>
        <v>22648244</v>
      </c>
      <c r="AM38" s="351">
        <f>AM29+AM30+AM31+AM32+AM33</f>
        <v>23648159</v>
      </c>
      <c r="AN38" s="350">
        <f t="shared" si="57"/>
        <v>999915</v>
      </c>
      <c r="AO38" s="349">
        <f>AO29+AO30+AO31+AO32+AO33</f>
        <v>0</v>
      </c>
      <c r="AP38" s="351">
        <f>AP29+AP30+AP31+AP32+AP33</f>
        <v>1180425</v>
      </c>
      <c r="AQ38" s="350">
        <f t="shared" si="58"/>
        <v>1180425</v>
      </c>
      <c r="AR38" s="349">
        <f>AR29+AR30+AR31+AR32+AR33</f>
        <v>15012577</v>
      </c>
      <c r="AS38" s="351">
        <f>AS29+AS30+AS31+AS32+AS33</f>
        <v>16072524</v>
      </c>
      <c r="AT38" s="350">
        <f t="shared" si="59"/>
        <v>1059947</v>
      </c>
      <c r="AU38" s="356">
        <f t="shared" si="60"/>
        <v>121186535</v>
      </c>
      <c r="AV38" s="357">
        <f t="shared" si="60"/>
        <v>128577165</v>
      </c>
      <c r="AW38" s="358">
        <f t="shared" si="61"/>
        <v>7390630</v>
      </c>
      <c r="AX38" s="359">
        <f>AX29+AX30+AX31+AX32+AX33</f>
        <v>1147985189</v>
      </c>
      <c r="AY38" s="360">
        <f>AY29+AY30+AY31+AY32+AY33</f>
        <v>1223835840</v>
      </c>
      <c r="AZ38" s="350">
        <f t="shared" si="63"/>
        <v>75850651</v>
      </c>
      <c r="BA38" s="349">
        <f>BA29+BA30+BA31+BA32+BA33</f>
        <v>719583172</v>
      </c>
      <c r="BB38" s="362">
        <f>BB29+BB30+BB31+BB32+BB33</f>
        <v>822204573</v>
      </c>
      <c r="BC38" s="363">
        <f t="shared" si="64"/>
        <v>102621401</v>
      </c>
      <c r="BD38" s="364">
        <f>BD29+BD30+BD31+BD32+BD33</f>
        <v>1867568361</v>
      </c>
      <c r="BE38" s="362">
        <f>BE29+BE30+BE31+BE32+BE33</f>
        <v>2046040413</v>
      </c>
      <c r="BF38" s="363">
        <f t="shared" si="66"/>
        <v>178472052</v>
      </c>
      <c r="BG38" s="350">
        <f>BG29+BG30+BG31+BG32+BG33</f>
        <v>1867568361</v>
      </c>
      <c r="BH38" s="350">
        <f>BH29+BH30+BH31+BH32+BH33</f>
        <v>2046040413</v>
      </c>
      <c r="BI38" s="350">
        <f>BI29+BI30+BI31+BI32+BI33</f>
        <v>178472052</v>
      </c>
      <c r="BJ38" s="366">
        <f aca="true" t="shared" si="77" ref="BJ38:BQ38">BJ29+BJ30+BJ31+BJ32+BJ33</f>
        <v>1427309</v>
      </c>
      <c r="BK38" s="367">
        <f t="shared" si="77"/>
        <v>1514937</v>
      </c>
      <c r="BL38" s="367">
        <f>BL29+BL30+BL31+BL32+BL33</f>
        <v>1602565</v>
      </c>
      <c r="BM38" s="368">
        <f t="shared" si="68"/>
        <v>87628</v>
      </c>
      <c r="BN38" s="369">
        <f t="shared" si="77"/>
        <v>188606</v>
      </c>
      <c r="BO38" s="367">
        <f t="shared" si="77"/>
        <v>197974</v>
      </c>
      <c r="BP38" s="367">
        <f>BP29+BP30+BP31+BP32+BP33</f>
        <v>207342</v>
      </c>
      <c r="BQ38" s="368">
        <f t="shared" si="77"/>
        <v>9368</v>
      </c>
      <c r="BR38" s="366">
        <f>BR29+BR30+BR31+BR32+BR33</f>
        <v>89503</v>
      </c>
      <c r="BS38" s="367">
        <f>BS29+BS30+BS31+BS32+BS33</f>
        <v>89503</v>
      </c>
      <c r="BT38" s="367">
        <f>BT29+BT30+BT31+BT32+BT33</f>
        <v>89503</v>
      </c>
      <c r="BU38" s="368">
        <f>BU29+BU30+BU31+BU32+BU33</f>
        <v>0</v>
      </c>
      <c r="BV38" s="370"/>
      <c r="BW38" s="288">
        <f t="shared" si="70"/>
        <v>1802414</v>
      </c>
    </row>
    <row r="39" spans="1:75" s="5" customFormat="1" ht="13.5">
      <c r="A39" s="147" t="s">
        <v>59</v>
      </c>
      <c r="B39" s="312"/>
      <c r="C39" s="313">
        <v>189103</v>
      </c>
      <c r="D39" s="322">
        <f t="shared" si="44"/>
        <v>189103</v>
      </c>
      <c r="E39" s="313">
        <v>2732431</v>
      </c>
      <c r="F39" s="313">
        <v>4732431</v>
      </c>
      <c r="G39" s="152">
        <f t="shared" si="45"/>
        <v>2000000</v>
      </c>
      <c r="H39" s="313"/>
      <c r="I39" s="313">
        <v>520000</v>
      </c>
      <c r="J39" s="152">
        <f t="shared" si="46"/>
        <v>520000</v>
      </c>
      <c r="K39" s="312">
        <v>2000000</v>
      </c>
      <c r="L39" s="314">
        <v>2670610</v>
      </c>
      <c r="M39" s="152">
        <f t="shared" si="47"/>
        <v>670610</v>
      </c>
      <c r="N39" s="312">
        <v>890000</v>
      </c>
      <c r="O39" s="314">
        <v>890000</v>
      </c>
      <c r="P39" s="152">
        <f t="shared" si="48"/>
        <v>0</v>
      </c>
      <c r="Q39" s="312">
        <v>550000</v>
      </c>
      <c r="R39" s="314">
        <v>1864900</v>
      </c>
      <c r="S39" s="152">
        <f t="shared" si="49"/>
        <v>1314900</v>
      </c>
      <c r="T39" s="312">
        <v>150000</v>
      </c>
      <c r="U39" s="314">
        <v>150000</v>
      </c>
      <c r="V39" s="152">
        <f t="shared" si="50"/>
        <v>0</v>
      </c>
      <c r="W39" s="312"/>
      <c r="X39" s="314"/>
      <c r="Y39" s="152">
        <f t="shared" si="51"/>
        <v>0</v>
      </c>
      <c r="Z39" s="312">
        <v>0</v>
      </c>
      <c r="AA39" s="314">
        <v>1779992</v>
      </c>
      <c r="AB39" s="152">
        <f t="shared" si="52"/>
        <v>1779992</v>
      </c>
      <c r="AC39" s="312"/>
      <c r="AD39" s="314"/>
      <c r="AE39" s="152">
        <f t="shared" si="53"/>
        <v>0</v>
      </c>
      <c r="AF39" s="315">
        <f t="shared" si="54"/>
        <v>700000</v>
      </c>
      <c r="AG39" s="316">
        <f t="shared" si="54"/>
        <v>3794892</v>
      </c>
      <c r="AH39" s="317">
        <f t="shared" si="55"/>
        <v>3094892</v>
      </c>
      <c r="AI39" s="312">
        <v>1000000</v>
      </c>
      <c r="AJ39" s="314">
        <v>1000000</v>
      </c>
      <c r="AK39" s="152">
        <f t="shared" si="56"/>
        <v>0</v>
      </c>
      <c r="AL39" s="312">
        <v>200000</v>
      </c>
      <c r="AM39" s="314">
        <v>200000</v>
      </c>
      <c r="AN39" s="152">
        <f t="shared" si="57"/>
        <v>0</v>
      </c>
      <c r="AO39" s="312"/>
      <c r="AP39" s="314"/>
      <c r="AQ39" s="152">
        <f t="shared" si="58"/>
        <v>0</v>
      </c>
      <c r="AR39" s="312"/>
      <c r="AS39" s="314"/>
      <c r="AT39" s="152">
        <f t="shared" si="59"/>
        <v>0</v>
      </c>
      <c r="AU39" s="318">
        <f t="shared" si="60"/>
        <v>1200000</v>
      </c>
      <c r="AV39" s="319">
        <f t="shared" si="60"/>
        <v>1200000</v>
      </c>
      <c r="AW39" s="320">
        <f t="shared" si="61"/>
        <v>0</v>
      </c>
      <c r="AX39" s="299">
        <f>B39+E39+H39+K39+N39+AU39+AF39</f>
        <v>7522431</v>
      </c>
      <c r="AY39" s="310">
        <f>C39+F39+I39+L39+O39+AV39+AG39</f>
        <v>13997036</v>
      </c>
      <c r="AZ39" s="474">
        <f t="shared" si="63"/>
        <v>6474605</v>
      </c>
      <c r="BA39" s="312">
        <v>1277708888</v>
      </c>
      <c r="BB39" s="321">
        <v>1302626387</v>
      </c>
      <c r="BC39" s="152">
        <f t="shared" si="64"/>
        <v>24917499</v>
      </c>
      <c r="BD39" s="302">
        <f aca="true" t="shared" si="78" ref="BD39:BE44">BA39+AX39</f>
        <v>1285231319</v>
      </c>
      <c r="BE39" s="303">
        <f t="shared" si="78"/>
        <v>1316623423</v>
      </c>
      <c r="BF39" s="474">
        <f t="shared" si="66"/>
        <v>31392104</v>
      </c>
      <c r="BG39" s="152">
        <f aca="true" t="shared" si="79" ref="BG39:BI40">BD39</f>
        <v>1285231319</v>
      </c>
      <c r="BH39" s="152">
        <f t="shared" si="79"/>
        <v>1316623423</v>
      </c>
      <c r="BI39" s="152">
        <f t="shared" si="79"/>
        <v>31392104</v>
      </c>
      <c r="BJ39" s="323">
        <v>138500</v>
      </c>
      <c r="BK39" s="324">
        <f>BJ39+618+75+5177+2500+699+430785</f>
        <v>578354</v>
      </c>
      <c r="BL39" s="324">
        <f>BK39+618+75+5177+2500+699+430785</f>
        <v>1018208</v>
      </c>
      <c r="BM39" s="325">
        <f t="shared" si="68"/>
        <v>439854</v>
      </c>
      <c r="BN39" s="326">
        <v>21680</v>
      </c>
      <c r="BO39" s="324">
        <f>BN39</f>
        <v>21680</v>
      </c>
      <c r="BP39" s="324">
        <f>BO39</f>
        <v>21680</v>
      </c>
      <c r="BQ39" s="325">
        <f aca="true" t="shared" si="80" ref="BQ39:BQ44">BO39-BN39</f>
        <v>0</v>
      </c>
      <c r="BR39" s="323"/>
      <c r="BS39" s="324">
        <f aca="true" t="shared" si="81" ref="BS39:BT44">BR39</f>
        <v>0</v>
      </c>
      <c r="BT39" s="324">
        <f t="shared" si="81"/>
        <v>0</v>
      </c>
      <c r="BU39" s="325">
        <f aca="true" t="shared" si="82" ref="BU39:BU44">BS39-BR39</f>
        <v>0</v>
      </c>
      <c r="BV39" s="288"/>
      <c r="BW39" s="288">
        <f t="shared" si="70"/>
        <v>600034</v>
      </c>
    </row>
    <row r="40" spans="1:75" s="5" customFormat="1" ht="13.5">
      <c r="A40" s="172" t="s">
        <v>17</v>
      </c>
      <c r="B40" s="268"/>
      <c r="C40" s="269"/>
      <c r="D40" s="283">
        <f t="shared" si="44"/>
        <v>0</v>
      </c>
      <c r="E40" s="269">
        <v>190500</v>
      </c>
      <c r="F40" s="269">
        <v>2888500</v>
      </c>
      <c r="G40" s="157">
        <f t="shared" si="45"/>
        <v>2698000</v>
      </c>
      <c r="H40" s="269">
        <v>381000</v>
      </c>
      <c r="I40" s="269">
        <v>2301000</v>
      </c>
      <c r="J40" s="157">
        <f t="shared" si="46"/>
        <v>1920000</v>
      </c>
      <c r="K40" s="268"/>
      <c r="L40" s="371"/>
      <c r="M40" s="157">
        <f t="shared" si="47"/>
        <v>0</v>
      </c>
      <c r="N40" s="268">
        <v>1267206</v>
      </c>
      <c r="O40" s="371">
        <v>1267206</v>
      </c>
      <c r="P40" s="157">
        <f t="shared" si="48"/>
        <v>0</v>
      </c>
      <c r="Q40" s="268"/>
      <c r="R40" s="371"/>
      <c r="S40" s="157">
        <f t="shared" si="49"/>
        <v>0</v>
      </c>
      <c r="T40" s="268"/>
      <c r="U40" s="371"/>
      <c r="V40" s="157">
        <f t="shared" si="50"/>
        <v>0</v>
      </c>
      <c r="W40" s="268"/>
      <c r="X40" s="371"/>
      <c r="Y40" s="157">
        <f t="shared" si="51"/>
        <v>0</v>
      </c>
      <c r="Z40" s="268"/>
      <c r="AA40" s="371"/>
      <c r="AB40" s="157">
        <f t="shared" si="52"/>
        <v>0</v>
      </c>
      <c r="AC40" s="268"/>
      <c r="AD40" s="371"/>
      <c r="AE40" s="157">
        <f t="shared" si="53"/>
        <v>0</v>
      </c>
      <c r="AF40" s="270">
        <f t="shared" si="54"/>
        <v>0</v>
      </c>
      <c r="AG40" s="372">
        <f t="shared" si="54"/>
        <v>0</v>
      </c>
      <c r="AH40" s="272">
        <f t="shared" si="55"/>
        <v>0</v>
      </c>
      <c r="AI40" s="268"/>
      <c r="AJ40" s="371"/>
      <c r="AK40" s="157">
        <f t="shared" si="56"/>
        <v>0</v>
      </c>
      <c r="AL40" s="268">
        <v>127000</v>
      </c>
      <c r="AM40" s="371">
        <v>127000</v>
      </c>
      <c r="AN40" s="157">
        <f t="shared" si="57"/>
        <v>0</v>
      </c>
      <c r="AO40" s="268"/>
      <c r="AP40" s="371"/>
      <c r="AQ40" s="157">
        <f t="shared" si="58"/>
        <v>0</v>
      </c>
      <c r="AR40" s="268"/>
      <c r="AS40" s="371"/>
      <c r="AT40" s="157">
        <f t="shared" si="59"/>
        <v>0</v>
      </c>
      <c r="AU40" s="273">
        <f t="shared" si="60"/>
        <v>127000</v>
      </c>
      <c r="AV40" s="373">
        <f t="shared" si="60"/>
        <v>127000</v>
      </c>
      <c r="AW40" s="275">
        <f t="shared" si="61"/>
        <v>0</v>
      </c>
      <c r="AX40" s="299">
        <f>B40+E40+H40+K40+N40+AU40+AF40</f>
        <v>1965706</v>
      </c>
      <c r="AY40" s="277">
        <f>C40+F40+I40+L40+O40+AV40+AG40</f>
        <v>6583706</v>
      </c>
      <c r="AZ40" s="473">
        <f t="shared" si="63"/>
        <v>4618000</v>
      </c>
      <c r="BA40" s="268">
        <v>102455769</v>
      </c>
      <c r="BB40" s="279">
        <v>159502392</v>
      </c>
      <c r="BC40" s="157">
        <f t="shared" si="64"/>
        <v>57046623</v>
      </c>
      <c r="BD40" s="281">
        <f t="shared" si="78"/>
        <v>104421475</v>
      </c>
      <c r="BE40" s="282">
        <f>BB40+AY40</f>
        <v>166086098</v>
      </c>
      <c r="BF40" s="473">
        <f t="shared" si="66"/>
        <v>61664623</v>
      </c>
      <c r="BG40" s="157">
        <f t="shared" si="79"/>
        <v>104421475</v>
      </c>
      <c r="BH40" s="157">
        <f t="shared" si="79"/>
        <v>166086098</v>
      </c>
      <c r="BI40" s="157">
        <f t="shared" si="79"/>
        <v>61664623</v>
      </c>
      <c r="BJ40" s="284">
        <v>69453</v>
      </c>
      <c r="BK40" s="287">
        <f>BJ40+243149</f>
        <v>312602</v>
      </c>
      <c r="BL40" s="287">
        <f>BK40+243149</f>
        <v>555751</v>
      </c>
      <c r="BM40" s="286">
        <f t="shared" si="68"/>
        <v>243149</v>
      </c>
      <c r="BN40" s="285">
        <v>3800</v>
      </c>
      <c r="BO40" s="287">
        <f>BN40-3800</f>
        <v>0</v>
      </c>
      <c r="BP40" s="287">
        <f>BO40-3800</f>
        <v>-3800</v>
      </c>
      <c r="BQ40" s="286">
        <f t="shared" si="80"/>
        <v>-3800</v>
      </c>
      <c r="BR40" s="284"/>
      <c r="BS40" s="287">
        <f t="shared" si="81"/>
        <v>0</v>
      </c>
      <c r="BT40" s="287">
        <f t="shared" si="81"/>
        <v>0</v>
      </c>
      <c r="BU40" s="286">
        <f t="shared" si="82"/>
        <v>0</v>
      </c>
      <c r="BV40" s="288"/>
      <c r="BW40" s="288">
        <f t="shared" si="70"/>
        <v>312602</v>
      </c>
    </row>
    <row r="41" spans="1:75" s="5" customFormat="1" ht="13.5">
      <c r="A41" s="151" t="s">
        <v>88</v>
      </c>
      <c r="B41" s="312">
        <f>SUM(B42:B44)</f>
        <v>0</v>
      </c>
      <c r="C41" s="312">
        <f>SUM(C42:C44)</f>
        <v>0</v>
      </c>
      <c r="D41" s="322">
        <f t="shared" si="44"/>
        <v>0</v>
      </c>
      <c r="E41" s="313">
        <f>SUM(E42:E44)</f>
        <v>0</v>
      </c>
      <c r="F41" s="313">
        <f>SUM(F42:F44)</f>
        <v>0</v>
      </c>
      <c r="G41" s="152">
        <f t="shared" si="45"/>
        <v>0</v>
      </c>
      <c r="H41" s="313">
        <f>SUM(H42:H44)</f>
        <v>0</v>
      </c>
      <c r="I41" s="313">
        <f>SUM(I42:I44)</f>
        <v>0</v>
      </c>
      <c r="J41" s="152">
        <f t="shared" si="46"/>
        <v>0</v>
      </c>
      <c r="K41" s="312">
        <f>SUM(K42:K44)</f>
        <v>0</v>
      </c>
      <c r="L41" s="312">
        <f>SUM(L42:L44)</f>
        <v>0</v>
      </c>
      <c r="M41" s="152">
        <f t="shared" si="47"/>
        <v>0</v>
      </c>
      <c r="N41" s="312">
        <f>SUM(N42:N44)</f>
        <v>0</v>
      </c>
      <c r="O41" s="312">
        <f>SUM(O42:O44)</f>
        <v>0</v>
      </c>
      <c r="P41" s="152">
        <f t="shared" si="48"/>
        <v>0</v>
      </c>
      <c r="Q41" s="312">
        <f>SUM(Q42:Q44)</f>
        <v>0</v>
      </c>
      <c r="R41" s="314">
        <f>Q41</f>
        <v>0</v>
      </c>
      <c r="S41" s="152">
        <f t="shared" si="49"/>
        <v>0</v>
      </c>
      <c r="T41" s="312">
        <f>SUM(T42:T44)</f>
        <v>0</v>
      </c>
      <c r="U41" s="312">
        <f>SUM(U42:U44)</f>
        <v>0</v>
      </c>
      <c r="V41" s="152">
        <f t="shared" si="50"/>
        <v>0</v>
      </c>
      <c r="W41" s="312">
        <f>SUM(W42:W44)</f>
        <v>0</v>
      </c>
      <c r="X41" s="314">
        <f>W41</f>
        <v>0</v>
      </c>
      <c r="Y41" s="152">
        <f t="shared" si="51"/>
        <v>0</v>
      </c>
      <c r="Z41" s="383">
        <f>SUM(Z42:Z44)</f>
        <v>0</v>
      </c>
      <c r="AA41" s="313">
        <f>SUM(AA42:AA44)</f>
        <v>0</v>
      </c>
      <c r="AB41" s="152">
        <f t="shared" si="52"/>
        <v>0</v>
      </c>
      <c r="AC41" s="383">
        <f>SUM(AC42:AC44)</f>
        <v>0</v>
      </c>
      <c r="AD41" s="314">
        <f>SUM(AD42:AD44)</f>
        <v>0</v>
      </c>
      <c r="AE41" s="152">
        <f t="shared" si="53"/>
        <v>0</v>
      </c>
      <c r="AF41" s="315">
        <f t="shared" si="54"/>
        <v>0</v>
      </c>
      <c r="AG41" s="316">
        <f t="shared" si="54"/>
        <v>0</v>
      </c>
      <c r="AH41" s="317">
        <f t="shared" si="55"/>
        <v>0</v>
      </c>
      <c r="AI41" s="383">
        <f>SUM(AI42:AI44)</f>
        <v>0</v>
      </c>
      <c r="AJ41" s="313">
        <f>SUM(AJ42:AJ44)</f>
        <v>0</v>
      </c>
      <c r="AK41" s="152">
        <f t="shared" si="56"/>
        <v>0</v>
      </c>
      <c r="AL41" s="383">
        <f>SUM(AL42:AL44)</f>
        <v>0</v>
      </c>
      <c r="AM41" s="313">
        <f>SUM(AM42:AM44)</f>
        <v>0</v>
      </c>
      <c r="AN41" s="152">
        <f t="shared" si="57"/>
        <v>0</v>
      </c>
      <c r="AO41" s="383">
        <f>SUM(AO42:AO44)</f>
        <v>0</v>
      </c>
      <c r="AP41" s="313">
        <f>SUM(AP42:AP44)</f>
        <v>0</v>
      </c>
      <c r="AQ41" s="152">
        <f t="shared" si="58"/>
        <v>0</v>
      </c>
      <c r="AR41" s="383">
        <f>SUM(AR42:AR44)</f>
        <v>0</v>
      </c>
      <c r="AS41" s="313">
        <f>SUM(AS42:AS44)</f>
        <v>0</v>
      </c>
      <c r="AT41" s="152">
        <f t="shared" si="59"/>
        <v>0</v>
      </c>
      <c r="AU41" s="318">
        <f t="shared" si="60"/>
        <v>0</v>
      </c>
      <c r="AV41" s="319">
        <f t="shared" si="60"/>
        <v>0</v>
      </c>
      <c r="AW41" s="320">
        <f t="shared" si="61"/>
        <v>0</v>
      </c>
      <c r="AX41" s="299">
        <f>B41+E41+H41+K41+N41+Q41+AU41</f>
        <v>0</v>
      </c>
      <c r="AY41" s="310">
        <f>C41+F41+I41+L41+O41+R41+AV41</f>
        <v>0</v>
      </c>
      <c r="AZ41" s="474">
        <f t="shared" si="63"/>
        <v>0</v>
      </c>
      <c r="BA41" s="312">
        <f>SUM(BA42:BA44)</f>
        <v>12434057</v>
      </c>
      <c r="BB41" s="321">
        <f>SUM(BB42:BB44)</f>
        <v>12434057</v>
      </c>
      <c r="BC41" s="152">
        <f t="shared" si="64"/>
        <v>0</v>
      </c>
      <c r="BD41" s="302">
        <f t="shared" si="78"/>
        <v>12434057</v>
      </c>
      <c r="BE41" s="303">
        <f t="shared" si="78"/>
        <v>12434057</v>
      </c>
      <c r="BF41" s="474">
        <f t="shared" si="66"/>
        <v>0</v>
      </c>
      <c r="BG41" s="152">
        <f aca="true" t="shared" si="83" ref="BG41:BL41">SUM(BG42:BG44)</f>
        <v>12434057</v>
      </c>
      <c r="BH41" s="152">
        <f>SUM(BH42:BH44)</f>
        <v>12434057</v>
      </c>
      <c r="BI41" s="152">
        <f t="shared" si="83"/>
        <v>0</v>
      </c>
      <c r="BJ41" s="323">
        <f t="shared" si="83"/>
        <v>5992</v>
      </c>
      <c r="BK41" s="323">
        <f t="shared" si="83"/>
        <v>16391</v>
      </c>
      <c r="BL41" s="323">
        <f t="shared" si="83"/>
        <v>26790</v>
      </c>
      <c r="BM41" s="325">
        <f t="shared" si="68"/>
        <v>10399</v>
      </c>
      <c r="BN41" s="326">
        <f>SUM(BN42:BN44)</f>
        <v>2988</v>
      </c>
      <c r="BO41" s="324">
        <f>SUM(BO42:BO44)</f>
        <v>4438</v>
      </c>
      <c r="BP41" s="324">
        <f>SUM(BP42:BP44)</f>
        <v>5888</v>
      </c>
      <c r="BQ41" s="325">
        <f>BO41-BN41</f>
        <v>1450</v>
      </c>
      <c r="BR41" s="323">
        <f>SUM(BR42:BR44)</f>
        <v>0</v>
      </c>
      <c r="BS41" s="324">
        <f t="shared" si="81"/>
        <v>0</v>
      </c>
      <c r="BT41" s="324">
        <f t="shared" si="81"/>
        <v>0</v>
      </c>
      <c r="BU41" s="325">
        <f t="shared" si="82"/>
        <v>0</v>
      </c>
      <c r="BV41" s="288"/>
      <c r="BW41" s="288">
        <f t="shared" si="70"/>
        <v>20829</v>
      </c>
    </row>
    <row r="42" spans="1:75" s="5" customFormat="1" ht="13.5">
      <c r="A42" s="475" t="s">
        <v>151</v>
      </c>
      <c r="B42" s="290"/>
      <c r="C42" s="291"/>
      <c r="D42" s="304">
        <f t="shared" si="44"/>
        <v>0</v>
      </c>
      <c r="E42" s="291"/>
      <c r="F42" s="291"/>
      <c r="G42" s="150">
        <f t="shared" si="45"/>
        <v>0</v>
      </c>
      <c r="H42" s="291"/>
      <c r="I42" s="291"/>
      <c r="J42" s="150">
        <f t="shared" si="46"/>
        <v>0</v>
      </c>
      <c r="K42" s="290"/>
      <c r="L42" s="292"/>
      <c r="M42" s="150">
        <f t="shared" si="47"/>
        <v>0</v>
      </c>
      <c r="N42" s="290"/>
      <c r="O42" s="292"/>
      <c r="P42" s="150">
        <f t="shared" si="48"/>
        <v>0</v>
      </c>
      <c r="Q42" s="290"/>
      <c r="R42" s="292"/>
      <c r="S42" s="150">
        <f t="shared" si="49"/>
        <v>0</v>
      </c>
      <c r="T42" s="290"/>
      <c r="U42" s="292"/>
      <c r="V42" s="150">
        <f t="shared" si="50"/>
        <v>0</v>
      </c>
      <c r="W42" s="290"/>
      <c r="X42" s="292"/>
      <c r="Y42" s="150">
        <f t="shared" si="51"/>
        <v>0</v>
      </c>
      <c r="Z42" s="290"/>
      <c r="AA42" s="292"/>
      <c r="AB42" s="150">
        <f t="shared" si="52"/>
        <v>0</v>
      </c>
      <c r="AC42" s="290"/>
      <c r="AD42" s="292"/>
      <c r="AE42" s="150">
        <f t="shared" si="53"/>
        <v>0</v>
      </c>
      <c r="AF42" s="293">
        <f t="shared" si="54"/>
        <v>0</v>
      </c>
      <c r="AG42" s="294">
        <f t="shared" si="54"/>
        <v>0</v>
      </c>
      <c r="AH42" s="295">
        <f t="shared" si="55"/>
        <v>0</v>
      </c>
      <c r="AI42" s="290"/>
      <c r="AJ42" s="292"/>
      <c r="AK42" s="150">
        <f t="shared" si="56"/>
        <v>0</v>
      </c>
      <c r="AL42" s="290"/>
      <c r="AM42" s="292"/>
      <c r="AN42" s="150">
        <f t="shared" si="57"/>
        <v>0</v>
      </c>
      <c r="AO42" s="290"/>
      <c r="AP42" s="292"/>
      <c r="AQ42" s="150">
        <f t="shared" si="58"/>
        <v>0</v>
      </c>
      <c r="AR42" s="290"/>
      <c r="AS42" s="292"/>
      <c r="AT42" s="150">
        <f t="shared" si="59"/>
        <v>0</v>
      </c>
      <c r="AU42" s="296">
        <f t="shared" si="60"/>
        <v>0</v>
      </c>
      <c r="AV42" s="297">
        <f t="shared" si="60"/>
        <v>0</v>
      </c>
      <c r="AW42" s="298">
        <f t="shared" si="61"/>
        <v>0</v>
      </c>
      <c r="AX42" s="299">
        <f aca="true" t="shared" si="84" ref="AX42:AY44">B42+E42+H42+K42+N42+AU42+AF42</f>
        <v>0</v>
      </c>
      <c r="AY42" s="310">
        <f t="shared" si="84"/>
        <v>0</v>
      </c>
      <c r="AZ42" s="476">
        <f t="shared" si="63"/>
        <v>0</v>
      </c>
      <c r="BA42" s="290">
        <v>1165207</v>
      </c>
      <c r="BB42" s="291">
        <v>1165207</v>
      </c>
      <c r="BC42" s="150">
        <f t="shared" si="64"/>
        <v>0</v>
      </c>
      <c r="BD42" s="302">
        <f t="shared" si="78"/>
        <v>1165207</v>
      </c>
      <c r="BE42" s="303">
        <f t="shared" si="78"/>
        <v>1165207</v>
      </c>
      <c r="BF42" s="476">
        <f t="shared" si="66"/>
        <v>0</v>
      </c>
      <c r="BG42" s="150">
        <f aca="true" t="shared" si="85" ref="BG42:BI44">BD42</f>
        <v>1165207</v>
      </c>
      <c r="BH42" s="150">
        <f t="shared" si="85"/>
        <v>1165207</v>
      </c>
      <c r="BI42" s="150">
        <f t="shared" si="85"/>
        <v>0</v>
      </c>
      <c r="BJ42" s="305"/>
      <c r="BK42" s="306">
        <f>BJ42</f>
        <v>0</v>
      </c>
      <c r="BL42" s="306">
        <f>BK42</f>
        <v>0</v>
      </c>
      <c r="BM42" s="307">
        <f t="shared" si="68"/>
        <v>0</v>
      </c>
      <c r="BN42" s="308">
        <v>1358</v>
      </c>
      <c r="BO42" s="306">
        <f>BN42</f>
        <v>1358</v>
      </c>
      <c r="BP42" s="306">
        <f>BO42</f>
        <v>1358</v>
      </c>
      <c r="BQ42" s="307">
        <f t="shared" si="80"/>
        <v>0</v>
      </c>
      <c r="BR42" s="305"/>
      <c r="BS42" s="306">
        <f t="shared" si="81"/>
        <v>0</v>
      </c>
      <c r="BT42" s="306">
        <f t="shared" si="81"/>
        <v>0</v>
      </c>
      <c r="BU42" s="307">
        <f t="shared" si="82"/>
        <v>0</v>
      </c>
      <c r="BV42" s="309"/>
      <c r="BW42" s="288">
        <f t="shared" si="70"/>
        <v>1358</v>
      </c>
    </row>
    <row r="43" spans="1:75" s="5" customFormat="1" ht="13.5">
      <c r="A43" s="475" t="s">
        <v>152</v>
      </c>
      <c r="B43" s="290"/>
      <c r="C43" s="291"/>
      <c r="D43" s="304">
        <f t="shared" si="44"/>
        <v>0</v>
      </c>
      <c r="E43" s="291"/>
      <c r="F43" s="291"/>
      <c r="G43" s="150">
        <f t="shared" si="45"/>
        <v>0</v>
      </c>
      <c r="H43" s="291"/>
      <c r="I43" s="291"/>
      <c r="J43" s="150">
        <f t="shared" si="46"/>
        <v>0</v>
      </c>
      <c r="K43" s="290"/>
      <c r="L43" s="292"/>
      <c r="M43" s="150">
        <f t="shared" si="47"/>
        <v>0</v>
      </c>
      <c r="N43" s="290"/>
      <c r="O43" s="292"/>
      <c r="P43" s="150">
        <f t="shared" si="48"/>
        <v>0</v>
      </c>
      <c r="Q43" s="290"/>
      <c r="R43" s="292"/>
      <c r="S43" s="150">
        <f t="shared" si="49"/>
        <v>0</v>
      </c>
      <c r="T43" s="290"/>
      <c r="U43" s="292"/>
      <c r="V43" s="150">
        <f t="shared" si="50"/>
        <v>0</v>
      </c>
      <c r="W43" s="290"/>
      <c r="X43" s="292"/>
      <c r="Y43" s="150">
        <f t="shared" si="51"/>
        <v>0</v>
      </c>
      <c r="Z43" s="290"/>
      <c r="AA43" s="292"/>
      <c r="AB43" s="150">
        <f t="shared" si="52"/>
        <v>0</v>
      </c>
      <c r="AC43" s="290"/>
      <c r="AD43" s="292"/>
      <c r="AE43" s="150">
        <f t="shared" si="53"/>
        <v>0</v>
      </c>
      <c r="AF43" s="293">
        <f t="shared" si="54"/>
        <v>0</v>
      </c>
      <c r="AG43" s="294">
        <f t="shared" si="54"/>
        <v>0</v>
      </c>
      <c r="AH43" s="295">
        <f t="shared" si="55"/>
        <v>0</v>
      </c>
      <c r="AI43" s="290"/>
      <c r="AJ43" s="292"/>
      <c r="AK43" s="150">
        <f t="shared" si="56"/>
        <v>0</v>
      </c>
      <c r="AL43" s="290"/>
      <c r="AM43" s="292"/>
      <c r="AN43" s="150">
        <f t="shared" si="57"/>
        <v>0</v>
      </c>
      <c r="AO43" s="290"/>
      <c r="AP43" s="292"/>
      <c r="AQ43" s="150">
        <f t="shared" si="58"/>
        <v>0</v>
      </c>
      <c r="AR43" s="290"/>
      <c r="AS43" s="292"/>
      <c r="AT43" s="150">
        <f t="shared" si="59"/>
        <v>0</v>
      </c>
      <c r="AU43" s="296">
        <f t="shared" si="60"/>
        <v>0</v>
      </c>
      <c r="AV43" s="297">
        <f t="shared" si="60"/>
        <v>0</v>
      </c>
      <c r="AW43" s="298">
        <f t="shared" si="61"/>
        <v>0</v>
      </c>
      <c r="AX43" s="299">
        <f t="shared" si="84"/>
        <v>0</v>
      </c>
      <c r="AY43" s="310">
        <f t="shared" si="84"/>
        <v>0</v>
      </c>
      <c r="AZ43" s="476">
        <f t="shared" si="63"/>
        <v>0</v>
      </c>
      <c r="BA43" s="290">
        <v>5802000</v>
      </c>
      <c r="BB43" s="291">
        <v>5802000</v>
      </c>
      <c r="BC43" s="150">
        <f t="shared" si="64"/>
        <v>0</v>
      </c>
      <c r="BD43" s="302">
        <f t="shared" si="78"/>
        <v>5802000</v>
      </c>
      <c r="BE43" s="303">
        <f t="shared" si="78"/>
        <v>5802000</v>
      </c>
      <c r="BF43" s="476">
        <f t="shared" si="66"/>
        <v>0</v>
      </c>
      <c r="BG43" s="150">
        <f t="shared" si="85"/>
        <v>5802000</v>
      </c>
      <c r="BH43" s="150">
        <f t="shared" si="85"/>
        <v>5802000</v>
      </c>
      <c r="BI43" s="150">
        <f t="shared" si="85"/>
        <v>0</v>
      </c>
      <c r="BJ43" s="305">
        <v>5992</v>
      </c>
      <c r="BK43" s="306">
        <f>BJ43</f>
        <v>5992</v>
      </c>
      <c r="BL43" s="306">
        <f>BK43</f>
        <v>5992</v>
      </c>
      <c r="BM43" s="307">
        <f t="shared" si="68"/>
        <v>0</v>
      </c>
      <c r="BN43" s="308"/>
      <c r="BO43" s="306">
        <f>BN43</f>
        <v>0</v>
      </c>
      <c r="BP43" s="306">
        <f>BO43</f>
        <v>0</v>
      </c>
      <c r="BQ43" s="307">
        <f t="shared" si="80"/>
        <v>0</v>
      </c>
      <c r="BR43" s="305"/>
      <c r="BS43" s="306">
        <f t="shared" si="81"/>
        <v>0</v>
      </c>
      <c r="BT43" s="306">
        <f t="shared" si="81"/>
        <v>0</v>
      </c>
      <c r="BU43" s="307">
        <f t="shared" si="82"/>
        <v>0</v>
      </c>
      <c r="BV43" s="309"/>
      <c r="BW43" s="288">
        <f t="shared" si="70"/>
        <v>5992</v>
      </c>
    </row>
    <row r="44" spans="1:75" s="5" customFormat="1" ht="14.25" thickBot="1">
      <c r="A44" s="475" t="s">
        <v>153</v>
      </c>
      <c r="B44" s="482"/>
      <c r="C44" s="480"/>
      <c r="D44" s="483">
        <f t="shared" si="44"/>
        <v>0</v>
      </c>
      <c r="E44" s="480"/>
      <c r="F44" s="480"/>
      <c r="G44" s="166">
        <f t="shared" si="45"/>
        <v>0</v>
      </c>
      <c r="H44" s="480"/>
      <c r="I44" s="480"/>
      <c r="J44" s="166">
        <f t="shared" si="46"/>
        <v>0</v>
      </c>
      <c r="K44" s="482"/>
      <c r="L44" s="484"/>
      <c r="M44" s="166">
        <f t="shared" si="47"/>
        <v>0</v>
      </c>
      <c r="N44" s="482"/>
      <c r="O44" s="484"/>
      <c r="P44" s="166">
        <f t="shared" si="48"/>
        <v>0</v>
      </c>
      <c r="Q44" s="482"/>
      <c r="R44" s="484"/>
      <c r="S44" s="166">
        <f t="shared" si="49"/>
        <v>0</v>
      </c>
      <c r="T44" s="482"/>
      <c r="U44" s="484"/>
      <c r="V44" s="166">
        <f t="shared" si="50"/>
        <v>0</v>
      </c>
      <c r="W44" s="482"/>
      <c r="X44" s="484"/>
      <c r="Y44" s="166">
        <f t="shared" si="51"/>
        <v>0</v>
      </c>
      <c r="Z44" s="482"/>
      <c r="AA44" s="484"/>
      <c r="AB44" s="166">
        <f t="shared" si="52"/>
        <v>0</v>
      </c>
      <c r="AC44" s="482"/>
      <c r="AD44" s="484"/>
      <c r="AE44" s="166">
        <f t="shared" si="53"/>
        <v>0</v>
      </c>
      <c r="AF44" s="485">
        <f t="shared" si="54"/>
        <v>0</v>
      </c>
      <c r="AG44" s="486">
        <f t="shared" si="54"/>
        <v>0</v>
      </c>
      <c r="AH44" s="487">
        <f t="shared" si="55"/>
        <v>0</v>
      </c>
      <c r="AI44" s="482"/>
      <c r="AJ44" s="484"/>
      <c r="AK44" s="166">
        <f t="shared" si="56"/>
        <v>0</v>
      </c>
      <c r="AL44" s="482"/>
      <c r="AM44" s="484"/>
      <c r="AN44" s="166">
        <f t="shared" si="57"/>
        <v>0</v>
      </c>
      <c r="AO44" s="482"/>
      <c r="AP44" s="484"/>
      <c r="AQ44" s="166">
        <f t="shared" si="58"/>
        <v>0</v>
      </c>
      <c r="AR44" s="482"/>
      <c r="AS44" s="484"/>
      <c r="AT44" s="166">
        <f t="shared" si="59"/>
        <v>0</v>
      </c>
      <c r="AU44" s="488">
        <f t="shared" si="60"/>
        <v>0</v>
      </c>
      <c r="AV44" s="489">
        <f t="shared" si="60"/>
        <v>0</v>
      </c>
      <c r="AW44" s="490">
        <f t="shared" si="61"/>
        <v>0</v>
      </c>
      <c r="AX44" s="299">
        <f t="shared" si="84"/>
        <v>0</v>
      </c>
      <c r="AY44" s="445">
        <f t="shared" si="84"/>
        <v>0</v>
      </c>
      <c r="AZ44" s="491">
        <f t="shared" si="63"/>
        <v>0</v>
      </c>
      <c r="BA44" s="482">
        <v>5466850</v>
      </c>
      <c r="BB44" s="480">
        <v>5466850</v>
      </c>
      <c r="BC44" s="166">
        <f t="shared" si="64"/>
        <v>0</v>
      </c>
      <c r="BD44" s="449">
        <f t="shared" si="78"/>
        <v>5466850</v>
      </c>
      <c r="BE44" s="450">
        <f t="shared" si="78"/>
        <v>5466850</v>
      </c>
      <c r="BF44" s="491">
        <f t="shared" si="66"/>
        <v>0</v>
      </c>
      <c r="BG44" s="166">
        <f t="shared" si="85"/>
        <v>5466850</v>
      </c>
      <c r="BH44" s="166">
        <f t="shared" si="85"/>
        <v>5466850</v>
      </c>
      <c r="BI44" s="166">
        <f t="shared" si="85"/>
        <v>0</v>
      </c>
      <c r="BJ44" s="492"/>
      <c r="BK44" s="493">
        <f>BJ44+10649-250</f>
        <v>10399</v>
      </c>
      <c r="BL44" s="493">
        <f>BK44+10649-250</f>
        <v>20798</v>
      </c>
      <c r="BM44" s="494">
        <f t="shared" si="68"/>
        <v>10399</v>
      </c>
      <c r="BN44" s="495">
        <v>1630</v>
      </c>
      <c r="BO44" s="493">
        <f>BN44+1200+250</f>
        <v>3080</v>
      </c>
      <c r="BP44" s="493">
        <f>BO44+1200+250</f>
        <v>4530</v>
      </c>
      <c r="BQ44" s="494">
        <f t="shared" si="80"/>
        <v>1450</v>
      </c>
      <c r="BR44" s="492"/>
      <c r="BS44" s="493">
        <f t="shared" si="81"/>
        <v>0</v>
      </c>
      <c r="BT44" s="493">
        <f t="shared" si="81"/>
        <v>0</v>
      </c>
      <c r="BU44" s="494">
        <f t="shared" si="82"/>
        <v>0</v>
      </c>
      <c r="BV44" s="309"/>
      <c r="BW44" s="288">
        <f t="shared" si="70"/>
        <v>13479</v>
      </c>
    </row>
    <row r="45" spans="1:75" s="5" customFormat="1" ht="14.25" thickBot="1">
      <c r="A45" s="481" t="s">
        <v>115</v>
      </c>
      <c r="B45" s="349">
        <f>B39+B40+B41</f>
        <v>0</v>
      </c>
      <c r="C45" s="349">
        <f>C39+C40+C41</f>
        <v>189103</v>
      </c>
      <c r="D45" s="365">
        <f t="shared" si="44"/>
        <v>189103</v>
      </c>
      <c r="E45" s="352">
        <f>E39+E40+E41</f>
        <v>2922931</v>
      </c>
      <c r="F45" s="352">
        <f>F39+F40+F41</f>
        <v>7620931</v>
      </c>
      <c r="G45" s="350">
        <f t="shared" si="45"/>
        <v>4698000</v>
      </c>
      <c r="H45" s="352">
        <f>H39+H40+H41</f>
        <v>381000</v>
      </c>
      <c r="I45" s="352">
        <f>I39+I40+I41</f>
        <v>2821000</v>
      </c>
      <c r="J45" s="350">
        <f t="shared" si="46"/>
        <v>2440000</v>
      </c>
      <c r="K45" s="349">
        <f>K39+K40+K41</f>
        <v>2000000</v>
      </c>
      <c r="L45" s="351">
        <f>L39+L40+L41</f>
        <v>2670610</v>
      </c>
      <c r="M45" s="350">
        <f t="shared" si="47"/>
        <v>670610</v>
      </c>
      <c r="N45" s="349">
        <f>N39+N40+N41</f>
        <v>2157206</v>
      </c>
      <c r="O45" s="351">
        <f>O39+O40+O41</f>
        <v>2157206</v>
      </c>
      <c r="P45" s="350">
        <f t="shared" si="48"/>
        <v>0</v>
      </c>
      <c r="Q45" s="349">
        <f>Q39+Q40+Q41</f>
        <v>550000</v>
      </c>
      <c r="R45" s="351">
        <f>R39+R40+R41</f>
        <v>1864900</v>
      </c>
      <c r="S45" s="350">
        <f t="shared" si="49"/>
        <v>1314900</v>
      </c>
      <c r="T45" s="349">
        <f>T39+T40+T41</f>
        <v>150000</v>
      </c>
      <c r="U45" s="351">
        <f>U39+U40+U41</f>
        <v>150000</v>
      </c>
      <c r="V45" s="350">
        <f t="shared" si="50"/>
        <v>0</v>
      </c>
      <c r="W45" s="349">
        <f>W39+W40+W41</f>
        <v>0</v>
      </c>
      <c r="X45" s="351">
        <f>X39+X40+X41</f>
        <v>0</v>
      </c>
      <c r="Y45" s="350">
        <f t="shared" si="51"/>
        <v>0</v>
      </c>
      <c r="Z45" s="349">
        <f>Z39+Z40+Z41</f>
        <v>0</v>
      </c>
      <c r="AA45" s="351">
        <f>AA39+AA40+AA41</f>
        <v>1779992</v>
      </c>
      <c r="AB45" s="350">
        <f t="shared" si="52"/>
        <v>1779992</v>
      </c>
      <c r="AC45" s="349">
        <f>AC39+AC40+AC41</f>
        <v>0</v>
      </c>
      <c r="AD45" s="351">
        <f>AD39+AD40+AD41</f>
        <v>0</v>
      </c>
      <c r="AE45" s="350">
        <f t="shared" si="53"/>
        <v>0</v>
      </c>
      <c r="AF45" s="353">
        <f t="shared" si="54"/>
        <v>700000</v>
      </c>
      <c r="AG45" s="354">
        <f t="shared" si="54"/>
        <v>3794892</v>
      </c>
      <c r="AH45" s="355">
        <f t="shared" si="55"/>
        <v>3094892</v>
      </c>
      <c r="AI45" s="349">
        <f>AI39+AI40+AI41</f>
        <v>1000000</v>
      </c>
      <c r="AJ45" s="351">
        <f>AJ39+AJ40+AJ41</f>
        <v>1000000</v>
      </c>
      <c r="AK45" s="350">
        <f t="shared" si="56"/>
        <v>0</v>
      </c>
      <c r="AL45" s="349">
        <f>AL39+AL40+AL41</f>
        <v>327000</v>
      </c>
      <c r="AM45" s="351">
        <f>AM39+AM40+AM41</f>
        <v>327000</v>
      </c>
      <c r="AN45" s="350">
        <f t="shared" si="57"/>
        <v>0</v>
      </c>
      <c r="AO45" s="349">
        <f>AO39+AO40+AO41</f>
        <v>0</v>
      </c>
      <c r="AP45" s="351">
        <f>AP39+AP40+AP41</f>
        <v>0</v>
      </c>
      <c r="AQ45" s="350">
        <f t="shared" si="58"/>
        <v>0</v>
      </c>
      <c r="AR45" s="349">
        <f>AR39+AR40+AR41</f>
        <v>0</v>
      </c>
      <c r="AS45" s="351">
        <f>AS39+AS40+AS41</f>
        <v>0</v>
      </c>
      <c r="AT45" s="350">
        <f t="shared" si="59"/>
        <v>0</v>
      </c>
      <c r="AU45" s="356">
        <f t="shared" si="60"/>
        <v>1327000</v>
      </c>
      <c r="AV45" s="357">
        <f t="shared" si="60"/>
        <v>1327000</v>
      </c>
      <c r="AW45" s="358">
        <f t="shared" si="61"/>
        <v>0</v>
      </c>
      <c r="AX45" s="359">
        <f>AX39+AX40+AX41</f>
        <v>9488137</v>
      </c>
      <c r="AY45" s="360">
        <f>AY39+AY40+AY41</f>
        <v>20580742</v>
      </c>
      <c r="AZ45" s="350">
        <f t="shared" si="63"/>
        <v>11092605</v>
      </c>
      <c r="BA45" s="349">
        <f>BA39+BA40+BA41</f>
        <v>1392598714</v>
      </c>
      <c r="BB45" s="362">
        <f>BB39+BB40+BB41</f>
        <v>1474562836</v>
      </c>
      <c r="BC45" s="363">
        <f t="shared" si="64"/>
        <v>81964122</v>
      </c>
      <c r="BD45" s="364">
        <f>BD39+BD40+BD41</f>
        <v>1402086851</v>
      </c>
      <c r="BE45" s="362">
        <f>BE39+BE40+BE41</f>
        <v>1495143578</v>
      </c>
      <c r="BF45" s="363">
        <f t="shared" si="66"/>
        <v>93056727</v>
      </c>
      <c r="BG45" s="350">
        <f aca="true" t="shared" si="86" ref="BG45:BU45">BG39+BG40+BG41</f>
        <v>1402086851</v>
      </c>
      <c r="BH45" s="350">
        <f>BH39+BH40+BH41</f>
        <v>1495143578</v>
      </c>
      <c r="BI45" s="350">
        <f t="shared" si="86"/>
        <v>93056727</v>
      </c>
      <c r="BJ45" s="366">
        <f t="shared" si="86"/>
        <v>213945</v>
      </c>
      <c r="BK45" s="367">
        <f t="shared" si="86"/>
        <v>907347</v>
      </c>
      <c r="BL45" s="367">
        <f t="shared" si="86"/>
        <v>1600749</v>
      </c>
      <c r="BM45" s="368">
        <f t="shared" si="68"/>
        <v>693402</v>
      </c>
      <c r="BN45" s="369">
        <f t="shared" si="86"/>
        <v>28468</v>
      </c>
      <c r="BO45" s="367">
        <f t="shared" si="86"/>
        <v>26118</v>
      </c>
      <c r="BP45" s="367">
        <f t="shared" si="86"/>
        <v>23768</v>
      </c>
      <c r="BQ45" s="368">
        <f t="shared" si="86"/>
        <v>-2350</v>
      </c>
      <c r="BR45" s="366">
        <f t="shared" si="86"/>
        <v>0</v>
      </c>
      <c r="BS45" s="367">
        <f t="shared" si="86"/>
        <v>0</v>
      </c>
      <c r="BT45" s="367">
        <f t="shared" si="86"/>
        <v>0</v>
      </c>
      <c r="BU45" s="368">
        <f t="shared" si="86"/>
        <v>0</v>
      </c>
      <c r="BV45" s="370"/>
      <c r="BW45" s="288">
        <f t="shared" si="70"/>
        <v>933465</v>
      </c>
    </row>
    <row r="46" spans="1:75" s="6" customFormat="1" ht="15.75" customHeight="1" thickBot="1">
      <c r="A46" s="496" t="s">
        <v>116</v>
      </c>
      <c r="B46" s="402">
        <f>B45+B38</f>
        <v>43398470</v>
      </c>
      <c r="C46" s="402">
        <f>C45+C38</f>
        <v>46652359</v>
      </c>
      <c r="D46" s="407">
        <f t="shared" si="44"/>
        <v>3253889</v>
      </c>
      <c r="E46" s="401">
        <f>E45+E38</f>
        <v>179232479</v>
      </c>
      <c r="F46" s="401">
        <f>F45+F38</f>
        <v>212485510</v>
      </c>
      <c r="G46" s="497">
        <f t="shared" si="45"/>
        <v>33253031</v>
      </c>
      <c r="H46" s="401">
        <f>H45+H38</f>
        <v>49831543</v>
      </c>
      <c r="I46" s="401">
        <f>I45+I38</f>
        <v>57724277</v>
      </c>
      <c r="J46" s="497">
        <f t="shared" si="46"/>
        <v>7892734</v>
      </c>
      <c r="K46" s="402">
        <f>K45+K38</f>
        <v>329180037</v>
      </c>
      <c r="L46" s="400">
        <f>L45+L38</f>
        <v>333168300</v>
      </c>
      <c r="M46" s="497">
        <f t="shared" si="47"/>
        <v>3988263</v>
      </c>
      <c r="N46" s="402">
        <f>N45+N38</f>
        <v>234278053</v>
      </c>
      <c r="O46" s="400">
        <f>O45+O38</f>
        <v>253554818</v>
      </c>
      <c r="P46" s="497">
        <f t="shared" si="48"/>
        <v>19276765</v>
      </c>
      <c r="Q46" s="402">
        <f>Q45+Q38</f>
        <v>86036981</v>
      </c>
      <c r="R46" s="400">
        <f>R45+R38</f>
        <v>90170905</v>
      </c>
      <c r="S46" s="497">
        <f t="shared" si="49"/>
        <v>4133924</v>
      </c>
      <c r="T46" s="402">
        <f>T45+T38</f>
        <v>27521589</v>
      </c>
      <c r="U46" s="400">
        <f>U45+U38</f>
        <v>28386566</v>
      </c>
      <c r="V46" s="497">
        <f t="shared" si="50"/>
        <v>864977</v>
      </c>
      <c r="W46" s="402">
        <f>W45+W38</f>
        <v>51936936</v>
      </c>
      <c r="X46" s="400">
        <f>X45+X38</f>
        <v>55441880</v>
      </c>
      <c r="Y46" s="497">
        <f t="shared" si="51"/>
        <v>3504944</v>
      </c>
      <c r="Z46" s="402">
        <f>Z45+Z38</f>
        <v>19334953</v>
      </c>
      <c r="AA46" s="400">
        <f>AA45+AA38</f>
        <v>21264118</v>
      </c>
      <c r="AB46" s="497">
        <f t="shared" si="52"/>
        <v>1929165</v>
      </c>
      <c r="AC46" s="402">
        <f>AC45+AC38</f>
        <v>14208750</v>
      </c>
      <c r="AD46" s="400">
        <f>AD45+AD38</f>
        <v>15663684</v>
      </c>
      <c r="AE46" s="497">
        <f t="shared" si="53"/>
        <v>1454934</v>
      </c>
      <c r="AF46" s="403">
        <f t="shared" si="54"/>
        <v>199039209</v>
      </c>
      <c r="AG46" s="498">
        <f t="shared" si="54"/>
        <v>210927153</v>
      </c>
      <c r="AH46" s="499">
        <f t="shared" si="55"/>
        <v>11887944</v>
      </c>
      <c r="AI46" s="402">
        <f>AI45+AI38</f>
        <v>84525714</v>
      </c>
      <c r="AJ46" s="400">
        <f>AJ45+AJ38</f>
        <v>88676057</v>
      </c>
      <c r="AK46" s="497">
        <f t="shared" si="56"/>
        <v>4150343</v>
      </c>
      <c r="AL46" s="402">
        <f>AL45+AL38</f>
        <v>22975244</v>
      </c>
      <c r="AM46" s="400">
        <f>AM45+AM38</f>
        <v>23975159</v>
      </c>
      <c r="AN46" s="497">
        <f t="shared" si="57"/>
        <v>999915</v>
      </c>
      <c r="AO46" s="402">
        <f>AO45+AO38</f>
        <v>0</v>
      </c>
      <c r="AP46" s="400">
        <f>AP45+AP38</f>
        <v>1180425</v>
      </c>
      <c r="AQ46" s="497">
        <f t="shared" si="58"/>
        <v>1180425</v>
      </c>
      <c r="AR46" s="402">
        <f>AR45+AR38</f>
        <v>15012577</v>
      </c>
      <c r="AS46" s="400">
        <f>AS45+AS38</f>
        <v>16072524</v>
      </c>
      <c r="AT46" s="497">
        <f t="shared" si="59"/>
        <v>1059947</v>
      </c>
      <c r="AU46" s="404">
        <f t="shared" si="60"/>
        <v>122513535</v>
      </c>
      <c r="AV46" s="500">
        <f t="shared" si="60"/>
        <v>129904165</v>
      </c>
      <c r="AW46" s="501">
        <f t="shared" si="61"/>
        <v>7390630</v>
      </c>
      <c r="AX46" s="405">
        <f>AX45+AX38</f>
        <v>1157473326</v>
      </c>
      <c r="AY46" s="502">
        <f>AY45+AY38</f>
        <v>1244416582</v>
      </c>
      <c r="AZ46" s="497">
        <f t="shared" si="63"/>
        <v>86943256</v>
      </c>
      <c r="BA46" s="402">
        <f>BA45+BA38</f>
        <v>2112181886</v>
      </c>
      <c r="BB46" s="503">
        <f>BB45+BB38</f>
        <v>2296767409</v>
      </c>
      <c r="BC46" s="504">
        <f t="shared" si="64"/>
        <v>184585523</v>
      </c>
      <c r="BD46" s="406">
        <f>BD45+BD38</f>
        <v>3269655212</v>
      </c>
      <c r="BE46" s="503">
        <f>BE45+BE38</f>
        <v>3541183991</v>
      </c>
      <c r="BF46" s="504">
        <f t="shared" si="66"/>
        <v>271528779</v>
      </c>
      <c r="BG46" s="497">
        <f aca="true" t="shared" si="87" ref="BG46:BU46">BG45+BG38</f>
        <v>3269655212</v>
      </c>
      <c r="BH46" s="497">
        <f>BH45+BH38</f>
        <v>3541183991</v>
      </c>
      <c r="BI46" s="497">
        <f t="shared" si="87"/>
        <v>271528779</v>
      </c>
      <c r="BJ46" s="408">
        <f t="shared" si="87"/>
        <v>1641254</v>
      </c>
      <c r="BK46" s="505">
        <f t="shared" si="87"/>
        <v>2422284</v>
      </c>
      <c r="BL46" s="505">
        <f t="shared" si="87"/>
        <v>3203314</v>
      </c>
      <c r="BM46" s="506">
        <f t="shared" si="68"/>
        <v>781030</v>
      </c>
      <c r="BN46" s="409">
        <f t="shared" si="87"/>
        <v>217074</v>
      </c>
      <c r="BO46" s="505">
        <f t="shared" si="87"/>
        <v>224092</v>
      </c>
      <c r="BP46" s="505">
        <f t="shared" si="87"/>
        <v>231110</v>
      </c>
      <c r="BQ46" s="506">
        <f t="shared" si="87"/>
        <v>7018</v>
      </c>
      <c r="BR46" s="408">
        <f t="shared" si="87"/>
        <v>89503</v>
      </c>
      <c r="BS46" s="505">
        <f t="shared" si="87"/>
        <v>89503</v>
      </c>
      <c r="BT46" s="505">
        <f t="shared" si="87"/>
        <v>89503</v>
      </c>
      <c r="BU46" s="506">
        <f t="shared" si="87"/>
        <v>0</v>
      </c>
      <c r="BV46" s="370"/>
      <c r="BW46" s="288">
        <f t="shared" si="70"/>
        <v>2735879</v>
      </c>
    </row>
    <row r="47" spans="1:76" s="5" customFormat="1" ht="15.75" customHeight="1" thickBot="1">
      <c r="A47" s="507" t="s">
        <v>117</v>
      </c>
      <c r="B47" s="364">
        <v>0</v>
      </c>
      <c r="C47" s="364">
        <v>0</v>
      </c>
      <c r="D47" s="508">
        <f t="shared" si="44"/>
        <v>0</v>
      </c>
      <c r="E47" s="362">
        <v>0</v>
      </c>
      <c r="F47" s="362">
        <v>0</v>
      </c>
      <c r="G47" s="363">
        <f t="shared" si="45"/>
        <v>0</v>
      </c>
      <c r="H47" s="362">
        <v>0</v>
      </c>
      <c r="I47" s="362">
        <v>0</v>
      </c>
      <c r="J47" s="363">
        <f t="shared" si="46"/>
        <v>0</v>
      </c>
      <c r="K47" s="364">
        <v>0</v>
      </c>
      <c r="L47" s="509">
        <v>0</v>
      </c>
      <c r="M47" s="363">
        <f t="shared" si="47"/>
        <v>0</v>
      </c>
      <c r="N47" s="364">
        <v>0</v>
      </c>
      <c r="O47" s="509">
        <v>0</v>
      </c>
      <c r="P47" s="363">
        <f t="shared" si="48"/>
        <v>0</v>
      </c>
      <c r="Q47" s="364">
        <v>0</v>
      </c>
      <c r="R47" s="509">
        <v>0</v>
      </c>
      <c r="S47" s="363">
        <f t="shared" si="49"/>
        <v>0</v>
      </c>
      <c r="T47" s="364">
        <v>0</v>
      </c>
      <c r="U47" s="509">
        <v>0</v>
      </c>
      <c r="V47" s="363">
        <f t="shared" si="50"/>
        <v>0</v>
      </c>
      <c r="W47" s="364">
        <v>0</v>
      </c>
      <c r="X47" s="509">
        <v>0</v>
      </c>
      <c r="Y47" s="363">
        <f t="shared" si="51"/>
        <v>0</v>
      </c>
      <c r="Z47" s="364">
        <v>0</v>
      </c>
      <c r="AA47" s="509">
        <v>0</v>
      </c>
      <c r="AB47" s="363">
        <f t="shared" si="52"/>
        <v>0</v>
      </c>
      <c r="AC47" s="364">
        <v>0</v>
      </c>
      <c r="AD47" s="509">
        <v>0</v>
      </c>
      <c r="AE47" s="363">
        <f t="shared" si="53"/>
        <v>0</v>
      </c>
      <c r="AF47" s="510">
        <f t="shared" si="54"/>
        <v>0</v>
      </c>
      <c r="AG47" s="511">
        <f t="shared" si="54"/>
        <v>0</v>
      </c>
      <c r="AH47" s="512">
        <f t="shared" si="55"/>
        <v>0</v>
      </c>
      <c r="AI47" s="364">
        <v>0</v>
      </c>
      <c r="AJ47" s="509">
        <v>0</v>
      </c>
      <c r="AK47" s="363">
        <f t="shared" si="56"/>
        <v>0</v>
      </c>
      <c r="AL47" s="364">
        <v>0</v>
      </c>
      <c r="AM47" s="509">
        <v>0</v>
      </c>
      <c r="AN47" s="363">
        <f t="shared" si="57"/>
        <v>0</v>
      </c>
      <c r="AO47" s="364">
        <v>0</v>
      </c>
      <c r="AP47" s="509">
        <v>0</v>
      </c>
      <c r="AQ47" s="363">
        <f t="shared" si="58"/>
        <v>0</v>
      </c>
      <c r="AR47" s="364">
        <v>0</v>
      </c>
      <c r="AS47" s="509">
        <v>0</v>
      </c>
      <c r="AT47" s="363">
        <f t="shared" si="59"/>
        <v>0</v>
      </c>
      <c r="AU47" s="513">
        <f t="shared" si="60"/>
        <v>0</v>
      </c>
      <c r="AV47" s="514">
        <f t="shared" si="60"/>
        <v>0</v>
      </c>
      <c r="AW47" s="515">
        <f t="shared" si="61"/>
        <v>0</v>
      </c>
      <c r="AX47" s="359">
        <f>B47+E47+H47+K47+N47+AU47+AF47</f>
        <v>0</v>
      </c>
      <c r="AY47" s="360">
        <f>C47+F47+I47+L47+O47+AV47+AG47</f>
        <v>0</v>
      </c>
      <c r="AZ47" s="363">
        <f t="shared" si="63"/>
        <v>0</v>
      </c>
      <c r="BA47" s="364">
        <f>28549927+AX23</f>
        <v>955522077</v>
      </c>
      <c r="BB47" s="362">
        <f>28549927+AY23</f>
        <v>965141535</v>
      </c>
      <c r="BC47" s="363">
        <f t="shared" si="64"/>
        <v>9619458</v>
      </c>
      <c r="BD47" s="364">
        <f>BA47+AX47</f>
        <v>955522077</v>
      </c>
      <c r="BE47" s="362">
        <f>BB47+AY47</f>
        <v>965141535</v>
      </c>
      <c r="BF47" s="363">
        <f t="shared" si="66"/>
        <v>9619458</v>
      </c>
      <c r="BG47" s="363">
        <f>BD47-AX23</f>
        <v>28549927</v>
      </c>
      <c r="BH47" s="363">
        <f>BE47-AY23</f>
        <v>28549927</v>
      </c>
      <c r="BI47" s="363">
        <f>BF47-AZ23</f>
        <v>0</v>
      </c>
      <c r="BJ47" s="516">
        <v>29068</v>
      </c>
      <c r="BK47" s="517">
        <f>BJ47</f>
        <v>29068</v>
      </c>
      <c r="BL47" s="517">
        <f>BK47</f>
        <v>29068</v>
      </c>
      <c r="BM47" s="518">
        <f t="shared" si="68"/>
        <v>0</v>
      </c>
      <c r="BN47" s="519"/>
      <c r="BO47" s="517">
        <f>BN47</f>
        <v>0</v>
      </c>
      <c r="BP47" s="517">
        <f>BO47</f>
        <v>0</v>
      </c>
      <c r="BQ47" s="518">
        <f>BO47-BN47</f>
        <v>0</v>
      </c>
      <c r="BR47" s="516"/>
      <c r="BS47" s="517">
        <f>BR47</f>
        <v>0</v>
      </c>
      <c r="BT47" s="517">
        <f>BS47</f>
        <v>0</v>
      </c>
      <c r="BU47" s="518">
        <f>BS47-BR47</f>
        <v>0</v>
      </c>
      <c r="BV47" s="520"/>
      <c r="BW47" s="288">
        <f t="shared" si="70"/>
        <v>29068</v>
      </c>
      <c r="BX47" s="30"/>
    </row>
    <row r="48" spans="1:75" s="6" customFormat="1" ht="15.75" customHeight="1" thickBot="1">
      <c r="A48" s="521" t="s">
        <v>29</v>
      </c>
      <c r="B48" s="459">
        <f>B47+B46</f>
        <v>43398470</v>
      </c>
      <c r="C48" s="459">
        <f>C47+C46</f>
        <v>46652359</v>
      </c>
      <c r="D48" s="464">
        <f t="shared" si="44"/>
        <v>3253889</v>
      </c>
      <c r="E48" s="458">
        <f>E47+E46</f>
        <v>179232479</v>
      </c>
      <c r="F48" s="458">
        <f>F47+F46</f>
        <v>212485510</v>
      </c>
      <c r="G48" s="522">
        <f t="shared" si="45"/>
        <v>33253031</v>
      </c>
      <c r="H48" s="458">
        <f>H47+H46</f>
        <v>49831543</v>
      </c>
      <c r="I48" s="458">
        <f>I47+I46</f>
        <v>57724277</v>
      </c>
      <c r="J48" s="522">
        <f t="shared" si="46"/>
        <v>7892734</v>
      </c>
      <c r="K48" s="459">
        <f>K47+K46</f>
        <v>329180037</v>
      </c>
      <c r="L48" s="457">
        <f>L47+L46</f>
        <v>333168300</v>
      </c>
      <c r="M48" s="522">
        <f t="shared" si="47"/>
        <v>3988263</v>
      </c>
      <c r="N48" s="459">
        <f>N47+N46</f>
        <v>234278053</v>
      </c>
      <c r="O48" s="457">
        <f>O47+O46</f>
        <v>253554818</v>
      </c>
      <c r="P48" s="522">
        <f t="shared" si="48"/>
        <v>19276765</v>
      </c>
      <c r="Q48" s="459">
        <f>Q47+Q46</f>
        <v>86036981</v>
      </c>
      <c r="R48" s="457">
        <f>R47+R46</f>
        <v>90170905</v>
      </c>
      <c r="S48" s="522">
        <f t="shared" si="49"/>
        <v>4133924</v>
      </c>
      <c r="T48" s="459">
        <f>T47+T46</f>
        <v>27521589</v>
      </c>
      <c r="U48" s="457">
        <f>U47+U46</f>
        <v>28386566</v>
      </c>
      <c r="V48" s="522">
        <f t="shared" si="50"/>
        <v>864977</v>
      </c>
      <c r="W48" s="459">
        <f>W47+W46</f>
        <v>51936936</v>
      </c>
      <c r="X48" s="457">
        <f>X47+X46</f>
        <v>55441880</v>
      </c>
      <c r="Y48" s="522">
        <f t="shared" si="51"/>
        <v>3504944</v>
      </c>
      <c r="Z48" s="459">
        <f>Z47+Z46</f>
        <v>19334953</v>
      </c>
      <c r="AA48" s="457">
        <f>AA47+AA46</f>
        <v>21264118</v>
      </c>
      <c r="AB48" s="522">
        <f t="shared" si="52"/>
        <v>1929165</v>
      </c>
      <c r="AC48" s="459">
        <f>AC47+AC46</f>
        <v>14208750</v>
      </c>
      <c r="AD48" s="457">
        <f>AD47+AD46</f>
        <v>15663684</v>
      </c>
      <c r="AE48" s="522">
        <f t="shared" si="53"/>
        <v>1454934</v>
      </c>
      <c r="AF48" s="460">
        <f t="shared" si="54"/>
        <v>199039209</v>
      </c>
      <c r="AG48" s="523">
        <f t="shared" si="54"/>
        <v>210927153</v>
      </c>
      <c r="AH48" s="524">
        <f t="shared" si="55"/>
        <v>11887944</v>
      </c>
      <c r="AI48" s="459">
        <f>AI47+AI46</f>
        <v>84525714</v>
      </c>
      <c r="AJ48" s="457">
        <f>AJ47+AJ46</f>
        <v>88676057</v>
      </c>
      <c r="AK48" s="522">
        <f t="shared" si="56"/>
        <v>4150343</v>
      </c>
      <c r="AL48" s="459">
        <f>AL47+AL46</f>
        <v>22975244</v>
      </c>
      <c r="AM48" s="457">
        <f>AM47+AM46</f>
        <v>23975159</v>
      </c>
      <c r="AN48" s="522">
        <f t="shared" si="57"/>
        <v>999915</v>
      </c>
      <c r="AO48" s="459">
        <f>AO47+AO46</f>
        <v>0</v>
      </c>
      <c r="AP48" s="457">
        <f>AP47+AP46</f>
        <v>1180425</v>
      </c>
      <c r="AQ48" s="522">
        <f t="shared" si="58"/>
        <v>1180425</v>
      </c>
      <c r="AR48" s="459">
        <f>AR47+AR46</f>
        <v>15012577</v>
      </c>
      <c r="AS48" s="457">
        <f>AS47+AS46</f>
        <v>16072524</v>
      </c>
      <c r="AT48" s="522">
        <f t="shared" si="59"/>
        <v>1059947</v>
      </c>
      <c r="AU48" s="461">
        <f t="shared" si="60"/>
        <v>122513535</v>
      </c>
      <c r="AV48" s="525">
        <f t="shared" si="60"/>
        <v>129904165</v>
      </c>
      <c r="AW48" s="526">
        <f t="shared" si="61"/>
        <v>7390630</v>
      </c>
      <c r="AX48" s="462">
        <f>AX47+AX46</f>
        <v>1157473326</v>
      </c>
      <c r="AY48" s="527">
        <f>AY47+AY46</f>
        <v>1244416582</v>
      </c>
      <c r="AZ48" s="522">
        <f t="shared" si="63"/>
        <v>86943256</v>
      </c>
      <c r="BA48" s="459">
        <f>BA47+BA46</f>
        <v>3067703963</v>
      </c>
      <c r="BB48" s="528">
        <f>BB47+BB46</f>
        <v>3261908944</v>
      </c>
      <c r="BC48" s="529">
        <f t="shared" si="64"/>
        <v>194204981</v>
      </c>
      <c r="BD48" s="463">
        <f>BD47+BD46</f>
        <v>4225177289</v>
      </c>
      <c r="BE48" s="528">
        <f>BE47+BE46</f>
        <v>4506325526</v>
      </c>
      <c r="BF48" s="529">
        <f t="shared" si="66"/>
        <v>281148237</v>
      </c>
      <c r="BG48" s="522">
        <f aca="true" t="shared" si="88" ref="BG48:BU48">BG47+BG46</f>
        <v>3298205139</v>
      </c>
      <c r="BH48" s="522">
        <f>BH47+BH46</f>
        <v>3569733918</v>
      </c>
      <c r="BI48" s="522">
        <f t="shared" si="88"/>
        <v>271528779</v>
      </c>
      <c r="BJ48" s="366">
        <f t="shared" si="88"/>
        <v>1670322</v>
      </c>
      <c r="BK48" s="367">
        <f t="shared" si="88"/>
        <v>2451352</v>
      </c>
      <c r="BL48" s="367">
        <f t="shared" si="88"/>
        <v>3232382</v>
      </c>
      <c r="BM48" s="368">
        <f t="shared" si="68"/>
        <v>781030</v>
      </c>
      <c r="BN48" s="369">
        <f t="shared" si="88"/>
        <v>217074</v>
      </c>
      <c r="BO48" s="367">
        <f t="shared" si="88"/>
        <v>224092</v>
      </c>
      <c r="BP48" s="367">
        <f t="shared" si="88"/>
        <v>231110</v>
      </c>
      <c r="BQ48" s="368">
        <f t="shared" si="88"/>
        <v>7018</v>
      </c>
      <c r="BR48" s="366">
        <f t="shared" si="88"/>
        <v>89503</v>
      </c>
      <c r="BS48" s="367">
        <f t="shared" si="88"/>
        <v>89503</v>
      </c>
      <c r="BT48" s="367">
        <f t="shared" si="88"/>
        <v>89503</v>
      </c>
      <c r="BU48" s="368">
        <f t="shared" si="88"/>
        <v>0</v>
      </c>
      <c r="BV48" s="370" t="s">
        <v>310</v>
      </c>
      <c r="BW48" s="288">
        <f t="shared" si="70"/>
        <v>2764947</v>
      </c>
    </row>
    <row r="49" spans="57:75" ht="9" customHeight="1" thickBot="1">
      <c r="BE49" s="212"/>
      <c r="BG49" s="175"/>
      <c r="BH49" s="175"/>
      <c r="BI49" s="175"/>
      <c r="BW49" s="288">
        <f t="shared" si="70"/>
        <v>0</v>
      </c>
    </row>
    <row r="50" spans="1:75" s="471" customFormat="1" ht="12.75">
      <c r="A50" s="530" t="s">
        <v>158</v>
      </c>
      <c r="B50" s="531">
        <f>SUM(B51:B52)</f>
        <v>9</v>
      </c>
      <c r="C50" s="532">
        <f>SUM(C51:C52)</f>
        <v>9</v>
      </c>
      <c r="D50" s="533">
        <f>C50-B50</f>
        <v>0</v>
      </c>
      <c r="E50" s="531">
        <v>15.5</v>
      </c>
      <c r="F50" s="531">
        <v>15.5</v>
      </c>
      <c r="G50" s="532">
        <f>F50-E50</f>
        <v>0</v>
      </c>
      <c r="H50" s="531">
        <f>SUM(H51:H52)</f>
        <v>12</v>
      </c>
      <c r="I50" s="531">
        <f>SUM(I51:I52)</f>
        <v>12</v>
      </c>
      <c r="J50" s="148">
        <f>I50-H50</f>
        <v>0</v>
      </c>
      <c r="K50" s="531">
        <f>SUM(K51:K52)</f>
        <v>54</v>
      </c>
      <c r="L50" s="531">
        <f>SUM(L51:L52)</f>
        <v>55</v>
      </c>
      <c r="M50" s="148">
        <f>L50-K50</f>
        <v>1</v>
      </c>
      <c r="N50" s="531">
        <f>SUM(N51:N52)</f>
        <v>44.75</v>
      </c>
      <c r="O50" s="531">
        <f>SUM(O51:O52)</f>
        <v>44.75</v>
      </c>
      <c r="P50" s="148">
        <f>O50-N50</f>
        <v>0</v>
      </c>
      <c r="Q50" s="531">
        <f>SUM(Q51:Q52)</f>
        <v>18.25</v>
      </c>
      <c r="R50" s="531">
        <f>SUM(R51:R52)</f>
        <v>18.25</v>
      </c>
      <c r="S50" s="532">
        <f>R50-Q50</f>
        <v>0</v>
      </c>
      <c r="T50" s="531">
        <f>SUM(T51:T52)</f>
        <v>5.5</v>
      </c>
      <c r="U50" s="531">
        <f>SUM(U51:U52)</f>
        <v>5.5</v>
      </c>
      <c r="V50" s="532">
        <f>U50-T50</f>
        <v>0</v>
      </c>
      <c r="W50" s="531">
        <f>SUM(W51:W52)</f>
        <v>10.5</v>
      </c>
      <c r="X50" s="531">
        <f>SUM(X51:X52)</f>
        <v>10.5</v>
      </c>
      <c r="Y50" s="532">
        <f>X50-W50</f>
        <v>0</v>
      </c>
      <c r="Z50" s="531">
        <f>SUM(Z51:Z52)</f>
        <v>4.5</v>
      </c>
      <c r="AA50" s="531">
        <f>SUM(AA51:AA52)</f>
        <v>4.5</v>
      </c>
      <c r="AB50" s="532">
        <f>AA50-Z50</f>
        <v>0</v>
      </c>
      <c r="AC50" s="531">
        <f>SUM(AC51:AC52)</f>
        <v>3</v>
      </c>
      <c r="AD50" s="531">
        <f>SUM(AD51:AD52)</f>
        <v>3</v>
      </c>
      <c r="AE50" s="532">
        <f>AD50-AC50</f>
        <v>0</v>
      </c>
      <c r="AF50" s="534">
        <f aca="true" t="shared" si="89" ref="AF50:AG53">Q50+T50+W50+Z50+AC50</f>
        <v>41.75</v>
      </c>
      <c r="AG50" s="535">
        <f t="shared" si="89"/>
        <v>41.75</v>
      </c>
      <c r="AH50" s="416">
        <f>AG50-AF50</f>
        <v>0</v>
      </c>
      <c r="AI50" s="531">
        <f>SUM(AI51:AI52)</f>
        <v>18.5</v>
      </c>
      <c r="AJ50" s="531">
        <f>SUM(AJ51:AJ52)</f>
        <v>19.5</v>
      </c>
      <c r="AK50" s="532">
        <f>AJ50-AI50</f>
        <v>1</v>
      </c>
      <c r="AL50" s="531">
        <f>SUM(AL51:AL52)</f>
        <v>3</v>
      </c>
      <c r="AM50" s="531">
        <f>SUM(AM51:AM52)</f>
        <v>3</v>
      </c>
      <c r="AN50" s="532">
        <f>AM50-AL50</f>
        <v>0</v>
      </c>
      <c r="AO50" s="531">
        <f>SUM(AO51:AO52)</f>
        <v>0</v>
      </c>
      <c r="AP50" s="531">
        <f>SUM(AP51:AP52)</f>
        <v>0</v>
      </c>
      <c r="AQ50" s="532">
        <f>AP50-AO50</f>
        <v>0</v>
      </c>
      <c r="AR50" s="531">
        <f>SUM(AR51:AR52)</f>
        <v>3</v>
      </c>
      <c r="AS50" s="531">
        <f>SUM(AS51:AS52)</f>
        <v>3</v>
      </c>
      <c r="AT50" s="532">
        <f>AS50-AR50</f>
        <v>0</v>
      </c>
      <c r="AU50" s="536">
        <f aca="true" t="shared" si="90" ref="AU50:AV53">AI50+AL50+AR50+AO50</f>
        <v>24.5</v>
      </c>
      <c r="AV50" s="537">
        <f t="shared" si="90"/>
        <v>25.5</v>
      </c>
      <c r="AW50" s="537">
        <f>AV50-AU50</f>
        <v>1</v>
      </c>
      <c r="AX50" s="538">
        <f aca="true" t="shared" si="91" ref="AX50:AY53">B50+E50+H50+K50+N50+AU50+AF50</f>
        <v>201.5</v>
      </c>
      <c r="AY50" s="532">
        <f t="shared" si="91"/>
        <v>203.5</v>
      </c>
      <c r="AZ50" s="532">
        <f>AY50-AX50</f>
        <v>2</v>
      </c>
      <c r="BA50" s="539">
        <f>SUM(BA51:BA52)</f>
        <v>4.75</v>
      </c>
      <c r="BB50" s="532">
        <f>BA50</f>
        <v>4.75</v>
      </c>
      <c r="BC50" s="532">
        <f>BB50-BA50</f>
        <v>0</v>
      </c>
      <c r="BD50" s="540">
        <f aca="true" t="shared" si="92" ref="BD50:BE53">BA50+AX50</f>
        <v>206.25</v>
      </c>
      <c r="BE50" s="532">
        <f t="shared" si="92"/>
        <v>208.25</v>
      </c>
      <c r="BF50" s="532">
        <f>BE50-BD50</f>
        <v>2</v>
      </c>
      <c r="BG50" s="541"/>
      <c r="BH50" s="541"/>
      <c r="BI50" s="541"/>
      <c r="BJ50" s="520"/>
      <c r="BK50" s="542"/>
      <c r="BL50" s="542"/>
      <c r="BM50" s="542"/>
      <c r="BN50" s="543"/>
      <c r="BO50" s="542"/>
      <c r="BP50" s="542"/>
      <c r="BQ50" s="542"/>
      <c r="BR50" s="543"/>
      <c r="BS50" s="542"/>
      <c r="BT50" s="542"/>
      <c r="BU50" s="542"/>
      <c r="BV50" s="542"/>
      <c r="BW50" s="543"/>
    </row>
    <row r="51" spans="1:75" s="560" customFormat="1" ht="12.75">
      <c r="A51" s="544" t="s">
        <v>154</v>
      </c>
      <c r="B51" s="545">
        <v>7</v>
      </c>
      <c r="C51" s="546">
        <v>7</v>
      </c>
      <c r="D51" s="547">
        <f>C51-B51</f>
        <v>0</v>
      </c>
      <c r="E51" s="546">
        <v>5.5</v>
      </c>
      <c r="F51" s="546">
        <v>5.5</v>
      </c>
      <c r="G51" s="546">
        <f>F51-E51</f>
        <v>0</v>
      </c>
      <c r="H51" s="546">
        <v>4</v>
      </c>
      <c r="I51" s="546">
        <v>4</v>
      </c>
      <c r="J51" s="157">
        <f>I51-H51</f>
        <v>0</v>
      </c>
      <c r="K51" s="548">
        <v>52</v>
      </c>
      <c r="L51" s="546">
        <v>53</v>
      </c>
      <c r="M51" s="157">
        <f>L51-K51</f>
        <v>1</v>
      </c>
      <c r="N51" s="548">
        <v>39.75</v>
      </c>
      <c r="O51" s="546">
        <v>39.75</v>
      </c>
      <c r="P51" s="157">
        <f>O51-N51</f>
        <v>0</v>
      </c>
      <c r="Q51" s="548">
        <v>17</v>
      </c>
      <c r="R51" s="546">
        <v>17</v>
      </c>
      <c r="S51" s="546">
        <f>R51-Q51</f>
        <v>0</v>
      </c>
      <c r="T51" s="548">
        <v>4.5</v>
      </c>
      <c r="U51" s="546">
        <v>4.5</v>
      </c>
      <c r="V51" s="546">
        <f>U51-T51</f>
        <v>0</v>
      </c>
      <c r="W51" s="548">
        <v>10</v>
      </c>
      <c r="X51" s="546">
        <v>10</v>
      </c>
      <c r="Y51" s="546">
        <f>X51-W51</f>
        <v>0</v>
      </c>
      <c r="Z51" s="548">
        <v>4</v>
      </c>
      <c r="AA51" s="546">
        <v>4</v>
      </c>
      <c r="AB51" s="546">
        <f>AA51-Z51</f>
        <v>0</v>
      </c>
      <c r="AC51" s="548">
        <v>3</v>
      </c>
      <c r="AD51" s="546">
        <v>3</v>
      </c>
      <c r="AE51" s="546">
        <f>AD51-AC51</f>
        <v>0</v>
      </c>
      <c r="AF51" s="549">
        <f t="shared" si="89"/>
        <v>38.5</v>
      </c>
      <c r="AG51" s="550">
        <f t="shared" si="89"/>
        <v>38.5</v>
      </c>
      <c r="AH51" s="272">
        <f>AG51-AF51</f>
        <v>0</v>
      </c>
      <c r="AI51" s="548">
        <v>18</v>
      </c>
      <c r="AJ51" s="546">
        <v>19</v>
      </c>
      <c r="AK51" s="546">
        <f>AJ51-AI51</f>
        <v>1</v>
      </c>
      <c r="AL51" s="548">
        <v>3</v>
      </c>
      <c r="AM51" s="546">
        <v>3</v>
      </c>
      <c r="AN51" s="546">
        <f>AM51-AL51</f>
        <v>0</v>
      </c>
      <c r="AO51" s="548">
        <v>0</v>
      </c>
      <c r="AP51" s="546">
        <v>0</v>
      </c>
      <c r="AQ51" s="546">
        <f>AP51-AO51</f>
        <v>0</v>
      </c>
      <c r="AR51" s="548">
        <v>3</v>
      </c>
      <c r="AS51" s="546">
        <v>3</v>
      </c>
      <c r="AT51" s="546">
        <f>AS51-AR51</f>
        <v>0</v>
      </c>
      <c r="AU51" s="551">
        <f t="shared" si="90"/>
        <v>24</v>
      </c>
      <c r="AV51" s="552">
        <f t="shared" si="90"/>
        <v>25</v>
      </c>
      <c r="AW51" s="552">
        <f>AV51-AU51</f>
        <v>1</v>
      </c>
      <c r="AX51" s="553">
        <f t="shared" si="91"/>
        <v>170.75</v>
      </c>
      <c r="AY51" s="546">
        <f t="shared" si="91"/>
        <v>172.75</v>
      </c>
      <c r="AZ51" s="546">
        <f>AY51-AX51</f>
        <v>2</v>
      </c>
      <c r="BA51" s="554">
        <v>3.5</v>
      </c>
      <c r="BB51" s="546">
        <f>BA51</f>
        <v>3.5</v>
      </c>
      <c r="BC51" s="546">
        <f>BB51-BA51</f>
        <v>0</v>
      </c>
      <c r="BD51" s="555">
        <f t="shared" si="92"/>
        <v>174.25</v>
      </c>
      <c r="BE51" s="546">
        <f t="shared" si="92"/>
        <v>176.25</v>
      </c>
      <c r="BF51" s="546">
        <f>BE51-BD51</f>
        <v>2</v>
      </c>
      <c r="BG51" s="556"/>
      <c r="BH51" s="556"/>
      <c r="BI51" s="556"/>
      <c r="BJ51" s="557"/>
      <c r="BK51" s="558"/>
      <c r="BL51" s="558"/>
      <c r="BM51" s="558"/>
      <c r="BN51" s="557"/>
      <c r="BO51" s="558"/>
      <c r="BP51" s="558"/>
      <c r="BQ51" s="558"/>
      <c r="BR51" s="559"/>
      <c r="BS51" s="558"/>
      <c r="BT51" s="558"/>
      <c r="BU51" s="558"/>
      <c r="BV51" s="558"/>
      <c r="BW51" s="559"/>
    </row>
    <row r="52" spans="1:75" s="560" customFormat="1" ht="12.75">
      <c r="A52" s="544" t="s">
        <v>155</v>
      </c>
      <c r="B52" s="545">
        <v>2</v>
      </c>
      <c r="C52" s="546">
        <v>2</v>
      </c>
      <c r="D52" s="547">
        <f>C52-B52</f>
        <v>0</v>
      </c>
      <c r="E52" s="546">
        <v>10</v>
      </c>
      <c r="F52" s="546">
        <v>10</v>
      </c>
      <c r="G52" s="546">
        <f>F52-E52</f>
        <v>0</v>
      </c>
      <c r="H52" s="546">
        <v>8</v>
      </c>
      <c r="I52" s="546">
        <v>8</v>
      </c>
      <c r="J52" s="157">
        <f>I52-H52</f>
        <v>0</v>
      </c>
      <c r="K52" s="548">
        <v>2</v>
      </c>
      <c r="L52" s="546">
        <v>2</v>
      </c>
      <c r="M52" s="157">
        <f>L52-K52</f>
        <v>0</v>
      </c>
      <c r="N52" s="548">
        <v>5</v>
      </c>
      <c r="O52" s="546">
        <v>5</v>
      </c>
      <c r="P52" s="157">
        <f>O52-N52</f>
        <v>0</v>
      </c>
      <c r="Q52" s="548">
        <v>1.25</v>
      </c>
      <c r="R52" s="546">
        <v>1.25</v>
      </c>
      <c r="S52" s="546">
        <f>R52-Q52</f>
        <v>0</v>
      </c>
      <c r="T52" s="548">
        <v>1</v>
      </c>
      <c r="U52" s="546">
        <v>1</v>
      </c>
      <c r="V52" s="546">
        <f>U52-T52</f>
        <v>0</v>
      </c>
      <c r="W52" s="548">
        <v>0.5</v>
      </c>
      <c r="X52" s="546">
        <v>0.5</v>
      </c>
      <c r="Y52" s="546">
        <f>X52-W52</f>
        <v>0</v>
      </c>
      <c r="Z52" s="548">
        <v>0.5</v>
      </c>
      <c r="AA52" s="546">
        <v>0.5</v>
      </c>
      <c r="AB52" s="546">
        <f>AA52-Z52</f>
        <v>0</v>
      </c>
      <c r="AC52" s="548">
        <v>0</v>
      </c>
      <c r="AD52" s="546">
        <v>0</v>
      </c>
      <c r="AE52" s="546">
        <f>AD52-AC52</f>
        <v>0</v>
      </c>
      <c r="AF52" s="549">
        <f t="shared" si="89"/>
        <v>3.25</v>
      </c>
      <c r="AG52" s="550">
        <f t="shared" si="89"/>
        <v>3.25</v>
      </c>
      <c r="AH52" s="272">
        <f>AG52-AF52</f>
        <v>0</v>
      </c>
      <c r="AI52" s="548">
        <v>0.5</v>
      </c>
      <c r="AJ52" s="546">
        <v>0.5</v>
      </c>
      <c r="AK52" s="546">
        <f>AJ52-AI52</f>
        <v>0</v>
      </c>
      <c r="AL52" s="548">
        <v>0</v>
      </c>
      <c r="AM52" s="546">
        <v>0</v>
      </c>
      <c r="AN52" s="546">
        <f>AM52-AL52</f>
        <v>0</v>
      </c>
      <c r="AO52" s="548">
        <v>0</v>
      </c>
      <c r="AP52" s="546">
        <v>0</v>
      </c>
      <c r="AQ52" s="546">
        <f>AP52-AO52</f>
        <v>0</v>
      </c>
      <c r="AR52" s="548">
        <v>0</v>
      </c>
      <c r="AS52" s="546">
        <v>0</v>
      </c>
      <c r="AT52" s="546">
        <f>AS52-AR52</f>
        <v>0</v>
      </c>
      <c r="AU52" s="551">
        <f t="shared" si="90"/>
        <v>0.5</v>
      </c>
      <c r="AV52" s="552">
        <f t="shared" si="90"/>
        <v>0.5</v>
      </c>
      <c r="AW52" s="552">
        <f>AV52-AU52</f>
        <v>0</v>
      </c>
      <c r="AX52" s="553">
        <f t="shared" si="91"/>
        <v>30.75</v>
      </c>
      <c r="AY52" s="546">
        <f t="shared" si="91"/>
        <v>30.75</v>
      </c>
      <c r="AZ52" s="546">
        <f>AY52-AX52</f>
        <v>0</v>
      </c>
      <c r="BA52" s="554">
        <v>1.25</v>
      </c>
      <c r="BB52" s="546">
        <f>BA52</f>
        <v>1.25</v>
      </c>
      <c r="BC52" s="546">
        <f>BB52-BA52</f>
        <v>0</v>
      </c>
      <c r="BD52" s="555">
        <f t="shared" si="92"/>
        <v>32</v>
      </c>
      <c r="BE52" s="546">
        <f t="shared" si="92"/>
        <v>32</v>
      </c>
      <c r="BF52" s="546">
        <f>BE52-BD52</f>
        <v>0</v>
      </c>
      <c r="BJ52" s="559"/>
      <c r="BK52" s="558"/>
      <c r="BL52" s="558"/>
      <c r="BM52" s="558"/>
      <c r="BN52" s="559"/>
      <c r="BO52" s="558"/>
      <c r="BP52" s="558"/>
      <c r="BQ52" s="558"/>
      <c r="BR52" s="559"/>
      <c r="BS52" s="558"/>
      <c r="BT52" s="558"/>
      <c r="BU52" s="558"/>
      <c r="BV52" s="558"/>
      <c r="BW52" s="559"/>
    </row>
    <row r="53" spans="1:75" s="471" customFormat="1" ht="13.5" thickBot="1">
      <c r="A53" s="561" t="s">
        <v>339</v>
      </c>
      <c r="B53" s="562">
        <v>2</v>
      </c>
      <c r="C53" s="563">
        <v>2</v>
      </c>
      <c r="D53" s="564">
        <f>C53-B53</f>
        <v>0</v>
      </c>
      <c r="E53" s="563">
        <v>1</v>
      </c>
      <c r="F53" s="563">
        <v>1</v>
      </c>
      <c r="G53" s="563">
        <f>F53-E53</f>
        <v>0</v>
      </c>
      <c r="H53" s="563">
        <v>0</v>
      </c>
      <c r="I53" s="563">
        <v>0</v>
      </c>
      <c r="J53" s="157">
        <f>I53-H53</f>
        <v>0</v>
      </c>
      <c r="K53" s="565">
        <v>1</v>
      </c>
      <c r="L53" s="563">
        <v>1</v>
      </c>
      <c r="M53" s="157">
        <f>L53-K53</f>
        <v>0</v>
      </c>
      <c r="N53" s="565">
        <v>0</v>
      </c>
      <c r="O53" s="563">
        <v>0</v>
      </c>
      <c r="P53" s="157">
        <f>O53-N53</f>
        <v>0</v>
      </c>
      <c r="Q53" s="565">
        <v>1</v>
      </c>
      <c r="R53" s="563">
        <v>1</v>
      </c>
      <c r="S53" s="563">
        <f>R53-Q53</f>
        <v>0</v>
      </c>
      <c r="T53" s="565">
        <v>1</v>
      </c>
      <c r="U53" s="563">
        <v>1</v>
      </c>
      <c r="V53" s="563">
        <f>U53-T53</f>
        <v>0</v>
      </c>
      <c r="W53" s="565">
        <v>0</v>
      </c>
      <c r="X53" s="563">
        <v>0</v>
      </c>
      <c r="Y53" s="563">
        <f>X53-W53</f>
        <v>0</v>
      </c>
      <c r="Z53" s="565">
        <v>0</v>
      </c>
      <c r="AA53" s="563">
        <f>Z53</f>
        <v>0</v>
      </c>
      <c r="AB53" s="563">
        <f>AA53-Z53</f>
        <v>0</v>
      </c>
      <c r="AC53" s="565">
        <v>1</v>
      </c>
      <c r="AD53" s="563">
        <v>1</v>
      </c>
      <c r="AE53" s="563">
        <f>AD53-AC53</f>
        <v>0</v>
      </c>
      <c r="AF53" s="566">
        <f t="shared" si="89"/>
        <v>3</v>
      </c>
      <c r="AG53" s="567">
        <f t="shared" si="89"/>
        <v>3</v>
      </c>
      <c r="AH53" s="272">
        <f>AG53-AF53</f>
        <v>0</v>
      </c>
      <c r="AI53" s="565">
        <v>0</v>
      </c>
      <c r="AJ53" s="563">
        <v>0</v>
      </c>
      <c r="AK53" s="563">
        <f>AJ53-AI53</f>
        <v>0</v>
      </c>
      <c r="AL53" s="565">
        <v>1</v>
      </c>
      <c r="AM53" s="563">
        <v>1</v>
      </c>
      <c r="AN53" s="563">
        <f>AM53-AL53</f>
        <v>0</v>
      </c>
      <c r="AO53" s="565">
        <v>0</v>
      </c>
      <c r="AP53" s="563">
        <v>0</v>
      </c>
      <c r="AQ53" s="563">
        <f>AP53-AO53</f>
        <v>0</v>
      </c>
      <c r="AR53" s="565">
        <v>0</v>
      </c>
      <c r="AS53" s="563">
        <v>0</v>
      </c>
      <c r="AT53" s="563">
        <f>AS53-AR53</f>
        <v>0</v>
      </c>
      <c r="AU53" s="568">
        <f t="shared" si="90"/>
        <v>1</v>
      </c>
      <c r="AV53" s="569">
        <f t="shared" si="90"/>
        <v>1</v>
      </c>
      <c r="AW53" s="569">
        <f>AV53-AU53</f>
        <v>0</v>
      </c>
      <c r="AX53" s="570">
        <f t="shared" si="91"/>
        <v>8</v>
      </c>
      <c r="AY53" s="563">
        <f t="shared" si="91"/>
        <v>8</v>
      </c>
      <c r="AZ53" s="563">
        <f>AY53-AX53</f>
        <v>0</v>
      </c>
      <c r="BA53" s="571">
        <v>0</v>
      </c>
      <c r="BB53" s="563">
        <v>0</v>
      </c>
      <c r="BC53" s="563">
        <f>BB53-BA53</f>
        <v>0</v>
      </c>
      <c r="BD53" s="572">
        <f t="shared" si="92"/>
        <v>8</v>
      </c>
      <c r="BE53" s="563">
        <f t="shared" si="92"/>
        <v>8</v>
      </c>
      <c r="BF53" s="563">
        <f>BE53-BD53</f>
        <v>0</v>
      </c>
      <c r="BJ53" s="543"/>
      <c r="BK53" s="542"/>
      <c r="BL53" s="542"/>
      <c r="BM53" s="542"/>
      <c r="BN53" s="543"/>
      <c r="BO53" s="542"/>
      <c r="BP53" s="542"/>
      <c r="BQ53" s="542"/>
      <c r="BR53" s="543"/>
      <c r="BS53" s="542"/>
      <c r="BT53" s="542"/>
      <c r="BU53" s="542"/>
      <c r="BV53" s="542"/>
      <c r="BW53" s="543"/>
    </row>
  </sheetData>
  <sheetProtection/>
  <mergeCells count="48">
    <mergeCell ref="BA27:BC27"/>
    <mergeCell ref="BD27:BF27"/>
    <mergeCell ref="BG27:BI27"/>
    <mergeCell ref="BJ27:BM27"/>
    <mergeCell ref="BN27:BQ27"/>
    <mergeCell ref="BR27:BU27"/>
    <mergeCell ref="AI27:AK27"/>
    <mergeCell ref="AL27:AN27"/>
    <mergeCell ref="AO27:AQ27"/>
    <mergeCell ref="AR27:AT27"/>
    <mergeCell ref="AU27:AW27"/>
    <mergeCell ref="AX27:AZ27"/>
    <mergeCell ref="Q27:S27"/>
    <mergeCell ref="T27:V27"/>
    <mergeCell ref="W27:Y27"/>
    <mergeCell ref="Z27:AB27"/>
    <mergeCell ref="AC27:AE27"/>
    <mergeCell ref="AF27:AH27"/>
    <mergeCell ref="A27:A28"/>
    <mergeCell ref="B27:D27"/>
    <mergeCell ref="E27:G27"/>
    <mergeCell ref="H27:J27"/>
    <mergeCell ref="K27:M27"/>
    <mergeCell ref="N27:P27"/>
    <mergeCell ref="BA3:BC3"/>
    <mergeCell ref="BD3:BF3"/>
    <mergeCell ref="BG3:BI3"/>
    <mergeCell ref="BJ3:BM3"/>
    <mergeCell ref="BN3:BQ3"/>
    <mergeCell ref="BR3:BU3"/>
    <mergeCell ref="AI3:AK3"/>
    <mergeCell ref="AL3:AN3"/>
    <mergeCell ref="AO3:AQ3"/>
    <mergeCell ref="AR3:AT3"/>
    <mergeCell ref="AU3:AW3"/>
    <mergeCell ref="AX3:AZ3"/>
    <mergeCell ref="Q3:S3"/>
    <mergeCell ref="T3:V3"/>
    <mergeCell ref="W3:Y3"/>
    <mergeCell ref="Z3:AB3"/>
    <mergeCell ref="AC3:AE3"/>
    <mergeCell ref="AF3:AH3"/>
    <mergeCell ref="A3:A4"/>
    <mergeCell ref="B3:D3"/>
    <mergeCell ref="E3:G3"/>
    <mergeCell ref="H3:J3"/>
    <mergeCell ref="K3:M3"/>
    <mergeCell ref="N3:P3"/>
  </mergeCells>
  <printOptions/>
  <pageMargins left="0.07874015748031496" right="0.1968503937007874" top="0" bottom="0" header="0.31496062992125984" footer="0.31496062992125984"/>
  <pageSetup fitToWidth="6" horizontalDpi="600" verticalDpi="6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3"/>
  <sheetViews>
    <sheetView zoomScalePageLayoutView="0" workbookViewId="0" topLeftCell="A1">
      <selection activeCell="I9" sqref="I9"/>
    </sheetView>
  </sheetViews>
  <sheetFormatPr defaultColWidth="9.00390625" defaultRowHeight="12.75"/>
  <cols>
    <col min="1" max="1" width="3.875" style="0" customWidth="1"/>
    <col min="2" max="2" width="63.875" style="0" customWidth="1"/>
    <col min="3" max="3" width="14.75390625" style="0" customWidth="1"/>
    <col min="4" max="4" width="15.00390625" style="0" customWidth="1"/>
    <col min="5" max="5" width="10.875" style="0" bestFit="1" customWidth="1"/>
    <col min="6" max="6" width="5.25390625" style="0" customWidth="1"/>
  </cols>
  <sheetData>
    <row r="1" spans="1:5" s="2" customFormat="1" ht="13.5">
      <c r="A1" s="124" t="s">
        <v>301</v>
      </c>
      <c r="B1" s="124"/>
      <c r="C1" s="124"/>
      <c r="E1" s="3"/>
    </row>
    <row r="2" spans="2:5" s="2" customFormat="1" ht="12.75">
      <c r="B2" s="12"/>
      <c r="C2" s="3"/>
      <c r="D2" s="3"/>
      <c r="E2" s="3"/>
    </row>
    <row r="3" spans="1:5" s="2" customFormat="1" ht="16.5" customHeight="1">
      <c r="A3" s="573" t="s">
        <v>215</v>
      </c>
      <c r="B3" s="573"/>
      <c r="C3" s="573"/>
      <c r="D3" s="573"/>
      <c r="E3" s="573"/>
    </row>
    <row r="4" spans="1:5" s="2" customFormat="1" ht="16.5" customHeight="1">
      <c r="A4" s="573" t="s">
        <v>216</v>
      </c>
      <c r="B4" s="573"/>
      <c r="C4" s="573"/>
      <c r="D4" s="573"/>
      <c r="E4" s="573"/>
    </row>
    <row r="5" spans="1:5" s="2" customFormat="1" ht="45" customHeight="1">
      <c r="A5" s="18"/>
      <c r="B5" s="122"/>
      <c r="C5" s="122" t="s">
        <v>340</v>
      </c>
      <c r="D5" s="122" t="s">
        <v>341</v>
      </c>
      <c r="E5" s="122" t="s">
        <v>342</v>
      </c>
    </row>
    <row r="6" spans="1:5" s="575" customFormat="1" ht="16.5" customHeight="1">
      <c r="A6" s="574" t="s">
        <v>1</v>
      </c>
      <c r="B6" s="574" t="s">
        <v>81</v>
      </c>
      <c r="C6" s="574"/>
      <c r="D6" s="574"/>
      <c r="E6" s="574"/>
    </row>
    <row r="7" spans="1:5" s="42" customFormat="1" ht="16.5" customHeight="1">
      <c r="A7" s="14" t="s">
        <v>4</v>
      </c>
      <c r="B7" s="14" t="s">
        <v>299</v>
      </c>
      <c r="C7" s="121">
        <v>33000000</v>
      </c>
      <c r="D7" s="121">
        <v>33000000</v>
      </c>
      <c r="E7" s="576">
        <f>D7-C7</f>
        <v>0</v>
      </c>
    </row>
    <row r="8" spans="1:5" s="578" customFormat="1" ht="16.5" customHeight="1">
      <c r="A8" s="14" t="s">
        <v>5</v>
      </c>
      <c r="B8" s="14" t="s">
        <v>242</v>
      </c>
      <c r="C8" s="121">
        <f>35200000-1760000</f>
        <v>33440000</v>
      </c>
      <c r="D8" s="121">
        <f>35200000-1760000</f>
        <v>33440000</v>
      </c>
      <c r="E8" s="577">
        <f aca="true" t="shared" si="0" ref="E8:E60">D8-C8</f>
        <v>0</v>
      </c>
    </row>
    <row r="9" spans="1:5" s="578" customFormat="1" ht="16.5" customHeight="1">
      <c r="A9" s="14" t="s">
        <v>6</v>
      </c>
      <c r="B9" s="14" t="s">
        <v>241</v>
      </c>
      <c r="C9" s="121">
        <v>56700824</v>
      </c>
      <c r="D9" s="121">
        <v>56700824</v>
      </c>
      <c r="E9" s="577">
        <f t="shared" si="0"/>
        <v>0</v>
      </c>
    </row>
    <row r="10" spans="1:5" s="578" customFormat="1" ht="16.5" customHeight="1">
      <c r="A10" s="14" t="s">
        <v>7</v>
      </c>
      <c r="B10" s="14" t="s">
        <v>267</v>
      </c>
      <c r="C10" s="121">
        <f>45609738+7500000+4500000+4800000+1790065</f>
        <v>64199803</v>
      </c>
      <c r="D10" s="121">
        <f>45609738+7500000+4500000+4800000+1790065-10000000-11987454</f>
        <v>42212349</v>
      </c>
      <c r="E10" s="577">
        <f t="shared" si="0"/>
        <v>-21987454</v>
      </c>
    </row>
    <row r="11" spans="1:5" s="578" customFormat="1" ht="16.5" customHeight="1">
      <c r="A11" s="14" t="s">
        <v>8</v>
      </c>
      <c r="B11" s="14" t="s">
        <v>190</v>
      </c>
      <c r="C11" s="121">
        <v>18000000</v>
      </c>
      <c r="D11" s="121">
        <v>18000000</v>
      </c>
      <c r="E11" s="577">
        <f t="shared" si="0"/>
        <v>0</v>
      </c>
    </row>
    <row r="12" spans="2:5" s="579" customFormat="1" ht="16.5" customHeight="1">
      <c r="B12" s="579" t="s">
        <v>3</v>
      </c>
      <c r="C12" s="580">
        <f>SUM(C7:C11)</f>
        <v>205340627</v>
      </c>
      <c r="D12" s="580">
        <f>SUM(D7:D11)</f>
        <v>183353173</v>
      </c>
      <c r="E12" s="581">
        <f t="shared" si="0"/>
        <v>-21987454</v>
      </c>
    </row>
    <row r="13" spans="3:5" s="42" customFormat="1" ht="16.5" customHeight="1">
      <c r="C13" s="44"/>
      <c r="D13" s="44"/>
      <c r="E13" s="582"/>
    </row>
    <row r="14" spans="1:5" s="579" customFormat="1" ht="16.5" customHeight="1">
      <c r="A14" s="579" t="s">
        <v>9</v>
      </c>
      <c r="B14" s="574" t="s">
        <v>82</v>
      </c>
      <c r="C14" s="580"/>
      <c r="D14" s="580"/>
      <c r="E14" s="580"/>
    </row>
    <row r="15" spans="1:5" s="42" customFormat="1" ht="16.5" customHeight="1">
      <c r="A15" s="14" t="s">
        <v>4</v>
      </c>
      <c r="B15" s="14" t="s">
        <v>281</v>
      </c>
      <c r="C15" s="121">
        <v>72045</v>
      </c>
      <c r="D15" s="121">
        <v>72045</v>
      </c>
      <c r="E15" s="577">
        <f t="shared" si="0"/>
        <v>0</v>
      </c>
    </row>
    <row r="16" spans="1:5" s="42" customFormat="1" ht="16.5" customHeight="1">
      <c r="A16" s="14" t="s">
        <v>5</v>
      </c>
      <c r="B16" s="14" t="s">
        <v>282</v>
      </c>
      <c r="C16" s="121">
        <v>48030</v>
      </c>
      <c r="D16" s="121">
        <v>48030</v>
      </c>
      <c r="E16" s="577">
        <f t="shared" si="0"/>
        <v>0</v>
      </c>
    </row>
    <row r="17" spans="1:5" s="42" customFormat="1" ht="16.5" customHeight="1">
      <c r="A17" s="51" t="s">
        <v>6</v>
      </c>
      <c r="B17" s="51" t="s">
        <v>343</v>
      </c>
      <c r="C17" s="50">
        <v>0</v>
      </c>
      <c r="D17" s="50">
        <v>85750000</v>
      </c>
      <c r="E17" s="583">
        <f t="shared" si="0"/>
        <v>85750000</v>
      </c>
    </row>
    <row r="18" spans="1:5" s="42" customFormat="1" ht="16.5" customHeight="1">
      <c r="A18" s="51" t="s">
        <v>7</v>
      </c>
      <c r="B18" s="51" t="s">
        <v>183</v>
      </c>
      <c r="C18" s="50">
        <v>41600000</v>
      </c>
      <c r="D18" s="50">
        <f>41600000+20314443</f>
        <v>61914443</v>
      </c>
      <c r="E18" s="583">
        <f>D18-C18</f>
        <v>20314443</v>
      </c>
    </row>
    <row r="19" spans="1:5" s="42" customFormat="1" ht="16.5" customHeight="1">
      <c r="A19" s="51" t="s">
        <v>8</v>
      </c>
      <c r="B19" s="51" t="s">
        <v>344</v>
      </c>
      <c r="C19" s="50">
        <v>0</v>
      </c>
      <c r="D19" s="50">
        <v>10551000</v>
      </c>
      <c r="E19" s="583">
        <f>D19-C19</f>
        <v>10551000</v>
      </c>
    </row>
    <row r="20" spans="1:5" s="42" customFormat="1" ht="16.5" customHeight="1">
      <c r="A20" s="51" t="s">
        <v>18</v>
      </c>
      <c r="B20" s="51" t="s">
        <v>345</v>
      </c>
      <c r="C20" s="50">
        <v>0</v>
      </c>
      <c r="D20" s="50">
        <v>20000000</v>
      </c>
      <c r="E20" s="583">
        <f t="shared" si="0"/>
        <v>20000000</v>
      </c>
    </row>
    <row r="21" spans="2:5" s="579" customFormat="1" ht="16.5" customHeight="1">
      <c r="B21" s="579" t="s">
        <v>3</v>
      </c>
      <c r="C21" s="580">
        <f>SUM(C15:C20)</f>
        <v>41720075</v>
      </c>
      <c r="D21" s="580">
        <f>SUM(D15:D20)</f>
        <v>178335518</v>
      </c>
      <c r="E21" s="581">
        <f>D21-C21</f>
        <v>136615443</v>
      </c>
    </row>
    <row r="22" spans="2:5" s="42" customFormat="1" ht="16.5" customHeight="1">
      <c r="B22" s="575"/>
      <c r="C22" s="44"/>
      <c r="D22" s="44"/>
      <c r="E22" s="44"/>
    </row>
    <row r="23" spans="1:5" s="579" customFormat="1" ht="16.5" customHeight="1">
      <c r="A23" s="579" t="s">
        <v>10</v>
      </c>
      <c r="B23" s="574" t="s">
        <v>60</v>
      </c>
      <c r="C23" s="580"/>
      <c r="D23" s="580"/>
      <c r="E23" s="580"/>
    </row>
    <row r="24" spans="1:5" s="579" customFormat="1" ht="16.5" customHeight="1">
      <c r="A24" s="578" t="s">
        <v>4</v>
      </c>
      <c r="B24" s="584" t="s">
        <v>84</v>
      </c>
      <c r="C24" s="580"/>
      <c r="D24" s="580"/>
      <c r="E24" s="580"/>
    </row>
    <row r="25" spans="1:5" s="42" customFormat="1" ht="16.5" customHeight="1">
      <c r="A25" s="14" t="s">
        <v>4</v>
      </c>
      <c r="B25" s="14" t="s">
        <v>61</v>
      </c>
      <c r="C25" s="121">
        <v>7687716</v>
      </c>
      <c r="D25" s="121">
        <v>7687716</v>
      </c>
      <c r="E25" s="576">
        <f t="shared" si="0"/>
        <v>0</v>
      </c>
    </row>
    <row r="26" spans="1:5" s="586" customFormat="1" ht="16.5" customHeight="1">
      <c r="A26" s="51" t="s">
        <v>5</v>
      </c>
      <c r="B26" s="51" t="s">
        <v>11</v>
      </c>
      <c r="C26" s="50">
        <v>100448</v>
      </c>
      <c r="D26" s="50">
        <v>100448</v>
      </c>
      <c r="E26" s="585">
        <f t="shared" si="0"/>
        <v>0</v>
      </c>
    </row>
    <row r="27" spans="1:5" s="42" customFormat="1" ht="16.5" customHeight="1">
      <c r="A27" s="51" t="s">
        <v>6</v>
      </c>
      <c r="B27" s="51" t="s">
        <v>266</v>
      </c>
      <c r="C27" s="50">
        <v>3862557</v>
      </c>
      <c r="D27" s="50">
        <v>3862557</v>
      </c>
      <c r="E27" s="585">
        <f t="shared" si="0"/>
        <v>0</v>
      </c>
    </row>
    <row r="28" spans="1:5" s="42" customFormat="1" ht="16.5" customHeight="1">
      <c r="A28" s="51" t="s">
        <v>7</v>
      </c>
      <c r="B28" s="51" t="s">
        <v>12</v>
      </c>
      <c r="C28" s="50">
        <v>1165207</v>
      </c>
      <c r="D28" s="50">
        <v>1165207</v>
      </c>
      <c r="E28" s="585">
        <f t="shared" si="0"/>
        <v>0</v>
      </c>
    </row>
    <row r="29" spans="2:5" s="579" customFormat="1" ht="16.5" customHeight="1">
      <c r="B29" s="584" t="s">
        <v>3</v>
      </c>
      <c r="C29" s="587">
        <f>SUM(C25:C28)</f>
        <v>12815928</v>
      </c>
      <c r="D29" s="587">
        <f>SUM(D25:D28)</f>
        <v>12815928</v>
      </c>
      <c r="E29" s="580">
        <f t="shared" si="0"/>
        <v>0</v>
      </c>
    </row>
    <row r="30" spans="1:5" s="579" customFormat="1" ht="16.5" customHeight="1">
      <c r="A30" s="578" t="s">
        <v>5</v>
      </c>
      <c r="B30" s="584" t="s">
        <v>83</v>
      </c>
      <c r="C30" s="580"/>
      <c r="D30" s="580"/>
      <c r="E30" s="580"/>
    </row>
    <row r="31" spans="1:5" s="42" customFormat="1" ht="16.5" customHeight="1">
      <c r="A31" s="14" t="s">
        <v>4</v>
      </c>
      <c r="B31" s="14" t="s">
        <v>284</v>
      </c>
      <c r="C31" s="121">
        <v>1478431</v>
      </c>
      <c r="D31" s="121">
        <v>1478431</v>
      </c>
      <c r="E31" s="577">
        <f t="shared" si="0"/>
        <v>0</v>
      </c>
    </row>
    <row r="32" spans="1:5" s="42" customFormat="1" ht="16.5" customHeight="1">
      <c r="A32" s="14" t="s">
        <v>5</v>
      </c>
      <c r="B32" s="14"/>
      <c r="C32" s="121"/>
      <c r="D32" s="121"/>
      <c r="E32" s="577">
        <f t="shared" si="0"/>
        <v>0</v>
      </c>
    </row>
    <row r="33" spans="2:5" s="579" customFormat="1" ht="16.5" customHeight="1">
      <c r="B33" s="578" t="s">
        <v>3</v>
      </c>
      <c r="C33" s="587">
        <f>SUM(C31:C32)</f>
        <v>1478431</v>
      </c>
      <c r="D33" s="587">
        <f>SUM(D31:D32)</f>
        <v>1478431</v>
      </c>
      <c r="E33" s="581">
        <f t="shared" si="0"/>
        <v>0</v>
      </c>
    </row>
    <row r="34" spans="2:5" s="579" customFormat="1" ht="16.5" customHeight="1">
      <c r="B34" s="579" t="s">
        <v>3</v>
      </c>
      <c r="C34" s="580">
        <f>C29+C33</f>
        <v>14294359</v>
      </c>
      <c r="D34" s="580">
        <f>D29+D33</f>
        <v>14294359</v>
      </c>
      <c r="E34" s="581">
        <f t="shared" si="0"/>
        <v>0</v>
      </c>
    </row>
    <row r="35" spans="2:5" s="579" customFormat="1" ht="16.5" customHeight="1">
      <c r="B35" s="574"/>
      <c r="C35" s="580"/>
      <c r="D35" s="580"/>
      <c r="E35" s="580"/>
    </row>
    <row r="36" spans="2:5" s="579" customFormat="1" ht="28.5" customHeight="1">
      <c r="B36" s="588" t="s">
        <v>85</v>
      </c>
      <c r="C36" s="580">
        <f>C12+C21+C34</f>
        <v>261355061</v>
      </c>
      <c r="D36" s="580">
        <f>D12+D21+D34</f>
        <v>375983050</v>
      </c>
      <c r="E36" s="581">
        <f t="shared" si="0"/>
        <v>114627989</v>
      </c>
    </row>
    <row r="37" spans="3:5" s="579" customFormat="1" ht="16.5" customHeight="1">
      <c r="C37" s="580"/>
      <c r="D37" s="580"/>
      <c r="E37" s="581"/>
    </row>
    <row r="38" spans="1:5" s="579" customFormat="1" ht="16.5" customHeight="1">
      <c r="A38" s="579" t="s">
        <v>13</v>
      </c>
      <c r="B38" s="574" t="s">
        <v>86</v>
      </c>
      <c r="C38" s="580"/>
      <c r="D38" s="580"/>
      <c r="E38" s="580"/>
    </row>
    <row r="39" spans="1:5" s="586" customFormat="1" ht="16.5" customHeight="1">
      <c r="A39" s="14">
        <v>1</v>
      </c>
      <c r="B39" s="14" t="s">
        <v>164</v>
      </c>
      <c r="C39" s="576">
        <v>5335793</v>
      </c>
      <c r="D39" s="576">
        <v>5335793</v>
      </c>
      <c r="E39" s="577">
        <f t="shared" si="0"/>
        <v>0</v>
      </c>
    </row>
    <row r="40" spans="1:5" s="586" customFormat="1" ht="16.5" customHeight="1">
      <c r="A40" s="14">
        <v>2</v>
      </c>
      <c r="B40" s="14" t="s">
        <v>298</v>
      </c>
      <c r="C40" s="121">
        <f>11022089-1379435</f>
        <v>9642654</v>
      </c>
      <c r="D40" s="121">
        <f>11022089-1379435-1676400+419581</f>
        <v>8385835</v>
      </c>
      <c r="E40" s="577">
        <f t="shared" si="0"/>
        <v>-1256819</v>
      </c>
    </row>
    <row r="41" spans="1:5" s="586" customFormat="1" ht="16.5" customHeight="1">
      <c r="A41" s="14">
        <v>3</v>
      </c>
      <c r="B41" s="14" t="s">
        <v>272</v>
      </c>
      <c r="C41" s="121">
        <f>11503990-2500000</f>
        <v>9003990</v>
      </c>
      <c r="D41" s="121">
        <f>11503990-2500000</f>
        <v>9003990</v>
      </c>
      <c r="E41" s="577">
        <f t="shared" si="0"/>
        <v>0</v>
      </c>
    </row>
    <row r="42" spans="1:5" s="586" customFormat="1" ht="16.5" customHeight="1">
      <c r="A42" s="589">
        <v>4</v>
      </c>
      <c r="B42" s="589" t="s">
        <v>262</v>
      </c>
      <c r="C42" s="585">
        <v>72619772</v>
      </c>
      <c r="D42" s="585">
        <v>72619772</v>
      </c>
      <c r="E42" s="583">
        <f t="shared" si="0"/>
        <v>0</v>
      </c>
    </row>
    <row r="43" spans="1:5" s="586" customFormat="1" ht="16.5" customHeight="1">
      <c r="A43" s="14">
        <v>5</v>
      </c>
      <c r="B43" s="14" t="s">
        <v>263</v>
      </c>
      <c r="C43" s="121">
        <v>14000000</v>
      </c>
      <c r="D43" s="121">
        <v>14000000</v>
      </c>
      <c r="E43" s="577">
        <f t="shared" si="0"/>
        <v>0</v>
      </c>
    </row>
    <row r="44" spans="1:5" s="586" customFormat="1" ht="16.5" customHeight="1">
      <c r="A44" s="14">
        <v>6</v>
      </c>
      <c r="B44" s="14" t="s">
        <v>246</v>
      </c>
      <c r="C44" s="121">
        <v>285303085</v>
      </c>
      <c r="D44" s="121">
        <v>285303085</v>
      </c>
      <c r="E44" s="577">
        <f t="shared" si="0"/>
        <v>0</v>
      </c>
    </row>
    <row r="45" spans="1:5" s="586" customFormat="1" ht="16.5" customHeight="1">
      <c r="A45" s="14">
        <v>7</v>
      </c>
      <c r="B45" s="14" t="s">
        <v>247</v>
      </c>
      <c r="C45" s="121">
        <f>137437852-2917000</f>
        <v>134520852</v>
      </c>
      <c r="D45" s="121">
        <f>137437852-2917000</f>
        <v>134520852</v>
      </c>
      <c r="E45" s="577">
        <f t="shared" si="0"/>
        <v>0</v>
      </c>
    </row>
    <row r="46" spans="1:5" s="586" customFormat="1" ht="16.5" customHeight="1">
      <c r="A46" s="14">
        <v>8</v>
      </c>
      <c r="B46" s="14" t="s">
        <v>248</v>
      </c>
      <c r="C46" s="121">
        <v>276033587</v>
      </c>
      <c r="D46" s="121">
        <v>276033587</v>
      </c>
      <c r="E46" s="577">
        <f t="shared" si="0"/>
        <v>0</v>
      </c>
    </row>
    <row r="47" spans="1:5" s="586" customFormat="1" ht="16.5" customHeight="1">
      <c r="A47" s="14">
        <v>9</v>
      </c>
      <c r="B47" s="14" t="s">
        <v>249</v>
      </c>
      <c r="C47" s="121">
        <v>5795748</v>
      </c>
      <c r="D47" s="121">
        <v>5795748</v>
      </c>
      <c r="E47" s="577">
        <f t="shared" si="0"/>
        <v>0</v>
      </c>
    </row>
    <row r="48" spans="1:5" s="586" customFormat="1" ht="16.5" customHeight="1">
      <c r="A48" s="14">
        <v>10</v>
      </c>
      <c r="B48" s="14" t="s">
        <v>250</v>
      </c>
      <c r="C48" s="121">
        <v>98529302</v>
      </c>
      <c r="D48" s="121">
        <v>98529302</v>
      </c>
      <c r="E48" s="577">
        <f t="shared" si="0"/>
        <v>0</v>
      </c>
    </row>
    <row r="49" spans="1:5" s="586" customFormat="1" ht="16.5" customHeight="1">
      <c r="A49" s="14">
        <v>11</v>
      </c>
      <c r="B49" s="14" t="s">
        <v>251</v>
      </c>
      <c r="C49" s="121">
        <f>81319020-1385400</f>
        <v>79933620</v>
      </c>
      <c r="D49" s="121">
        <f>81319020-1385400</f>
        <v>79933620</v>
      </c>
      <c r="E49" s="577">
        <f t="shared" si="0"/>
        <v>0</v>
      </c>
    </row>
    <row r="50" spans="1:5" s="586" customFormat="1" ht="16.5" customHeight="1">
      <c r="A50" s="14">
        <v>12</v>
      </c>
      <c r="B50" s="14" t="s">
        <v>252</v>
      </c>
      <c r="C50" s="121">
        <f>55918496-715000</f>
        <v>55203496</v>
      </c>
      <c r="D50" s="121">
        <f>55918496-715000</f>
        <v>55203496</v>
      </c>
      <c r="E50" s="577">
        <f t="shared" si="0"/>
        <v>0</v>
      </c>
    </row>
    <row r="51" spans="1:5" s="586" customFormat="1" ht="16.5" customHeight="1">
      <c r="A51" s="14">
        <v>13</v>
      </c>
      <c r="B51" s="14" t="s">
        <v>253</v>
      </c>
      <c r="C51" s="121">
        <v>9689915</v>
      </c>
      <c r="D51" s="121">
        <v>9689915</v>
      </c>
      <c r="E51" s="577">
        <f t="shared" si="0"/>
        <v>0</v>
      </c>
    </row>
    <row r="52" spans="1:5" s="586" customFormat="1" ht="16.5" customHeight="1">
      <c r="A52" s="14">
        <v>14</v>
      </c>
      <c r="B52" s="590" t="s">
        <v>264</v>
      </c>
      <c r="C52" s="121">
        <v>85119976</v>
      </c>
      <c r="D52" s="121">
        <v>85119976</v>
      </c>
      <c r="E52" s="577">
        <f t="shared" si="0"/>
        <v>0</v>
      </c>
    </row>
    <row r="53" spans="2:5" s="579" customFormat="1" ht="16.5" customHeight="1">
      <c r="B53" s="584" t="s">
        <v>3</v>
      </c>
      <c r="C53" s="587">
        <f>SUM(C39:C52)</f>
        <v>1140731790</v>
      </c>
      <c r="D53" s="587">
        <f>SUM(D39:D52)</f>
        <v>1139474971</v>
      </c>
      <c r="E53" s="580">
        <f t="shared" si="0"/>
        <v>-1256819</v>
      </c>
    </row>
    <row r="54" spans="3:5" s="42" customFormat="1" ht="16.5" customHeight="1">
      <c r="C54" s="582"/>
      <c r="D54" s="582"/>
      <c r="E54" s="582"/>
    </row>
    <row r="55" spans="2:5" s="579" customFormat="1" ht="16.5" customHeight="1">
      <c r="B55" s="574" t="s">
        <v>87</v>
      </c>
      <c r="C55" s="580">
        <f>C53</f>
        <v>1140731790</v>
      </c>
      <c r="D55" s="580">
        <f>D53</f>
        <v>1139474971</v>
      </c>
      <c r="E55" s="580">
        <f t="shared" si="0"/>
        <v>-1256819</v>
      </c>
    </row>
    <row r="56" spans="2:5" s="579" customFormat="1" ht="16.5" customHeight="1">
      <c r="B56" s="574"/>
      <c r="C56" s="580"/>
      <c r="D56" s="580"/>
      <c r="E56" s="580"/>
    </row>
    <row r="57" spans="2:5" s="42" customFormat="1" ht="16.5" customHeight="1">
      <c r="B57" s="579" t="s">
        <v>14</v>
      </c>
      <c r="C57" s="581">
        <f>C36+C55</f>
        <v>1402086851</v>
      </c>
      <c r="D57" s="581">
        <f>D36+D55</f>
        <v>1515458021</v>
      </c>
      <c r="E57" s="582">
        <f t="shared" si="0"/>
        <v>113371170</v>
      </c>
    </row>
    <row r="58" spans="2:5" s="42" customFormat="1" ht="16.5" customHeight="1">
      <c r="B58" s="579" t="s">
        <v>46</v>
      </c>
      <c r="C58" s="582"/>
      <c r="D58" s="582"/>
      <c r="E58" s="582"/>
    </row>
    <row r="59" spans="2:5" s="42" customFormat="1" ht="16.5" customHeight="1">
      <c r="B59" s="45" t="s">
        <v>47</v>
      </c>
      <c r="C59" s="46">
        <f>C57-C60</f>
        <v>1282738867</v>
      </c>
      <c r="D59" s="46">
        <f>D57-D60</f>
        <v>1259494594</v>
      </c>
      <c r="E59" s="577">
        <f t="shared" si="0"/>
        <v>-23244273</v>
      </c>
    </row>
    <row r="60" spans="2:5" s="42" customFormat="1" ht="16.5" customHeight="1">
      <c r="B60" s="53" t="s">
        <v>45</v>
      </c>
      <c r="C60" s="52">
        <f>C28+C27+C26+C20+C17+C42+C18+C19</f>
        <v>119347984</v>
      </c>
      <c r="D60" s="52">
        <f>D28+D27+D26+D20+D17+D42+D18+D19</f>
        <v>255963427</v>
      </c>
      <c r="E60" s="583">
        <f t="shared" si="0"/>
        <v>136615443</v>
      </c>
    </row>
    <row r="61" spans="3:5" s="42" customFormat="1" ht="12.75">
      <c r="C61" s="582"/>
      <c r="D61" s="582"/>
      <c r="E61" s="582"/>
    </row>
    <row r="63" spans="3:4" ht="12.75">
      <c r="C63" s="48"/>
      <c r="D63" s="48"/>
    </row>
  </sheetData>
  <sheetProtection/>
  <mergeCells count="3">
    <mergeCell ref="A1:C1"/>
    <mergeCell ref="A3:E3"/>
    <mergeCell ref="A4:E4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40"/>
  <sheetViews>
    <sheetView view="pageBreakPreview" zoomScaleSheetLayoutView="100" zoomScalePageLayoutView="0" workbookViewId="0" topLeftCell="A16">
      <selection activeCell="A1" sqref="A1:IV1"/>
    </sheetView>
  </sheetViews>
  <sheetFormatPr defaultColWidth="9.00390625" defaultRowHeight="12.75"/>
  <cols>
    <col min="1" max="1" width="4.125" style="0" bestFit="1" customWidth="1"/>
    <col min="2" max="2" width="66.125" style="0" customWidth="1"/>
    <col min="3" max="3" width="15.25390625" style="0" customWidth="1"/>
    <col min="4" max="4" width="15.625" style="0" customWidth="1"/>
    <col min="5" max="5" width="10.875" style="0" bestFit="1" customWidth="1"/>
    <col min="6" max="6" width="5.625" style="0" customWidth="1"/>
  </cols>
  <sheetData>
    <row r="1" spans="1:3" s="2" customFormat="1" ht="13.5" customHeight="1">
      <c r="A1" s="124" t="s">
        <v>302</v>
      </c>
      <c r="B1" s="124"/>
      <c r="C1" s="124"/>
    </row>
    <row r="2" spans="1:5" s="2" customFormat="1" ht="15" customHeight="1">
      <c r="A2" s="573" t="s">
        <v>217</v>
      </c>
      <c r="B2" s="573"/>
      <c r="C2" s="573"/>
      <c r="D2" s="573"/>
      <c r="E2" s="573"/>
    </row>
    <row r="3" spans="1:5" s="2" customFormat="1" ht="48" customHeight="1">
      <c r="A3" s="18"/>
      <c r="B3" s="18"/>
      <c r="C3" s="591" t="s">
        <v>340</v>
      </c>
      <c r="D3" s="591" t="s">
        <v>341</v>
      </c>
      <c r="E3" s="591" t="s">
        <v>346</v>
      </c>
    </row>
    <row r="4" spans="1:5" s="42" customFormat="1" ht="13.5" customHeight="1">
      <c r="A4" s="579" t="s">
        <v>1</v>
      </c>
      <c r="B4" s="588" t="s">
        <v>71</v>
      </c>
      <c r="C4" s="580"/>
      <c r="D4" s="580"/>
      <c r="E4" s="44"/>
    </row>
    <row r="5" spans="1:5" s="43" customFormat="1" ht="16.5" customHeight="1">
      <c r="A5" s="592">
        <v>1</v>
      </c>
      <c r="B5" s="593" t="s">
        <v>22</v>
      </c>
      <c r="C5" s="594">
        <v>6000000</v>
      </c>
      <c r="D5" s="594">
        <v>6000000</v>
      </c>
      <c r="E5" s="595">
        <f>D5-C5</f>
        <v>0</v>
      </c>
    </row>
    <row r="6" spans="1:5" s="43" customFormat="1" ht="16.5" customHeight="1">
      <c r="A6" s="592">
        <v>2</v>
      </c>
      <c r="B6" s="593" t="s">
        <v>20</v>
      </c>
      <c r="C6" s="594">
        <f>5000000+707390</f>
        <v>5707390</v>
      </c>
      <c r="D6" s="594">
        <f>5000000+707390-2866390</f>
        <v>2841000</v>
      </c>
      <c r="E6" s="576">
        <f aca="true" t="shared" si="0" ref="E6:E66">D6-C6</f>
        <v>-2866390</v>
      </c>
    </row>
    <row r="7" spans="1:5" s="43" customFormat="1" ht="16.5" customHeight="1">
      <c r="A7" s="592">
        <v>3</v>
      </c>
      <c r="B7" s="596" t="s">
        <v>145</v>
      </c>
      <c r="C7" s="576">
        <v>3000000</v>
      </c>
      <c r="D7" s="576">
        <v>3000000</v>
      </c>
      <c r="E7" s="595">
        <f t="shared" si="0"/>
        <v>0</v>
      </c>
    </row>
    <row r="8" spans="1:5" s="42" customFormat="1" ht="16.5" customHeight="1">
      <c r="A8" s="592">
        <v>4</v>
      </c>
      <c r="B8" s="596" t="s">
        <v>62</v>
      </c>
      <c r="C8" s="576">
        <v>5000000</v>
      </c>
      <c r="D8" s="576">
        <v>5000000</v>
      </c>
      <c r="E8" s="576">
        <f t="shared" si="0"/>
        <v>0</v>
      </c>
    </row>
    <row r="9" spans="1:5" s="42" customFormat="1" ht="15" customHeight="1">
      <c r="A9" s="592">
        <v>5</v>
      </c>
      <c r="B9" s="597" t="s">
        <v>243</v>
      </c>
      <c r="C9" s="576">
        <v>2500000</v>
      </c>
      <c r="D9" s="576">
        <v>2500000</v>
      </c>
      <c r="E9" s="576">
        <f t="shared" si="0"/>
        <v>0</v>
      </c>
    </row>
    <row r="10" spans="1:5" s="42" customFormat="1" ht="16.5" customHeight="1">
      <c r="A10" s="592">
        <v>6</v>
      </c>
      <c r="B10" s="597" t="s">
        <v>244</v>
      </c>
      <c r="C10" s="576">
        <v>14000000</v>
      </c>
      <c r="D10" s="576">
        <v>14000000</v>
      </c>
      <c r="E10" s="576">
        <f t="shared" si="0"/>
        <v>0</v>
      </c>
    </row>
    <row r="11" spans="1:5" s="42" customFormat="1" ht="16.5" customHeight="1">
      <c r="A11" s="592">
        <v>7</v>
      </c>
      <c r="B11" s="596" t="s">
        <v>238</v>
      </c>
      <c r="C11" s="577">
        <v>1000000</v>
      </c>
      <c r="D11" s="577">
        <v>1000000</v>
      </c>
      <c r="E11" s="576">
        <f t="shared" si="0"/>
        <v>0</v>
      </c>
    </row>
    <row r="12" spans="1:5" s="42" customFormat="1" ht="17.25" customHeight="1">
      <c r="A12" s="592">
        <v>8</v>
      </c>
      <c r="B12" s="598" t="s">
        <v>245</v>
      </c>
      <c r="C12" s="576">
        <v>6000000</v>
      </c>
      <c r="D12" s="576">
        <v>6000000</v>
      </c>
      <c r="E12" s="576">
        <f t="shared" si="0"/>
        <v>0</v>
      </c>
    </row>
    <row r="13" spans="1:5" s="42" customFormat="1" ht="15" customHeight="1">
      <c r="A13" s="592">
        <v>9</v>
      </c>
      <c r="B13" s="596" t="s">
        <v>259</v>
      </c>
      <c r="C13" s="576">
        <v>5847125</v>
      </c>
      <c r="D13" s="576">
        <v>5847125</v>
      </c>
      <c r="E13" s="576">
        <f t="shared" si="0"/>
        <v>0</v>
      </c>
    </row>
    <row r="14" spans="1:5" s="42" customFormat="1" ht="15" customHeight="1">
      <c r="A14" s="592">
        <v>10</v>
      </c>
      <c r="B14" s="596" t="s">
        <v>246</v>
      </c>
      <c r="C14" s="577">
        <v>285303085</v>
      </c>
      <c r="D14" s="577">
        <f>285303085-5840698</f>
        <v>279462387</v>
      </c>
      <c r="E14" s="576">
        <f t="shared" si="0"/>
        <v>-5840698</v>
      </c>
    </row>
    <row r="15" spans="1:5" s="42" customFormat="1" ht="15" customHeight="1">
      <c r="A15" s="592">
        <v>11</v>
      </c>
      <c r="B15" s="596" t="s">
        <v>247</v>
      </c>
      <c r="C15" s="577">
        <f>137437852-2917000</f>
        <v>134520852</v>
      </c>
      <c r="D15" s="577">
        <f>137437852-2917000-1815996</f>
        <v>132704856</v>
      </c>
      <c r="E15" s="576">
        <f t="shared" si="0"/>
        <v>-1815996</v>
      </c>
    </row>
    <row r="16" spans="1:5" s="42" customFormat="1" ht="15.75" customHeight="1">
      <c r="A16" s="592">
        <v>12</v>
      </c>
      <c r="B16" s="596" t="s">
        <v>248</v>
      </c>
      <c r="C16" s="577">
        <v>276033587</v>
      </c>
      <c r="D16" s="577">
        <f>276033587-4362988</f>
        <v>271670599</v>
      </c>
      <c r="E16" s="576">
        <f t="shared" si="0"/>
        <v>-4362988</v>
      </c>
    </row>
    <row r="17" spans="1:5" s="42" customFormat="1" ht="15.75" customHeight="1">
      <c r="A17" s="592">
        <v>13</v>
      </c>
      <c r="B17" s="596" t="s">
        <v>249</v>
      </c>
      <c r="C17" s="577">
        <v>5795748</v>
      </c>
      <c r="D17" s="577">
        <f>5795748-2247900</f>
        <v>3547848</v>
      </c>
      <c r="E17" s="576">
        <f t="shared" si="0"/>
        <v>-2247900</v>
      </c>
    </row>
    <row r="18" spans="1:5" s="42" customFormat="1" ht="12.75">
      <c r="A18" s="592">
        <v>14</v>
      </c>
      <c r="B18" s="596" t="s">
        <v>250</v>
      </c>
      <c r="C18" s="577">
        <v>98529302</v>
      </c>
      <c r="D18" s="577">
        <f>98529302-405000</f>
        <v>98124302</v>
      </c>
      <c r="E18" s="576">
        <f t="shared" si="0"/>
        <v>-405000</v>
      </c>
    </row>
    <row r="19" spans="1:5" s="42" customFormat="1" ht="12.75">
      <c r="A19" s="592">
        <v>15</v>
      </c>
      <c r="B19" s="596" t="s">
        <v>251</v>
      </c>
      <c r="C19" s="577">
        <f>81319020-1385400</f>
        <v>79933620</v>
      </c>
      <c r="D19" s="577">
        <f>81319020-1385400-1766219</f>
        <v>78167401</v>
      </c>
      <c r="E19" s="576">
        <f t="shared" si="0"/>
        <v>-1766219</v>
      </c>
    </row>
    <row r="20" spans="1:5" s="42" customFormat="1" ht="12.75">
      <c r="A20" s="592">
        <v>16</v>
      </c>
      <c r="B20" s="596" t="s">
        <v>252</v>
      </c>
      <c r="C20" s="577">
        <f>55918496-715000</f>
        <v>55203496</v>
      </c>
      <c r="D20" s="577">
        <f>55918496-715000+8000000+10041376-1436293</f>
        <v>71808579</v>
      </c>
      <c r="E20" s="576">
        <f t="shared" si="0"/>
        <v>16605083</v>
      </c>
    </row>
    <row r="21" spans="1:5" s="42" customFormat="1" ht="14.25" customHeight="1">
      <c r="A21" s="592">
        <v>17</v>
      </c>
      <c r="B21" s="596" t="s">
        <v>253</v>
      </c>
      <c r="C21" s="577">
        <v>9689915</v>
      </c>
      <c r="D21" s="577">
        <v>9689915</v>
      </c>
      <c r="E21" s="576">
        <f t="shared" si="0"/>
        <v>0</v>
      </c>
    </row>
    <row r="22" spans="1:5" s="42" customFormat="1" ht="13.5" customHeight="1">
      <c r="A22" s="592">
        <v>18</v>
      </c>
      <c r="B22" s="598" t="s">
        <v>273</v>
      </c>
      <c r="C22" s="576">
        <f>11503990-2500000</f>
        <v>9003990</v>
      </c>
      <c r="D22" s="576">
        <f>11503990-2500000</f>
        <v>9003990</v>
      </c>
      <c r="E22" s="576">
        <f t="shared" si="0"/>
        <v>0</v>
      </c>
    </row>
    <row r="23" spans="1:5" s="42" customFormat="1" ht="13.5" customHeight="1">
      <c r="A23" s="592">
        <v>19</v>
      </c>
      <c r="B23" s="598" t="s">
        <v>275</v>
      </c>
      <c r="C23" s="576">
        <f>11153745+4430631-1379435-850000</f>
        <v>13354941</v>
      </c>
      <c r="D23" s="576">
        <f>11153745+4430631-1379435-850000-10041376+10000000</f>
        <v>13313565</v>
      </c>
      <c r="E23" s="576">
        <f t="shared" si="0"/>
        <v>-41376</v>
      </c>
    </row>
    <row r="24" spans="1:5" s="42" customFormat="1" ht="14.25" customHeight="1">
      <c r="A24" s="592">
        <v>20</v>
      </c>
      <c r="B24" s="598" t="s">
        <v>300</v>
      </c>
      <c r="C24" s="576">
        <v>8000000</v>
      </c>
      <c r="D24" s="576">
        <f>8000000-8000000</f>
        <v>0</v>
      </c>
      <c r="E24" s="576">
        <f t="shared" si="0"/>
        <v>-8000000</v>
      </c>
    </row>
    <row r="25" spans="1:5" s="42" customFormat="1" ht="14.25" customHeight="1">
      <c r="A25" s="592">
        <v>21</v>
      </c>
      <c r="B25" s="598" t="s">
        <v>295</v>
      </c>
      <c r="C25" s="576">
        <v>4800000</v>
      </c>
      <c r="D25" s="576">
        <v>4800000</v>
      </c>
      <c r="E25" s="576">
        <f t="shared" si="0"/>
        <v>0</v>
      </c>
    </row>
    <row r="26" spans="1:5" s="42" customFormat="1" ht="14.25" customHeight="1">
      <c r="A26" s="592">
        <v>22</v>
      </c>
      <c r="B26" s="596" t="s">
        <v>239</v>
      </c>
      <c r="C26" s="576">
        <v>1790065</v>
      </c>
      <c r="D26" s="576">
        <v>1790065</v>
      </c>
      <c r="E26" s="576">
        <f t="shared" si="0"/>
        <v>0</v>
      </c>
    </row>
    <row r="27" spans="1:5" s="42" customFormat="1" ht="14.25" customHeight="1">
      <c r="A27" s="592">
        <v>23</v>
      </c>
      <c r="B27" s="596" t="s">
        <v>290</v>
      </c>
      <c r="C27" s="576">
        <v>850000</v>
      </c>
      <c r="D27" s="576">
        <v>850000</v>
      </c>
      <c r="E27" s="576">
        <f t="shared" si="0"/>
        <v>0</v>
      </c>
    </row>
    <row r="28" spans="1:5" s="42" customFormat="1" ht="14.25" customHeight="1">
      <c r="A28" s="592">
        <v>24</v>
      </c>
      <c r="B28" s="596" t="s">
        <v>232</v>
      </c>
      <c r="C28" s="576">
        <v>8000000</v>
      </c>
      <c r="D28" s="576">
        <f>8000000</f>
        <v>8000000</v>
      </c>
      <c r="E28" s="576">
        <f>D28-C28</f>
        <v>0</v>
      </c>
    </row>
    <row r="29" spans="1:5" s="42" customFormat="1" ht="14.25" customHeight="1">
      <c r="A29" s="592">
        <v>25</v>
      </c>
      <c r="B29" s="598" t="s">
        <v>285</v>
      </c>
      <c r="C29" s="576">
        <v>1478431</v>
      </c>
      <c r="D29" s="576">
        <v>1478431</v>
      </c>
      <c r="E29" s="576">
        <f t="shared" si="0"/>
        <v>0</v>
      </c>
    </row>
    <row r="30" spans="1:5" s="42" customFormat="1" ht="14.25" customHeight="1">
      <c r="A30" s="592">
        <v>26</v>
      </c>
      <c r="B30" s="598" t="s">
        <v>166</v>
      </c>
      <c r="C30" s="576">
        <v>1000000</v>
      </c>
      <c r="D30" s="576">
        <v>1000000</v>
      </c>
      <c r="E30" s="576">
        <f t="shared" si="0"/>
        <v>0</v>
      </c>
    </row>
    <row r="31" spans="1:5" s="42" customFormat="1" ht="26.25" customHeight="1">
      <c r="A31" s="592">
        <v>27</v>
      </c>
      <c r="B31" s="596" t="s">
        <v>265</v>
      </c>
      <c r="C31" s="576">
        <v>254000</v>
      </c>
      <c r="D31" s="576">
        <v>254000</v>
      </c>
      <c r="E31" s="576">
        <f t="shared" si="0"/>
        <v>0</v>
      </c>
    </row>
    <row r="32" spans="1:5" s="42" customFormat="1" ht="14.25" customHeight="1">
      <c r="A32" s="592">
        <v>28</v>
      </c>
      <c r="B32" s="598" t="s">
        <v>167</v>
      </c>
      <c r="C32" s="576">
        <v>2000000</v>
      </c>
      <c r="D32" s="576">
        <v>2000000</v>
      </c>
      <c r="E32" s="576">
        <f t="shared" si="0"/>
        <v>0</v>
      </c>
    </row>
    <row r="33" spans="1:5" s="42" customFormat="1" ht="14.25" customHeight="1">
      <c r="A33" s="592">
        <v>29</v>
      </c>
      <c r="B33" s="598" t="s">
        <v>276</v>
      </c>
      <c r="C33" s="576">
        <v>890000</v>
      </c>
      <c r="D33" s="576">
        <v>890000</v>
      </c>
      <c r="E33" s="576">
        <f t="shared" si="0"/>
        <v>0</v>
      </c>
    </row>
    <row r="34" spans="1:5" s="42" customFormat="1" ht="14.25" customHeight="1">
      <c r="A34" s="592">
        <v>30</v>
      </c>
      <c r="B34" s="598" t="s">
        <v>277</v>
      </c>
      <c r="C34" s="576">
        <v>550000</v>
      </c>
      <c r="D34" s="576">
        <v>550000</v>
      </c>
      <c r="E34" s="576">
        <f t="shared" si="0"/>
        <v>0</v>
      </c>
    </row>
    <row r="35" spans="1:5" s="42" customFormat="1" ht="14.25" customHeight="1">
      <c r="A35" s="592">
        <v>31</v>
      </c>
      <c r="B35" s="598" t="s">
        <v>278</v>
      </c>
      <c r="C35" s="576">
        <v>150000</v>
      </c>
      <c r="D35" s="576">
        <v>150000</v>
      </c>
      <c r="E35" s="576">
        <f t="shared" si="0"/>
        <v>0</v>
      </c>
    </row>
    <row r="36" spans="1:5" s="42" customFormat="1" ht="14.25" customHeight="1">
      <c r="A36" s="592">
        <v>32</v>
      </c>
      <c r="B36" s="598" t="s">
        <v>279</v>
      </c>
      <c r="C36" s="576">
        <v>1000000</v>
      </c>
      <c r="D36" s="576">
        <v>1000000</v>
      </c>
      <c r="E36" s="576">
        <f t="shared" si="0"/>
        <v>0</v>
      </c>
    </row>
    <row r="37" spans="1:5" s="42" customFormat="1" ht="14.25" customHeight="1">
      <c r="A37" s="592">
        <v>33</v>
      </c>
      <c r="B37" s="598" t="s">
        <v>280</v>
      </c>
      <c r="C37" s="576">
        <v>200000</v>
      </c>
      <c r="D37" s="576">
        <v>200000</v>
      </c>
      <c r="E37" s="576">
        <f t="shared" si="0"/>
        <v>0</v>
      </c>
    </row>
    <row r="38" spans="1:5" s="42" customFormat="1" ht="15" customHeight="1">
      <c r="A38" s="599">
        <v>34</v>
      </c>
      <c r="B38" s="600" t="s">
        <v>274</v>
      </c>
      <c r="C38" s="601">
        <v>3000000</v>
      </c>
      <c r="D38" s="601">
        <v>3000000</v>
      </c>
      <c r="E38" s="585">
        <f t="shared" si="0"/>
        <v>0</v>
      </c>
    </row>
    <row r="39" spans="1:5" s="42" customFormat="1" ht="15" customHeight="1">
      <c r="A39" s="599">
        <v>35</v>
      </c>
      <c r="B39" s="602" t="s">
        <v>256</v>
      </c>
      <c r="C39" s="601">
        <v>12000000</v>
      </c>
      <c r="D39" s="601">
        <v>12000000</v>
      </c>
      <c r="E39" s="585">
        <f t="shared" si="0"/>
        <v>0</v>
      </c>
    </row>
    <row r="40" spans="1:5" s="42" customFormat="1" ht="15" customHeight="1">
      <c r="A40" s="599">
        <v>36</v>
      </c>
      <c r="B40" s="600" t="s">
        <v>165</v>
      </c>
      <c r="C40" s="601">
        <v>72619772</v>
      </c>
      <c r="D40" s="601">
        <v>72619772</v>
      </c>
      <c r="E40" s="585">
        <f t="shared" si="0"/>
        <v>0</v>
      </c>
    </row>
    <row r="41" spans="1:5" s="42" customFormat="1" ht="15" customHeight="1">
      <c r="A41" s="599">
        <v>37</v>
      </c>
      <c r="B41" s="600" t="s">
        <v>347</v>
      </c>
      <c r="C41" s="601">
        <v>85750000</v>
      </c>
      <c r="D41" s="601">
        <f>85750000+3095865-550000-3464566-935434-670000</f>
        <v>83225865</v>
      </c>
      <c r="E41" s="585">
        <f t="shared" si="0"/>
        <v>-2524135</v>
      </c>
    </row>
    <row r="42" spans="1:5" s="42" customFormat="1" ht="16.5" customHeight="1">
      <c r="A42" s="599">
        <v>38</v>
      </c>
      <c r="B42" s="600" t="s">
        <v>268</v>
      </c>
      <c r="C42" s="601">
        <v>22876000</v>
      </c>
      <c r="D42" s="601">
        <f>22876000-3095865</f>
        <v>19780135</v>
      </c>
      <c r="E42" s="585">
        <f t="shared" si="0"/>
        <v>-3095865</v>
      </c>
    </row>
    <row r="43" spans="1:5" s="42" customFormat="1" ht="16.5" customHeight="1">
      <c r="A43" s="599">
        <v>39</v>
      </c>
      <c r="B43" s="49" t="s">
        <v>184</v>
      </c>
      <c r="C43" s="50">
        <v>16300000</v>
      </c>
      <c r="D43" s="50">
        <f>16300000-926619-2650000</f>
        <v>12723381</v>
      </c>
      <c r="E43" s="585">
        <f t="shared" si="0"/>
        <v>-3576619</v>
      </c>
    </row>
    <row r="44" spans="1:5" s="42" customFormat="1" ht="26.25" customHeight="1">
      <c r="A44" s="599">
        <v>40</v>
      </c>
      <c r="B44" s="49" t="s">
        <v>185</v>
      </c>
      <c r="C44" s="50">
        <v>3550000</v>
      </c>
      <c r="D44" s="50">
        <v>3550000</v>
      </c>
      <c r="E44" s="585">
        <f t="shared" si="0"/>
        <v>0</v>
      </c>
    </row>
    <row r="45" spans="1:5" s="42" customFormat="1" ht="26.25" customHeight="1">
      <c r="A45" s="599">
        <v>41</v>
      </c>
      <c r="B45" s="49" t="s">
        <v>186</v>
      </c>
      <c r="C45" s="50">
        <v>11000000</v>
      </c>
      <c r="D45" s="50">
        <v>11000000</v>
      </c>
      <c r="E45" s="585">
        <f t="shared" si="0"/>
        <v>0</v>
      </c>
    </row>
    <row r="46" spans="1:5" s="42" customFormat="1" ht="25.5" customHeight="1">
      <c r="A46" s="599">
        <v>42</v>
      </c>
      <c r="B46" s="49" t="s">
        <v>187</v>
      </c>
      <c r="C46" s="50">
        <v>2800000</v>
      </c>
      <c r="D46" s="50">
        <v>2800000</v>
      </c>
      <c r="E46" s="585">
        <f t="shared" si="0"/>
        <v>0</v>
      </c>
    </row>
    <row r="47" spans="1:5" s="42" customFormat="1" ht="16.5" customHeight="1">
      <c r="A47" s="599">
        <v>43</v>
      </c>
      <c r="B47" s="49" t="s">
        <v>188</v>
      </c>
      <c r="C47" s="50">
        <v>5300000</v>
      </c>
      <c r="D47" s="50">
        <f>5300000+926619</f>
        <v>6226619</v>
      </c>
      <c r="E47" s="585">
        <f t="shared" si="0"/>
        <v>926619</v>
      </c>
    </row>
    <row r="48" spans="1:5" s="42" customFormat="1" ht="16.5" customHeight="1">
      <c r="A48" s="599">
        <v>44</v>
      </c>
      <c r="B48" s="49" t="s">
        <v>254</v>
      </c>
      <c r="C48" s="50">
        <v>1750000</v>
      </c>
      <c r="D48" s="50">
        <v>1750000</v>
      </c>
      <c r="E48" s="585">
        <f t="shared" si="0"/>
        <v>0</v>
      </c>
    </row>
    <row r="49" spans="1:5" s="42" customFormat="1" ht="16.5" customHeight="1">
      <c r="A49" s="599">
        <v>45</v>
      </c>
      <c r="B49" s="49" t="s">
        <v>255</v>
      </c>
      <c r="C49" s="50">
        <v>900000</v>
      </c>
      <c r="D49" s="50">
        <v>900000</v>
      </c>
      <c r="E49" s="585">
        <f t="shared" si="0"/>
        <v>0</v>
      </c>
    </row>
    <row r="50" spans="1:5" s="42" customFormat="1" ht="16.5" customHeight="1">
      <c r="A50" s="603">
        <v>46</v>
      </c>
      <c r="B50" s="604" t="s">
        <v>348</v>
      </c>
      <c r="C50" s="605">
        <v>0</v>
      </c>
      <c r="D50" s="605">
        <v>1706450</v>
      </c>
      <c r="E50" s="605">
        <f t="shared" si="0"/>
        <v>1706450</v>
      </c>
    </row>
    <row r="51" spans="1:5" s="42" customFormat="1" ht="16.5" customHeight="1">
      <c r="A51" s="603">
        <v>47</v>
      </c>
      <c r="B51" s="604" t="s">
        <v>349</v>
      </c>
      <c r="C51" s="605">
        <v>0</v>
      </c>
      <c r="D51" s="605">
        <v>11200000</v>
      </c>
      <c r="E51" s="605">
        <f t="shared" si="0"/>
        <v>11200000</v>
      </c>
    </row>
    <row r="52" spans="1:5" s="42" customFormat="1" ht="16.5" customHeight="1">
      <c r="A52" s="603">
        <v>48</v>
      </c>
      <c r="B52" s="604" t="s">
        <v>350</v>
      </c>
      <c r="C52" s="605">
        <v>0</v>
      </c>
      <c r="D52" s="605">
        <v>2000000</v>
      </c>
      <c r="E52" s="605">
        <f t="shared" si="0"/>
        <v>2000000</v>
      </c>
    </row>
    <row r="53" spans="1:5" s="42" customFormat="1" ht="16.5" customHeight="1">
      <c r="A53" s="603">
        <v>49</v>
      </c>
      <c r="B53" s="604" t="s">
        <v>351</v>
      </c>
      <c r="C53" s="605">
        <v>0</v>
      </c>
      <c r="D53" s="605">
        <v>2538938</v>
      </c>
      <c r="E53" s="605">
        <f t="shared" si="0"/>
        <v>2538938</v>
      </c>
    </row>
    <row r="54" spans="1:5" s="42" customFormat="1" ht="16.5" customHeight="1">
      <c r="A54" s="603">
        <v>50</v>
      </c>
      <c r="B54" s="604" t="s">
        <v>352</v>
      </c>
      <c r="C54" s="605">
        <v>0</v>
      </c>
      <c r="D54" s="605">
        <v>7200000</v>
      </c>
      <c r="E54" s="605">
        <f t="shared" si="0"/>
        <v>7200000</v>
      </c>
    </row>
    <row r="55" spans="1:5" s="42" customFormat="1" ht="16.5" customHeight="1">
      <c r="A55" s="603">
        <v>51</v>
      </c>
      <c r="B55" s="604" t="s">
        <v>353</v>
      </c>
      <c r="C55" s="605">
        <v>0</v>
      </c>
      <c r="D55" s="605">
        <v>600000</v>
      </c>
      <c r="E55" s="605">
        <f t="shared" si="0"/>
        <v>600000</v>
      </c>
    </row>
    <row r="56" spans="1:5" s="42" customFormat="1" ht="16.5" customHeight="1">
      <c r="A56" s="603">
        <v>52</v>
      </c>
      <c r="B56" s="604" t="s">
        <v>354</v>
      </c>
      <c r="C56" s="605">
        <v>0</v>
      </c>
      <c r="D56" s="605">
        <v>200000</v>
      </c>
      <c r="E56" s="605">
        <f t="shared" si="0"/>
        <v>200000</v>
      </c>
    </row>
    <row r="57" spans="1:5" s="42" customFormat="1" ht="16.5" customHeight="1">
      <c r="A57" s="603">
        <v>53</v>
      </c>
      <c r="B57" s="604" t="s">
        <v>355</v>
      </c>
      <c r="C57" s="605">
        <v>0</v>
      </c>
      <c r="D57" s="605">
        <v>3710686</v>
      </c>
      <c r="E57" s="605">
        <f t="shared" si="0"/>
        <v>3710686</v>
      </c>
    </row>
    <row r="58" spans="1:5" s="42" customFormat="1" ht="16.5" customHeight="1">
      <c r="A58" s="603">
        <v>54</v>
      </c>
      <c r="B58" s="604" t="s">
        <v>356</v>
      </c>
      <c r="C58" s="605">
        <v>0</v>
      </c>
      <c r="D58" s="605">
        <v>6847423</v>
      </c>
      <c r="E58" s="605">
        <f t="shared" si="0"/>
        <v>6847423</v>
      </c>
    </row>
    <row r="59" spans="1:5" s="42" customFormat="1" ht="16.5" customHeight="1">
      <c r="A59" s="606">
        <v>55</v>
      </c>
      <c r="B59" s="607" t="s">
        <v>357</v>
      </c>
      <c r="C59" s="576">
        <v>0</v>
      </c>
      <c r="D59" s="576">
        <v>189103</v>
      </c>
      <c r="E59" s="576">
        <f t="shared" si="0"/>
        <v>189103</v>
      </c>
    </row>
    <row r="60" spans="1:5" s="42" customFormat="1" ht="16.5" customHeight="1">
      <c r="A60" s="606">
        <v>56</v>
      </c>
      <c r="B60" s="607" t="s">
        <v>358</v>
      </c>
      <c r="C60" s="576">
        <v>0</v>
      </c>
      <c r="D60" s="576">
        <v>2000000</v>
      </c>
      <c r="E60" s="576">
        <f t="shared" si="0"/>
        <v>2000000</v>
      </c>
    </row>
    <row r="61" spans="1:5" s="42" customFormat="1" ht="16.5" customHeight="1">
      <c r="A61" s="606">
        <v>57</v>
      </c>
      <c r="B61" s="607" t="s">
        <v>359</v>
      </c>
      <c r="C61" s="576">
        <v>0</v>
      </c>
      <c r="D61" s="576">
        <v>520000</v>
      </c>
      <c r="E61" s="576">
        <f t="shared" si="0"/>
        <v>520000</v>
      </c>
    </row>
    <row r="62" spans="1:5" s="42" customFormat="1" ht="16.5" customHeight="1">
      <c r="A62" s="606">
        <v>58</v>
      </c>
      <c r="B62" s="607" t="s">
        <v>360</v>
      </c>
      <c r="C62" s="576">
        <v>0</v>
      </c>
      <c r="D62" s="576">
        <v>670610</v>
      </c>
      <c r="E62" s="576">
        <f t="shared" si="0"/>
        <v>670610</v>
      </c>
    </row>
    <row r="63" spans="1:5" s="42" customFormat="1" ht="16.5" customHeight="1">
      <c r="A63" s="606">
        <v>59</v>
      </c>
      <c r="B63" s="607" t="s">
        <v>361</v>
      </c>
      <c r="C63" s="576">
        <v>0</v>
      </c>
      <c r="D63" s="576">
        <v>1314900</v>
      </c>
      <c r="E63" s="576">
        <f t="shared" si="0"/>
        <v>1314900</v>
      </c>
    </row>
    <row r="64" spans="1:5" s="42" customFormat="1" ht="16.5" customHeight="1">
      <c r="A64" s="606">
        <v>60</v>
      </c>
      <c r="B64" s="607" t="s">
        <v>362</v>
      </c>
      <c r="C64" s="576">
        <v>0</v>
      </c>
      <c r="D64" s="576">
        <v>1779992</v>
      </c>
      <c r="E64" s="576">
        <f t="shared" si="0"/>
        <v>1779992</v>
      </c>
    </row>
    <row r="65" spans="1:5" s="42" customFormat="1" ht="16.5" customHeight="1">
      <c r="A65" s="606">
        <v>61</v>
      </c>
      <c r="B65" s="607" t="s">
        <v>363</v>
      </c>
      <c r="C65" s="576">
        <v>0</v>
      </c>
      <c r="D65" s="576">
        <f>20000000-1676400</f>
        <v>18323600</v>
      </c>
      <c r="E65" s="576">
        <f t="shared" si="0"/>
        <v>18323600</v>
      </c>
    </row>
    <row r="66" spans="1:5" s="42" customFormat="1" ht="16.5" customHeight="1">
      <c r="A66" s="606">
        <v>62</v>
      </c>
      <c r="B66" s="593" t="s">
        <v>364</v>
      </c>
      <c r="C66" s="576">
        <v>0</v>
      </c>
      <c r="D66" s="576">
        <v>-10398114</v>
      </c>
      <c r="E66" s="576">
        <f t="shared" si="0"/>
        <v>-10398114</v>
      </c>
    </row>
    <row r="67" spans="1:5" s="42" customFormat="1" ht="12.75">
      <c r="A67" s="608"/>
      <c r="B67" s="579" t="s">
        <v>3</v>
      </c>
      <c r="C67" s="581">
        <f>SUM(C5:C66)</f>
        <v>1285231319</v>
      </c>
      <c r="D67" s="581">
        <f>SUM(D5:D66)</f>
        <v>1316623423</v>
      </c>
      <c r="E67" s="580">
        <f>D67-C67</f>
        <v>31392104</v>
      </c>
    </row>
    <row r="68" spans="1:5" s="42" customFormat="1" ht="12.75">
      <c r="A68" s="608"/>
      <c r="B68" s="579"/>
      <c r="C68" s="581"/>
      <c r="D68" s="581"/>
      <c r="E68" s="44"/>
    </row>
    <row r="69" spans="1:5" s="42" customFormat="1" ht="12.75">
      <c r="A69" s="608"/>
      <c r="B69" s="579"/>
      <c r="C69" s="581"/>
      <c r="D69" s="581"/>
      <c r="E69" s="44"/>
    </row>
    <row r="70" spans="1:5" s="42" customFormat="1" ht="12.75">
      <c r="A70" s="608"/>
      <c r="B70" s="579"/>
      <c r="C70" s="581"/>
      <c r="D70" s="581"/>
      <c r="E70" s="44"/>
    </row>
    <row r="71" spans="1:5" s="42" customFormat="1" ht="12.75">
      <c r="A71" s="608"/>
      <c r="B71" s="579"/>
      <c r="C71" s="581"/>
      <c r="D71" s="581"/>
      <c r="E71" s="44"/>
    </row>
    <row r="72" spans="1:5" s="42" customFormat="1" ht="12.75">
      <c r="A72" s="608"/>
      <c r="B72" s="579"/>
      <c r="C72" s="581"/>
      <c r="D72" s="581"/>
      <c r="E72" s="44"/>
    </row>
    <row r="73" spans="1:5" s="43" customFormat="1" ht="15.75">
      <c r="A73" s="579" t="s">
        <v>2</v>
      </c>
      <c r="B73" s="579" t="s">
        <v>72</v>
      </c>
      <c r="C73" s="580"/>
      <c r="D73" s="580"/>
      <c r="E73" s="609"/>
    </row>
    <row r="74" spans="1:5" s="42" customFormat="1" ht="16.5" customHeight="1">
      <c r="A74" s="606">
        <v>1</v>
      </c>
      <c r="B74" s="593" t="s">
        <v>258</v>
      </c>
      <c r="C74" s="594">
        <v>85119976</v>
      </c>
      <c r="D74" s="594">
        <f>85119976-930000-100000</f>
        <v>84089976</v>
      </c>
      <c r="E74" s="576">
        <f aca="true" t="shared" si="1" ref="E74:E113">D74-C74</f>
        <v>-1030000</v>
      </c>
    </row>
    <row r="75" spans="1:5" s="42" customFormat="1" ht="16.5" customHeight="1">
      <c r="A75" s="606">
        <v>2</v>
      </c>
      <c r="B75" s="598" t="s">
        <v>168</v>
      </c>
      <c r="C75" s="594">
        <v>5335793</v>
      </c>
      <c r="D75" s="594">
        <v>5335793</v>
      </c>
      <c r="E75" s="576">
        <f t="shared" si="1"/>
        <v>0</v>
      </c>
    </row>
    <row r="76" spans="1:5" s="579" customFormat="1" ht="12.75">
      <c r="A76" s="606">
        <v>3</v>
      </c>
      <c r="B76" s="596" t="s">
        <v>271</v>
      </c>
      <c r="C76" s="576">
        <v>7500000</v>
      </c>
      <c r="D76" s="576">
        <v>7500000</v>
      </c>
      <c r="E76" s="576">
        <f t="shared" si="1"/>
        <v>0</v>
      </c>
    </row>
    <row r="77" spans="1:5" s="579" customFormat="1" ht="12.75">
      <c r="A77" s="606">
        <v>4</v>
      </c>
      <c r="B77" s="598" t="s">
        <v>296</v>
      </c>
      <c r="C77" s="576">
        <v>190500</v>
      </c>
      <c r="D77" s="576">
        <v>190500</v>
      </c>
      <c r="E77" s="576">
        <f t="shared" si="1"/>
        <v>0</v>
      </c>
    </row>
    <row r="78" spans="1:5" s="579" customFormat="1" ht="12.75">
      <c r="A78" s="606">
        <v>5</v>
      </c>
      <c r="B78" s="598" t="s">
        <v>306</v>
      </c>
      <c r="C78" s="576">
        <v>381000</v>
      </c>
      <c r="D78" s="576">
        <v>381000</v>
      </c>
      <c r="E78" s="576">
        <f t="shared" si="1"/>
        <v>0</v>
      </c>
    </row>
    <row r="79" spans="1:5" s="579" customFormat="1" ht="12.75">
      <c r="A79" s="606">
        <v>6</v>
      </c>
      <c r="B79" s="598" t="s">
        <v>297</v>
      </c>
      <c r="C79" s="576">
        <v>127000</v>
      </c>
      <c r="D79" s="576">
        <v>127000</v>
      </c>
      <c r="E79" s="576">
        <f t="shared" si="1"/>
        <v>0</v>
      </c>
    </row>
    <row r="80" spans="1:5" s="579" customFormat="1" ht="25.5">
      <c r="A80" s="606">
        <v>7</v>
      </c>
      <c r="B80" s="596" t="s">
        <v>257</v>
      </c>
      <c r="C80" s="576">
        <v>1267206</v>
      </c>
      <c r="D80" s="576">
        <v>1267206</v>
      </c>
      <c r="E80" s="576">
        <f t="shared" si="1"/>
        <v>0</v>
      </c>
    </row>
    <row r="81" spans="1:5" s="579" customFormat="1" ht="12.75">
      <c r="A81" s="606">
        <v>8</v>
      </c>
      <c r="B81" s="598" t="s">
        <v>365</v>
      </c>
      <c r="C81" s="576">
        <v>4500000</v>
      </c>
      <c r="D81" s="576">
        <f>4500000+10551000+60730</f>
        <v>15111730</v>
      </c>
      <c r="E81" s="576">
        <f t="shared" si="1"/>
        <v>10611730</v>
      </c>
    </row>
    <row r="82" spans="1:5" s="579" customFormat="1" ht="15">
      <c r="A82" s="603">
        <v>9</v>
      </c>
      <c r="B82" s="604" t="s">
        <v>366</v>
      </c>
      <c r="C82" s="605">
        <v>0</v>
      </c>
      <c r="D82" s="605">
        <v>15594805</v>
      </c>
      <c r="E82" s="605">
        <f t="shared" si="1"/>
        <v>15594805</v>
      </c>
    </row>
    <row r="83" spans="1:5" s="579" customFormat="1" ht="15">
      <c r="A83" s="603">
        <v>10</v>
      </c>
      <c r="B83" s="604" t="s">
        <v>234</v>
      </c>
      <c r="C83" s="605">
        <v>0</v>
      </c>
      <c r="D83" s="605">
        <v>1500000</v>
      </c>
      <c r="E83" s="605">
        <f t="shared" si="1"/>
        <v>1500000</v>
      </c>
    </row>
    <row r="84" spans="1:5" s="579" customFormat="1" ht="15">
      <c r="A84" s="603">
        <v>11</v>
      </c>
      <c r="B84" s="604" t="s">
        <v>367</v>
      </c>
      <c r="C84" s="605">
        <v>0</v>
      </c>
      <c r="D84" s="605">
        <v>1000000</v>
      </c>
      <c r="E84" s="605">
        <f t="shared" si="1"/>
        <v>1000000</v>
      </c>
    </row>
    <row r="85" spans="1:5" s="579" customFormat="1" ht="15">
      <c r="A85" s="603">
        <v>12</v>
      </c>
      <c r="B85" s="604" t="s">
        <v>237</v>
      </c>
      <c r="C85" s="605">
        <v>0</v>
      </c>
      <c r="D85" s="605">
        <v>900000</v>
      </c>
      <c r="E85" s="605">
        <f t="shared" si="1"/>
        <v>900000</v>
      </c>
    </row>
    <row r="86" spans="1:5" s="579" customFormat="1" ht="15">
      <c r="A86" s="603">
        <v>13</v>
      </c>
      <c r="B86" s="604" t="s">
        <v>368</v>
      </c>
      <c r="C86" s="605">
        <v>0</v>
      </c>
      <c r="D86" s="605">
        <v>1750000</v>
      </c>
      <c r="E86" s="605">
        <f t="shared" si="1"/>
        <v>1750000</v>
      </c>
    </row>
    <row r="87" spans="1:5" s="579" customFormat="1" ht="15">
      <c r="A87" s="603">
        <v>14</v>
      </c>
      <c r="B87" s="604" t="s">
        <v>369</v>
      </c>
      <c r="C87" s="605">
        <v>0</v>
      </c>
      <c r="D87" s="605">
        <v>2000000</v>
      </c>
      <c r="E87" s="605">
        <f t="shared" si="1"/>
        <v>2000000</v>
      </c>
    </row>
    <row r="88" spans="1:5" s="579" customFormat="1" ht="15">
      <c r="A88" s="603">
        <v>15</v>
      </c>
      <c r="B88" s="604" t="s">
        <v>370</v>
      </c>
      <c r="C88" s="605">
        <v>0</v>
      </c>
      <c r="D88" s="605">
        <v>14300000</v>
      </c>
      <c r="E88" s="605">
        <f>D88-C88</f>
        <v>14300000</v>
      </c>
    </row>
    <row r="89" spans="1:5" s="579" customFormat="1" ht="15">
      <c r="A89" s="603">
        <v>16</v>
      </c>
      <c r="B89" s="604" t="s">
        <v>371</v>
      </c>
      <c r="C89" s="605">
        <v>0</v>
      </c>
      <c r="D89" s="605">
        <v>10001698</v>
      </c>
      <c r="E89" s="605">
        <f>D89-C89</f>
        <v>10001698</v>
      </c>
    </row>
    <row r="90" spans="1:5" s="579" customFormat="1" ht="15">
      <c r="A90" s="606">
        <v>17</v>
      </c>
      <c r="B90" s="607" t="s">
        <v>372</v>
      </c>
      <c r="C90" s="576">
        <v>0</v>
      </c>
      <c r="D90" s="576">
        <v>2698000</v>
      </c>
      <c r="E90" s="576">
        <f>D90-C90</f>
        <v>2698000</v>
      </c>
    </row>
    <row r="91" spans="1:5" s="579" customFormat="1" ht="15">
      <c r="A91" s="606">
        <v>18</v>
      </c>
      <c r="B91" s="607" t="s">
        <v>373</v>
      </c>
      <c r="C91" s="576">
        <v>0</v>
      </c>
      <c r="D91" s="576">
        <v>1920000</v>
      </c>
      <c r="E91" s="576">
        <f>D91-C91</f>
        <v>1920000</v>
      </c>
    </row>
    <row r="92" spans="1:5" s="579" customFormat="1" ht="15">
      <c r="A92" s="606">
        <v>19</v>
      </c>
      <c r="B92" s="607" t="s">
        <v>374</v>
      </c>
      <c r="C92" s="576">
        <v>0</v>
      </c>
      <c r="D92" s="576">
        <v>707390</v>
      </c>
      <c r="E92" s="576">
        <f>D92-C92</f>
        <v>707390</v>
      </c>
    </row>
    <row r="93" spans="1:5" s="579" customFormat="1" ht="15">
      <c r="A93" s="606">
        <v>20</v>
      </c>
      <c r="B93" s="607" t="s">
        <v>375</v>
      </c>
      <c r="C93" s="576">
        <v>0</v>
      </c>
      <c r="D93" s="576">
        <v>-289000</v>
      </c>
      <c r="E93" s="576">
        <f t="shared" si="1"/>
        <v>-289000</v>
      </c>
    </row>
    <row r="94" spans="1:5" s="579" customFormat="1" ht="16.5" customHeight="1">
      <c r="A94" s="42"/>
      <c r="B94" s="588" t="s">
        <v>3</v>
      </c>
      <c r="C94" s="581">
        <f>SUM(C74:C93)</f>
        <v>104421475</v>
      </c>
      <c r="D94" s="581">
        <f>SUM(D74:D93)</f>
        <v>166086098</v>
      </c>
      <c r="E94" s="580">
        <f>D94-C94</f>
        <v>61664623</v>
      </c>
    </row>
    <row r="95" spans="1:5" s="579" customFormat="1" ht="13.5" customHeight="1">
      <c r="A95" s="42"/>
      <c r="B95" s="588"/>
      <c r="C95" s="581"/>
      <c r="D95" s="581"/>
      <c r="E95" s="580">
        <f t="shared" si="1"/>
        <v>0</v>
      </c>
    </row>
    <row r="96" spans="1:5" s="42" customFormat="1" ht="16.5" customHeight="1">
      <c r="A96" s="579" t="s">
        <v>10</v>
      </c>
      <c r="B96" s="579" t="s">
        <v>88</v>
      </c>
      <c r="C96" s="580"/>
      <c r="D96" s="580"/>
      <c r="E96" s="44">
        <f t="shared" si="1"/>
        <v>0</v>
      </c>
    </row>
    <row r="97" spans="1:5" s="579" customFormat="1" ht="16.5" customHeight="1">
      <c r="A97" s="578" t="s">
        <v>4</v>
      </c>
      <c r="B97" s="578" t="s">
        <v>89</v>
      </c>
      <c r="C97" s="587"/>
      <c r="D97" s="587"/>
      <c r="E97" s="580">
        <f t="shared" si="1"/>
        <v>0</v>
      </c>
    </row>
    <row r="98" spans="1:5" s="579" customFormat="1" ht="16.5" customHeight="1">
      <c r="A98" s="120">
        <v>1</v>
      </c>
      <c r="B98" s="51" t="s">
        <v>12</v>
      </c>
      <c r="C98" s="52">
        <v>1165207</v>
      </c>
      <c r="D98" s="52">
        <v>1165207</v>
      </c>
      <c r="E98" s="610">
        <f t="shared" si="1"/>
        <v>0</v>
      </c>
    </row>
    <row r="99" spans="1:5" s="42" customFormat="1" ht="16.5" customHeight="1">
      <c r="A99" s="120">
        <v>2</v>
      </c>
      <c r="B99" s="51" t="s">
        <v>44</v>
      </c>
      <c r="C99" s="52">
        <v>0</v>
      </c>
      <c r="D99" s="52">
        <v>0</v>
      </c>
      <c r="E99" s="585">
        <f t="shared" si="1"/>
        <v>0</v>
      </c>
    </row>
    <row r="100" spans="1:5" s="42" customFormat="1" ht="16.5" customHeight="1">
      <c r="A100" s="579"/>
      <c r="B100" s="578" t="s">
        <v>3</v>
      </c>
      <c r="C100" s="587">
        <f>SUM(C98:C99)</f>
        <v>1165207</v>
      </c>
      <c r="D100" s="587">
        <f>SUM(D98:D99)</f>
        <v>1165207</v>
      </c>
      <c r="E100" s="44">
        <f t="shared" si="1"/>
        <v>0</v>
      </c>
    </row>
    <row r="101" spans="1:5" s="42" customFormat="1" ht="16.5" customHeight="1">
      <c r="A101" s="578" t="s">
        <v>5</v>
      </c>
      <c r="B101" s="578" t="s">
        <v>90</v>
      </c>
      <c r="C101" s="580"/>
      <c r="D101" s="580"/>
      <c r="E101" s="44">
        <f t="shared" si="1"/>
        <v>0</v>
      </c>
    </row>
    <row r="102" spans="1:5" s="579" customFormat="1" ht="16.5" customHeight="1">
      <c r="A102" s="611">
        <v>1</v>
      </c>
      <c r="B102" s="598" t="s">
        <v>270</v>
      </c>
      <c r="C102" s="577">
        <v>5802000</v>
      </c>
      <c r="D102" s="577">
        <v>5802000</v>
      </c>
      <c r="E102" s="612">
        <f t="shared" si="1"/>
        <v>0</v>
      </c>
    </row>
    <row r="103" spans="2:5" s="579" customFormat="1" ht="16.5" customHeight="1">
      <c r="B103" s="578" t="s">
        <v>3</v>
      </c>
      <c r="C103" s="587">
        <f>SUM(C102:C102)</f>
        <v>5802000</v>
      </c>
      <c r="D103" s="587">
        <f>SUM(D102:D102)</f>
        <v>5802000</v>
      </c>
      <c r="E103" s="580">
        <f t="shared" si="1"/>
        <v>0</v>
      </c>
    </row>
    <row r="104" spans="1:5" s="42" customFormat="1" ht="16.5" customHeight="1">
      <c r="A104" s="613" t="s">
        <v>6</v>
      </c>
      <c r="B104" s="578" t="s">
        <v>91</v>
      </c>
      <c r="C104" s="580"/>
      <c r="D104" s="580"/>
      <c r="E104" s="44">
        <f t="shared" si="1"/>
        <v>0</v>
      </c>
    </row>
    <row r="105" spans="1:5" s="43" customFormat="1" ht="25.5">
      <c r="A105" s="120">
        <v>1</v>
      </c>
      <c r="B105" s="49" t="s">
        <v>294</v>
      </c>
      <c r="C105" s="52">
        <v>1466850</v>
      </c>
      <c r="D105" s="52">
        <v>1466850</v>
      </c>
      <c r="E105" s="583">
        <f t="shared" si="1"/>
        <v>0</v>
      </c>
    </row>
    <row r="106" spans="1:5" s="42" customFormat="1" ht="12.75">
      <c r="A106" s="120">
        <v>2</v>
      </c>
      <c r="B106" s="51" t="s">
        <v>233</v>
      </c>
      <c r="C106" s="52">
        <v>4000000</v>
      </c>
      <c r="D106" s="52">
        <v>4000000</v>
      </c>
      <c r="E106" s="585">
        <f t="shared" si="1"/>
        <v>0</v>
      </c>
    </row>
    <row r="107" spans="2:5" s="579" customFormat="1" ht="12.75">
      <c r="B107" s="578" t="s">
        <v>3</v>
      </c>
      <c r="C107" s="587">
        <f>SUM(C105:C106)</f>
        <v>5466850</v>
      </c>
      <c r="D107" s="587">
        <f>SUM(D105:D106)</f>
        <v>5466850</v>
      </c>
      <c r="E107" s="580">
        <f t="shared" si="1"/>
        <v>0</v>
      </c>
    </row>
    <row r="108" spans="1:5" s="579" customFormat="1" ht="16.5" customHeight="1">
      <c r="A108" s="614" t="s">
        <v>7</v>
      </c>
      <c r="B108" s="584" t="s">
        <v>92</v>
      </c>
      <c r="C108" s="615"/>
      <c r="D108" s="615"/>
      <c r="E108" s="580">
        <f t="shared" si="1"/>
        <v>0</v>
      </c>
    </row>
    <row r="109" spans="1:5" s="579" customFormat="1" ht="16.5" customHeight="1">
      <c r="A109" s="616">
        <v>1</v>
      </c>
      <c r="B109" s="617" t="s">
        <v>376</v>
      </c>
      <c r="C109" s="618"/>
      <c r="D109" s="618">
        <v>20314443</v>
      </c>
      <c r="E109" s="585">
        <f t="shared" si="1"/>
        <v>20314443</v>
      </c>
    </row>
    <row r="110" spans="1:5" s="579" customFormat="1" ht="16.5" customHeight="1">
      <c r="A110" s="619"/>
      <c r="B110" s="584" t="s">
        <v>3</v>
      </c>
      <c r="C110" s="620">
        <f>SUM(C109:C109)</f>
        <v>0</v>
      </c>
      <c r="D110" s="620">
        <f>SUM(D109:D109)</f>
        <v>20314443</v>
      </c>
      <c r="E110" s="587">
        <f t="shared" si="1"/>
        <v>20314443</v>
      </c>
    </row>
    <row r="111" spans="1:5" s="579" customFormat="1" ht="16.5" customHeight="1">
      <c r="A111" s="42"/>
      <c r="B111" s="588" t="s">
        <v>3</v>
      </c>
      <c r="C111" s="581">
        <f>C110+C107+C103+C100</f>
        <v>12434057</v>
      </c>
      <c r="D111" s="581">
        <f>D110+D107+D103+D100</f>
        <v>32748500</v>
      </c>
      <c r="E111" s="580">
        <f t="shared" si="1"/>
        <v>20314443</v>
      </c>
    </row>
    <row r="112" spans="1:5" s="586" customFormat="1" ht="9.75" customHeight="1">
      <c r="A112" s="579"/>
      <c r="B112" s="579"/>
      <c r="C112" s="580"/>
      <c r="D112" s="580"/>
      <c r="E112" s="621">
        <f t="shared" si="1"/>
        <v>0</v>
      </c>
    </row>
    <row r="113" spans="2:5" s="579" customFormat="1" ht="16.5" customHeight="1">
      <c r="B113" s="588" t="s">
        <v>93</v>
      </c>
      <c r="C113" s="580">
        <f>C111+C94+C67</f>
        <v>1402086851</v>
      </c>
      <c r="D113" s="580">
        <f>D111+D94+D67</f>
        <v>1515458021</v>
      </c>
      <c r="E113" s="580">
        <f t="shared" si="1"/>
        <v>113371170</v>
      </c>
    </row>
    <row r="114" spans="1:5" s="586" customFormat="1" ht="10.5" customHeight="1">
      <c r="A114" s="579"/>
      <c r="B114" s="588"/>
      <c r="C114" s="580"/>
      <c r="D114" s="580"/>
      <c r="E114" s="621"/>
    </row>
    <row r="115" spans="1:5" s="579" customFormat="1" ht="16.5" customHeight="1">
      <c r="A115" s="579" t="s">
        <v>13</v>
      </c>
      <c r="B115" s="622" t="s">
        <v>96</v>
      </c>
      <c r="C115" s="580"/>
      <c r="D115" s="580"/>
      <c r="E115" s="580"/>
    </row>
    <row r="116" spans="1:5" s="579" customFormat="1" ht="16.5" customHeight="1">
      <c r="A116" s="611">
        <v>1</v>
      </c>
      <c r="B116" s="596" t="s">
        <v>95</v>
      </c>
      <c r="C116" s="576">
        <v>0</v>
      </c>
      <c r="D116" s="576">
        <v>0</v>
      </c>
      <c r="E116" s="612">
        <f>D116-C116</f>
        <v>0</v>
      </c>
    </row>
    <row r="117" spans="2:5" s="579" customFormat="1" ht="16.5" customHeight="1">
      <c r="B117" s="622" t="s">
        <v>3</v>
      </c>
      <c r="C117" s="580">
        <f>SUM(C116:C116)</f>
        <v>0</v>
      </c>
      <c r="D117" s="580">
        <f>SUM(D116:D116)</f>
        <v>0</v>
      </c>
      <c r="E117" s="580">
        <f>D117-C117</f>
        <v>0</v>
      </c>
    </row>
    <row r="118" spans="1:5" s="42" customFormat="1" ht="16.5" customHeight="1">
      <c r="A118" s="586"/>
      <c r="B118" s="622" t="s">
        <v>94</v>
      </c>
      <c r="C118" s="580">
        <v>0</v>
      </c>
      <c r="D118" s="580">
        <v>0</v>
      </c>
      <c r="E118" s="44">
        <f>D118-C118</f>
        <v>0</v>
      </c>
    </row>
    <row r="119" spans="2:5" s="42" customFormat="1" ht="8.25" customHeight="1">
      <c r="B119" s="579"/>
      <c r="C119" s="580"/>
      <c r="D119" s="580"/>
      <c r="E119" s="44"/>
    </row>
    <row r="120" spans="2:5" s="42" customFormat="1" ht="11.25" customHeight="1">
      <c r="B120" s="579" t="s">
        <v>14</v>
      </c>
      <c r="C120" s="580">
        <f>C113+C118</f>
        <v>1402086851</v>
      </c>
      <c r="D120" s="580">
        <f>D113+D118</f>
        <v>1515458021</v>
      </c>
      <c r="E120" s="580">
        <f>D120-C120</f>
        <v>113371170</v>
      </c>
    </row>
    <row r="121" spans="2:5" s="42" customFormat="1" ht="11.25" customHeight="1">
      <c r="B121" s="579" t="s">
        <v>46</v>
      </c>
      <c r="C121" s="580"/>
      <c r="D121" s="580"/>
      <c r="E121" s="44"/>
    </row>
    <row r="122" spans="2:5" s="42" customFormat="1" ht="23.25" customHeight="1">
      <c r="B122" s="623" t="s">
        <v>47</v>
      </c>
      <c r="C122" s="612">
        <f>C120-C123</f>
        <v>1157609022</v>
      </c>
      <c r="D122" s="612">
        <f>D120-D123</f>
        <v>1258935749</v>
      </c>
      <c r="E122" s="612">
        <f>E120-E123</f>
        <v>101326727</v>
      </c>
    </row>
    <row r="123" spans="1:5" s="42" customFormat="1" ht="11.25" customHeight="1">
      <c r="A123" s="42" t="s">
        <v>377</v>
      </c>
      <c r="B123" s="53" t="s">
        <v>45</v>
      </c>
      <c r="C123" s="54">
        <f>C109+C99+C98+C43+C44+C45+C46+C105+C48+C47+C42+C40+C106+C38+C39+C41+C49</f>
        <v>244477829</v>
      </c>
      <c r="D123" s="54">
        <f>D109+D99+D98+D43+D44+D45+D46+D105+D48+D47+D42+D40+D106+D38+D39+D41+D49</f>
        <v>256522272</v>
      </c>
      <c r="E123" s="54">
        <f>E109+E99+E98+E43+E44+E45+E46+E105+E48+E47+E42+E40+E106+E38+E39+E41+E49</f>
        <v>12044443</v>
      </c>
    </row>
    <row r="124" spans="3:5" s="42" customFormat="1" ht="11.25" customHeight="1">
      <c r="C124" s="44"/>
      <c r="D124" s="44"/>
      <c r="E124" s="44"/>
    </row>
    <row r="125" spans="2:5" s="42" customFormat="1" ht="12.75">
      <c r="B125" s="579" t="s">
        <v>64</v>
      </c>
      <c r="C125" s="580">
        <f>'[1]4. melléklet'!C58-C120</f>
        <v>0</v>
      </c>
      <c r="D125" s="580">
        <f>'[1]4. melléklet'!D58-D120</f>
        <v>0</v>
      </c>
      <c r="E125" s="44"/>
    </row>
    <row r="126" spans="2:5" s="42" customFormat="1" ht="12.75">
      <c r="B126" s="579"/>
      <c r="C126" s="580"/>
      <c r="D126" s="580"/>
      <c r="E126" s="44"/>
    </row>
    <row r="127" spans="1:5" s="42" customFormat="1" ht="12.75">
      <c r="A127" s="42" t="s">
        <v>140</v>
      </c>
      <c r="B127" s="579" t="s">
        <v>63</v>
      </c>
      <c r="C127" s="44"/>
      <c r="D127" s="44"/>
      <c r="E127" s="44"/>
    </row>
    <row r="128" spans="2:5" s="42" customFormat="1" ht="12.75">
      <c r="B128" s="624" t="s">
        <v>260</v>
      </c>
      <c r="C128" s="44">
        <v>10000000</v>
      </c>
      <c r="D128" s="44"/>
      <c r="E128" s="44"/>
    </row>
    <row r="129" spans="2:5" s="42" customFormat="1" ht="12.75">
      <c r="B129" s="624" t="s">
        <v>240</v>
      </c>
      <c r="C129" s="44">
        <v>6608779</v>
      </c>
      <c r="D129" s="44"/>
      <c r="E129" s="44"/>
    </row>
    <row r="130" spans="2:5" s="42" customFormat="1" ht="12.75">
      <c r="B130" s="624" t="s">
        <v>189</v>
      </c>
      <c r="C130" s="44">
        <v>8000000</v>
      </c>
      <c r="D130" s="44"/>
      <c r="E130" s="44"/>
    </row>
    <row r="131" spans="1:6" ht="12.75">
      <c r="A131" s="42"/>
      <c r="B131" s="624" t="s">
        <v>169</v>
      </c>
      <c r="C131" s="44">
        <v>2490000</v>
      </c>
      <c r="D131" s="44"/>
      <c r="E131" s="625"/>
      <c r="F131" s="47"/>
    </row>
    <row r="132" spans="1:6" ht="12.75">
      <c r="A132" s="42"/>
      <c r="B132" s="624" t="s">
        <v>171</v>
      </c>
      <c r="C132" s="626">
        <v>8636000</v>
      </c>
      <c r="D132" s="626"/>
      <c r="E132" s="625"/>
      <c r="F132" s="47"/>
    </row>
    <row r="133" spans="1:6" ht="12.75">
      <c r="A133" s="42"/>
      <c r="B133" s="627" t="s">
        <v>170</v>
      </c>
      <c r="C133" s="582">
        <v>2230000</v>
      </c>
      <c r="D133" s="582"/>
      <c r="E133" s="625"/>
      <c r="F133" s="47"/>
    </row>
    <row r="134" spans="1:6" ht="12.75">
      <c r="A134" s="42"/>
      <c r="B134" s="42" t="s">
        <v>235</v>
      </c>
      <c r="C134" s="582">
        <v>3810000</v>
      </c>
      <c r="D134" s="582"/>
      <c r="E134" s="625"/>
      <c r="F134" s="47"/>
    </row>
    <row r="135" spans="1:6" ht="12.75">
      <c r="A135" s="42"/>
      <c r="B135" s="624" t="s">
        <v>236</v>
      </c>
      <c r="C135" s="582">
        <v>41000000</v>
      </c>
      <c r="D135" s="582"/>
      <c r="E135" s="625"/>
      <c r="F135" s="47"/>
    </row>
    <row r="136" spans="1:5" ht="12.75">
      <c r="A136" s="42"/>
      <c r="B136" s="627" t="s">
        <v>291</v>
      </c>
      <c r="C136" s="626">
        <v>350000</v>
      </c>
      <c r="D136" s="626"/>
      <c r="E136" s="48"/>
    </row>
    <row r="137" spans="1:5" ht="12.75">
      <c r="A137" s="42"/>
      <c r="B137" s="627" t="s">
        <v>261</v>
      </c>
      <c r="C137" s="626">
        <v>550000</v>
      </c>
      <c r="D137" s="626"/>
      <c r="E137" s="48"/>
    </row>
    <row r="138" spans="1:5" ht="12.75">
      <c r="A138" s="42"/>
      <c r="B138" s="627" t="s">
        <v>269</v>
      </c>
      <c r="C138" s="626">
        <v>23707655</v>
      </c>
      <c r="D138" s="626"/>
      <c r="E138" s="48"/>
    </row>
    <row r="139" spans="1:5" ht="12.75">
      <c r="A139" s="42"/>
      <c r="B139" s="627" t="s">
        <v>289</v>
      </c>
      <c r="C139" s="626">
        <v>90542364</v>
      </c>
      <c r="D139" s="626"/>
      <c r="E139" s="48"/>
    </row>
    <row r="140" spans="1:5" ht="12.75">
      <c r="A140" s="579"/>
      <c r="B140" s="622" t="s">
        <v>3</v>
      </c>
      <c r="C140" s="580">
        <f>SUM(C128:C139)</f>
        <v>197924798</v>
      </c>
      <c r="D140" s="580"/>
      <c r="E140" s="48"/>
    </row>
  </sheetData>
  <sheetProtection/>
  <mergeCells count="2">
    <mergeCell ref="A1:C1"/>
    <mergeCell ref="A2:E2"/>
  </mergeCells>
  <printOptions/>
  <pageMargins left="0.7874015748031497" right="0.5905511811023623" top="0.35433070866141736" bottom="0.35433070866141736" header="0.31496062992125984" footer="0.31496062992125984"/>
  <pageSetup horizontalDpi="600" verticalDpi="600" orientation="portrait" paperSize="9" scale="71" r:id="rId1"/>
  <rowBreaks count="2" manualBreakCount="2">
    <brk id="69" max="255" man="1"/>
    <brk id="12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zoomScalePageLayoutView="0" workbookViewId="0" topLeftCell="A1">
      <selection activeCell="D22" sqref="D22"/>
    </sheetView>
  </sheetViews>
  <sheetFormatPr defaultColWidth="9.00390625" defaultRowHeight="12.75"/>
  <cols>
    <col min="1" max="1" width="37.125" style="2" customWidth="1"/>
    <col min="2" max="2" width="15.875" style="2" customWidth="1"/>
    <col min="3" max="3" width="13.75390625" style="2" customWidth="1"/>
    <col min="4" max="4" width="10.875" style="2" customWidth="1"/>
    <col min="5" max="6" width="10.875" style="2" bestFit="1" customWidth="1"/>
    <col min="7" max="7" width="12.25390625" style="2" bestFit="1" customWidth="1"/>
    <col min="8" max="8" width="9.625" style="2" customWidth="1"/>
    <col min="9" max="16384" width="9.125" style="2" customWidth="1"/>
  </cols>
  <sheetData>
    <row r="1" spans="1:3" ht="13.5">
      <c r="A1" s="124" t="s">
        <v>303</v>
      </c>
      <c r="B1" s="124"/>
      <c r="C1" s="124"/>
    </row>
    <row r="2" spans="1:9" ht="30.75" customHeight="1">
      <c r="A2" s="125" t="s">
        <v>218</v>
      </c>
      <c r="B2" s="125"/>
      <c r="C2" s="125"/>
      <c r="D2" s="125"/>
      <c r="E2" s="125"/>
      <c r="F2" s="125"/>
      <c r="G2" s="125"/>
      <c r="H2" s="18"/>
      <c r="I2" s="18"/>
    </row>
    <row r="4" spans="2:7" ht="52.5" customHeight="1">
      <c r="B4" s="20" t="s">
        <v>288</v>
      </c>
      <c r="C4" s="19" t="s">
        <v>287</v>
      </c>
      <c r="D4" s="21" t="s">
        <v>146</v>
      </c>
      <c r="E4" s="21" t="s">
        <v>163</v>
      </c>
      <c r="F4" s="21" t="s">
        <v>286</v>
      </c>
      <c r="G4" s="22" t="s">
        <v>3</v>
      </c>
    </row>
    <row r="5" spans="1:8" ht="12.75">
      <c r="A5" s="4" t="s">
        <v>30</v>
      </c>
      <c r="B5" s="23"/>
      <c r="C5" s="13"/>
      <c r="D5" s="24"/>
      <c r="E5" s="24"/>
      <c r="F5" s="24"/>
      <c r="G5" s="24"/>
      <c r="H5" s="1"/>
    </row>
    <row r="6" spans="1:7" ht="12.75">
      <c r="A6" s="2" t="s">
        <v>124</v>
      </c>
      <c r="B6" s="26">
        <v>359900000</v>
      </c>
      <c r="C6" s="25">
        <v>489859309</v>
      </c>
      <c r="D6" s="27">
        <v>420000000</v>
      </c>
      <c r="E6" s="27">
        <v>420000000</v>
      </c>
      <c r="F6" s="27">
        <v>450000000</v>
      </c>
      <c r="G6" s="28">
        <f aca="true" t="shared" si="0" ref="G6:G12">SUM(C6:F6)</f>
        <v>1779859309</v>
      </c>
    </row>
    <row r="7" spans="1:7" ht="25.5">
      <c r="A7" s="12" t="s">
        <v>126</v>
      </c>
      <c r="B7" s="26">
        <v>20000000</v>
      </c>
      <c r="C7" s="25">
        <v>18000000</v>
      </c>
      <c r="D7" s="27">
        <v>20000000</v>
      </c>
      <c r="E7" s="27">
        <v>20000000</v>
      </c>
      <c r="F7" s="27">
        <v>20000000</v>
      </c>
      <c r="G7" s="28">
        <f t="shared" si="0"/>
        <v>78000000</v>
      </c>
    </row>
    <row r="8" spans="1:7" ht="12.75">
      <c r="A8" s="2" t="s">
        <v>127</v>
      </c>
      <c r="B8" s="26"/>
      <c r="C8" s="25"/>
      <c r="D8" s="27"/>
      <c r="E8" s="27"/>
      <c r="F8" s="27"/>
      <c r="G8" s="28">
        <f t="shared" si="0"/>
        <v>0</v>
      </c>
    </row>
    <row r="9" spans="1:7" ht="25.5">
      <c r="A9" s="12" t="s">
        <v>125</v>
      </c>
      <c r="B9" s="26">
        <v>35000000</v>
      </c>
      <c r="C9" s="25">
        <v>180750562</v>
      </c>
      <c r="D9" s="27">
        <v>35000000</v>
      </c>
      <c r="E9" s="27">
        <v>35000000</v>
      </c>
      <c r="F9" s="27">
        <v>80000000</v>
      </c>
      <c r="G9" s="28">
        <f t="shared" si="0"/>
        <v>330750562</v>
      </c>
    </row>
    <row r="10" spans="1:7" ht="12.75">
      <c r="A10" s="2" t="s">
        <v>128</v>
      </c>
      <c r="B10" s="26">
        <v>500000</v>
      </c>
      <c r="C10" s="25">
        <v>0</v>
      </c>
      <c r="D10" s="27">
        <v>500000</v>
      </c>
      <c r="E10" s="27">
        <v>500000</v>
      </c>
      <c r="F10" s="27">
        <v>0</v>
      </c>
      <c r="G10" s="28">
        <f t="shared" si="0"/>
        <v>1000000</v>
      </c>
    </row>
    <row r="11" spans="1:7" ht="12.75">
      <c r="A11" s="2" t="s">
        <v>129</v>
      </c>
      <c r="B11" s="26"/>
      <c r="C11" s="25"/>
      <c r="D11" s="27"/>
      <c r="E11" s="27"/>
      <c r="F11" s="27"/>
      <c r="G11" s="28">
        <f t="shared" si="0"/>
        <v>0</v>
      </c>
    </row>
    <row r="12" spans="1:7" s="4" customFormat="1" ht="12.75">
      <c r="A12" s="4" t="s">
        <v>3</v>
      </c>
      <c r="B12" s="29">
        <f>SUM(B6:B11)</f>
        <v>415400000</v>
      </c>
      <c r="C12" s="15">
        <f>SUM(C6:C11)</f>
        <v>688609871</v>
      </c>
      <c r="D12" s="28">
        <f>SUM(D6:D11)</f>
        <v>475500000</v>
      </c>
      <c r="E12" s="28">
        <f>SUM(E6:E11)</f>
        <v>475500000</v>
      </c>
      <c r="F12" s="28">
        <f>SUM(F6:F11)</f>
        <v>550000000</v>
      </c>
      <c r="G12" s="28">
        <f t="shared" si="0"/>
        <v>2189609871</v>
      </c>
    </row>
    <row r="13" spans="2:7" ht="12.75">
      <c r="B13" s="26"/>
      <c r="C13" s="25"/>
      <c r="D13" s="27"/>
      <c r="E13" s="27"/>
      <c r="F13" s="27"/>
      <c r="G13" s="28"/>
    </row>
    <row r="14" spans="1:7" s="4" customFormat="1" ht="12.75">
      <c r="A14" s="4" t="s">
        <v>130</v>
      </c>
      <c r="B14" s="29">
        <f>B12*0.5</f>
        <v>207700000</v>
      </c>
      <c r="C14" s="15">
        <f>C12*0.5</f>
        <v>344304935.5</v>
      </c>
      <c r="D14" s="28">
        <f>D12*0.5</f>
        <v>237750000</v>
      </c>
      <c r="E14" s="28">
        <f>E12*0.5</f>
        <v>237750000</v>
      </c>
      <c r="F14" s="28">
        <f>F12*0.5</f>
        <v>275000000</v>
      </c>
      <c r="G14" s="28"/>
    </row>
    <row r="15" spans="2:7" ht="12.75">
      <c r="B15" s="26"/>
      <c r="C15" s="25"/>
      <c r="D15" s="27"/>
      <c r="E15" s="27"/>
      <c r="F15" s="27"/>
      <c r="G15" s="28"/>
    </row>
    <row r="16" spans="1:7" ht="12.75">
      <c r="A16" s="4" t="s">
        <v>97</v>
      </c>
      <c r="B16" s="26"/>
      <c r="C16" s="25"/>
      <c r="D16" s="27"/>
      <c r="E16" s="27"/>
      <c r="F16" s="27"/>
      <c r="G16" s="28"/>
    </row>
    <row r="17" spans="1:7" ht="12.75">
      <c r="A17" s="2" t="s">
        <v>95</v>
      </c>
      <c r="B17" s="26"/>
      <c r="C17" s="25"/>
      <c r="D17" s="27"/>
      <c r="E17" s="27"/>
      <c r="F17" s="27"/>
      <c r="G17" s="28"/>
    </row>
    <row r="18" spans="1:7" ht="12.75">
      <c r="A18" s="2" t="s">
        <v>98</v>
      </c>
      <c r="B18" s="26"/>
      <c r="C18" s="25"/>
      <c r="D18" s="27"/>
      <c r="E18" s="27"/>
      <c r="F18" s="27"/>
      <c r="G18" s="28"/>
    </row>
    <row r="19" spans="1:7" s="4" customFormat="1" ht="25.5">
      <c r="A19" s="17" t="s">
        <v>99</v>
      </c>
      <c r="B19" s="29">
        <f aca="true" t="shared" si="1" ref="B19:G19">SUM(B17:B18)</f>
        <v>0</v>
      </c>
      <c r="C19" s="29">
        <f t="shared" si="1"/>
        <v>0</v>
      </c>
      <c r="D19" s="29">
        <f t="shared" si="1"/>
        <v>0</v>
      </c>
      <c r="E19" s="29">
        <f t="shared" si="1"/>
        <v>0</v>
      </c>
      <c r="F19" s="29">
        <f t="shared" si="1"/>
        <v>0</v>
      </c>
      <c r="G19" s="29">
        <f t="shared" si="1"/>
        <v>0</v>
      </c>
    </row>
    <row r="20" spans="2:7" ht="12.75">
      <c r="B20" s="3"/>
      <c r="C20" s="3"/>
      <c r="D20" s="3"/>
      <c r="E20" s="3"/>
      <c r="F20" s="3"/>
      <c r="G20" s="16"/>
    </row>
  </sheetData>
  <sheetProtection/>
  <mergeCells count="2">
    <mergeCell ref="A2:G2"/>
    <mergeCell ref="A1:C1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2"/>
  <sheetViews>
    <sheetView zoomScaleSheetLayoutView="100" zoomScalePageLayoutView="0" workbookViewId="0" topLeftCell="A1">
      <selection activeCell="H15" sqref="H15"/>
    </sheetView>
  </sheetViews>
  <sheetFormatPr defaultColWidth="9.00390625" defaultRowHeight="12.75"/>
  <cols>
    <col min="1" max="1" width="7.125" style="31" customWidth="1"/>
    <col min="2" max="2" width="39.375" style="12" customWidth="1"/>
    <col min="3" max="3" width="14.00390625" style="3" customWidth="1"/>
    <col min="4" max="4" width="16.125" style="2" customWidth="1"/>
    <col min="5" max="16384" width="9.125" style="2" customWidth="1"/>
  </cols>
  <sheetData>
    <row r="1" spans="1:3" ht="12.75" customHeight="1">
      <c r="A1" s="128" t="s">
        <v>304</v>
      </c>
      <c r="B1" s="128"/>
      <c r="C1" s="30"/>
    </row>
    <row r="2" spans="2:3" ht="13.5">
      <c r="B2" s="32"/>
      <c r="C2" s="30"/>
    </row>
    <row r="3" spans="2:4" ht="13.5">
      <c r="B3" s="128" t="s">
        <v>131</v>
      </c>
      <c r="C3" s="129"/>
      <c r="D3" s="129"/>
    </row>
    <row r="4" spans="1:5" ht="24.75" customHeight="1">
      <c r="A4" s="126" t="s">
        <v>292</v>
      </c>
      <c r="B4" s="127"/>
      <c r="C4" s="127"/>
      <c r="D4" s="127"/>
      <c r="E4" s="127"/>
    </row>
    <row r="5" spans="1:5" ht="12.75">
      <c r="A5" s="127"/>
      <c r="B5" s="127"/>
      <c r="C5" s="127"/>
      <c r="D5" s="127"/>
      <c r="E5" s="127"/>
    </row>
    <row r="6" spans="2:3" ht="13.5">
      <c r="B6" s="33"/>
      <c r="C6" s="34"/>
    </row>
    <row r="7" spans="1:4" ht="29.25" customHeight="1">
      <c r="A7" s="35" t="s">
        <v>132</v>
      </c>
      <c r="B7" s="130" t="s">
        <v>219</v>
      </c>
      <c r="C7" s="131"/>
      <c r="D7" s="131"/>
    </row>
    <row r="8" spans="1:4" ht="19.5" customHeight="1">
      <c r="A8" s="35"/>
      <c r="B8" s="36"/>
      <c r="C8" s="37"/>
      <c r="D8" s="37"/>
    </row>
    <row r="9" spans="2:4" ht="13.5">
      <c r="B9" s="40"/>
      <c r="C9" s="41"/>
      <c r="D9" s="3"/>
    </row>
    <row r="11" spans="1:4" ht="13.5">
      <c r="A11" s="31" t="s">
        <v>7</v>
      </c>
      <c r="B11" s="38" t="s">
        <v>191</v>
      </c>
      <c r="C11" s="39" t="s">
        <v>220</v>
      </c>
      <c r="D11" s="39" t="s">
        <v>3</v>
      </c>
    </row>
    <row r="12" spans="2:4" ht="13.5">
      <c r="B12" s="40" t="s">
        <v>133</v>
      </c>
      <c r="C12" s="41"/>
      <c r="D12" s="3"/>
    </row>
    <row r="13" spans="2:4" ht="13.5">
      <c r="B13" s="2" t="s">
        <v>134</v>
      </c>
      <c r="C13" s="3">
        <f>(753000+41600000)*0.85</f>
        <v>36000050</v>
      </c>
      <c r="D13" s="3">
        <f>SUM(C13:C13)</f>
        <v>36000050</v>
      </c>
    </row>
    <row r="14" spans="2:4" ht="13.5">
      <c r="B14" s="2" t="s">
        <v>135</v>
      </c>
      <c r="C14" s="3">
        <f>(753000+41600000)*0.1</f>
        <v>4235300</v>
      </c>
      <c r="D14" s="3">
        <f>SUM(C14:C14)</f>
        <v>4235300</v>
      </c>
    </row>
    <row r="15" spans="2:4" ht="13.5">
      <c r="B15" s="2" t="s">
        <v>136</v>
      </c>
      <c r="D15" s="3">
        <f>SUM(C15:C15)</f>
        <v>0</v>
      </c>
    </row>
    <row r="16" spans="2:4" ht="13.5">
      <c r="B16" s="2" t="s">
        <v>137</v>
      </c>
      <c r="C16" s="3">
        <f>C24-C13-C14-C15</f>
        <v>2117650</v>
      </c>
      <c r="D16" s="3">
        <f>SUM(C16:C16)</f>
        <v>2117650</v>
      </c>
    </row>
    <row r="17" spans="2:4" ht="13.5">
      <c r="B17" s="40" t="s">
        <v>3</v>
      </c>
      <c r="C17" s="41">
        <f>SUM(C13:C16)</f>
        <v>42353000</v>
      </c>
      <c r="D17" s="41">
        <f>SUM(C17:C17)</f>
        <v>42353000</v>
      </c>
    </row>
    <row r="18" spans="2:4" ht="9.75" customHeight="1">
      <c r="B18" s="2"/>
      <c r="D18" s="3"/>
    </row>
    <row r="19" spans="2:4" ht="13.5">
      <c r="B19" s="40" t="s">
        <v>138</v>
      </c>
      <c r="C19" s="41"/>
      <c r="D19" s="3"/>
    </row>
    <row r="20" spans="2:4" ht="13.5">
      <c r="B20" s="2" t="s">
        <v>17</v>
      </c>
      <c r="D20" s="3"/>
    </row>
    <row r="21" spans="2:4" ht="15" customHeight="1">
      <c r="B21" s="2" t="s">
        <v>59</v>
      </c>
      <c r="C21" s="3">
        <v>41600000</v>
      </c>
      <c r="D21" s="3">
        <f>SUM(C21:C21)</f>
        <v>41600000</v>
      </c>
    </row>
    <row r="22" spans="2:4" ht="13.5">
      <c r="B22" s="2" t="s">
        <v>15</v>
      </c>
      <c r="C22" s="3">
        <v>753000</v>
      </c>
      <c r="D22" s="3">
        <f>SUM(C22:C22)</f>
        <v>753000</v>
      </c>
    </row>
    <row r="23" spans="2:4" ht="13.5">
      <c r="B23" s="2" t="s">
        <v>139</v>
      </c>
      <c r="D23" s="3">
        <f>SUM(C23:C23)</f>
        <v>0</v>
      </c>
    </row>
    <row r="24" spans="2:4" ht="13.5">
      <c r="B24" s="40" t="s">
        <v>3</v>
      </c>
      <c r="C24" s="41">
        <f>SUM(C20:C23)</f>
        <v>42353000</v>
      </c>
      <c r="D24" s="3">
        <f>SUM(C24:C24)</f>
        <v>42353000</v>
      </c>
    </row>
    <row r="25" spans="2:4" ht="13.5">
      <c r="B25" s="40"/>
      <c r="C25" s="41"/>
      <c r="D25" s="3"/>
    </row>
    <row r="27" spans="2:4" ht="13.5">
      <c r="B27" s="40"/>
      <c r="C27" s="41"/>
      <c r="D27" s="3"/>
    </row>
    <row r="28" spans="1:4" ht="13.5">
      <c r="A28" s="31" t="s">
        <v>18</v>
      </c>
      <c r="B28" s="38" t="s">
        <v>192</v>
      </c>
      <c r="C28" s="39" t="s">
        <v>220</v>
      </c>
      <c r="D28" s="39" t="s">
        <v>3</v>
      </c>
    </row>
    <row r="29" spans="2:4" ht="13.5">
      <c r="B29" s="40" t="s">
        <v>133</v>
      </c>
      <c r="C29" s="41"/>
      <c r="D29" s="3"/>
    </row>
    <row r="30" spans="2:4" ht="13.5">
      <c r="B30" s="2" t="s">
        <v>134</v>
      </c>
      <c r="D30" s="3">
        <f>SUM(C30:C30)</f>
        <v>0</v>
      </c>
    </row>
    <row r="31" spans="2:4" ht="13.5">
      <c r="B31" s="2" t="s">
        <v>135</v>
      </c>
      <c r="C31" s="3">
        <v>39026352</v>
      </c>
      <c r="D31" s="3">
        <f>SUM(C31:C31)</f>
        <v>39026352</v>
      </c>
    </row>
    <row r="32" spans="2:4" ht="13.5">
      <c r="B32" s="2" t="s">
        <v>136</v>
      </c>
      <c r="D32" s="3">
        <f>SUM(C32:C32)</f>
        <v>0</v>
      </c>
    </row>
    <row r="33" spans="2:4" ht="13.5">
      <c r="B33" s="2" t="s">
        <v>137</v>
      </c>
      <c r="C33" s="3">
        <f>C41-C30-C31-C32</f>
        <v>7251596</v>
      </c>
      <c r="D33" s="3">
        <f>SUM(C33:C33)</f>
        <v>7251596</v>
      </c>
    </row>
    <row r="34" spans="2:4" ht="13.5">
      <c r="B34" s="40" t="s">
        <v>3</v>
      </c>
      <c r="C34" s="41">
        <f>SUM(C30:C33)</f>
        <v>46277948</v>
      </c>
      <c r="D34" s="41">
        <f>SUM(C34:C34)</f>
        <v>46277948</v>
      </c>
    </row>
    <row r="35" spans="2:4" ht="9.75" customHeight="1">
      <c r="B35" s="2"/>
      <c r="D35" s="3"/>
    </row>
    <row r="36" spans="2:4" ht="13.5">
      <c r="B36" s="40" t="s">
        <v>138</v>
      </c>
      <c r="C36" s="41"/>
      <c r="D36" s="3"/>
    </row>
    <row r="37" spans="2:4" ht="13.5">
      <c r="B37" s="2" t="s">
        <v>17</v>
      </c>
      <c r="D37" s="3"/>
    </row>
    <row r="38" spans="2:4" ht="13.5">
      <c r="B38" s="2" t="s">
        <v>59</v>
      </c>
      <c r="D38" s="3">
        <f>SUM(C38:C38)</f>
        <v>0</v>
      </c>
    </row>
    <row r="39" spans="2:4" ht="13.5">
      <c r="B39" s="2" t="s">
        <v>15</v>
      </c>
      <c r="C39" s="3">
        <v>17251596</v>
      </c>
      <c r="D39" s="3">
        <f>SUM(C39:C39)</f>
        <v>17251596</v>
      </c>
    </row>
    <row r="40" spans="2:4" ht="13.5">
      <c r="B40" s="2" t="s">
        <v>193</v>
      </c>
      <c r="C40" s="3">
        <v>29026352</v>
      </c>
      <c r="D40" s="3">
        <f>SUM(C40:C40)</f>
        <v>29026352</v>
      </c>
    </row>
    <row r="41" spans="2:4" ht="13.5">
      <c r="B41" s="40" t="s">
        <v>3</v>
      </c>
      <c r="C41" s="41">
        <f>SUM(C37:C40)</f>
        <v>46277948</v>
      </c>
      <c r="D41" s="3">
        <f>SUM(C41:C41)</f>
        <v>46277948</v>
      </c>
    </row>
    <row r="42" spans="2:4" ht="13.5">
      <c r="B42" s="40"/>
      <c r="C42" s="41"/>
      <c r="D42" s="3"/>
    </row>
  </sheetData>
  <sheetProtection/>
  <mergeCells count="4">
    <mergeCell ref="A4:E5"/>
    <mergeCell ref="B3:D3"/>
    <mergeCell ref="B7:D7"/>
    <mergeCell ref="A1:B1"/>
  </mergeCells>
  <printOptions/>
  <pageMargins left="0.7874015748031497" right="0.7874015748031497" top="1.1023622047244095" bottom="1.1811023622047245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22"/>
  <sheetViews>
    <sheetView workbookViewId="0" topLeftCell="A1">
      <selection activeCell="D9" sqref="D9"/>
    </sheetView>
  </sheetViews>
  <sheetFormatPr defaultColWidth="71.875" defaultRowHeight="12.75"/>
  <cols>
    <col min="1" max="1" width="60.875" style="63" customWidth="1"/>
    <col min="2" max="17" width="12.125" style="63" customWidth="1"/>
    <col min="18" max="18" width="10.875" style="63" customWidth="1"/>
    <col min="19" max="19" width="3.125" style="63" customWidth="1"/>
    <col min="20" max="24" width="9.25390625" style="63" customWidth="1"/>
    <col min="25" max="16384" width="71.875" style="63" customWidth="1"/>
  </cols>
  <sheetData>
    <row r="3" ht="12.75">
      <c r="A3" s="63" t="s">
        <v>305</v>
      </c>
    </row>
    <row r="4" spans="1:18" ht="21.75" customHeight="1">
      <c r="A4" s="124"/>
      <c r="B4" s="12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</row>
    <row r="5" spans="1:18" ht="15.75" customHeight="1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</row>
    <row r="6" spans="1:18" ht="12.75">
      <c r="A6" s="134" t="s">
        <v>221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</row>
    <row r="7" spans="1:18" ht="12.75">
      <c r="A7" s="135" t="s">
        <v>195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</row>
    <row r="8" ht="12.75">
      <c r="A8" s="64"/>
    </row>
    <row r="9" ht="12.75">
      <c r="A9" s="64"/>
    </row>
    <row r="10" spans="1:18" ht="26.25" customHeight="1" thickBot="1">
      <c r="A10" s="136"/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</row>
    <row r="11" spans="1:18" ht="30" customHeight="1" thickBot="1">
      <c r="A11" s="137" t="s">
        <v>172</v>
      </c>
      <c r="B11" s="139" t="s">
        <v>173</v>
      </c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40"/>
    </row>
    <row r="12" spans="1:18" ht="78.75" customHeight="1" thickBot="1">
      <c r="A12" s="138"/>
      <c r="B12" s="66" t="s">
        <v>54</v>
      </c>
      <c r="C12" s="66" t="s">
        <v>141</v>
      </c>
      <c r="D12" s="66" t="s">
        <v>65</v>
      </c>
      <c r="E12" s="66" t="s">
        <v>40</v>
      </c>
      <c r="F12" s="66" t="s">
        <v>161</v>
      </c>
      <c r="G12" s="67" t="s">
        <v>222</v>
      </c>
      <c r="H12" s="68" t="s">
        <v>223</v>
      </c>
      <c r="I12" s="68" t="s">
        <v>224</v>
      </c>
      <c r="J12" s="68" t="s">
        <v>225</v>
      </c>
      <c r="K12" s="69" t="s">
        <v>226</v>
      </c>
      <c r="L12" s="109" t="s">
        <v>227</v>
      </c>
      <c r="M12" s="110" t="s">
        <v>228</v>
      </c>
      <c r="N12" s="111" t="s">
        <v>229</v>
      </c>
      <c r="O12" s="112" t="s">
        <v>230</v>
      </c>
      <c r="P12" s="113" t="s">
        <v>231</v>
      </c>
      <c r="Q12" s="70" t="s">
        <v>194</v>
      </c>
      <c r="R12" s="71" t="s">
        <v>174</v>
      </c>
    </row>
    <row r="13" spans="1:18" ht="12.75">
      <c r="A13" s="58" t="s">
        <v>175</v>
      </c>
      <c r="B13" s="72"/>
      <c r="C13" s="72"/>
      <c r="D13" s="72"/>
      <c r="E13" s="72">
        <v>52</v>
      </c>
      <c r="F13" s="72"/>
      <c r="G13" s="73"/>
      <c r="H13" s="74"/>
      <c r="I13" s="74"/>
      <c r="J13" s="74"/>
      <c r="K13" s="75"/>
      <c r="L13" s="76"/>
      <c r="M13" s="73"/>
      <c r="N13" s="74"/>
      <c r="O13" s="75"/>
      <c r="P13" s="114"/>
      <c r="Q13" s="77"/>
      <c r="R13" s="72">
        <f>B13+C13+D13+E13+F13+L13+P13+Q13</f>
        <v>52</v>
      </c>
    </row>
    <row r="14" spans="1:18" ht="12.75">
      <c r="A14" s="55" t="s">
        <v>176</v>
      </c>
      <c r="B14" s="78">
        <v>9</v>
      </c>
      <c r="C14" s="78">
        <v>15.5</v>
      </c>
      <c r="D14" s="78">
        <v>12</v>
      </c>
      <c r="E14" s="78"/>
      <c r="F14" s="78">
        <v>44.75</v>
      </c>
      <c r="G14" s="79">
        <v>18.25</v>
      </c>
      <c r="H14" s="80">
        <v>5.5</v>
      </c>
      <c r="I14" s="80">
        <v>10.5</v>
      </c>
      <c r="J14" s="80">
        <v>4.5</v>
      </c>
      <c r="K14" s="81">
        <v>3</v>
      </c>
      <c r="L14" s="82">
        <f>G14+H14+I14+J14+K14</f>
        <v>41.75</v>
      </c>
      <c r="M14" s="79">
        <v>18.5</v>
      </c>
      <c r="N14" s="80">
        <v>3</v>
      </c>
      <c r="O14" s="81">
        <v>3</v>
      </c>
      <c r="P14" s="115">
        <f>M14+N14+O14</f>
        <v>24.5</v>
      </c>
      <c r="Q14" s="83"/>
      <c r="R14" s="78">
        <f aca="true" t="shared" si="0" ref="R14:R20">B14+C14+D14+E14+F14+L14+P14+Q14</f>
        <v>147.5</v>
      </c>
    </row>
    <row r="15" spans="1:18" ht="13.5" thickBot="1">
      <c r="A15" s="59" t="s">
        <v>177</v>
      </c>
      <c r="B15" s="84"/>
      <c r="C15" s="84"/>
      <c r="D15" s="84"/>
      <c r="E15" s="84">
        <v>2</v>
      </c>
      <c r="F15" s="84"/>
      <c r="G15" s="85"/>
      <c r="H15" s="86"/>
      <c r="I15" s="86"/>
      <c r="J15" s="86"/>
      <c r="K15" s="87"/>
      <c r="L15" s="88"/>
      <c r="M15" s="85"/>
      <c r="N15" s="86"/>
      <c r="O15" s="87"/>
      <c r="P15" s="116"/>
      <c r="Q15" s="89">
        <v>2.75</v>
      </c>
      <c r="R15" s="84">
        <f t="shared" si="0"/>
        <v>4.75</v>
      </c>
    </row>
    <row r="16" spans="1:18" ht="13.5" customHeight="1">
      <c r="A16" s="61" t="s">
        <v>178</v>
      </c>
      <c r="B16" s="90"/>
      <c r="C16" s="90"/>
      <c r="D16" s="90"/>
      <c r="E16" s="90"/>
      <c r="F16" s="90"/>
      <c r="G16" s="91"/>
      <c r="H16" s="92"/>
      <c r="I16" s="92"/>
      <c r="J16" s="92"/>
      <c r="K16" s="93"/>
      <c r="L16" s="94"/>
      <c r="M16" s="91"/>
      <c r="N16" s="92"/>
      <c r="O16" s="93"/>
      <c r="P16" s="117"/>
      <c r="Q16" s="95">
        <v>1</v>
      </c>
      <c r="R16" s="90">
        <f t="shared" si="0"/>
        <v>1</v>
      </c>
    </row>
    <row r="17" spans="1:18" ht="12.75">
      <c r="A17" s="56" t="s">
        <v>179</v>
      </c>
      <c r="B17" s="78"/>
      <c r="C17" s="78"/>
      <c r="D17" s="78"/>
      <c r="E17" s="78"/>
      <c r="F17" s="78"/>
      <c r="G17" s="79"/>
      <c r="H17" s="80"/>
      <c r="I17" s="80"/>
      <c r="J17" s="80"/>
      <c r="K17" s="81"/>
      <c r="L17" s="82"/>
      <c r="M17" s="79"/>
      <c r="N17" s="80"/>
      <c r="O17" s="81"/>
      <c r="P17" s="115"/>
      <c r="Q17" s="83">
        <v>9</v>
      </c>
      <c r="R17" s="78">
        <f t="shared" si="0"/>
        <v>9</v>
      </c>
    </row>
    <row r="18" spans="1:18" ht="12.75">
      <c r="A18" s="56" t="s">
        <v>180</v>
      </c>
      <c r="B18" s="78"/>
      <c r="C18" s="78"/>
      <c r="D18" s="78"/>
      <c r="E18" s="78"/>
      <c r="F18" s="78"/>
      <c r="G18" s="79"/>
      <c r="H18" s="80"/>
      <c r="I18" s="80"/>
      <c r="J18" s="80"/>
      <c r="K18" s="81"/>
      <c r="L18" s="82"/>
      <c r="M18" s="79"/>
      <c r="N18" s="80"/>
      <c r="O18" s="81"/>
      <c r="P18" s="115"/>
      <c r="Q18" s="83">
        <v>1</v>
      </c>
      <c r="R18" s="78">
        <f t="shared" si="0"/>
        <v>1</v>
      </c>
    </row>
    <row r="19" spans="1:18" ht="13.5" thickBot="1">
      <c r="A19" s="57" t="s">
        <v>181</v>
      </c>
      <c r="B19" s="96"/>
      <c r="C19" s="96"/>
      <c r="D19" s="96"/>
      <c r="E19" s="96"/>
      <c r="F19" s="96"/>
      <c r="G19" s="97"/>
      <c r="H19" s="98"/>
      <c r="I19" s="98"/>
      <c r="J19" s="98"/>
      <c r="K19" s="99"/>
      <c r="L19" s="100"/>
      <c r="M19" s="97"/>
      <c r="N19" s="98"/>
      <c r="O19" s="99"/>
      <c r="P19" s="118"/>
      <c r="Q19" s="101">
        <f>SUM(Q16:Q18)</f>
        <v>11</v>
      </c>
      <c r="R19" s="96">
        <f t="shared" si="0"/>
        <v>11</v>
      </c>
    </row>
    <row r="20" spans="1:18" ht="26.25" thickBot="1">
      <c r="A20" s="60" t="s">
        <v>182</v>
      </c>
      <c r="B20" s="102">
        <f aca="true" t="shared" si="1" ref="B20:O20">B13+B14+B15+B19</f>
        <v>9</v>
      </c>
      <c r="C20" s="102">
        <f t="shared" si="1"/>
        <v>15.5</v>
      </c>
      <c r="D20" s="102">
        <f t="shared" si="1"/>
        <v>12</v>
      </c>
      <c r="E20" s="102">
        <f t="shared" si="1"/>
        <v>54</v>
      </c>
      <c r="F20" s="102">
        <f t="shared" si="1"/>
        <v>44.75</v>
      </c>
      <c r="G20" s="103">
        <f t="shared" si="1"/>
        <v>18.25</v>
      </c>
      <c r="H20" s="104">
        <f t="shared" si="1"/>
        <v>5.5</v>
      </c>
      <c r="I20" s="104">
        <f t="shared" si="1"/>
        <v>10.5</v>
      </c>
      <c r="J20" s="104">
        <f>J13+J14+J15+J19</f>
        <v>4.5</v>
      </c>
      <c r="K20" s="105">
        <f>K13+K14+K15+K19</f>
        <v>3</v>
      </c>
      <c r="L20" s="106">
        <f t="shared" si="1"/>
        <v>41.75</v>
      </c>
      <c r="M20" s="103">
        <f>M13+M14+M15+M19</f>
        <v>18.5</v>
      </c>
      <c r="N20" s="104">
        <f>N13+N14+N15+N19</f>
        <v>3</v>
      </c>
      <c r="O20" s="105">
        <f t="shared" si="1"/>
        <v>3</v>
      </c>
      <c r="P20" s="119">
        <f>P13+P14+P15+P19</f>
        <v>24.5</v>
      </c>
      <c r="Q20" s="107">
        <f>Q13+Q14+Q15+Q19</f>
        <v>13.75</v>
      </c>
      <c r="R20" s="108">
        <f t="shared" si="0"/>
        <v>215.25</v>
      </c>
    </row>
    <row r="21" spans="1:18" ht="12.75">
      <c r="A21" s="132"/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</row>
    <row r="22" spans="1:18" ht="12.75">
      <c r="A22" s="132"/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</row>
  </sheetData>
  <sheetProtection/>
  <mergeCells count="8">
    <mergeCell ref="A21:R21"/>
    <mergeCell ref="A22:R22"/>
    <mergeCell ref="A4:B4"/>
    <mergeCell ref="A6:R6"/>
    <mergeCell ref="A7:R7"/>
    <mergeCell ref="A10:R10"/>
    <mergeCell ref="A11:A12"/>
    <mergeCell ref="B11:R11"/>
  </mergeCells>
  <printOptions/>
  <pageMargins left="0.31496062992125984" right="0.31496062992125984" top="0.15748031496062992" bottom="0.15748031496062992" header="0.31496062992125984" footer="0.31496062992125984"/>
  <pageSetup fitToHeight="1" fitToWidth="1" horizontalDpi="300" verticalDpi="3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Felhasználói név</dc:creator>
  <cp:keywords/>
  <dc:description/>
  <cp:lastModifiedBy>Csedus</cp:lastModifiedBy>
  <cp:lastPrinted>2018-05-31T07:49:01Z</cp:lastPrinted>
  <dcterms:created xsi:type="dcterms:W3CDTF">2007-11-15T07:32:30Z</dcterms:created>
  <dcterms:modified xsi:type="dcterms:W3CDTF">2019-07-30T12:15:28Z</dcterms:modified>
  <cp:category/>
  <cp:version/>
  <cp:contentType/>
  <cp:contentStatus/>
</cp:coreProperties>
</file>