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'!$A$1:$F$167</definedName>
  </definedNames>
  <calcPr calcId="145621"/>
</workbook>
</file>

<file path=xl/calcChain.xml><?xml version="1.0" encoding="utf-8"?>
<calcChain xmlns="http://schemas.openxmlformats.org/spreadsheetml/2006/main">
  <c r="E161" i="1" l="1"/>
  <c r="C160" i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D139" i="1"/>
  <c r="C139" i="1"/>
  <c r="C138" i="1"/>
  <c r="F137" i="1"/>
  <c r="F161" i="1" s="1"/>
  <c r="E137" i="1"/>
  <c r="D137" i="1"/>
  <c r="D161" i="1" s="1"/>
  <c r="C161" i="1" s="1"/>
  <c r="D135" i="1"/>
  <c r="C135" i="1" s="1"/>
  <c r="C134" i="1"/>
  <c r="C133" i="1"/>
  <c r="C132" i="1"/>
  <c r="C131" i="1"/>
  <c r="C130" i="1"/>
  <c r="C129" i="1"/>
  <c r="C128" i="1"/>
  <c r="D126" i="1"/>
  <c r="C126" i="1"/>
  <c r="F125" i="1"/>
  <c r="D125" i="1"/>
  <c r="C125" i="1" s="1"/>
  <c r="D124" i="1"/>
  <c r="C124" i="1" s="1"/>
  <c r="F123" i="1"/>
  <c r="F122" i="1" s="1"/>
  <c r="D123" i="1"/>
  <c r="C123" i="1"/>
  <c r="E122" i="1"/>
  <c r="D121" i="1"/>
  <c r="C121" i="1"/>
  <c r="D120" i="1"/>
  <c r="C120" i="1"/>
  <c r="D119" i="1"/>
  <c r="C119" i="1"/>
  <c r="D118" i="1"/>
  <c r="C118" i="1"/>
  <c r="C117" i="1"/>
  <c r="C116" i="1"/>
  <c r="C115" i="1"/>
  <c r="C114" i="1"/>
  <c r="D113" i="1"/>
  <c r="C113" i="1"/>
  <c r="C112" i="1"/>
  <c r="C111" i="1"/>
  <c r="C110" i="1"/>
  <c r="C109" i="1"/>
  <c r="C108" i="1"/>
  <c r="C107" i="1"/>
  <c r="F106" i="1"/>
  <c r="E106" i="1"/>
  <c r="D106" i="1"/>
  <c r="C106" i="1"/>
  <c r="C105" i="1"/>
  <c r="F104" i="1"/>
  <c r="D104" i="1"/>
  <c r="C104" i="1"/>
  <c r="F103" i="1"/>
  <c r="D103" i="1"/>
  <c r="C103" i="1" s="1"/>
  <c r="F102" i="1"/>
  <c r="F101" i="1" s="1"/>
  <c r="F136" i="1" s="1"/>
  <c r="F162" i="1" s="1"/>
  <c r="D102" i="1"/>
  <c r="C102" i="1"/>
  <c r="E101" i="1"/>
  <c r="E136" i="1" s="1"/>
  <c r="E162" i="1" s="1"/>
  <c r="C99" i="1"/>
  <c r="C93" i="1"/>
  <c r="C92" i="1"/>
  <c r="C91" i="1"/>
  <c r="C90" i="1"/>
  <c r="C89" i="1"/>
  <c r="C88" i="1"/>
  <c r="F87" i="1"/>
  <c r="E87" i="1"/>
  <c r="D87" i="1"/>
  <c r="C87" i="1" s="1"/>
  <c r="C86" i="1"/>
  <c r="C85" i="1"/>
  <c r="D84" i="1"/>
  <c r="C84" i="1" s="1"/>
  <c r="F83" i="1"/>
  <c r="E83" i="1"/>
  <c r="D83" i="1"/>
  <c r="C83" i="1" s="1"/>
  <c r="C82" i="1"/>
  <c r="F81" i="1"/>
  <c r="D81" i="1"/>
  <c r="C81" i="1" s="1"/>
  <c r="F80" i="1"/>
  <c r="E80" i="1"/>
  <c r="D80" i="1"/>
  <c r="C80" i="1" s="1"/>
  <c r="C79" i="1"/>
  <c r="C78" i="1"/>
  <c r="C77" i="1"/>
  <c r="C76" i="1"/>
  <c r="F75" i="1"/>
  <c r="F94" i="1" s="1"/>
  <c r="E75" i="1"/>
  <c r="D75" i="1"/>
  <c r="C75" i="1" s="1"/>
  <c r="C74" i="1"/>
  <c r="D73" i="1"/>
  <c r="C73" i="1"/>
  <c r="D72" i="1"/>
  <c r="C72" i="1"/>
  <c r="F71" i="1"/>
  <c r="E71" i="1"/>
  <c r="E94" i="1" s="1"/>
  <c r="D71" i="1"/>
  <c r="C71" i="1"/>
  <c r="C69" i="1"/>
  <c r="C68" i="1"/>
  <c r="C67" i="1"/>
  <c r="C66" i="1"/>
  <c r="F65" i="1"/>
  <c r="E65" i="1"/>
  <c r="C65" i="1" s="1"/>
  <c r="D65" i="1"/>
  <c r="C64" i="1"/>
  <c r="D63" i="1"/>
  <c r="C63" i="1" s="1"/>
  <c r="C62" i="1"/>
  <c r="C61" i="1"/>
  <c r="F60" i="1"/>
  <c r="E60" i="1"/>
  <c r="D60" i="1"/>
  <c r="C60" i="1" s="1"/>
  <c r="C59" i="1"/>
  <c r="C58" i="1"/>
  <c r="C57" i="1"/>
  <c r="C56" i="1"/>
  <c r="C55" i="1"/>
  <c r="F54" i="1"/>
  <c r="E54" i="1"/>
  <c r="C54" i="1" s="1"/>
  <c r="D54" i="1"/>
  <c r="D53" i="1"/>
  <c r="C53" i="1"/>
  <c r="C52" i="1"/>
  <c r="C51" i="1"/>
  <c r="C50" i="1"/>
  <c r="F49" i="1"/>
  <c r="C49" i="1" s="1"/>
  <c r="F48" i="1"/>
  <c r="E48" i="1"/>
  <c r="D48" i="1"/>
  <c r="C48" i="1" s="1"/>
  <c r="F47" i="1"/>
  <c r="C47" i="1" s="1"/>
  <c r="C46" i="1"/>
  <c r="F45" i="1"/>
  <c r="D45" i="1"/>
  <c r="C45" i="1" s="1"/>
  <c r="F44" i="1"/>
  <c r="E44" i="1"/>
  <c r="D44" i="1"/>
  <c r="C44" i="1" s="1"/>
  <c r="D43" i="1"/>
  <c r="C43" i="1" s="1"/>
  <c r="F42" i="1"/>
  <c r="E42" i="1"/>
  <c r="D42" i="1"/>
  <c r="C42" i="1" s="1"/>
  <c r="C41" i="1"/>
  <c r="D40" i="1"/>
  <c r="C40" i="1"/>
  <c r="D39" i="1"/>
  <c r="C39" i="1"/>
  <c r="C38" i="1"/>
  <c r="D37" i="1"/>
  <c r="C37" i="1" s="1"/>
  <c r="D36" i="1"/>
  <c r="C36" i="1" s="1"/>
  <c r="F35" i="1"/>
  <c r="E35" i="1"/>
  <c r="D35" i="1"/>
  <c r="C35" i="1" s="1"/>
  <c r="F34" i="1"/>
  <c r="E34" i="1"/>
  <c r="D34" i="1"/>
  <c r="C34" i="1" s="1"/>
  <c r="D33" i="1"/>
  <c r="C33" i="1" s="1"/>
  <c r="D32" i="1"/>
  <c r="C32" i="1" s="1"/>
  <c r="C31" i="1"/>
  <c r="C30" i="1"/>
  <c r="C29" i="1"/>
  <c r="C28" i="1"/>
  <c r="F27" i="1"/>
  <c r="E27" i="1"/>
  <c r="D27" i="1"/>
  <c r="C27" i="1" s="1"/>
  <c r="F26" i="1"/>
  <c r="D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1" i="1"/>
  <c r="F70" i="1" s="1"/>
  <c r="F95" i="1" s="1"/>
  <c r="E11" i="1"/>
  <c r="E70" i="1" s="1"/>
  <c r="E95" i="1" s="1"/>
  <c r="D11" i="1"/>
  <c r="D70" i="1" s="1"/>
  <c r="A4" i="1"/>
  <c r="A3" i="1"/>
  <c r="A1" i="1"/>
  <c r="C70" i="1" l="1"/>
  <c r="C11" i="1"/>
  <c r="D94" i="1"/>
  <c r="C94" i="1" s="1"/>
  <c r="C167" i="1" s="1"/>
  <c r="D101" i="1"/>
  <c r="D122" i="1"/>
  <c r="C122" i="1" s="1"/>
  <c r="D127" i="1"/>
  <c r="C127" i="1" s="1"/>
  <c r="C137" i="1"/>
  <c r="C101" i="1" l="1"/>
  <c r="D136" i="1"/>
  <c r="D95" i="1"/>
  <c r="C95" i="1" s="1"/>
  <c r="D162" i="1" l="1"/>
  <c r="C162" i="1" s="1"/>
  <c r="C136" i="1"/>
  <c r="C166" i="1" s="1"/>
</calcChain>
</file>

<file path=xl/sharedStrings.xml><?xml version="1.0" encoding="utf-8"?>
<sst xmlns="http://schemas.openxmlformats.org/spreadsheetml/2006/main" count="324" uniqueCount="279">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</sst>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Protection="1"/>
    <xf numFmtId="0" fontId="13" fillId="0" borderId="18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1" applyNumberFormat="1" applyFont="1" applyFill="1" applyBorder="1" applyAlignment="1" applyProtection="1">
      <alignment horizontal="right" vertical="center" wrapText="1" indent="1"/>
    </xf>
    <xf numFmtId="164" fontId="19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9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6" fillId="0" borderId="21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tabSelected="1" view="pageBreakPreview" zoomScaleNormal="115" zoomScaleSheetLayoutView="100" workbookViewId="0">
      <selection activeCell="K12" sqref="K12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1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x14ac:dyDescent="0.25">
      <c r="A1" s="1" t="str">
        <f>CONCATENATE("2. melléklet"," ",[1]ALAPADATOK!A7," ",[1]ALAPADATOK!B7," ",[1]ALAPADATOK!C7," ",[1]ALAPADATOK!D7," ",[1]ALAPADATOK!E7," ",[1]ALAPADATOK!F7," ",[1]ALAPADATOK!G7," ",[1]ALAPADATOK!H7)</f>
        <v>2. melléklet a 27 / 2020. ( XI.26.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</row>
    <row r="8" spans="1:6" ht="15.95" customHeight="1" thickBot="1" x14ac:dyDescent="0.3">
      <c r="A8" s="9" t="s">
        <v>2</v>
      </c>
      <c r="B8" s="9"/>
      <c r="C8" s="10" t="s">
        <v>3</v>
      </c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6" si="0">SUM(D11:F11)</f>
        <v>1293770369</v>
      </c>
      <c r="D11" s="21">
        <f>+D12+D13+D14+D17+D18+D19</f>
        <v>1293770369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257758444</v>
      </c>
      <c r="D12" s="26">
        <f>229318994+27629700+809750</f>
        <v>257758444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247846829</v>
      </c>
      <c r="D13" s="31">
        <f>229603230+17312349+931250</f>
        <v>247846829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0">
        <f t="shared" si="0"/>
        <v>616066071</v>
      </c>
      <c r="D14" s="31">
        <f>SUM(D15:D16)</f>
        <v>616066071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430425762</v>
      </c>
      <c r="D15" s="31">
        <f>415622102+9775700+4495800+532160</f>
        <v>430425762</v>
      </c>
      <c r="E15" s="32"/>
      <c r="F15" s="32"/>
    </row>
    <row r="16" spans="1:6" s="22" customFormat="1" ht="12" customHeight="1" x14ac:dyDescent="0.2">
      <c r="A16" s="28" t="s">
        <v>23</v>
      </c>
      <c r="B16" s="29" t="s">
        <v>24</v>
      </c>
      <c r="C16" s="30">
        <f t="shared" si="0"/>
        <v>185640309</v>
      </c>
      <c r="D16" s="32">
        <f>186127562+3780480-4267733</f>
        <v>185640309</v>
      </c>
      <c r="E16" s="32"/>
      <c r="F16" s="32"/>
    </row>
    <row r="17" spans="1:8" s="22" customFormat="1" ht="12" customHeight="1" x14ac:dyDescent="0.2">
      <c r="A17" s="28" t="s">
        <v>25</v>
      </c>
      <c r="B17" s="29" t="s">
        <v>26</v>
      </c>
      <c r="C17" s="33">
        <f t="shared" si="0"/>
        <v>39550749</v>
      </c>
      <c r="D17" s="31">
        <f>20802409+12622000+477000+5649340</f>
        <v>39550749</v>
      </c>
      <c r="E17" s="32"/>
      <c r="F17" s="32"/>
    </row>
    <row r="18" spans="1:8" s="22" customFormat="1" ht="12" customHeight="1" x14ac:dyDescent="0.2">
      <c r="A18" s="28" t="s">
        <v>27</v>
      </c>
      <c r="B18" s="34" t="s">
        <v>28</v>
      </c>
      <c r="C18" s="33">
        <f t="shared" si="0"/>
        <v>132548276</v>
      </c>
      <c r="D18" s="31">
        <f>163087316+308+580+530-539760-98930-300000-2934065+899997-27567700</f>
        <v>132548276</v>
      </c>
      <c r="E18" s="32"/>
      <c r="F18" s="32"/>
    </row>
    <row r="19" spans="1:8" s="22" customFormat="1" ht="12" customHeight="1" thickBot="1" x14ac:dyDescent="0.25">
      <c r="A19" s="35" t="s">
        <v>29</v>
      </c>
      <c r="B19" s="36" t="s">
        <v>30</v>
      </c>
      <c r="C19" s="37">
        <f t="shared" si="0"/>
        <v>0</v>
      </c>
      <c r="D19" s="38"/>
      <c r="E19" s="39"/>
      <c r="F19" s="39"/>
    </row>
    <row r="20" spans="1:8" s="22" customFormat="1" ht="12" customHeight="1" thickBot="1" x14ac:dyDescent="0.25">
      <c r="A20" s="18" t="s">
        <v>31</v>
      </c>
      <c r="B20" s="40" t="s">
        <v>32</v>
      </c>
      <c r="C20" s="20">
        <f t="shared" si="0"/>
        <v>140393735</v>
      </c>
      <c r="D20" s="21">
        <f>+D21+D22+D23+D24+D25</f>
        <v>119429129</v>
      </c>
      <c r="E20" s="20">
        <f>+E21+E22+E23+E24+E25</f>
        <v>0</v>
      </c>
      <c r="F20" s="20">
        <f>+F21+F22+F23+F24+F25</f>
        <v>20964606</v>
      </c>
    </row>
    <row r="21" spans="1:8" s="22" customFormat="1" ht="12" customHeight="1" x14ac:dyDescent="0.2">
      <c r="A21" s="23" t="s">
        <v>33</v>
      </c>
      <c r="B21" s="24" t="s">
        <v>34</v>
      </c>
      <c r="C21" s="41">
        <f t="shared" si="0"/>
        <v>0</v>
      </c>
      <c r="D21" s="42"/>
      <c r="E21" s="43"/>
      <c r="F21" s="43"/>
    </row>
    <row r="22" spans="1:8" s="22" customFormat="1" ht="12" customHeight="1" x14ac:dyDescent="0.2">
      <c r="A22" s="28" t="s">
        <v>35</v>
      </c>
      <c r="B22" s="29" t="s">
        <v>36</v>
      </c>
      <c r="C22" s="44">
        <f t="shared" si="0"/>
        <v>0</v>
      </c>
      <c r="D22" s="38"/>
      <c r="E22" s="39"/>
      <c r="F22" s="39"/>
    </row>
    <row r="23" spans="1:8" s="22" customFormat="1" ht="12" customHeight="1" x14ac:dyDescent="0.2">
      <c r="A23" s="28" t="s">
        <v>37</v>
      </c>
      <c r="B23" s="29" t="s">
        <v>38</v>
      </c>
      <c r="C23" s="44">
        <f t="shared" si="0"/>
        <v>0</v>
      </c>
      <c r="D23" s="38"/>
      <c r="E23" s="39"/>
      <c r="F23" s="39"/>
    </row>
    <row r="24" spans="1:8" s="22" customFormat="1" ht="12" customHeight="1" x14ac:dyDescent="0.2">
      <c r="A24" s="28" t="s">
        <v>39</v>
      </c>
      <c r="B24" s="29" t="s">
        <v>40</v>
      </c>
      <c r="C24" s="44">
        <f t="shared" si="0"/>
        <v>0</v>
      </c>
      <c r="D24" s="38"/>
      <c r="E24" s="39"/>
      <c r="F24" s="39"/>
    </row>
    <row r="25" spans="1:8" s="22" customFormat="1" ht="12" customHeight="1" x14ac:dyDescent="0.2">
      <c r="A25" s="28" t="s">
        <v>41</v>
      </c>
      <c r="B25" s="29" t="s">
        <v>42</v>
      </c>
      <c r="C25" s="30">
        <f t="shared" si="0"/>
        <v>140393735</v>
      </c>
      <c r="D25" s="31">
        <f>118106430+1540460-13262610+3233098+9811751</f>
        <v>119429129</v>
      </c>
      <c r="E25" s="45"/>
      <c r="F25" s="32">
        <f>9346560+11259187+358859</f>
        <v>20964606</v>
      </c>
    </row>
    <row r="26" spans="1:8" s="22" customFormat="1" ht="12" customHeight="1" thickBot="1" x14ac:dyDescent="0.25">
      <c r="A26" s="35" t="s">
        <v>43</v>
      </c>
      <c r="B26" s="36" t="s">
        <v>44</v>
      </c>
      <c r="C26" s="46">
        <f t="shared" si="0"/>
        <v>125792781</v>
      </c>
      <c r="D26" s="47">
        <f>16392698+36497760+60895972+1540460-13262610+2763895</f>
        <v>104828175</v>
      </c>
      <c r="E26" s="48"/>
      <c r="F26" s="48">
        <f>9346560+11259187+358859</f>
        <v>20964606</v>
      </c>
    </row>
    <row r="27" spans="1:8" s="22" customFormat="1" ht="12" customHeight="1" thickBot="1" x14ac:dyDescent="0.25">
      <c r="A27" s="18" t="s">
        <v>45</v>
      </c>
      <c r="B27" s="19" t="s">
        <v>46</v>
      </c>
      <c r="C27" s="20">
        <f t="shared" si="0"/>
        <v>296294646</v>
      </c>
      <c r="D27" s="21">
        <f>+D28+D29+D30+D31+D32</f>
        <v>296294646</v>
      </c>
      <c r="E27" s="20">
        <f>+E28+E29+E30+E31+E32</f>
        <v>0</v>
      </c>
      <c r="F27" s="20">
        <f>+F28+F29+F30+F31+F32</f>
        <v>0</v>
      </c>
    </row>
    <row r="28" spans="1:8" s="22" customFormat="1" ht="12" customHeight="1" x14ac:dyDescent="0.2">
      <c r="A28" s="23" t="s">
        <v>47</v>
      </c>
      <c r="B28" s="24" t="s">
        <v>48</v>
      </c>
      <c r="C28" s="25">
        <f t="shared" si="0"/>
        <v>34511116</v>
      </c>
      <c r="D28" s="26">
        <v>34511116</v>
      </c>
      <c r="E28" s="49"/>
      <c r="F28" s="50"/>
    </row>
    <row r="29" spans="1:8" s="22" customFormat="1" ht="12" customHeight="1" x14ac:dyDescent="0.2">
      <c r="A29" s="28" t="s">
        <v>49</v>
      </c>
      <c r="B29" s="29" t="s">
        <v>50</v>
      </c>
      <c r="C29" s="33">
        <f t="shared" si="0"/>
        <v>0</v>
      </c>
      <c r="D29" s="31"/>
      <c r="E29" s="32"/>
      <c r="F29" s="32"/>
    </row>
    <row r="30" spans="1:8" s="22" customFormat="1" ht="12" customHeight="1" x14ac:dyDescent="0.2">
      <c r="A30" s="28" t="s">
        <v>51</v>
      </c>
      <c r="B30" s="29" t="s">
        <v>52</v>
      </c>
      <c r="C30" s="33">
        <f t="shared" si="0"/>
        <v>0</v>
      </c>
      <c r="D30" s="31"/>
      <c r="E30" s="32"/>
      <c r="F30" s="32"/>
      <c r="H30" s="51"/>
    </row>
    <row r="31" spans="1:8" s="22" customFormat="1" ht="12" customHeight="1" x14ac:dyDescent="0.2">
      <c r="A31" s="28" t="s">
        <v>53</v>
      </c>
      <c r="B31" s="29" t="s">
        <v>54</v>
      </c>
      <c r="C31" s="33">
        <f t="shared" si="0"/>
        <v>0</v>
      </c>
      <c r="D31" s="31"/>
      <c r="E31" s="32"/>
      <c r="F31" s="32"/>
    </row>
    <row r="32" spans="1:8" s="22" customFormat="1" ht="12" customHeight="1" x14ac:dyDescent="0.2">
      <c r="A32" s="28" t="s">
        <v>55</v>
      </c>
      <c r="B32" s="29" t="s">
        <v>56</v>
      </c>
      <c r="C32" s="33">
        <f t="shared" si="0"/>
        <v>261783530</v>
      </c>
      <c r="D32" s="31">
        <f>36977634-2533650+227339546</f>
        <v>261783530</v>
      </c>
      <c r="E32" s="32"/>
      <c r="F32" s="32"/>
    </row>
    <row r="33" spans="1:6" s="22" customFormat="1" ht="12" customHeight="1" thickBot="1" x14ac:dyDescent="0.25">
      <c r="A33" s="35" t="s">
        <v>57</v>
      </c>
      <c r="B33" s="52" t="s">
        <v>58</v>
      </c>
      <c r="C33" s="46">
        <f t="shared" si="0"/>
        <v>236553830</v>
      </c>
      <c r="D33" s="53">
        <f>36977634-2533650+202109846</f>
        <v>236553830</v>
      </c>
      <c r="E33" s="48"/>
      <c r="F33" s="48"/>
    </row>
    <row r="34" spans="1:6" s="22" customFormat="1" ht="12" customHeight="1" thickBot="1" x14ac:dyDescent="0.25">
      <c r="A34" s="18" t="s">
        <v>59</v>
      </c>
      <c r="B34" s="19" t="s">
        <v>60</v>
      </c>
      <c r="C34" s="20">
        <f t="shared" si="0"/>
        <v>503000000</v>
      </c>
      <c r="D34" s="54">
        <f>+D35+D39+D40+D41</f>
        <v>503000000</v>
      </c>
      <c r="E34" s="55">
        <f>+E35+E39+E40+E41</f>
        <v>0</v>
      </c>
      <c r="F34" s="55">
        <f>+F35+F39+F40+F41</f>
        <v>0</v>
      </c>
    </row>
    <row r="35" spans="1:6" s="22" customFormat="1" ht="12" customHeight="1" x14ac:dyDescent="0.2">
      <c r="A35" s="23" t="s">
        <v>61</v>
      </c>
      <c r="B35" s="24" t="s">
        <v>62</v>
      </c>
      <c r="C35" s="41">
        <f t="shared" si="0"/>
        <v>486000000</v>
      </c>
      <c r="D35" s="56">
        <f>SUM(D36:D37)</f>
        <v>486000000</v>
      </c>
      <c r="E35" s="56">
        <f>SUM(E36:E37)</f>
        <v>0</v>
      </c>
      <c r="F35" s="56">
        <f>SUM(F36:F37)</f>
        <v>0</v>
      </c>
    </row>
    <row r="36" spans="1:6" s="22" customFormat="1" ht="12" customHeight="1" x14ac:dyDescent="0.2">
      <c r="A36" s="28" t="s">
        <v>63</v>
      </c>
      <c r="B36" s="29" t="s">
        <v>64</v>
      </c>
      <c r="C36" s="33">
        <f t="shared" si="0"/>
        <v>86000000</v>
      </c>
      <c r="D36" s="38">
        <f>86000000</f>
        <v>86000000</v>
      </c>
      <c r="E36" s="39"/>
      <c r="F36" s="39"/>
    </row>
    <row r="37" spans="1:6" s="22" customFormat="1" ht="12" customHeight="1" x14ac:dyDescent="0.2">
      <c r="A37" s="28" t="s">
        <v>65</v>
      </c>
      <c r="B37" s="57" t="s">
        <v>66</v>
      </c>
      <c r="C37" s="33">
        <f t="shared" si="0"/>
        <v>400000000</v>
      </c>
      <c r="D37" s="38">
        <f>400000000</f>
        <v>400000000</v>
      </c>
      <c r="E37" s="39"/>
      <c r="F37" s="39"/>
    </row>
    <row r="38" spans="1:6" s="22" customFormat="1" ht="12" customHeight="1" x14ac:dyDescent="0.2">
      <c r="A38" s="28" t="s">
        <v>67</v>
      </c>
      <c r="B38" s="29" t="s">
        <v>68</v>
      </c>
      <c r="C38" s="33">
        <f t="shared" si="0"/>
        <v>0</v>
      </c>
      <c r="D38" s="31"/>
      <c r="E38" s="32"/>
      <c r="F38" s="32"/>
    </row>
    <row r="39" spans="1:6" s="22" customFormat="1" ht="12" customHeight="1" x14ac:dyDescent="0.2">
      <c r="A39" s="28" t="s">
        <v>69</v>
      </c>
      <c r="B39" s="29" t="s">
        <v>70</v>
      </c>
      <c r="C39" s="33">
        <f t="shared" si="0"/>
        <v>0</v>
      </c>
      <c r="D39" s="38">
        <f>35000000-35000000</f>
        <v>0</v>
      </c>
      <c r="E39" s="39"/>
      <c r="F39" s="39"/>
    </row>
    <row r="40" spans="1:6" s="22" customFormat="1" ht="12" customHeight="1" x14ac:dyDescent="0.2">
      <c r="A40" s="28" t="s">
        <v>71</v>
      </c>
      <c r="B40" s="29" t="s">
        <v>72</v>
      </c>
      <c r="C40" s="33">
        <f t="shared" si="0"/>
        <v>1000000</v>
      </c>
      <c r="D40" s="38">
        <f>1000000</f>
        <v>1000000</v>
      </c>
      <c r="E40" s="39"/>
      <c r="F40" s="39"/>
    </row>
    <row r="41" spans="1:6" s="22" customFormat="1" ht="12" customHeight="1" thickBot="1" x14ac:dyDescent="0.25">
      <c r="A41" s="35" t="s">
        <v>73</v>
      </c>
      <c r="B41" s="52" t="s">
        <v>74</v>
      </c>
      <c r="C41" s="37">
        <f t="shared" si="0"/>
        <v>16000000</v>
      </c>
      <c r="D41" s="53">
        <v>16000000</v>
      </c>
      <c r="E41" s="48"/>
      <c r="F41" s="48"/>
    </row>
    <row r="42" spans="1:6" s="22" customFormat="1" ht="12" customHeight="1" thickBot="1" x14ac:dyDescent="0.25">
      <c r="A42" s="18" t="s">
        <v>75</v>
      </c>
      <c r="B42" s="19" t="s">
        <v>76</v>
      </c>
      <c r="C42" s="20">
        <f t="shared" si="0"/>
        <v>125554833</v>
      </c>
      <c r="D42" s="21">
        <f>SUM(D43:D53)</f>
        <v>35129817</v>
      </c>
      <c r="E42" s="20">
        <f>SUM(E43:E53)</f>
        <v>3257614</v>
      </c>
      <c r="F42" s="20">
        <f>SUM(F43:F53)</f>
        <v>87167402</v>
      </c>
    </row>
    <row r="43" spans="1:6" s="22" customFormat="1" ht="12" customHeight="1" x14ac:dyDescent="0.2">
      <c r="A43" s="23" t="s">
        <v>77</v>
      </c>
      <c r="B43" s="24" t="s">
        <v>78</v>
      </c>
      <c r="C43" s="41">
        <f t="shared" si="0"/>
        <v>8195576</v>
      </c>
      <c r="D43" s="26">
        <f>8175576</f>
        <v>8175576</v>
      </c>
      <c r="E43" s="27"/>
      <c r="F43" s="27">
        <v>20000</v>
      </c>
    </row>
    <row r="44" spans="1:6" s="22" customFormat="1" ht="12" customHeight="1" x14ac:dyDescent="0.2">
      <c r="A44" s="28" t="s">
        <v>79</v>
      </c>
      <c r="B44" s="29" t="s">
        <v>80</v>
      </c>
      <c r="C44" s="30">
        <f t="shared" si="0"/>
        <v>55639765</v>
      </c>
      <c r="D44" s="31">
        <f>14518450-38100-7500000</f>
        <v>6980350</v>
      </c>
      <c r="E44" s="32">
        <f>2132550+432500</f>
        <v>2565050</v>
      </c>
      <c r="F44" s="27">
        <f>27518165+600000+10387400+7588800</f>
        <v>46094365</v>
      </c>
    </row>
    <row r="45" spans="1:6" s="22" customFormat="1" ht="12" customHeight="1" x14ac:dyDescent="0.2">
      <c r="A45" s="28" t="s">
        <v>81</v>
      </c>
      <c r="B45" s="29" t="s">
        <v>82</v>
      </c>
      <c r="C45" s="33">
        <f t="shared" si="0"/>
        <v>16059469</v>
      </c>
      <c r="D45" s="31">
        <f>8868669+808800+200000+30000</f>
        <v>9907469</v>
      </c>
      <c r="E45" s="32"/>
      <c r="F45" s="27">
        <f>1547000+4600000+5000</f>
        <v>6152000</v>
      </c>
    </row>
    <row r="46" spans="1:6" s="22" customFormat="1" ht="12" customHeight="1" x14ac:dyDescent="0.2">
      <c r="A46" s="28" t="s">
        <v>83</v>
      </c>
      <c r="B46" s="29" t="s">
        <v>84</v>
      </c>
      <c r="C46" s="33">
        <f t="shared" si="0"/>
        <v>1006560</v>
      </c>
      <c r="D46" s="31">
        <v>1006560</v>
      </c>
      <c r="E46" s="32"/>
      <c r="F46" s="27"/>
    </row>
    <row r="47" spans="1:6" s="22" customFormat="1" ht="12" customHeight="1" x14ac:dyDescent="0.2">
      <c r="A47" s="28" t="s">
        <v>85</v>
      </c>
      <c r="B47" s="29" t="s">
        <v>86</v>
      </c>
      <c r="C47" s="33">
        <f t="shared" si="0"/>
        <v>16829643</v>
      </c>
      <c r="D47" s="31"/>
      <c r="E47" s="32"/>
      <c r="F47" s="27">
        <f>20383499+1472860+1382012-6408728</f>
        <v>16829643</v>
      </c>
    </row>
    <row r="48" spans="1:6" s="22" customFormat="1" ht="12" customHeight="1" x14ac:dyDescent="0.2">
      <c r="A48" s="28" t="s">
        <v>87</v>
      </c>
      <c r="B48" s="29" t="s">
        <v>88</v>
      </c>
      <c r="C48" s="30">
        <f t="shared" si="0"/>
        <v>16003428</v>
      </c>
      <c r="D48" s="31">
        <f>7168370+54000+8100-1215000</f>
        <v>6015470</v>
      </c>
      <c r="E48" s="32">
        <f>575789+116775</f>
        <v>692564</v>
      </c>
      <c r="F48" s="27">
        <f>5641812+1801672+1280450+2048976-1477516</f>
        <v>9295394</v>
      </c>
    </row>
    <row r="49" spans="1:6" s="22" customFormat="1" ht="12" customHeight="1" x14ac:dyDescent="0.2">
      <c r="A49" s="28" t="s">
        <v>89</v>
      </c>
      <c r="B49" s="29" t="s">
        <v>90</v>
      </c>
      <c r="C49" s="44">
        <f t="shared" si="0"/>
        <v>8775000</v>
      </c>
      <c r="D49" s="31"/>
      <c r="E49" s="32"/>
      <c r="F49" s="27">
        <f>7729000+366000+680000</f>
        <v>8775000</v>
      </c>
    </row>
    <row r="50" spans="1:6" s="22" customFormat="1" ht="12" customHeight="1" x14ac:dyDescent="0.2">
      <c r="A50" s="28" t="s">
        <v>91</v>
      </c>
      <c r="B50" s="29" t="s">
        <v>92</v>
      </c>
      <c r="C50" s="44">
        <f t="shared" si="0"/>
        <v>0</v>
      </c>
      <c r="D50" s="31"/>
      <c r="E50" s="32"/>
      <c r="F50" s="27"/>
    </row>
    <row r="51" spans="1:6" s="22" customFormat="1" ht="12" customHeight="1" x14ac:dyDescent="0.2">
      <c r="A51" s="28" t="s">
        <v>93</v>
      </c>
      <c r="B51" s="29" t="s">
        <v>94</v>
      </c>
      <c r="C51" s="44">
        <f t="shared" si="0"/>
        <v>0</v>
      </c>
      <c r="D51" s="31"/>
      <c r="E51" s="32"/>
      <c r="F51" s="27"/>
    </row>
    <row r="52" spans="1:6" s="22" customFormat="1" ht="12" customHeight="1" x14ac:dyDescent="0.2">
      <c r="A52" s="35" t="s">
        <v>95</v>
      </c>
      <c r="B52" s="52" t="s">
        <v>96</v>
      </c>
      <c r="C52" s="44">
        <f t="shared" si="0"/>
        <v>1000000</v>
      </c>
      <c r="D52" s="53">
        <v>1000000</v>
      </c>
      <c r="E52" s="48"/>
      <c r="F52" s="27"/>
    </row>
    <row r="53" spans="1:6" s="22" customFormat="1" ht="12" customHeight="1" thickBot="1" x14ac:dyDescent="0.25">
      <c r="A53" s="35" t="s">
        <v>97</v>
      </c>
      <c r="B53" s="36" t="s">
        <v>98</v>
      </c>
      <c r="C53" s="46">
        <f t="shared" si="0"/>
        <v>2045392</v>
      </c>
      <c r="D53" s="53">
        <f>1087601+956791</f>
        <v>2044392</v>
      </c>
      <c r="E53" s="48"/>
      <c r="F53" s="27">
        <v>1000</v>
      </c>
    </row>
    <row r="54" spans="1:6" s="22" customFormat="1" ht="12" customHeight="1" thickBot="1" x14ac:dyDescent="0.25">
      <c r="A54" s="18" t="s">
        <v>99</v>
      </c>
      <c r="B54" s="19" t="s">
        <v>100</v>
      </c>
      <c r="C54" s="20">
        <f t="shared" si="0"/>
        <v>44304508</v>
      </c>
      <c r="D54" s="21">
        <f>SUM(D55:D59)</f>
        <v>44304508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101</v>
      </c>
      <c r="B55" s="24" t="s">
        <v>102</v>
      </c>
      <c r="C55" s="41">
        <f t="shared" si="0"/>
        <v>0</v>
      </c>
      <c r="D55" s="26"/>
      <c r="E55" s="27"/>
      <c r="F55" s="27"/>
    </row>
    <row r="56" spans="1:6" s="22" customFormat="1" ht="12" customHeight="1" x14ac:dyDescent="0.2">
      <c r="A56" s="28" t="s">
        <v>103</v>
      </c>
      <c r="B56" s="29" t="s">
        <v>104</v>
      </c>
      <c r="C56" s="44">
        <f>SUM(D56:F56)</f>
        <v>44304508</v>
      </c>
      <c r="D56" s="31">
        <v>44304508</v>
      </c>
      <c r="E56" s="32"/>
      <c r="F56" s="32"/>
    </row>
    <row r="57" spans="1:6" s="22" customFormat="1" ht="12" customHeight="1" x14ac:dyDescent="0.2">
      <c r="A57" s="28" t="s">
        <v>105</v>
      </c>
      <c r="B57" s="29" t="s">
        <v>106</v>
      </c>
      <c r="C57" s="44">
        <f t="shared" si="0"/>
        <v>0</v>
      </c>
      <c r="D57" s="31"/>
      <c r="E57" s="32"/>
      <c r="F57" s="32"/>
    </row>
    <row r="58" spans="1:6" s="22" customFormat="1" ht="12" customHeight="1" x14ac:dyDescent="0.2">
      <c r="A58" s="28" t="s">
        <v>107</v>
      </c>
      <c r="B58" s="29" t="s">
        <v>108</v>
      </c>
      <c r="C58" s="44">
        <f t="shared" si="0"/>
        <v>0</v>
      </c>
      <c r="D58" s="31"/>
      <c r="E58" s="32"/>
      <c r="F58" s="32"/>
    </row>
    <row r="59" spans="1:6" s="22" customFormat="1" ht="12" customHeight="1" thickBot="1" x14ac:dyDescent="0.25">
      <c r="A59" s="35" t="s">
        <v>109</v>
      </c>
      <c r="B59" s="36" t="s">
        <v>110</v>
      </c>
      <c r="C59" s="37">
        <f t="shared" si="0"/>
        <v>0</v>
      </c>
      <c r="D59" s="53"/>
      <c r="E59" s="48"/>
      <c r="F59" s="48"/>
    </row>
    <row r="60" spans="1:6" s="22" customFormat="1" ht="12" customHeight="1" thickBot="1" x14ac:dyDescent="0.25">
      <c r="A60" s="18" t="s">
        <v>111</v>
      </c>
      <c r="B60" s="19" t="s">
        <v>112</v>
      </c>
      <c r="C60" s="20">
        <f t="shared" si="0"/>
        <v>1430075</v>
      </c>
      <c r="D60" s="21">
        <f>SUM(D61:D63)</f>
        <v>1430075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113</v>
      </c>
      <c r="B61" s="24" t="s">
        <v>114</v>
      </c>
      <c r="C61" s="41">
        <f t="shared" si="0"/>
        <v>0</v>
      </c>
      <c r="D61" s="42"/>
      <c r="E61" s="43"/>
      <c r="F61" s="43"/>
    </row>
    <row r="62" spans="1:6" s="22" customFormat="1" ht="12" customHeight="1" x14ac:dyDescent="0.2">
      <c r="A62" s="28" t="s">
        <v>115</v>
      </c>
      <c r="B62" s="29" t="s">
        <v>116</v>
      </c>
      <c r="C62" s="44">
        <f t="shared" si="0"/>
        <v>200000</v>
      </c>
      <c r="D62" s="31">
        <v>200000</v>
      </c>
      <c r="E62" s="32"/>
      <c r="F62" s="32"/>
    </row>
    <row r="63" spans="1:6" s="22" customFormat="1" ht="12" customHeight="1" x14ac:dyDescent="0.2">
      <c r="A63" s="28" t="s">
        <v>117</v>
      </c>
      <c r="B63" s="29" t="s">
        <v>118</v>
      </c>
      <c r="C63" s="33">
        <f t="shared" si="0"/>
        <v>1230075</v>
      </c>
      <c r="D63" s="31">
        <f>900000+330075</f>
        <v>1230075</v>
      </c>
      <c r="E63" s="32"/>
      <c r="F63" s="32"/>
    </row>
    <row r="64" spans="1:6" s="22" customFormat="1" ht="12" customHeight="1" thickBot="1" x14ac:dyDescent="0.25">
      <c r="A64" s="35" t="s">
        <v>119</v>
      </c>
      <c r="B64" s="36" t="s">
        <v>120</v>
      </c>
      <c r="C64" s="37">
        <f t="shared" si="0"/>
        <v>0</v>
      </c>
      <c r="D64" s="47"/>
      <c r="E64" s="58"/>
      <c r="F64" s="58"/>
    </row>
    <row r="65" spans="1:6" s="22" customFormat="1" ht="12" customHeight="1" thickBot="1" x14ac:dyDescent="0.25">
      <c r="A65" s="18" t="s">
        <v>121</v>
      </c>
      <c r="B65" s="40" t="s">
        <v>122</v>
      </c>
      <c r="C65" s="59">
        <f t="shared" si="0"/>
        <v>0</v>
      </c>
      <c r="D65" s="21">
        <f>SUM(D66:D68)</f>
        <v>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123</v>
      </c>
      <c r="B66" s="24" t="s">
        <v>124</v>
      </c>
      <c r="C66" s="41">
        <f t="shared" si="0"/>
        <v>0</v>
      </c>
      <c r="D66" s="31"/>
      <c r="E66" s="32"/>
      <c r="F66" s="32"/>
    </row>
    <row r="67" spans="1:6" s="22" customFormat="1" ht="12" customHeight="1" x14ac:dyDescent="0.2">
      <c r="A67" s="28" t="s">
        <v>125</v>
      </c>
      <c r="B67" s="29" t="s">
        <v>126</v>
      </c>
      <c r="C67" s="44">
        <f t="shared" si="0"/>
        <v>0</v>
      </c>
      <c r="D67" s="31"/>
      <c r="E67" s="32"/>
      <c r="F67" s="32"/>
    </row>
    <row r="68" spans="1:6" s="22" customFormat="1" ht="12" customHeight="1" x14ac:dyDescent="0.2">
      <c r="A68" s="28" t="s">
        <v>127</v>
      </c>
      <c r="B68" s="29" t="s">
        <v>128</v>
      </c>
      <c r="C68" s="44">
        <f t="shared" si="0"/>
        <v>0</v>
      </c>
      <c r="D68" s="31"/>
      <c r="E68" s="32"/>
      <c r="F68" s="32"/>
    </row>
    <row r="69" spans="1:6" s="22" customFormat="1" ht="12" customHeight="1" thickBot="1" x14ac:dyDescent="0.25">
      <c r="A69" s="35" t="s">
        <v>129</v>
      </c>
      <c r="B69" s="36" t="s">
        <v>130</v>
      </c>
      <c r="C69" s="37">
        <f t="shared" si="0"/>
        <v>0</v>
      </c>
      <c r="D69" s="31"/>
      <c r="E69" s="32"/>
      <c r="F69" s="32"/>
    </row>
    <row r="70" spans="1:6" s="22" customFormat="1" ht="12" customHeight="1" thickBot="1" x14ac:dyDescent="0.25">
      <c r="A70" s="60" t="s">
        <v>131</v>
      </c>
      <c r="B70" s="19" t="s">
        <v>132</v>
      </c>
      <c r="C70" s="20">
        <f t="shared" si="0"/>
        <v>2404748166</v>
      </c>
      <c r="D70" s="54">
        <f>+D11+D20+D27+D34+D42+D54+D60+D65</f>
        <v>2293358544</v>
      </c>
      <c r="E70" s="55">
        <f>+E11+E20+E27+E34+E42+E54+E60+E65</f>
        <v>3257614</v>
      </c>
      <c r="F70" s="55">
        <f>+F11+F20+F27+F34+F42+F54+F60+F65</f>
        <v>108132008</v>
      </c>
    </row>
    <row r="71" spans="1:6" s="22" customFormat="1" ht="12" customHeight="1" thickBot="1" x14ac:dyDescent="0.25">
      <c r="A71" s="61" t="s">
        <v>133</v>
      </c>
      <c r="B71" s="40" t="s">
        <v>134</v>
      </c>
      <c r="C71" s="59">
        <f t="shared" si="0"/>
        <v>833570614</v>
      </c>
      <c r="D71" s="21">
        <f>SUM(D72:D74)</f>
        <v>833570614</v>
      </c>
      <c r="E71" s="20">
        <f>SUM(E72:E74)</f>
        <v>0</v>
      </c>
      <c r="F71" s="20">
        <f>SUM(F72:F74)</f>
        <v>0</v>
      </c>
    </row>
    <row r="72" spans="1:6" s="22" customFormat="1" ht="12" customHeight="1" x14ac:dyDescent="0.2">
      <c r="A72" s="23" t="s">
        <v>135</v>
      </c>
      <c r="B72" s="24" t="s">
        <v>136</v>
      </c>
      <c r="C72" s="25">
        <f t="shared" si="0"/>
        <v>33570614</v>
      </c>
      <c r="D72" s="31">
        <f>44951899-2540000-8841285</f>
        <v>33570614</v>
      </c>
      <c r="E72" s="32"/>
      <c r="F72" s="32"/>
    </row>
    <row r="73" spans="1:6" s="22" customFormat="1" ht="12" customHeight="1" x14ac:dyDescent="0.2">
      <c r="A73" s="28" t="s">
        <v>137</v>
      </c>
      <c r="B73" s="29" t="s">
        <v>138</v>
      </c>
      <c r="C73" s="30">
        <f t="shared" si="0"/>
        <v>800000000</v>
      </c>
      <c r="D73" s="31">
        <f>700000000+100000000</f>
        <v>800000000</v>
      </c>
      <c r="E73" s="32"/>
      <c r="F73" s="32"/>
    </row>
    <row r="74" spans="1:6" s="22" customFormat="1" ht="12" customHeight="1" thickBot="1" x14ac:dyDescent="0.25">
      <c r="A74" s="35" t="s">
        <v>139</v>
      </c>
      <c r="B74" s="62" t="s">
        <v>140</v>
      </c>
      <c r="C74" s="37">
        <f t="shared" si="0"/>
        <v>0</v>
      </c>
      <c r="D74" s="31"/>
      <c r="E74" s="32"/>
      <c r="F74" s="32"/>
    </row>
    <row r="75" spans="1:6" s="22" customFormat="1" ht="12" customHeight="1" thickBot="1" x14ac:dyDescent="0.25">
      <c r="A75" s="61" t="s">
        <v>141</v>
      </c>
      <c r="B75" s="40" t="s">
        <v>142</v>
      </c>
      <c r="C75" s="59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143</v>
      </c>
      <c r="B76" s="24" t="s">
        <v>144</v>
      </c>
      <c r="C76" s="41">
        <f t="shared" si="0"/>
        <v>0</v>
      </c>
      <c r="D76" s="31"/>
      <c r="E76" s="32"/>
      <c r="F76" s="32"/>
    </row>
    <row r="77" spans="1:6" s="22" customFormat="1" ht="12" customHeight="1" x14ac:dyDescent="0.2">
      <c r="A77" s="28" t="s">
        <v>145</v>
      </c>
      <c r="B77" s="29" t="s">
        <v>146</v>
      </c>
      <c r="C77" s="44">
        <f t="shared" ref="C77:C95" si="1">SUM(D77:F77)</f>
        <v>0</v>
      </c>
      <c r="D77" s="31"/>
      <c r="E77" s="32"/>
      <c r="F77" s="32"/>
    </row>
    <row r="78" spans="1:6" s="22" customFormat="1" ht="12" customHeight="1" x14ac:dyDescent="0.2">
      <c r="A78" s="28" t="s">
        <v>147</v>
      </c>
      <c r="B78" s="29" t="s">
        <v>148</v>
      </c>
      <c r="C78" s="44">
        <f t="shared" si="1"/>
        <v>0</v>
      </c>
      <c r="D78" s="31"/>
      <c r="E78" s="32"/>
      <c r="F78" s="32"/>
    </row>
    <row r="79" spans="1:6" s="22" customFormat="1" ht="12" customHeight="1" thickBot="1" x14ac:dyDescent="0.25">
      <c r="A79" s="35" t="s">
        <v>149</v>
      </c>
      <c r="B79" s="36" t="s">
        <v>150</v>
      </c>
      <c r="C79" s="37">
        <f t="shared" si="1"/>
        <v>0</v>
      </c>
      <c r="D79" s="31"/>
      <c r="E79" s="32"/>
      <c r="F79" s="32"/>
    </row>
    <row r="80" spans="1:6" s="22" customFormat="1" ht="12" customHeight="1" thickBot="1" x14ac:dyDescent="0.25">
      <c r="A80" s="61" t="s">
        <v>151</v>
      </c>
      <c r="B80" s="40" t="s">
        <v>152</v>
      </c>
      <c r="C80" s="20">
        <f t="shared" si="1"/>
        <v>952231512</v>
      </c>
      <c r="D80" s="21">
        <f>SUM(D81:D82)</f>
        <v>930060807</v>
      </c>
      <c r="E80" s="20">
        <f>SUM(E81:E82)</f>
        <v>327465</v>
      </c>
      <c r="F80" s="20">
        <f>SUM(F81:F82)</f>
        <v>21843240</v>
      </c>
    </row>
    <row r="81" spans="1:6" s="22" customFormat="1" ht="12" customHeight="1" x14ac:dyDescent="0.2">
      <c r="A81" s="23" t="s">
        <v>153</v>
      </c>
      <c r="B81" s="24" t="s">
        <v>154</v>
      </c>
      <c r="C81" s="25">
        <f t="shared" si="1"/>
        <v>952231512</v>
      </c>
      <c r="D81" s="31">
        <f>941573826-8179828-3333191</f>
        <v>930060807</v>
      </c>
      <c r="E81" s="32">
        <v>327465</v>
      </c>
      <c r="F81" s="32">
        <f>3481566+752726+490516+820681+16297751</f>
        <v>21843240</v>
      </c>
    </row>
    <row r="82" spans="1:6" s="22" customFormat="1" ht="12" customHeight="1" thickBot="1" x14ac:dyDescent="0.25">
      <c r="A82" s="35" t="s">
        <v>155</v>
      </c>
      <c r="B82" s="36" t="s">
        <v>156</v>
      </c>
      <c r="C82" s="37">
        <f t="shared" si="1"/>
        <v>0</v>
      </c>
      <c r="D82" s="31"/>
      <c r="E82" s="32"/>
      <c r="F82" s="32"/>
    </row>
    <row r="83" spans="1:6" s="22" customFormat="1" ht="12" customHeight="1" thickBot="1" x14ac:dyDescent="0.25">
      <c r="A83" s="61" t="s">
        <v>157</v>
      </c>
      <c r="B83" s="40" t="s">
        <v>158</v>
      </c>
      <c r="C83" s="59">
        <f t="shared" si="1"/>
        <v>45672254</v>
      </c>
      <c r="D83" s="21">
        <f>SUM(D84:D86)</f>
        <v>45672254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159</v>
      </c>
      <c r="B84" s="24" t="s">
        <v>160</v>
      </c>
      <c r="C84" s="25">
        <f t="shared" si="1"/>
        <v>45672254</v>
      </c>
      <c r="D84" s="31">
        <f>45672254</f>
        <v>45672254</v>
      </c>
      <c r="E84" s="32"/>
      <c r="F84" s="32"/>
    </row>
    <row r="85" spans="1:6" s="22" customFormat="1" ht="12" customHeight="1" x14ac:dyDescent="0.2">
      <c r="A85" s="28" t="s">
        <v>161</v>
      </c>
      <c r="B85" s="29" t="s">
        <v>162</v>
      </c>
      <c r="C85" s="44">
        <f t="shared" si="1"/>
        <v>0</v>
      </c>
      <c r="D85" s="31"/>
      <c r="E85" s="32"/>
      <c r="F85" s="32"/>
    </row>
    <row r="86" spans="1:6" s="22" customFormat="1" ht="12" customHeight="1" thickBot="1" x14ac:dyDescent="0.25">
      <c r="A86" s="35" t="s">
        <v>163</v>
      </c>
      <c r="B86" s="36" t="s">
        <v>164</v>
      </c>
      <c r="C86" s="37">
        <f t="shared" si="1"/>
        <v>0</v>
      </c>
      <c r="D86" s="31"/>
      <c r="E86" s="32"/>
      <c r="F86" s="32"/>
    </row>
    <row r="87" spans="1:6" s="22" customFormat="1" ht="12" customHeight="1" thickBot="1" x14ac:dyDescent="0.25">
      <c r="A87" s="61" t="s">
        <v>165</v>
      </c>
      <c r="B87" s="40" t="s">
        <v>166</v>
      </c>
      <c r="C87" s="59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3" t="s">
        <v>167</v>
      </c>
      <c r="B88" s="24" t="s">
        <v>168</v>
      </c>
      <c r="C88" s="41">
        <f t="shared" si="1"/>
        <v>0</v>
      </c>
      <c r="D88" s="31"/>
      <c r="E88" s="32"/>
      <c r="F88" s="32"/>
    </row>
    <row r="89" spans="1:6" s="22" customFormat="1" ht="12" customHeight="1" x14ac:dyDescent="0.2">
      <c r="A89" s="64" t="s">
        <v>169</v>
      </c>
      <c r="B89" s="29" t="s">
        <v>170</v>
      </c>
      <c r="C89" s="44">
        <f t="shared" si="1"/>
        <v>0</v>
      </c>
      <c r="D89" s="31"/>
      <c r="E89" s="32"/>
      <c r="F89" s="32"/>
    </row>
    <row r="90" spans="1:6" s="22" customFormat="1" ht="12" customHeight="1" x14ac:dyDescent="0.2">
      <c r="A90" s="64" t="s">
        <v>171</v>
      </c>
      <c r="B90" s="29" t="s">
        <v>172</v>
      </c>
      <c r="C90" s="44">
        <f t="shared" si="1"/>
        <v>0</v>
      </c>
      <c r="D90" s="31"/>
      <c r="E90" s="32"/>
      <c r="F90" s="32"/>
    </row>
    <row r="91" spans="1:6" s="22" customFormat="1" ht="12" customHeight="1" thickBot="1" x14ac:dyDescent="0.25">
      <c r="A91" s="65" t="s">
        <v>173</v>
      </c>
      <c r="B91" s="36" t="s">
        <v>174</v>
      </c>
      <c r="C91" s="37">
        <f t="shared" si="1"/>
        <v>0</v>
      </c>
      <c r="D91" s="31"/>
      <c r="E91" s="32"/>
      <c r="F91" s="32"/>
    </row>
    <row r="92" spans="1:6" s="22" customFormat="1" ht="12" customHeight="1" thickBot="1" x14ac:dyDescent="0.25">
      <c r="A92" s="61" t="s">
        <v>175</v>
      </c>
      <c r="B92" s="40" t="s">
        <v>176</v>
      </c>
      <c r="C92" s="66">
        <f t="shared" si="1"/>
        <v>0</v>
      </c>
      <c r="D92" s="67"/>
      <c r="E92" s="68"/>
      <c r="F92" s="68"/>
    </row>
    <row r="93" spans="1:6" s="22" customFormat="1" ht="13.5" customHeight="1" thickBot="1" x14ac:dyDescent="0.25">
      <c r="A93" s="61" t="s">
        <v>177</v>
      </c>
      <c r="B93" s="40" t="s">
        <v>178</v>
      </c>
      <c r="C93" s="59">
        <f t="shared" si="1"/>
        <v>0</v>
      </c>
      <c r="D93" s="67"/>
      <c r="E93" s="68"/>
      <c r="F93" s="68"/>
    </row>
    <row r="94" spans="1:6" s="22" customFormat="1" ht="15.75" customHeight="1" thickBot="1" x14ac:dyDescent="0.25">
      <c r="A94" s="61" t="s">
        <v>179</v>
      </c>
      <c r="B94" s="69" t="s">
        <v>180</v>
      </c>
      <c r="C94" s="20">
        <f t="shared" si="1"/>
        <v>1831474380</v>
      </c>
      <c r="D94" s="54">
        <f>+D71+D75+D80+D83+D87+D93+D92</f>
        <v>1809303675</v>
      </c>
      <c r="E94" s="55">
        <f>+E71+E75+E80+E83+E87+E93+E92</f>
        <v>327465</v>
      </c>
      <c r="F94" s="55">
        <f>+F71+F75+F80+F83+F87+F93+F92</f>
        <v>21843240</v>
      </c>
    </row>
    <row r="95" spans="1:6" s="22" customFormat="1" ht="16.5" customHeight="1" thickBot="1" x14ac:dyDescent="0.25">
      <c r="A95" s="70" t="s">
        <v>181</v>
      </c>
      <c r="B95" s="71" t="s">
        <v>182</v>
      </c>
      <c r="C95" s="72">
        <f t="shared" si="1"/>
        <v>4236222546</v>
      </c>
      <c r="D95" s="54">
        <f>+D70+D94</f>
        <v>4102662219</v>
      </c>
      <c r="E95" s="55">
        <f>+E70+E94</f>
        <v>3585079</v>
      </c>
      <c r="F95" s="55">
        <f>+F70+F94</f>
        <v>129975248</v>
      </c>
    </row>
    <row r="96" spans="1:6" s="22" customFormat="1" ht="54" customHeight="1" x14ac:dyDescent="0.2">
      <c r="A96" s="73"/>
      <c r="B96" s="74"/>
      <c r="C96" s="75"/>
    </row>
    <row r="97" spans="1:6" ht="16.5" customHeight="1" x14ac:dyDescent="0.25">
      <c r="A97" s="8" t="s">
        <v>183</v>
      </c>
      <c r="B97" s="8"/>
      <c r="C97" s="8"/>
      <c r="D97" s="6"/>
      <c r="E97" s="6"/>
      <c r="F97" s="6"/>
    </row>
    <row r="98" spans="1:6" s="79" customFormat="1" ht="16.5" customHeight="1" thickBot="1" x14ac:dyDescent="0.3">
      <c r="A98" s="76" t="s">
        <v>184</v>
      </c>
      <c r="B98" s="76"/>
      <c r="C98" s="77" t="s">
        <v>3</v>
      </c>
      <c r="D98" s="78"/>
      <c r="E98" s="78"/>
      <c r="F98" s="78"/>
    </row>
    <row r="99" spans="1:6" ht="38.1" customHeight="1" thickBot="1" x14ac:dyDescent="0.3">
      <c r="A99" s="11" t="s">
        <v>4</v>
      </c>
      <c r="B99" s="12" t="s">
        <v>185</v>
      </c>
      <c r="C99" s="13" t="str">
        <f>+C9</f>
        <v>2020. évi előirányzat</v>
      </c>
      <c r="D99" s="6" t="s">
        <v>7</v>
      </c>
      <c r="E99" s="6" t="s">
        <v>8</v>
      </c>
      <c r="F99" s="6" t="s">
        <v>9</v>
      </c>
    </row>
    <row r="100" spans="1:6" s="17" customFormat="1" ht="12" customHeight="1" thickBot="1" x14ac:dyDescent="0.25">
      <c r="A100" s="80" t="s">
        <v>10</v>
      </c>
      <c r="B100" s="81" t="s">
        <v>11</v>
      </c>
      <c r="C100" s="16" t="s">
        <v>12</v>
      </c>
    </row>
    <row r="101" spans="1:6" ht="12" customHeight="1" thickBot="1" x14ac:dyDescent="0.3">
      <c r="A101" s="82" t="s">
        <v>13</v>
      </c>
      <c r="B101" s="83" t="s">
        <v>186</v>
      </c>
      <c r="C101" s="20">
        <f t="shared" ref="C101:C162" si="2">SUM(D101:F101)</f>
        <v>1747953840</v>
      </c>
      <c r="D101" s="84">
        <f>+D102+D103+D104+D105+D106+D119</f>
        <v>761639608</v>
      </c>
      <c r="E101" s="85">
        <f>+E102+E103+E104+E105+E106+E119</f>
        <v>6357467</v>
      </c>
      <c r="F101" s="86">
        <f>F102+F103+F104+F105+F106+F119</f>
        <v>979956765</v>
      </c>
    </row>
    <row r="102" spans="1:6" ht="12" customHeight="1" x14ac:dyDescent="0.25">
      <c r="A102" s="87" t="s">
        <v>15</v>
      </c>
      <c r="B102" s="88" t="s">
        <v>187</v>
      </c>
      <c r="C102" s="89">
        <f t="shared" si="2"/>
        <v>603800761</v>
      </c>
      <c r="D102" s="90">
        <f>50121817-89237+1224375+1888592+9563278-4699427-457270+180579</f>
        <v>57732707</v>
      </c>
      <c r="E102" s="91">
        <v>4072814</v>
      </c>
      <c r="F102" s="91">
        <f>69090783+200165718+55350452+71236352+136029710+9577120+545105</f>
        <v>541995240</v>
      </c>
    </row>
    <row r="103" spans="1:6" ht="12" customHeight="1" x14ac:dyDescent="0.25">
      <c r="A103" s="28" t="s">
        <v>17</v>
      </c>
      <c r="B103" s="92" t="s">
        <v>188</v>
      </c>
      <c r="C103" s="30">
        <f t="shared" si="2"/>
        <v>112679327</v>
      </c>
      <c r="D103" s="31">
        <f>8314149-97868+214264+350843+1425759-1270081+457270+25191</f>
        <v>9419527</v>
      </c>
      <c r="E103" s="32">
        <v>748356</v>
      </c>
      <c r="F103" s="32">
        <f>12885750+40236890+9898597+12731399+24987418+1675997+95393</f>
        <v>102511444</v>
      </c>
    </row>
    <row r="104" spans="1:6" ht="12" customHeight="1" x14ac:dyDescent="0.25">
      <c r="A104" s="28" t="s">
        <v>19</v>
      </c>
      <c r="B104" s="92" t="s">
        <v>189</v>
      </c>
      <c r="C104" s="30">
        <f t="shared" si="2"/>
        <v>639673493</v>
      </c>
      <c r="D104" s="53">
        <f>307535372-649147+189000+18509-33359860+18212971-9196005+14216853+5721922</f>
        <v>302689615</v>
      </c>
      <c r="E104" s="48">
        <v>1536297</v>
      </c>
      <c r="F104" s="32">
        <f>155755158+92726933+49753784+15922544+21289162</f>
        <v>335447581</v>
      </c>
    </row>
    <row r="105" spans="1:6" ht="12" customHeight="1" x14ac:dyDescent="0.25">
      <c r="A105" s="28" t="s">
        <v>25</v>
      </c>
      <c r="B105" s="92" t="s">
        <v>190</v>
      </c>
      <c r="C105" s="44">
        <f t="shared" si="2"/>
        <v>61300000</v>
      </c>
      <c r="D105" s="53">
        <v>61300000</v>
      </c>
      <c r="E105" s="48"/>
      <c r="F105" s="48"/>
    </row>
    <row r="106" spans="1:6" ht="12" customHeight="1" x14ac:dyDescent="0.25">
      <c r="A106" s="28" t="s">
        <v>191</v>
      </c>
      <c r="B106" s="93" t="s">
        <v>192</v>
      </c>
      <c r="C106" s="44">
        <f t="shared" si="2"/>
        <v>204065134</v>
      </c>
      <c r="D106" s="53">
        <f>SUM(D107:D118)</f>
        <v>204062634</v>
      </c>
      <c r="E106" s="53">
        <f>SUM(E107:E118)</f>
        <v>0</v>
      </c>
      <c r="F106" s="53">
        <f>SUM(F107:F118)</f>
        <v>2500</v>
      </c>
    </row>
    <row r="107" spans="1:6" ht="12" customHeight="1" x14ac:dyDescent="0.25">
      <c r="A107" s="28" t="s">
        <v>29</v>
      </c>
      <c r="B107" s="92" t="s">
        <v>193</v>
      </c>
      <c r="C107" s="44">
        <f t="shared" si="2"/>
        <v>794676</v>
      </c>
      <c r="D107" s="53">
        <v>792176</v>
      </c>
      <c r="E107" s="48"/>
      <c r="F107" s="48">
        <v>2500</v>
      </c>
    </row>
    <row r="108" spans="1:6" ht="12" customHeight="1" x14ac:dyDescent="0.25">
      <c r="A108" s="28" t="s">
        <v>194</v>
      </c>
      <c r="B108" s="94" t="s">
        <v>195</v>
      </c>
      <c r="C108" s="44">
        <f t="shared" si="2"/>
        <v>0</v>
      </c>
      <c r="D108" s="53"/>
      <c r="E108" s="48"/>
      <c r="F108" s="48"/>
    </row>
    <row r="109" spans="1:6" ht="12" customHeight="1" x14ac:dyDescent="0.25">
      <c r="A109" s="28" t="s">
        <v>196</v>
      </c>
      <c r="B109" s="94" t="s">
        <v>197</v>
      </c>
      <c r="C109" s="44">
        <f t="shared" si="2"/>
        <v>0</v>
      </c>
      <c r="D109" s="53"/>
      <c r="E109" s="48"/>
      <c r="F109" s="48"/>
    </row>
    <row r="110" spans="1:6" ht="12" customHeight="1" x14ac:dyDescent="0.25">
      <c r="A110" s="28" t="s">
        <v>198</v>
      </c>
      <c r="B110" s="95" t="s">
        <v>199</v>
      </c>
      <c r="C110" s="44">
        <f t="shared" si="2"/>
        <v>0</v>
      </c>
      <c r="D110" s="53"/>
      <c r="E110" s="48"/>
      <c r="F110" s="48"/>
    </row>
    <row r="111" spans="1:6" ht="12" customHeight="1" x14ac:dyDescent="0.25">
      <c r="A111" s="28" t="s">
        <v>200</v>
      </c>
      <c r="B111" s="96" t="s">
        <v>201</v>
      </c>
      <c r="C111" s="44">
        <f t="shared" si="2"/>
        <v>0</v>
      </c>
      <c r="D111" s="53"/>
      <c r="E111" s="48"/>
      <c r="F111" s="48"/>
    </row>
    <row r="112" spans="1:6" ht="12" customHeight="1" x14ac:dyDescent="0.25">
      <c r="A112" s="28" t="s">
        <v>202</v>
      </c>
      <c r="B112" s="96" t="s">
        <v>203</v>
      </c>
      <c r="C112" s="44">
        <f t="shared" si="2"/>
        <v>0</v>
      </c>
      <c r="D112" s="53"/>
      <c r="E112" s="48"/>
      <c r="F112" s="48"/>
    </row>
    <row r="113" spans="1:6" ht="12" customHeight="1" x14ac:dyDescent="0.25">
      <c r="A113" s="28" t="s">
        <v>204</v>
      </c>
      <c r="B113" s="95" t="s">
        <v>205</v>
      </c>
      <c r="C113" s="33">
        <f t="shared" si="2"/>
        <v>1461000</v>
      </c>
      <c r="D113" s="53">
        <f>526000+935000</f>
        <v>1461000</v>
      </c>
      <c r="E113" s="48"/>
      <c r="F113" s="48"/>
    </row>
    <row r="114" spans="1:6" ht="12" customHeight="1" x14ac:dyDescent="0.25">
      <c r="A114" s="28" t="s">
        <v>206</v>
      </c>
      <c r="B114" s="95" t="s">
        <v>207</v>
      </c>
      <c r="C114" s="44">
        <f t="shared" si="2"/>
        <v>0</v>
      </c>
      <c r="D114" s="97"/>
      <c r="E114" s="48"/>
      <c r="F114" s="48"/>
    </row>
    <row r="115" spans="1:6" ht="12" customHeight="1" x14ac:dyDescent="0.25">
      <c r="A115" s="28" t="s">
        <v>208</v>
      </c>
      <c r="B115" s="96" t="s">
        <v>209</v>
      </c>
      <c r="C115" s="44">
        <f t="shared" si="2"/>
        <v>0</v>
      </c>
      <c r="D115" s="53"/>
      <c r="E115" s="48"/>
      <c r="F115" s="48"/>
    </row>
    <row r="116" spans="1:6" ht="12" customHeight="1" x14ac:dyDescent="0.25">
      <c r="A116" s="98" t="s">
        <v>210</v>
      </c>
      <c r="B116" s="94" t="s">
        <v>211</v>
      </c>
      <c r="C116" s="44">
        <f t="shared" si="2"/>
        <v>0</v>
      </c>
      <c r="D116" s="53"/>
      <c r="E116" s="48"/>
      <c r="F116" s="48"/>
    </row>
    <row r="117" spans="1:6" ht="12" customHeight="1" x14ac:dyDescent="0.25">
      <c r="A117" s="28" t="s">
        <v>212</v>
      </c>
      <c r="B117" s="94" t="s">
        <v>213</v>
      </c>
      <c r="C117" s="44">
        <f t="shared" si="2"/>
        <v>0</v>
      </c>
      <c r="D117" s="53"/>
      <c r="E117" s="48"/>
      <c r="F117" s="48"/>
    </row>
    <row r="118" spans="1:6" ht="12" customHeight="1" x14ac:dyDescent="0.25">
      <c r="A118" s="35" t="s">
        <v>214</v>
      </c>
      <c r="B118" s="94" t="s">
        <v>215</v>
      </c>
      <c r="C118" s="44">
        <f t="shared" si="2"/>
        <v>201809458</v>
      </c>
      <c r="D118" s="31">
        <f>201809461-3</f>
        <v>201809458</v>
      </c>
      <c r="E118" s="32"/>
      <c r="F118" s="48"/>
    </row>
    <row r="119" spans="1:6" ht="12" customHeight="1" x14ac:dyDescent="0.25">
      <c r="A119" s="28" t="s">
        <v>216</v>
      </c>
      <c r="B119" s="92" t="s">
        <v>217</v>
      </c>
      <c r="C119" s="44">
        <f t="shared" si="2"/>
        <v>126435125</v>
      </c>
      <c r="D119" s="31">
        <f>SUM(D120:D121)</f>
        <v>126435125</v>
      </c>
      <c r="E119" s="32"/>
      <c r="F119" s="32"/>
    </row>
    <row r="120" spans="1:6" ht="12" customHeight="1" x14ac:dyDescent="0.25">
      <c r="A120" s="28" t="s">
        <v>218</v>
      </c>
      <c r="B120" s="92" t="s">
        <v>219</v>
      </c>
      <c r="C120" s="30">
        <f t="shared" si="2"/>
        <v>31661717</v>
      </c>
      <c r="D120" s="53">
        <f>20000000+10207308-13229384-322815+29863551-32000+769709+109500-15704152</f>
        <v>31661717</v>
      </c>
      <c r="E120" s="48"/>
      <c r="F120" s="32"/>
    </row>
    <row r="121" spans="1:6" ht="12" customHeight="1" thickBot="1" x14ac:dyDescent="0.3">
      <c r="A121" s="99" t="s">
        <v>220</v>
      </c>
      <c r="B121" s="100" t="s">
        <v>221</v>
      </c>
      <c r="C121" s="33">
        <f t="shared" si="2"/>
        <v>94773408</v>
      </c>
      <c r="D121" s="101">
        <f>113540838-300000-1722008-810685-253737-15000000+11503705-12184705</f>
        <v>94773408</v>
      </c>
      <c r="E121" s="102"/>
      <c r="F121" s="102"/>
    </row>
    <row r="122" spans="1:6" ht="12" customHeight="1" thickBot="1" x14ac:dyDescent="0.3">
      <c r="A122" s="103" t="s">
        <v>31</v>
      </c>
      <c r="B122" s="104" t="s">
        <v>222</v>
      </c>
      <c r="C122" s="20">
        <f t="shared" si="2"/>
        <v>1173133310</v>
      </c>
      <c r="D122" s="21">
        <f>+D123+D125+D127</f>
        <v>1165607987</v>
      </c>
      <c r="E122" s="20">
        <f>+E123+E125+E127</f>
        <v>230000</v>
      </c>
      <c r="F122" s="72">
        <f>+F123+F125+F127</f>
        <v>7295323</v>
      </c>
    </row>
    <row r="123" spans="1:6" ht="18.75" customHeight="1" x14ac:dyDescent="0.25">
      <c r="A123" s="23" t="s">
        <v>33</v>
      </c>
      <c r="B123" s="92" t="s">
        <v>223</v>
      </c>
      <c r="C123" s="25">
        <f>SUM(D123:F123)</f>
        <v>636527627</v>
      </c>
      <c r="D123" s="26">
        <f>649199379+530-539760-98930-2000000+109147+1727000+-2097540-15972467-15125</f>
        <v>630312234</v>
      </c>
      <c r="E123" s="27">
        <v>230000</v>
      </c>
      <c r="F123" s="27">
        <f>1500000+712620+2527155+610850+634768</f>
        <v>5985393</v>
      </c>
    </row>
    <row r="124" spans="1:6" ht="12" customHeight="1" x14ac:dyDescent="0.25">
      <c r="A124" s="23" t="s">
        <v>35</v>
      </c>
      <c r="B124" s="105" t="s">
        <v>224</v>
      </c>
      <c r="C124" s="25">
        <f t="shared" si="2"/>
        <v>565316361</v>
      </c>
      <c r="D124" s="26">
        <f>600206715+530-539760-98930-30209788-2533650-1508756</f>
        <v>565316361</v>
      </c>
      <c r="E124" s="27"/>
      <c r="F124" s="27"/>
    </row>
    <row r="125" spans="1:6" ht="12" customHeight="1" x14ac:dyDescent="0.25">
      <c r="A125" s="23" t="s">
        <v>37</v>
      </c>
      <c r="B125" s="105" t="s">
        <v>225</v>
      </c>
      <c r="C125" s="25">
        <f t="shared" si="2"/>
        <v>529726963</v>
      </c>
      <c r="D125" s="31">
        <f>262142296-1206500+677185+322815+3524000+262957237</f>
        <v>528417033</v>
      </c>
      <c r="E125" s="32"/>
      <c r="F125" s="32">
        <f>600000+709930</f>
        <v>1309930</v>
      </c>
    </row>
    <row r="126" spans="1:6" ht="12" customHeight="1" x14ac:dyDescent="0.25">
      <c r="A126" s="23" t="s">
        <v>39</v>
      </c>
      <c r="B126" s="105" t="s">
        <v>226</v>
      </c>
      <c r="C126" s="25">
        <f t="shared" si="2"/>
        <v>285432147</v>
      </c>
      <c r="D126" s="31">
        <f>93559898-1206500+193078749</f>
        <v>285432147</v>
      </c>
      <c r="E126" s="106"/>
      <c r="F126" s="31"/>
    </row>
    <row r="127" spans="1:6" ht="12" customHeight="1" x14ac:dyDescent="0.25">
      <c r="A127" s="23" t="s">
        <v>41</v>
      </c>
      <c r="B127" s="36" t="s">
        <v>227</v>
      </c>
      <c r="C127" s="41">
        <f t="shared" si="2"/>
        <v>6878720</v>
      </c>
      <c r="D127" s="53">
        <f>SUM(D128:D135)</f>
        <v>6878720</v>
      </c>
      <c r="E127" s="31"/>
      <c r="F127" s="31"/>
    </row>
    <row r="128" spans="1:6" ht="12" customHeight="1" x14ac:dyDescent="0.25">
      <c r="A128" s="23" t="s">
        <v>43</v>
      </c>
      <c r="B128" s="34" t="s">
        <v>228</v>
      </c>
      <c r="C128" s="41">
        <f t="shared" si="2"/>
        <v>0</v>
      </c>
      <c r="D128" s="38"/>
      <c r="E128" s="38"/>
      <c r="F128" s="31"/>
    </row>
    <row r="129" spans="1:6" ht="12" customHeight="1" x14ac:dyDescent="0.25">
      <c r="A129" s="23" t="s">
        <v>229</v>
      </c>
      <c r="B129" s="107" t="s">
        <v>230</v>
      </c>
      <c r="C129" s="41">
        <f t="shared" si="2"/>
        <v>0</v>
      </c>
      <c r="D129" s="38"/>
      <c r="E129" s="38"/>
      <c r="F129" s="31"/>
    </row>
    <row r="130" spans="1:6" x14ac:dyDescent="0.25">
      <c r="A130" s="23" t="s">
        <v>231</v>
      </c>
      <c r="B130" s="96" t="s">
        <v>203</v>
      </c>
      <c r="C130" s="41">
        <f t="shared" si="2"/>
        <v>0</v>
      </c>
      <c r="D130" s="38"/>
      <c r="E130" s="38"/>
      <c r="F130" s="31"/>
    </row>
    <row r="131" spans="1:6" ht="12" customHeight="1" x14ac:dyDescent="0.25">
      <c r="A131" s="23" t="s">
        <v>232</v>
      </c>
      <c r="B131" s="96" t="s">
        <v>233</v>
      </c>
      <c r="C131" s="41">
        <f t="shared" si="2"/>
        <v>0</v>
      </c>
      <c r="D131" s="38"/>
      <c r="E131" s="38"/>
      <c r="F131" s="31"/>
    </row>
    <row r="132" spans="1:6" ht="12" customHeight="1" x14ac:dyDescent="0.25">
      <c r="A132" s="23" t="s">
        <v>234</v>
      </c>
      <c r="B132" s="96" t="s">
        <v>235</v>
      </c>
      <c r="C132" s="41">
        <f t="shared" si="2"/>
        <v>0</v>
      </c>
      <c r="D132" s="38"/>
      <c r="E132" s="38"/>
      <c r="F132" s="31"/>
    </row>
    <row r="133" spans="1:6" ht="12" customHeight="1" x14ac:dyDescent="0.25">
      <c r="A133" s="23" t="s">
        <v>236</v>
      </c>
      <c r="B133" s="96" t="s">
        <v>209</v>
      </c>
      <c r="C133" s="41">
        <f t="shared" si="2"/>
        <v>0</v>
      </c>
      <c r="D133" s="38"/>
      <c r="E133" s="38"/>
      <c r="F133" s="31"/>
    </row>
    <row r="134" spans="1:6" ht="12" customHeight="1" x14ac:dyDescent="0.25">
      <c r="A134" s="23" t="s">
        <v>237</v>
      </c>
      <c r="B134" s="96" t="s">
        <v>238</v>
      </c>
      <c r="C134" s="41">
        <f t="shared" si="2"/>
        <v>0</v>
      </c>
      <c r="D134" s="38"/>
      <c r="E134" s="38"/>
      <c r="F134" s="31"/>
    </row>
    <row r="135" spans="1:6" ht="16.5" thickBot="1" x14ac:dyDescent="0.3">
      <c r="A135" s="98" t="s">
        <v>239</v>
      </c>
      <c r="B135" s="96" t="s">
        <v>240</v>
      </c>
      <c r="C135" s="25">
        <f t="shared" si="2"/>
        <v>6878720</v>
      </c>
      <c r="D135" s="47">
        <f>7001899+900000-1023179</f>
        <v>6878720</v>
      </c>
      <c r="E135" s="53"/>
      <c r="F135" s="53"/>
    </row>
    <row r="136" spans="1:6" ht="12" customHeight="1" thickBot="1" x14ac:dyDescent="0.3">
      <c r="A136" s="18" t="s">
        <v>45</v>
      </c>
      <c r="B136" s="108" t="s">
        <v>241</v>
      </c>
      <c r="C136" s="20">
        <f t="shared" si="2"/>
        <v>2921087150</v>
      </c>
      <c r="D136" s="21">
        <f>+D101+D122</f>
        <v>1927247595</v>
      </c>
      <c r="E136" s="20">
        <f>+E101+E122</f>
        <v>6587467</v>
      </c>
      <c r="F136" s="20">
        <f>+F101+F122</f>
        <v>987252088</v>
      </c>
    </row>
    <row r="137" spans="1:6" ht="12" customHeight="1" thickBot="1" x14ac:dyDescent="0.3">
      <c r="A137" s="18" t="s">
        <v>242</v>
      </c>
      <c r="B137" s="108" t="s">
        <v>243</v>
      </c>
      <c r="C137" s="59">
        <f t="shared" si="2"/>
        <v>822563844</v>
      </c>
      <c r="D137" s="21">
        <f>+D138+D139+D140</f>
        <v>822563844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61</v>
      </c>
      <c r="B138" s="105" t="s">
        <v>244</v>
      </c>
      <c r="C138" s="41">
        <f t="shared" si="2"/>
        <v>22563844</v>
      </c>
      <c r="D138" s="31">
        <v>22563844</v>
      </c>
      <c r="E138" s="31"/>
      <c r="F138" s="31"/>
    </row>
    <row r="139" spans="1:6" ht="12" customHeight="1" x14ac:dyDescent="0.25">
      <c r="A139" s="23" t="s">
        <v>67</v>
      </c>
      <c r="B139" s="105" t="s">
        <v>245</v>
      </c>
      <c r="C139" s="30">
        <f t="shared" si="2"/>
        <v>800000000</v>
      </c>
      <c r="D139" s="38">
        <f>700000000+100000000</f>
        <v>800000000</v>
      </c>
      <c r="E139" s="38"/>
      <c r="F139" s="38"/>
    </row>
    <row r="140" spans="1:6" ht="12" customHeight="1" thickBot="1" x14ac:dyDescent="0.3">
      <c r="A140" s="98" t="s">
        <v>246</v>
      </c>
      <c r="B140" s="105" t="s">
        <v>247</v>
      </c>
      <c r="C140" s="37">
        <f t="shared" si="2"/>
        <v>0</v>
      </c>
      <c r="D140" s="38"/>
      <c r="E140" s="38"/>
      <c r="F140" s="38"/>
    </row>
    <row r="141" spans="1:6" ht="12" customHeight="1" thickBot="1" x14ac:dyDescent="0.3">
      <c r="A141" s="18" t="s">
        <v>75</v>
      </c>
      <c r="B141" s="108" t="s">
        <v>248</v>
      </c>
      <c r="C141" s="59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77</v>
      </c>
      <c r="B142" s="109" t="s">
        <v>249</v>
      </c>
      <c r="C142" s="41">
        <f t="shared" si="2"/>
        <v>0</v>
      </c>
      <c r="D142" s="38"/>
      <c r="E142" s="38"/>
      <c r="F142" s="38"/>
    </row>
    <row r="143" spans="1:6" ht="12" customHeight="1" x14ac:dyDescent="0.25">
      <c r="A143" s="23" t="s">
        <v>79</v>
      </c>
      <c r="B143" s="109" t="s">
        <v>250</v>
      </c>
      <c r="C143" s="44">
        <f t="shared" si="2"/>
        <v>0</v>
      </c>
      <c r="D143" s="38"/>
      <c r="E143" s="38"/>
      <c r="F143" s="38"/>
    </row>
    <row r="144" spans="1:6" ht="12" customHeight="1" x14ac:dyDescent="0.25">
      <c r="A144" s="23" t="s">
        <v>81</v>
      </c>
      <c r="B144" s="109" t="s">
        <v>251</v>
      </c>
      <c r="C144" s="44">
        <f t="shared" si="2"/>
        <v>0</v>
      </c>
      <c r="D144" s="38"/>
      <c r="E144" s="38"/>
      <c r="F144" s="38"/>
    </row>
    <row r="145" spans="1:6" ht="12" customHeight="1" x14ac:dyDescent="0.25">
      <c r="A145" s="23" t="s">
        <v>83</v>
      </c>
      <c r="B145" s="109" t="s">
        <v>252</v>
      </c>
      <c r="C145" s="44">
        <f t="shared" si="2"/>
        <v>0</v>
      </c>
      <c r="D145" s="38"/>
      <c r="E145" s="38"/>
      <c r="F145" s="38"/>
    </row>
    <row r="146" spans="1:6" ht="12" customHeight="1" x14ac:dyDescent="0.25">
      <c r="A146" s="23" t="s">
        <v>85</v>
      </c>
      <c r="B146" s="109" t="s">
        <v>253</v>
      </c>
      <c r="C146" s="44">
        <f t="shared" si="2"/>
        <v>0</v>
      </c>
      <c r="D146" s="38"/>
      <c r="E146" s="38"/>
      <c r="F146" s="38"/>
    </row>
    <row r="147" spans="1:6" ht="12" customHeight="1" thickBot="1" x14ac:dyDescent="0.3">
      <c r="A147" s="98" t="s">
        <v>87</v>
      </c>
      <c r="B147" s="109" t="s">
        <v>254</v>
      </c>
      <c r="C147" s="37">
        <f t="shared" si="2"/>
        <v>0</v>
      </c>
      <c r="D147" s="38"/>
      <c r="E147" s="38"/>
      <c r="F147" s="38"/>
    </row>
    <row r="148" spans="1:6" ht="12" customHeight="1" thickBot="1" x14ac:dyDescent="0.3">
      <c r="A148" s="18" t="s">
        <v>99</v>
      </c>
      <c r="B148" s="108" t="s">
        <v>255</v>
      </c>
      <c r="C148" s="20">
        <f t="shared" si="2"/>
        <v>45672254</v>
      </c>
      <c r="D148" s="54">
        <f>+D149+D150+D151+D152</f>
        <v>45672254</v>
      </c>
      <c r="E148" s="55">
        <f>+E149+E150+E151+E152</f>
        <v>0</v>
      </c>
      <c r="F148" s="55">
        <f>+F149+F150+F151+F152</f>
        <v>0</v>
      </c>
    </row>
    <row r="149" spans="1:6" ht="12" customHeight="1" x14ac:dyDescent="0.25">
      <c r="A149" s="23" t="s">
        <v>101</v>
      </c>
      <c r="B149" s="109" t="s">
        <v>256</v>
      </c>
      <c r="C149" s="41">
        <f t="shared" si="2"/>
        <v>0</v>
      </c>
      <c r="D149" s="38"/>
      <c r="E149" s="38"/>
      <c r="F149" s="38"/>
    </row>
    <row r="150" spans="1:6" ht="12" customHeight="1" x14ac:dyDescent="0.25">
      <c r="A150" s="23" t="s">
        <v>103</v>
      </c>
      <c r="B150" s="109" t="s">
        <v>257</v>
      </c>
      <c r="C150" s="33">
        <f t="shared" si="2"/>
        <v>45672254</v>
      </c>
      <c r="D150" s="38">
        <v>45672254</v>
      </c>
      <c r="E150" s="38"/>
      <c r="F150" s="38"/>
    </row>
    <row r="151" spans="1:6" ht="12" customHeight="1" x14ac:dyDescent="0.25">
      <c r="A151" s="23" t="s">
        <v>105</v>
      </c>
      <c r="B151" s="109" t="s">
        <v>258</v>
      </c>
      <c r="C151" s="44">
        <f t="shared" si="2"/>
        <v>0</v>
      </c>
      <c r="D151" s="38"/>
      <c r="E151" s="38"/>
      <c r="F151" s="38"/>
    </row>
    <row r="152" spans="1:6" ht="12" customHeight="1" thickBot="1" x14ac:dyDescent="0.3">
      <c r="A152" s="98" t="s">
        <v>107</v>
      </c>
      <c r="B152" s="93" t="s">
        <v>259</v>
      </c>
      <c r="C152" s="37">
        <f t="shared" si="2"/>
        <v>0</v>
      </c>
      <c r="D152" s="38"/>
      <c r="E152" s="38"/>
      <c r="F152" s="38"/>
    </row>
    <row r="153" spans="1:6" ht="12" customHeight="1" thickBot="1" x14ac:dyDescent="0.3">
      <c r="A153" s="18" t="s">
        <v>260</v>
      </c>
      <c r="B153" s="108" t="s">
        <v>261</v>
      </c>
      <c r="C153" s="59">
        <f t="shared" si="2"/>
        <v>0</v>
      </c>
      <c r="D153" s="110">
        <f>+D154+D155+D156+D157+D158</f>
        <v>0</v>
      </c>
      <c r="E153" s="111">
        <f>+E154+E155+E156+E157+E158</f>
        <v>0</v>
      </c>
      <c r="F153" s="111">
        <f>SUM(F154:F158)</f>
        <v>0</v>
      </c>
    </row>
    <row r="154" spans="1:6" ht="12" customHeight="1" x14ac:dyDescent="0.25">
      <c r="A154" s="23" t="s">
        <v>113</v>
      </c>
      <c r="B154" s="109" t="s">
        <v>262</v>
      </c>
      <c r="C154" s="41">
        <f t="shared" si="2"/>
        <v>0</v>
      </c>
      <c r="D154" s="38"/>
      <c r="E154" s="38"/>
      <c r="F154" s="38"/>
    </row>
    <row r="155" spans="1:6" ht="12" customHeight="1" x14ac:dyDescent="0.25">
      <c r="A155" s="23" t="s">
        <v>115</v>
      </c>
      <c r="B155" s="109" t="s">
        <v>263</v>
      </c>
      <c r="C155" s="44">
        <f t="shared" si="2"/>
        <v>0</v>
      </c>
      <c r="D155" s="38"/>
      <c r="E155" s="38"/>
      <c r="F155" s="38"/>
    </row>
    <row r="156" spans="1:6" ht="12" customHeight="1" x14ac:dyDescent="0.25">
      <c r="A156" s="23" t="s">
        <v>117</v>
      </c>
      <c r="B156" s="109" t="s">
        <v>264</v>
      </c>
      <c r="C156" s="44">
        <f t="shared" si="2"/>
        <v>0</v>
      </c>
      <c r="D156" s="38"/>
      <c r="E156" s="38"/>
      <c r="F156" s="38"/>
    </row>
    <row r="157" spans="1:6" ht="12" customHeight="1" x14ac:dyDescent="0.25">
      <c r="A157" s="23" t="s">
        <v>119</v>
      </c>
      <c r="B157" s="109" t="s">
        <v>265</v>
      </c>
      <c r="C157" s="44">
        <f t="shared" si="2"/>
        <v>0</v>
      </c>
      <c r="D157" s="38"/>
      <c r="E157" s="38"/>
      <c r="F157" s="38"/>
    </row>
    <row r="158" spans="1:6" ht="12" customHeight="1" thickBot="1" x14ac:dyDescent="0.3">
      <c r="A158" s="23" t="s">
        <v>266</v>
      </c>
      <c r="B158" s="109" t="s">
        <v>267</v>
      </c>
      <c r="C158" s="37">
        <f t="shared" si="2"/>
        <v>0</v>
      </c>
      <c r="D158" s="47"/>
      <c r="E158" s="47"/>
      <c r="F158" s="38"/>
    </row>
    <row r="159" spans="1:6" ht="12" customHeight="1" thickBot="1" x14ac:dyDescent="0.3">
      <c r="A159" s="18" t="s">
        <v>121</v>
      </c>
      <c r="B159" s="108" t="s">
        <v>268</v>
      </c>
      <c r="C159" s="20">
        <f t="shared" si="2"/>
        <v>0</v>
      </c>
      <c r="D159" s="110"/>
      <c r="E159" s="111"/>
      <c r="F159" s="112"/>
    </row>
    <row r="160" spans="1:6" ht="12" customHeight="1" thickBot="1" x14ac:dyDescent="0.3">
      <c r="A160" s="18" t="s">
        <v>269</v>
      </c>
      <c r="B160" s="108" t="s">
        <v>270</v>
      </c>
      <c r="C160" s="85">
        <f t="shared" si="2"/>
        <v>0</v>
      </c>
      <c r="D160" s="110"/>
      <c r="E160" s="111"/>
      <c r="F160" s="112"/>
    </row>
    <row r="161" spans="1:9" ht="15" customHeight="1" thickBot="1" x14ac:dyDescent="0.3">
      <c r="A161" s="18" t="s">
        <v>271</v>
      </c>
      <c r="B161" s="108" t="s">
        <v>272</v>
      </c>
      <c r="C161" s="85">
        <f t="shared" si="2"/>
        <v>868236098</v>
      </c>
      <c r="D161" s="113">
        <f>+D137+D141+D148+D153+D159+D160</f>
        <v>868236098</v>
      </c>
      <c r="E161" s="114">
        <f>+E137+E141+E148+E153+E159+E160</f>
        <v>0</v>
      </c>
      <c r="F161" s="114">
        <f>+F137+F141+F148+F153+F159+F160</f>
        <v>0</v>
      </c>
      <c r="G161" s="115"/>
      <c r="H161" s="115"/>
      <c r="I161" s="115"/>
    </row>
    <row r="162" spans="1:9" s="22" customFormat="1" ht="12.95" customHeight="1" thickBot="1" x14ac:dyDescent="0.25">
      <c r="A162" s="116" t="s">
        <v>273</v>
      </c>
      <c r="B162" s="117" t="s">
        <v>274</v>
      </c>
      <c r="C162" s="20">
        <f t="shared" si="2"/>
        <v>3789323248</v>
      </c>
      <c r="D162" s="113">
        <f>+D136+D161</f>
        <v>2795483693</v>
      </c>
      <c r="E162" s="114">
        <f>+E136+E161</f>
        <v>6587467</v>
      </c>
      <c r="F162" s="114">
        <f>+F136+F161</f>
        <v>987252088</v>
      </c>
    </row>
    <row r="163" spans="1:9" ht="7.5" customHeight="1" x14ac:dyDescent="0.25"/>
    <row r="164" spans="1:9" x14ac:dyDescent="0.25">
      <c r="A164" s="5" t="s">
        <v>275</v>
      </c>
      <c r="B164" s="5"/>
      <c r="C164" s="5"/>
    </row>
    <row r="165" spans="1:9" ht="9.75" customHeight="1" thickBot="1" x14ac:dyDescent="0.3">
      <c r="A165" s="9" t="s">
        <v>276</v>
      </c>
      <c r="B165" s="9"/>
      <c r="C165" s="10" t="s">
        <v>3</v>
      </c>
    </row>
    <row r="166" spans="1:9" ht="21" customHeight="1" thickBot="1" x14ac:dyDescent="0.3">
      <c r="A166" s="18">
        <v>1</v>
      </c>
      <c r="B166" s="118" t="s">
        <v>277</v>
      </c>
      <c r="C166" s="20">
        <f>+C70-C136</f>
        <v>-516338984</v>
      </c>
    </row>
    <row r="167" spans="1:9" ht="21.75" thickBot="1" x14ac:dyDescent="0.3">
      <c r="A167" s="18" t="s">
        <v>31</v>
      </c>
      <c r="B167" s="118" t="s">
        <v>278</v>
      </c>
      <c r="C167" s="20">
        <f>+C94-C161</f>
        <v>963238282</v>
      </c>
    </row>
    <row r="168" spans="1:9" x14ac:dyDescent="0.25">
      <c r="F168" s="119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7" fitToHeight="0" orientation="portrait" r:id="rId1"/>
  <headerFooter alignWithMargins="0"/>
  <rowBreaks count="1" manualBreakCount="1">
    <brk id="9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2020-12-02T11:19:57Z</dcterms:created>
  <dcterms:modified xsi:type="dcterms:W3CDTF">2020-12-02T11:19:58Z</dcterms:modified>
</cp:coreProperties>
</file>