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:\Dokumentumok\2019\2019_évi_költségvetés\Sármelléki_önk\"/>
    </mc:Choice>
  </mc:AlternateContent>
  <xr:revisionPtr revIDLastSave="0" documentId="13_ncr:1_{C9F4EB53-8661-4136-8846-32B0D14ECF68}" xr6:coauthVersionLast="41" xr6:coauthVersionMax="41" xr10:uidLastSave="{00000000-0000-0000-0000-000000000000}"/>
  <bookViews>
    <workbookView xWindow="-120" yWindow="-120" windowWidth="20730" windowHeight="11160" activeTab="4" xr2:uid="{00000000-000D-0000-FFFF-FFFF00000000}"/>
  </bookViews>
  <sheets>
    <sheet name="2" sheetId="2" r:id="rId1"/>
    <sheet name="3" sheetId="3" r:id="rId2"/>
    <sheet name="4" sheetId="4" r:id="rId3"/>
    <sheet name="6" sheetId="6" r:id="rId4"/>
    <sheet name="11" sheetId="11" r:id="rId5"/>
    <sheet name="11a" sheetId="12" r:id="rId6"/>
    <sheet name="11f" sheetId="28" r:id="rId7"/>
    <sheet name="13" sheetId="18" r:id="rId8"/>
    <sheet name="13a" sheetId="19" r:id="rId9"/>
    <sheet name="13b" sheetId="29" r:id="rId10"/>
    <sheet name="15" sheetId="21" r:id="rId11"/>
    <sheet name="16a" sheetId="23" r:id="rId12"/>
    <sheet name="16b" sheetId="24" r:id="rId13"/>
    <sheet name="16c" sheetId="2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4" l="1"/>
  <c r="E34" i="3"/>
  <c r="D34" i="3"/>
  <c r="I13" i="3"/>
  <c r="I42" i="2"/>
  <c r="E81" i="21"/>
  <c r="E83" i="21"/>
  <c r="I80" i="18" l="1"/>
  <c r="J79" i="18"/>
  <c r="J78" i="18"/>
  <c r="J77" i="18"/>
  <c r="H76" i="18"/>
  <c r="H80" i="18" s="1"/>
  <c r="J80" i="18" s="1"/>
  <c r="J75" i="18"/>
  <c r="J70" i="18"/>
  <c r="J69" i="18"/>
  <c r="H68" i="18"/>
  <c r="J68" i="18" s="1"/>
  <c r="J67" i="18"/>
  <c r="J66" i="18"/>
  <c r="I63" i="18"/>
  <c r="I66" i="18" s="1"/>
  <c r="I74" i="18" s="1"/>
  <c r="H63" i="18"/>
  <c r="H66" i="18" s="1"/>
  <c r="K57" i="18"/>
  <c r="H57" i="18"/>
  <c r="J56" i="18"/>
  <c r="J55" i="18"/>
  <c r="J53" i="18"/>
  <c r="I53" i="18"/>
  <c r="I57" i="18" s="1"/>
  <c r="H53" i="18"/>
  <c r="J52" i="18"/>
  <c r="J51" i="18"/>
  <c r="J50" i="18"/>
  <c r="I50" i="18"/>
  <c r="H50" i="18"/>
  <c r="J48" i="18"/>
  <c r="J47" i="18"/>
  <c r="J57" i="18" s="1"/>
  <c r="I47" i="18"/>
  <c r="H47" i="18"/>
  <c r="K46" i="18"/>
  <c r="K60" i="18" s="1"/>
  <c r="K82" i="18" s="1"/>
  <c r="J45" i="18"/>
  <c r="J44" i="18"/>
  <c r="J41" i="18" s="1"/>
  <c r="J46" i="18" s="1"/>
  <c r="J60" i="18" s="1"/>
  <c r="J43" i="18"/>
  <c r="I41" i="18"/>
  <c r="H41" i="18"/>
  <c r="J39" i="18"/>
  <c r="J37" i="18"/>
  <c r="I37" i="18"/>
  <c r="H37" i="18"/>
  <c r="J33" i="18"/>
  <c r="I33" i="18"/>
  <c r="H33" i="18"/>
  <c r="H46" i="18" s="1"/>
  <c r="H60" i="18" s="1"/>
  <c r="K29" i="18"/>
  <c r="K81" i="18" s="1"/>
  <c r="J28" i="18"/>
  <c r="J27" i="18"/>
  <c r="J29" i="18" s="1"/>
  <c r="I25" i="18"/>
  <c r="H25" i="18"/>
  <c r="I21" i="18"/>
  <c r="H14" i="18"/>
  <c r="H21" i="18" s="1"/>
  <c r="J79" i="11"/>
  <c r="J78" i="11"/>
  <c r="J77" i="11"/>
  <c r="I76" i="11"/>
  <c r="I80" i="11" s="1"/>
  <c r="H76" i="11"/>
  <c r="H80" i="11" s="1"/>
  <c r="J75" i="11"/>
  <c r="J70" i="11"/>
  <c r="J69" i="11"/>
  <c r="I68" i="11"/>
  <c r="I73" i="11" s="1"/>
  <c r="H68" i="11"/>
  <c r="H73" i="11" s="1"/>
  <c r="J73" i="11" s="1"/>
  <c r="J67" i="11"/>
  <c r="J66" i="11"/>
  <c r="I63" i="11"/>
  <c r="I66" i="11" s="1"/>
  <c r="I74" i="11" s="1"/>
  <c r="H63" i="11"/>
  <c r="H66" i="11" s="1"/>
  <c r="H74" i="11" s="1"/>
  <c r="K57" i="11"/>
  <c r="K60" i="11" s="1"/>
  <c r="K82" i="11" s="1"/>
  <c r="J56" i="11"/>
  <c r="J55" i="11"/>
  <c r="J53" i="11" s="1"/>
  <c r="I53" i="11"/>
  <c r="H53" i="11"/>
  <c r="J52" i="11"/>
  <c r="J51" i="11"/>
  <c r="I50" i="11"/>
  <c r="H50" i="11"/>
  <c r="J50" i="11" s="1"/>
  <c r="J48" i="11"/>
  <c r="J47" i="11" s="1"/>
  <c r="I47" i="11"/>
  <c r="I57" i="11" s="1"/>
  <c r="H47" i="11"/>
  <c r="H57" i="11" s="1"/>
  <c r="K46" i="11"/>
  <c r="J45" i="11"/>
  <c r="J44" i="11"/>
  <c r="J43" i="11"/>
  <c r="J41" i="11" s="1"/>
  <c r="H41" i="11" s="1"/>
  <c r="I42" i="11"/>
  <c r="H42" i="11"/>
  <c r="I41" i="11"/>
  <c r="J39" i="11"/>
  <c r="J37" i="11" s="1"/>
  <c r="I37" i="11"/>
  <c r="I46" i="11" s="1"/>
  <c r="H37" i="11"/>
  <c r="H46" i="11" s="1"/>
  <c r="H60" i="11" s="1"/>
  <c r="J33" i="11"/>
  <c r="J46" i="11" s="1"/>
  <c r="I33" i="11"/>
  <c r="H33" i="11"/>
  <c r="K29" i="11"/>
  <c r="K61" i="11" s="1"/>
  <c r="J28" i="11"/>
  <c r="J27" i="11"/>
  <c r="J25" i="11"/>
  <c r="I25" i="11"/>
  <c r="H25" i="11"/>
  <c r="J21" i="11"/>
  <c r="J29" i="11" s="1"/>
  <c r="H21" i="11"/>
  <c r="H29" i="11" s="1"/>
  <c r="I14" i="11"/>
  <c r="I21" i="11" s="1"/>
  <c r="I29" i="11" s="1"/>
  <c r="H14" i="11"/>
  <c r="C34" i="27"/>
  <c r="C37" i="27" s="1"/>
  <c r="B34" i="27"/>
  <c r="C29" i="27"/>
  <c r="B29" i="27"/>
  <c r="C25" i="27"/>
  <c r="C18" i="27"/>
  <c r="B18" i="27"/>
  <c r="C16" i="27"/>
  <c r="C22" i="27" s="1"/>
  <c r="B16" i="27"/>
  <c r="B22" i="27" s="1"/>
  <c r="C13" i="27"/>
  <c r="B13" i="27"/>
  <c r="C11" i="27"/>
  <c r="C14" i="27" s="1"/>
  <c r="B11" i="27"/>
  <c r="B14" i="27" s="1"/>
  <c r="Y9" i="24"/>
  <c r="Y11" i="24"/>
  <c r="Y12" i="24"/>
  <c r="Y13" i="24"/>
  <c r="Y14" i="24"/>
  <c r="Y16" i="24"/>
  <c r="Y17" i="24"/>
  <c r="Y18" i="24"/>
  <c r="AH36" i="24"/>
  <c r="AD36" i="24"/>
  <c r="AC36" i="24"/>
  <c r="Z36" i="24"/>
  <c r="AH35" i="24"/>
  <c r="AG35" i="24"/>
  <c r="AF35" i="24"/>
  <c r="AF36" i="24" s="1"/>
  <c r="AE35" i="24"/>
  <c r="AE36" i="24" s="1"/>
  <c r="AD35" i="24"/>
  <c r="AC35" i="24"/>
  <c r="AB35" i="24"/>
  <c r="AA35" i="24"/>
  <c r="AA36" i="24" s="1"/>
  <c r="Z35" i="24"/>
  <c r="Y34" i="24"/>
  <c r="Y33" i="24"/>
  <c r="AH32" i="24"/>
  <c r="AF32" i="24"/>
  <c r="AE32" i="24"/>
  <c r="AD32" i="24"/>
  <c r="AC32" i="24"/>
  <c r="AA32" i="24"/>
  <c r="Z32" i="24"/>
  <c r="AB31" i="24"/>
  <c r="AB32" i="24" s="1"/>
  <c r="Y31" i="24"/>
  <c r="AE30" i="24"/>
  <c r="Y30" i="24"/>
  <c r="Y29" i="24"/>
  <c r="Y28" i="24"/>
  <c r="AG27" i="24"/>
  <c r="Y26" i="24"/>
  <c r="AG25" i="24"/>
  <c r="Y24" i="24"/>
  <c r="AG18" i="24"/>
  <c r="AF18" i="24"/>
  <c r="AE18" i="24"/>
  <c r="AC18" i="24"/>
  <c r="AA18" i="24"/>
  <c r="AA19" i="24" s="1"/>
  <c r="AD17" i="24"/>
  <c r="AB17" i="24"/>
  <c r="AB18" i="24" s="1"/>
  <c r="AA17" i="24"/>
  <c r="Z17" i="24"/>
  <c r="AH16" i="24"/>
  <c r="AH18" i="24" s="1"/>
  <c r="AG16" i="24"/>
  <c r="AF16" i="24"/>
  <c r="AE16" i="24"/>
  <c r="AD16" i="24"/>
  <c r="AD18" i="24" s="1"/>
  <c r="AC16" i="24"/>
  <c r="AB16" i="24"/>
  <c r="AA16" i="24"/>
  <c r="Z16" i="24"/>
  <c r="Z18" i="24" s="1"/>
  <c r="AB14" i="24"/>
  <c r="Z14" i="24"/>
  <c r="AH13" i="24"/>
  <c r="AG13" i="24"/>
  <c r="AG15" i="24" s="1"/>
  <c r="AG19" i="24" s="1"/>
  <c r="AF13" i="24"/>
  <c r="AE13" i="24"/>
  <c r="Z12" i="24"/>
  <c r="AE11" i="24"/>
  <c r="AD11" i="24"/>
  <c r="AC11" i="24"/>
  <c r="AB11" i="24"/>
  <c r="AA11" i="24"/>
  <c r="Z11" i="24"/>
  <c r="AG10" i="24"/>
  <c r="AA10" i="24"/>
  <c r="Z10" i="24"/>
  <c r="AD9" i="24"/>
  <c r="AB9" i="24"/>
  <c r="AA9" i="24"/>
  <c r="Z9" i="24"/>
  <c r="AG8" i="24"/>
  <c r="AD8" i="24"/>
  <c r="AB8" i="24"/>
  <c r="AA8" i="24"/>
  <c r="AH7" i="24"/>
  <c r="AH15" i="24" s="1"/>
  <c r="AF7" i="24"/>
  <c r="AF15" i="24" s="1"/>
  <c r="AE7" i="24"/>
  <c r="AE15" i="24" s="1"/>
  <c r="AD7" i="24"/>
  <c r="AD15" i="24" s="1"/>
  <c r="AC7" i="24"/>
  <c r="AC15" i="24" s="1"/>
  <c r="AC19" i="24" s="1"/>
  <c r="AB7" i="24"/>
  <c r="Y7" i="24" s="1"/>
  <c r="AA7" i="24"/>
  <c r="AA15" i="24" s="1"/>
  <c r="AA36" i="23"/>
  <c r="X36" i="23" s="1"/>
  <c r="AA35" i="23"/>
  <c r="X35" i="23"/>
  <c r="AA34" i="23"/>
  <c r="X34" i="23" s="1"/>
  <c r="AA32" i="23"/>
  <c r="X32" i="23" s="1"/>
  <c r="X30" i="23" s="1"/>
  <c r="AA31" i="23"/>
  <c r="X31" i="23"/>
  <c r="AA30" i="23"/>
  <c r="AA27" i="23"/>
  <c r="X27" i="23"/>
  <c r="X24" i="23"/>
  <c r="AA21" i="23"/>
  <c r="X21" i="23"/>
  <c r="X20" i="23"/>
  <c r="AA18" i="23"/>
  <c r="X18" i="23" s="1"/>
  <c r="AA14" i="23"/>
  <c r="X14" i="23"/>
  <c r="AA11" i="23"/>
  <c r="AA10" i="23"/>
  <c r="X10" i="23"/>
  <c r="X11" i="23" s="1"/>
  <c r="E69" i="21"/>
  <c r="E74" i="21" s="1"/>
  <c r="E64" i="21"/>
  <c r="E67" i="21" s="1"/>
  <c r="E54" i="21"/>
  <c r="E51" i="21"/>
  <c r="E48" i="21"/>
  <c r="E42" i="21"/>
  <c r="E14" i="21"/>
  <c r="K12" i="29"/>
  <c r="K18" i="29" s="1"/>
  <c r="E11" i="29"/>
  <c r="E17" i="29" s="1"/>
  <c r="K9" i="29"/>
  <c r="K56" i="19"/>
  <c r="K55" i="19"/>
  <c r="K54" i="19"/>
  <c r="K53" i="19"/>
  <c r="K52" i="19"/>
  <c r="H52" i="19"/>
  <c r="J51" i="19"/>
  <c r="J57" i="19" s="1"/>
  <c r="I51" i="19"/>
  <c r="K51" i="19" s="1"/>
  <c r="H51" i="19"/>
  <c r="H57" i="19" s="1"/>
  <c r="G51" i="19"/>
  <c r="G57" i="19" s="1"/>
  <c r="F51" i="19"/>
  <c r="F57" i="19" s="1"/>
  <c r="I49" i="19"/>
  <c r="F49" i="19"/>
  <c r="K48" i="19"/>
  <c r="H48" i="19"/>
  <c r="J46" i="19"/>
  <c r="I46" i="19"/>
  <c r="G46" i="19"/>
  <c r="F46" i="19"/>
  <c r="K45" i="19"/>
  <c r="K46" i="19" s="1"/>
  <c r="H45" i="19"/>
  <c r="H46" i="19" s="1"/>
  <c r="J43" i="19"/>
  <c r="F43" i="19"/>
  <c r="K42" i="19"/>
  <c r="K41" i="19"/>
  <c r="K40" i="19"/>
  <c r="K39" i="19"/>
  <c r="J39" i="19"/>
  <c r="G39" i="19"/>
  <c r="H39" i="19" s="1"/>
  <c r="K38" i="19"/>
  <c r="I38" i="19"/>
  <c r="I43" i="19" s="1"/>
  <c r="F38" i="19"/>
  <c r="H38" i="19" s="1"/>
  <c r="K37" i="19"/>
  <c r="K43" i="19" s="1"/>
  <c r="G37" i="19"/>
  <c r="F37" i="19"/>
  <c r="H37" i="19" s="1"/>
  <c r="K36" i="19"/>
  <c r="F36" i="19"/>
  <c r="H36" i="19" s="1"/>
  <c r="J35" i="19"/>
  <c r="K35" i="19" s="1"/>
  <c r="G35" i="19"/>
  <c r="H35" i="19" s="1"/>
  <c r="J34" i="19"/>
  <c r="J44" i="19" s="1"/>
  <c r="G34" i="19"/>
  <c r="I32" i="19"/>
  <c r="I34" i="19" s="1"/>
  <c r="I44" i="19" s="1"/>
  <c r="F32" i="19"/>
  <c r="H32" i="19" s="1"/>
  <c r="H34" i="19" s="1"/>
  <c r="F30" i="19"/>
  <c r="I29" i="19"/>
  <c r="H29" i="19"/>
  <c r="H30" i="19" s="1"/>
  <c r="F29" i="19"/>
  <c r="G29" i="19" s="1"/>
  <c r="G30" i="19" s="1"/>
  <c r="I27" i="19"/>
  <c r="F27" i="19"/>
  <c r="G27" i="19" s="1"/>
  <c r="H27" i="19" s="1"/>
  <c r="J26" i="19"/>
  <c r="K26" i="19" s="1"/>
  <c r="I26" i="19"/>
  <c r="G26" i="19"/>
  <c r="F26" i="19"/>
  <c r="I25" i="19"/>
  <c r="K25" i="19" s="1"/>
  <c r="F25" i="19"/>
  <c r="H25" i="19" s="1"/>
  <c r="I24" i="19"/>
  <c r="F24" i="19"/>
  <c r="G24" i="19" s="1"/>
  <c r="H24" i="19" s="1"/>
  <c r="K23" i="19"/>
  <c r="J23" i="19"/>
  <c r="I23" i="19"/>
  <c r="I28" i="19" s="1"/>
  <c r="F23" i="19"/>
  <c r="J22" i="19"/>
  <c r="K22" i="19" s="1"/>
  <c r="G22" i="19"/>
  <c r="H22" i="19" s="1"/>
  <c r="K20" i="19"/>
  <c r="J20" i="19"/>
  <c r="I20" i="19"/>
  <c r="F20" i="19"/>
  <c r="K18" i="19"/>
  <c r="G18" i="19"/>
  <c r="H18" i="19" s="1"/>
  <c r="H20" i="19" s="1"/>
  <c r="K17" i="19"/>
  <c r="H17" i="19"/>
  <c r="J16" i="19"/>
  <c r="J21" i="19" s="1"/>
  <c r="I16" i="19"/>
  <c r="I21" i="19" s="1"/>
  <c r="F16" i="19"/>
  <c r="K15" i="19"/>
  <c r="K16" i="19" s="1"/>
  <c r="K21" i="19" s="1"/>
  <c r="J15" i="19"/>
  <c r="G15" i="19"/>
  <c r="K14" i="19"/>
  <c r="J14" i="19"/>
  <c r="G14" i="19"/>
  <c r="F14" i="19"/>
  <c r="J13" i="19"/>
  <c r="G13" i="19"/>
  <c r="K12" i="19"/>
  <c r="F12" i="19"/>
  <c r="H12" i="19" s="1"/>
  <c r="I11" i="19"/>
  <c r="K11" i="19" s="1"/>
  <c r="F11" i="19"/>
  <c r="H11" i="19" s="1"/>
  <c r="K9" i="19"/>
  <c r="F9" i="19"/>
  <c r="H9" i="19" s="1"/>
  <c r="I8" i="19"/>
  <c r="K8" i="19" s="1"/>
  <c r="F8" i="19"/>
  <c r="H8" i="19" s="1"/>
  <c r="I7" i="19"/>
  <c r="K7" i="19" s="1"/>
  <c r="F7" i="19"/>
  <c r="H7" i="19" s="1"/>
  <c r="I6" i="19"/>
  <c r="K6" i="19" s="1"/>
  <c r="F6" i="19"/>
  <c r="H6" i="19" s="1"/>
  <c r="I5" i="19"/>
  <c r="K5" i="19" s="1"/>
  <c r="F5" i="19"/>
  <c r="I46" i="18" l="1"/>
  <c r="I60" i="18" s="1"/>
  <c r="I61" i="18" s="1"/>
  <c r="I29" i="18"/>
  <c r="I81" i="18" s="1"/>
  <c r="I82" i="18" s="1"/>
  <c r="H29" i="18"/>
  <c r="I10" i="19"/>
  <c r="K10" i="19" s="1"/>
  <c r="H14" i="19"/>
  <c r="H81" i="18"/>
  <c r="H82" i="18" s="1"/>
  <c r="H61" i="18"/>
  <c r="J81" i="18"/>
  <c r="J61" i="18"/>
  <c r="J76" i="18"/>
  <c r="H73" i="18"/>
  <c r="J73" i="18" s="1"/>
  <c r="J74" i="18" s="1"/>
  <c r="J82" i="18" s="1"/>
  <c r="K61" i="18"/>
  <c r="H82" i="11"/>
  <c r="I81" i="11"/>
  <c r="J81" i="11"/>
  <c r="J74" i="11"/>
  <c r="J57" i="11"/>
  <c r="J60" i="11" s="1"/>
  <c r="H81" i="11"/>
  <c r="H61" i="11"/>
  <c r="I60" i="11"/>
  <c r="I82" i="11" s="1"/>
  <c r="J80" i="11"/>
  <c r="K81" i="11"/>
  <c r="J68" i="11"/>
  <c r="J76" i="11"/>
  <c r="B37" i="27"/>
  <c r="AE19" i="24"/>
  <c r="AD19" i="24"/>
  <c r="AH19" i="24"/>
  <c r="AF19" i="24"/>
  <c r="AB36" i="24"/>
  <c r="AB15" i="24"/>
  <c r="AB19" i="24" s="1"/>
  <c r="Z15" i="24"/>
  <c r="AG32" i="24"/>
  <c r="AG36" i="24" s="1"/>
  <c r="Y35" i="24"/>
  <c r="X33" i="23"/>
  <c r="X38" i="23" s="1"/>
  <c r="AA33" i="23"/>
  <c r="AA38" i="23" s="1"/>
  <c r="AA39" i="23" s="1"/>
  <c r="E22" i="21"/>
  <c r="E26" i="21"/>
  <c r="E58" i="21"/>
  <c r="E75" i="21"/>
  <c r="E47" i="21"/>
  <c r="G16" i="19"/>
  <c r="G21" i="19" s="1"/>
  <c r="H15" i="19"/>
  <c r="H16" i="19" s="1"/>
  <c r="H21" i="19" s="1"/>
  <c r="G44" i="19"/>
  <c r="F10" i="19"/>
  <c r="G23" i="19"/>
  <c r="G28" i="19" s="1"/>
  <c r="I30" i="19"/>
  <c r="I31" i="19" s="1"/>
  <c r="I50" i="19" s="1"/>
  <c r="K29" i="19"/>
  <c r="K30" i="19" s="1"/>
  <c r="J29" i="19"/>
  <c r="J30" i="19" s="1"/>
  <c r="H5" i="19"/>
  <c r="I13" i="19"/>
  <c r="K13" i="19" s="1"/>
  <c r="K27" i="19"/>
  <c r="J27" i="19"/>
  <c r="F31" i="19"/>
  <c r="H43" i="19"/>
  <c r="H44" i="19" s="1"/>
  <c r="F21" i="19"/>
  <c r="F50" i="19" s="1"/>
  <c r="G20" i="19"/>
  <c r="J24" i="19"/>
  <c r="J28" i="19" s="1"/>
  <c r="H26" i="19"/>
  <c r="F28" i="19"/>
  <c r="G31" i="19"/>
  <c r="F34" i="19"/>
  <c r="F44" i="19" s="1"/>
  <c r="K57" i="19"/>
  <c r="G43" i="19"/>
  <c r="I57" i="19"/>
  <c r="K32" i="19"/>
  <c r="K34" i="19" s="1"/>
  <c r="K44" i="19" s="1"/>
  <c r="E61" i="21" l="1"/>
  <c r="H74" i="18"/>
  <c r="J82" i="11"/>
  <c r="J61" i="11"/>
  <c r="I61" i="11"/>
  <c r="Z19" i="24"/>
  <c r="E30" i="21"/>
  <c r="E82" i="21" s="1"/>
  <c r="I58" i="19"/>
  <c r="F13" i="19"/>
  <c r="H13" i="19" s="1"/>
  <c r="H10" i="19"/>
  <c r="G47" i="19"/>
  <c r="K24" i="19"/>
  <c r="K28" i="19" s="1"/>
  <c r="K31" i="19" s="1"/>
  <c r="H23" i="19"/>
  <c r="H28" i="19" s="1"/>
  <c r="H31" i="19" s="1"/>
  <c r="J31" i="19"/>
  <c r="J47" i="19" s="1"/>
  <c r="E62" i="21" l="1"/>
  <c r="H50" i="19"/>
  <c r="K47" i="19"/>
  <c r="K49" i="19" s="1"/>
  <c r="J49" i="19"/>
  <c r="J50" i="19" s="1"/>
  <c r="K50" i="19" s="1"/>
  <c r="J58" i="19"/>
  <c r="H58" i="19"/>
  <c r="K58" i="19"/>
  <c r="G49" i="19"/>
  <c r="G50" i="19" s="1"/>
  <c r="G58" i="19" s="1"/>
  <c r="H47" i="19"/>
  <c r="H49" i="19" s="1"/>
  <c r="F58" i="19"/>
  <c r="L30" i="28" l="1"/>
  <c r="O27" i="28"/>
  <c r="L27" i="28"/>
  <c r="P26" i="28"/>
  <c r="O26" i="28"/>
  <c r="Q26" i="28" s="1"/>
  <c r="N26" i="28"/>
  <c r="M26" i="28"/>
  <c r="L26" i="28"/>
  <c r="P19" i="28"/>
  <c r="Q19" i="28" s="1"/>
  <c r="O19" i="28"/>
  <c r="N19" i="28"/>
  <c r="M19" i="28"/>
  <c r="M20" i="28" s="1"/>
  <c r="L35" i="28" s="1"/>
  <c r="L19" i="28"/>
  <c r="P14" i="28"/>
  <c r="P20" i="28" s="1"/>
  <c r="O14" i="28"/>
  <c r="O20" i="28" s="1"/>
  <c r="M14" i="28"/>
  <c r="L14" i="28"/>
  <c r="N14" i="28" s="1"/>
  <c r="H119" i="12"/>
  <c r="G119" i="12"/>
  <c r="F119" i="12"/>
  <c r="H117" i="12"/>
  <c r="G117" i="12"/>
  <c r="K116" i="12"/>
  <c r="F115" i="12"/>
  <c r="J113" i="12"/>
  <c r="I113" i="12"/>
  <c r="F113" i="12"/>
  <c r="F114" i="12" s="1"/>
  <c r="J112" i="12"/>
  <c r="K112" i="12" s="1"/>
  <c r="G112" i="12"/>
  <c r="H112" i="12" s="1"/>
  <c r="J111" i="12"/>
  <c r="K111" i="12" s="1"/>
  <c r="G111" i="12"/>
  <c r="H111" i="12" s="1"/>
  <c r="J110" i="12"/>
  <c r="K110" i="12" s="1"/>
  <c r="G110" i="12"/>
  <c r="H110" i="12" s="1"/>
  <c r="J109" i="12"/>
  <c r="K109" i="12" s="1"/>
  <c r="H109" i="12"/>
  <c r="G109" i="12"/>
  <c r="J108" i="12"/>
  <c r="K108" i="12" s="1"/>
  <c r="G108" i="12"/>
  <c r="H108" i="12" s="1"/>
  <c r="J107" i="12"/>
  <c r="K107" i="12" s="1"/>
  <c r="G107" i="12"/>
  <c r="H107" i="12" s="1"/>
  <c r="J106" i="12"/>
  <c r="K106" i="12" s="1"/>
  <c r="G106" i="12"/>
  <c r="H106" i="12" s="1"/>
  <c r="J105" i="12"/>
  <c r="K105" i="12" s="1"/>
  <c r="H105" i="12"/>
  <c r="G105" i="12"/>
  <c r="J104" i="12"/>
  <c r="K104" i="12" s="1"/>
  <c r="G104" i="12"/>
  <c r="H104" i="12" s="1"/>
  <c r="J103" i="12"/>
  <c r="K103" i="12" s="1"/>
  <c r="G103" i="12"/>
  <c r="H103" i="12" s="1"/>
  <c r="J102" i="12"/>
  <c r="K102" i="12" s="1"/>
  <c r="K113" i="12" s="1"/>
  <c r="G102" i="12"/>
  <c r="H102" i="12" s="1"/>
  <c r="I100" i="12"/>
  <c r="I114" i="12" s="1"/>
  <c r="I115" i="12" s="1"/>
  <c r="I118" i="12" s="1"/>
  <c r="F100" i="12"/>
  <c r="J99" i="12"/>
  <c r="K99" i="12" s="1"/>
  <c r="G99" i="12"/>
  <c r="H99" i="12" s="1"/>
  <c r="J98" i="12"/>
  <c r="K98" i="12" s="1"/>
  <c r="G98" i="12"/>
  <c r="H98" i="12" s="1"/>
  <c r="K97" i="12"/>
  <c r="J97" i="12"/>
  <c r="G97" i="12"/>
  <c r="H97" i="12" s="1"/>
  <c r="J96" i="12"/>
  <c r="J100" i="12" s="1"/>
  <c r="J114" i="12" s="1"/>
  <c r="G96" i="12"/>
  <c r="G100" i="12" s="1"/>
  <c r="F94" i="12"/>
  <c r="H93" i="12"/>
  <c r="F92" i="12"/>
  <c r="J91" i="12"/>
  <c r="I91" i="12"/>
  <c r="K90" i="12"/>
  <c r="J89" i="12"/>
  <c r="K89" i="12" s="1"/>
  <c r="K91" i="12" s="1"/>
  <c r="H89" i="12"/>
  <c r="G89" i="12"/>
  <c r="I88" i="12"/>
  <c r="H88" i="12"/>
  <c r="J87" i="12"/>
  <c r="K87" i="12" s="1"/>
  <c r="H87" i="12"/>
  <c r="G87" i="12"/>
  <c r="J86" i="12"/>
  <c r="K86" i="12" s="1"/>
  <c r="H86" i="12"/>
  <c r="G86" i="12"/>
  <c r="J85" i="12"/>
  <c r="K85" i="12" s="1"/>
  <c r="H85" i="12"/>
  <c r="G85" i="12"/>
  <c r="J84" i="12"/>
  <c r="K84" i="12" s="1"/>
  <c r="H84" i="12"/>
  <c r="G84" i="12"/>
  <c r="K83" i="12"/>
  <c r="J83" i="12"/>
  <c r="G83" i="12"/>
  <c r="H83" i="12" s="1"/>
  <c r="K82" i="12"/>
  <c r="J82" i="12"/>
  <c r="G82" i="12"/>
  <c r="H82" i="12" s="1"/>
  <c r="K81" i="12"/>
  <c r="J81" i="12"/>
  <c r="G81" i="12"/>
  <c r="G92" i="12" s="1"/>
  <c r="G94" i="12" s="1"/>
  <c r="K78" i="12"/>
  <c r="J78" i="12"/>
  <c r="J79" i="12" s="1"/>
  <c r="I78" i="12"/>
  <c r="K77" i="12"/>
  <c r="I77" i="12"/>
  <c r="F77" i="12"/>
  <c r="H77" i="12" s="1"/>
  <c r="K76" i="12"/>
  <c r="J76" i="12"/>
  <c r="G76" i="12"/>
  <c r="G78" i="12" s="1"/>
  <c r="G79" i="12" s="1"/>
  <c r="J75" i="12"/>
  <c r="I75" i="12"/>
  <c r="G75" i="12"/>
  <c r="K74" i="12"/>
  <c r="H74" i="12"/>
  <c r="K73" i="12"/>
  <c r="K75" i="12" s="1"/>
  <c r="I73" i="12"/>
  <c r="F73" i="12"/>
  <c r="F75" i="12" s="1"/>
  <c r="F71" i="12"/>
  <c r="K69" i="12"/>
  <c r="K68" i="12"/>
  <c r="K67" i="12"/>
  <c r="H67" i="12"/>
  <c r="K66" i="12"/>
  <c r="H66" i="12"/>
  <c r="K65" i="12"/>
  <c r="H65" i="12"/>
  <c r="K64" i="12"/>
  <c r="J64" i="12"/>
  <c r="I64" i="12"/>
  <c r="H64" i="12"/>
  <c r="G64" i="12"/>
  <c r="F64" i="12"/>
  <c r="J63" i="12"/>
  <c r="J71" i="12" s="1"/>
  <c r="I63" i="12"/>
  <c r="F63" i="12"/>
  <c r="K62" i="12"/>
  <c r="J62" i="12"/>
  <c r="I62" i="12"/>
  <c r="H62" i="12"/>
  <c r="G62" i="12"/>
  <c r="F62" i="12"/>
  <c r="I61" i="12"/>
  <c r="I71" i="12" s="1"/>
  <c r="H61" i="12"/>
  <c r="F61" i="12"/>
  <c r="H60" i="12"/>
  <c r="F60" i="12"/>
  <c r="K59" i="12"/>
  <c r="H59" i="12"/>
  <c r="K58" i="12"/>
  <c r="H58" i="12"/>
  <c r="K57" i="12"/>
  <c r="I57" i="12"/>
  <c r="F57" i="12"/>
  <c r="H57" i="12" s="1"/>
  <c r="K56" i="12"/>
  <c r="I56" i="12"/>
  <c r="F56" i="12"/>
  <c r="H56" i="12" s="1"/>
  <c r="K55" i="12"/>
  <c r="J55" i="12"/>
  <c r="G55" i="12"/>
  <c r="H55" i="12" s="1"/>
  <c r="K54" i="12"/>
  <c r="J54" i="12"/>
  <c r="G54" i="12"/>
  <c r="H54" i="12" s="1"/>
  <c r="K53" i="12"/>
  <c r="J53" i="12"/>
  <c r="G53" i="12"/>
  <c r="H53" i="12" s="1"/>
  <c r="J52" i="12"/>
  <c r="G52" i="12"/>
  <c r="I51" i="12"/>
  <c r="K51" i="12" s="1"/>
  <c r="K52" i="12" s="1"/>
  <c r="H51" i="12"/>
  <c r="H52" i="12" s="1"/>
  <c r="F51" i="12"/>
  <c r="F52" i="12" s="1"/>
  <c r="J50" i="12"/>
  <c r="I50" i="12"/>
  <c r="K50" i="12" s="1"/>
  <c r="G50" i="12"/>
  <c r="F50" i="12"/>
  <c r="K49" i="12"/>
  <c r="J49" i="12"/>
  <c r="H49" i="12"/>
  <c r="G49" i="12"/>
  <c r="J47" i="12"/>
  <c r="J48" i="12" s="1"/>
  <c r="I47" i="12"/>
  <c r="K47" i="12" s="1"/>
  <c r="K48" i="12" s="1"/>
  <c r="G47" i="12"/>
  <c r="G48" i="12" s="1"/>
  <c r="F47" i="12"/>
  <c r="J45" i="12"/>
  <c r="F45" i="12"/>
  <c r="K44" i="12"/>
  <c r="K45" i="12" s="1"/>
  <c r="J44" i="12"/>
  <c r="I44" i="12"/>
  <c r="I45" i="12" s="1"/>
  <c r="G44" i="12"/>
  <c r="G45" i="12" s="1"/>
  <c r="F44" i="12"/>
  <c r="J43" i="12"/>
  <c r="J46" i="12" s="1"/>
  <c r="I43" i="12"/>
  <c r="I46" i="12" s="1"/>
  <c r="F43" i="12"/>
  <c r="K42" i="12"/>
  <c r="K43" i="12" s="1"/>
  <c r="K46" i="12" s="1"/>
  <c r="J42" i="12"/>
  <c r="I42" i="12"/>
  <c r="G42" i="12"/>
  <c r="G43" i="12" s="1"/>
  <c r="G46" i="12" s="1"/>
  <c r="F42" i="12"/>
  <c r="K39" i="12"/>
  <c r="K38" i="12"/>
  <c r="K37" i="12"/>
  <c r="J36" i="12"/>
  <c r="K36" i="12" s="1"/>
  <c r="G36" i="12"/>
  <c r="H36" i="12" s="1"/>
  <c r="J35" i="12"/>
  <c r="K35" i="12" s="1"/>
  <c r="G35" i="12"/>
  <c r="H35" i="12" s="1"/>
  <c r="J34" i="12"/>
  <c r="K34" i="12" s="1"/>
  <c r="H34" i="12"/>
  <c r="G34" i="12"/>
  <c r="I33" i="12"/>
  <c r="H33" i="12"/>
  <c r="F33" i="12"/>
  <c r="G33" i="12" s="1"/>
  <c r="J32" i="12"/>
  <c r="K32" i="12" s="1"/>
  <c r="G32" i="12"/>
  <c r="H32" i="12" s="1"/>
  <c r="J31" i="12"/>
  <c r="K31" i="12" s="1"/>
  <c r="G31" i="12"/>
  <c r="H31" i="12" s="1"/>
  <c r="K30" i="12"/>
  <c r="J30" i="12"/>
  <c r="G30" i="12"/>
  <c r="H30" i="12" s="1"/>
  <c r="J29" i="12"/>
  <c r="K29" i="12" s="1"/>
  <c r="I29" i="12"/>
  <c r="G29" i="12"/>
  <c r="F29" i="12"/>
  <c r="H29" i="12" s="1"/>
  <c r="J28" i="12"/>
  <c r="K28" i="12" s="1"/>
  <c r="G28" i="12"/>
  <c r="H28" i="12" s="1"/>
  <c r="K27" i="12"/>
  <c r="H27" i="12"/>
  <c r="J26" i="12"/>
  <c r="K26" i="12" s="1"/>
  <c r="I26" i="12"/>
  <c r="F26" i="12"/>
  <c r="J25" i="12"/>
  <c r="I25" i="12"/>
  <c r="G25" i="12"/>
  <c r="F25" i="12"/>
  <c r="H25" i="12" s="1"/>
  <c r="J24" i="12"/>
  <c r="I24" i="12"/>
  <c r="H24" i="12"/>
  <c r="G24" i="12"/>
  <c r="F24" i="12"/>
  <c r="I23" i="12"/>
  <c r="J22" i="12"/>
  <c r="J23" i="12" s="1"/>
  <c r="I22" i="12"/>
  <c r="G22" i="12"/>
  <c r="F22" i="12"/>
  <c r="F23" i="12" s="1"/>
  <c r="J21" i="12"/>
  <c r="I21" i="12"/>
  <c r="K21" i="12" s="1"/>
  <c r="H21" i="12"/>
  <c r="G21" i="12"/>
  <c r="G23" i="12" s="1"/>
  <c r="F21" i="12"/>
  <c r="K19" i="12"/>
  <c r="I19" i="12"/>
  <c r="H19" i="12"/>
  <c r="F19" i="12"/>
  <c r="K17" i="12"/>
  <c r="J17" i="12"/>
  <c r="J18" i="12" s="1"/>
  <c r="J20" i="12" s="1"/>
  <c r="I17" i="12"/>
  <c r="G17" i="12"/>
  <c r="G18" i="12" s="1"/>
  <c r="G20" i="12" s="1"/>
  <c r="F17" i="12"/>
  <c r="H16" i="12"/>
  <c r="H15" i="12"/>
  <c r="H14" i="12"/>
  <c r="H13" i="12"/>
  <c r="H17" i="12" s="1"/>
  <c r="H12" i="12"/>
  <c r="H11" i="12"/>
  <c r="K10" i="12"/>
  <c r="I10" i="12"/>
  <c r="F10" i="12"/>
  <c r="H10" i="12" s="1"/>
  <c r="K9" i="12"/>
  <c r="I9" i="12"/>
  <c r="F9" i="12"/>
  <c r="H9" i="12" s="1"/>
  <c r="K8" i="12"/>
  <c r="I8" i="12"/>
  <c r="F8" i="12"/>
  <c r="H8" i="12" s="1"/>
  <c r="K7" i="12"/>
  <c r="I7" i="12"/>
  <c r="F7" i="12"/>
  <c r="H7" i="12" s="1"/>
  <c r="K5" i="12"/>
  <c r="I5" i="12"/>
  <c r="I18" i="12" s="1"/>
  <c r="F5" i="12"/>
  <c r="H5" i="12" s="1"/>
  <c r="H18" i="12" s="1"/>
  <c r="H20" i="12" s="1"/>
  <c r="Q20" i="28" l="1"/>
  <c r="O34" i="28"/>
  <c r="O36" i="28" s="1"/>
  <c r="L20" i="28"/>
  <c r="Q14" i="28"/>
  <c r="K71" i="12"/>
  <c r="K72" i="12" s="1"/>
  <c r="H113" i="12"/>
  <c r="I20" i="12"/>
  <c r="G40" i="12"/>
  <c r="G41" i="12" s="1"/>
  <c r="F78" i="12"/>
  <c r="G113" i="12"/>
  <c r="G114" i="12" s="1"/>
  <c r="G115" i="12" s="1"/>
  <c r="K18" i="12"/>
  <c r="K22" i="12"/>
  <c r="I40" i="12"/>
  <c r="I41" i="12" s="1"/>
  <c r="H44" i="12"/>
  <c r="H45" i="12" s="1"/>
  <c r="J72" i="12"/>
  <c r="I48" i="12"/>
  <c r="H63" i="12"/>
  <c r="H71" i="12" s="1"/>
  <c r="K63" i="12"/>
  <c r="H76" i="12"/>
  <c r="H78" i="12" s="1"/>
  <c r="K96" i="12"/>
  <c r="K100" i="12" s="1"/>
  <c r="K114" i="12" s="1"/>
  <c r="K115" i="12" s="1"/>
  <c r="K118" i="12" s="1"/>
  <c r="F18" i="12"/>
  <c r="F20" i="12" s="1"/>
  <c r="K23" i="12"/>
  <c r="H22" i="12"/>
  <c r="H23" i="12" s="1"/>
  <c r="H41" i="12" s="1"/>
  <c r="F40" i="12"/>
  <c r="F41" i="12" s="1"/>
  <c r="G26" i="12"/>
  <c r="H26" i="12" s="1"/>
  <c r="H40" i="12" s="1"/>
  <c r="J33" i="12"/>
  <c r="J40" i="12" s="1"/>
  <c r="J41" i="12" s="1"/>
  <c r="H42" i="12"/>
  <c r="H43" i="12" s="1"/>
  <c r="H46" i="12" s="1"/>
  <c r="F46" i="12"/>
  <c r="F48" i="12"/>
  <c r="F72" i="12" s="1"/>
  <c r="H47" i="12"/>
  <c r="H48" i="12" s="1"/>
  <c r="I52" i="12"/>
  <c r="K61" i="12"/>
  <c r="G63" i="12"/>
  <c r="G71" i="12" s="1"/>
  <c r="G72" i="12" s="1"/>
  <c r="H73" i="12"/>
  <c r="H75" i="12" s="1"/>
  <c r="H81" i="12"/>
  <c r="H92" i="12" s="1"/>
  <c r="H94" i="12" s="1"/>
  <c r="I92" i="12"/>
  <c r="I94" i="12" s="1"/>
  <c r="K88" i="12"/>
  <c r="K92" i="12" s="1"/>
  <c r="K24" i="12"/>
  <c r="K25" i="12"/>
  <c r="H50" i="12"/>
  <c r="J92" i="12"/>
  <c r="J93" i="12"/>
  <c r="J88" i="12"/>
  <c r="J115" i="12" s="1"/>
  <c r="J118" i="12" s="1"/>
  <c r="J119" i="12" s="1"/>
  <c r="H96" i="12"/>
  <c r="H100" i="12" s="1"/>
  <c r="L34" i="28" l="1"/>
  <c r="L36" i="28" s="1"/>
  <c r="N20" i="28"/>
  <c r="K93" i="12"/>
  <c r="J117" i="12"/>
  <c r="K117" i="12" s="1"/>
  <c r="J94" i="12"/>
  <c r="K94" i="12" s="1"/>
  <c r="K40" i="12"/>
  <c r="K41" i="12" s="1"/>
  <c r="H72" i="12"/>
  <c r="I72" i="12"/>
  <c r="I79" i="12" s="1"/>
  <c r="K33" i="12"/>
  <c r="F79" i="12"/>
  <c r="H79" i="12" s="1"/>
  <c r="K20" i="12"/>
  <c r="H114" i="12"/>
  <c r="H115" i="12" s="1"/>
  <c r="K79" i="12" l="1"/>
  <c r="K119" i="12" s="1"/>
  <c r="I119" i="12"/>
  <c r="AE34" i="6" l="1"/>
  <c r="AE30" i="6"/>
  <c r="AE31" i="6" s="1"/>
  <c r="AE28" i="6"/>
  <c r="AE18" i="6"/>
  <c r="AE16" i="6"/>
  <c r="AE14" i="6"/>
  <c r="AE12" i="6"/>
  <c r="AE20" i="6" s="1"/>
  <c r="I65" i="2" l="1"/>
  <c r="H65" i="2"/>
  <c r="G75" i="4" l="1"/>
  <c r="J75" i="4"/>
  <c r="K77" i="4"/>
  <c r="K76" i="4"/>
  <c r="H76" i="4"/>
  <c r="I75" i="4"/>
  <c r="J53" i="4" l="1"/>
  <c r="J46" i="4"/>
  <c r="G46" i="4" l="1"/>
  <c r="J59" i="4" l="1"/>
  <c r="G59" i="4"/>
  <c r="G76" i="4" s="1"/>
  <c r="I53" i="4"/>
  <c r="I46" i="4"/>
  <c r="J7" i="4"/>
  <c r="G7" i="4"/>
  <c r="J30" i="4"/>
  <c r="I30" i="4"/>
  <c r="G30" i="4"/>
  <c r="J25" i="4"/>
  <c r="I25" i="4"/>
  <c r="G25" i="4"/>
  <c r="H13" i="4"/>
  <c r="H77" i="4" s="1"/>
  <c r="I7" i="4"/>
  <c r="J25" i="3"/>
  <c r="J13" i="3"/>
  <c r="J20" i="3" s="1"/>
  <c r="E31" i="3"/>
  <c r="E25" i="3"/>
  <c r="E20" i="3"/>
  <c r="H27" i="2"/>
  <c r="H16" i="2"/>
  <c r="H83" i="2"/>
  <c r="J81" i="2"/>
  <c r="J80" i="2"/>
  <c r="J79" i="2"/>
  <c r="I78" i="2"/>
  <c r="I83" i="2" s="1"/>
  <c r="H78" i="2"/>
  <c r="J71" i="2"/>
  <c r="J70" i="2"/>
  <c r="I69" i="2"/>
  <c r="I75" i="2" s="1"/>
  <c r="H69" i="2"/>
  <c r="J69" i="2" s="1"/>
  <c r="J68" i="2"/>
  <c r="J65" i="2"/>
  <c r="J64" i="2" s="1"/>
  <c r="J67" i="2" s="1"/>
  <c r="I64" i="2"/>
  <c r="I67" i="2" s="1"/>
  <c r="I76" i="2" s="1"/>
  <c r="H64" i="2"/>
  <c r="H67" i="2" s="1"/>
  <c r="J63" i="2"/>
  <c r="K58" i="2"/>
  <c r="J57" i="2"/>
  <c r="J56" i="2"/>
  <c r="J55" i="2"/>
  <c r="I54" i="2"/>
  <c r="H54" i="2"/>
  <c r="J53" i="2"/>
  <c r="J52" i="2"/>
  <c r="I51" i="2"/>
  <c r="H51" i="2"/>
  <c r="J50" i="2"/>
  <c r="J49" i="2"/>
  <c r="I48" i="2"/>
  <c r="I58" i="2" s="1"/>
  <c r="H48" i="2"/>
  <c r="K47" i="2"/>
  <c r="K61" i="2" s="1"/>
  <c r="J46" i="2"/>
  <c r="J45" i="2"/>
  <c r="J44" i="2"/>
  <c r="J43" i="2"/>
  <c r="H42" i="2"/>
  <c r="J41" i="2"/>
  <c r="J40" i="2"/>
  <c r="I40" i="2" s="1"/>
  <c r="J39" i="2"/>
  <c r="J37" i="2"/>
  <c r="J36" i="2"/>
  <c r="J35" i="2"/>
  <c r="I34" i="2"/>
  <c r="H34" i="2"/>
  <c r="J33" i="2"/>
  <c r="K30" i="2"/>
  <c r="K84" i="2" s="1"/>
  <c r="J29" i="2"/>
  <c r="J28" i="2"/>
  <c r="I26" i="2"/>
  <c r="H26" i="2"/>
  <c r="J24" i="2"/>
  <c r="J23" i="2"/>
  <c r="J21" i="2"/>
  <c r="J19" i="2"/>
  <c r="J17" i="2"/>
  <c r="I17" i="2"/>
  <c r="H17" i="2" s="1"/>
  <c r="J15" i="2"/>
  <c r="I15" i="2"/>
  <c r="J13" i="2"/>
  <c r="I13" i="2"/>
  <c r="J12" i="2"/>
  <c r="J11" i="2"/>
  <c r="J10" i="2"/>
  <c r="J76" i="4" l="1"/>
  <c r="G13" i="4"/>
  <c r="G77" i="4" s="1"/>
  <c r="I76" i="4"/>
  <c r="H58" i="2"/>
  <c r="H61" i="2" s="1"/>
  <c r="H15" i="2"/>
  <c r="H14" i="2" s="1"/>
  <c r="H22" i="2" s="1"/>
  <c r="H30" i="2" s="1"/>
  <c r="J34" i="2"/>
  <c r="J38" i="2"/>
  <c r="J42" i="2"/>
  <c r="H13" i="2"/>
  <c r="J26" i="2"/>
  <c r="J54" i="2"/>
  <c r="I14" i="2"/>
  <c r="I22" i="2" s="1"/>
  <c r="I30" i="2" s="1"/>
  <c r="J14" i="2"/>
  <c r="J22" i="2" s="1"/>
  <c r="J48" i="2"/>
  <c r="I13" i="4"/>
  <c r="I77" i="4" s="1"/>
  <c r="J13" i="4"/>
  <c r="J77" i="4" s="1"/>
  <c r="E26" i="3"/>
  <c r="J33" i="3"/>
  <c r="E21" i="3"/>
  <c r="E33" i="3"/>
  <c r="K85" i="2"/>
  <c r="K62" i="2"/>
  <c r="I38" i="2"/>
  <c r="I47" i="2" s="1"/>
  <c r="I61" i="2" s="1"/>
  <c r="I85" i="2" s="1"/>
  <c r="H40" i="2"/>
  <c r="H38" i="2" s="1"/>
  <c r="H47" i="2" s="1"/>
  <c r="H75" i="2"/>
  <c r="J75" i="2" s="1"/>
  <c r="J76" i="2" s="1"/>
  <c r="J78" i="2"/>
  <c r="J83" i="2" s="1"/>
  <c r="J58" i="2" l="1"/>
  <c r="J30" i="2"/>
  <c r="J84" i="2" s="1"/>
  <c r="J47" i="2"/>
  <c r="J61" i="2" s="1"/>
  <c r="H62" i="2"/>
  <c r="H84" i="2"/>
  <c r="H76" i="2"/>
  <c r="H85" i="2" s="1"/>
  <c r="I62" i="2"/>
  <c r="I84" i="2"/>
  <c r="J85" i="2" l="1"/>
  <c r="U34" i="6" l="1"/>
  <c r="U28" i="6"/>
  <c r="U30" i="6" s="1"/>
  <c r="U18" i="6"/>
  <c r="U17" i="6"/>
  <c r="U16" i="6"/>
  <c r="U14" i="6"/>
  <c r="U12" i="6"/>
  <c r="U20" i="6" l="1"/>
  <c r="U31" i="6"/>
  <c r="D69" i="21" l="1"/>
  <c r="D74" i="21" s="1"/>
  <c r="D64" i="21"/>
  <c r="D67" i="21" s="1"/>
  <c r="D75" i="21" s="1"/>
  <c r="D54" i="21"/>
  <c r="D51" i="21"/>
  <c r="D48" i="21"/>
  <c r="D42" i="21"/>
  <c r="D34" i="21"/>
  <c r="D24" i="21"/>
  <c r="D23" i="21"/>
  <c r="D14" i="21"/>
  <c r="D11" i="21"/>
  <c r="D58" i="21" l="1"/>
  <c r="D26" i="21"/>
  <c r="D47" i="21"/>
  <c r="D61" i="21" l="1"/>
  <c r="D83" i="21" s="1"/>
  <c r="D81" i="21"/>
  <c r="E76" i="11" l="1"/>
  <c r="E80" i="11" s="1"/>
  <c r="E68" i="11"/>
  <c r="E73" i="11" s="1"/>
  <c r="E63" i="11"/>
  <c r="E66" i="11" s="1"/>
  <c r="E74" i="11" s="1"/>
  <c r="E53" i="11"/>
  <c r="E50" i="11"/>
  <c r="E47" i="11"/>
  <c r="E42" i="11"/>
  <c r="E41" i="11"/>
  <c r="E37" i="11"/>
  <c r="E33" i="11"/>
  <c r="E46" i="11" s="1"/>
  <c r="E25" i="11"/>
  <c r="E14" i="11"/>
  <c r="E21" i="11" s="1"/>
  <c r="E29" i="11" l="1"/>
  <c r="E81" i="11" s="1"/>
  <c r="E57" i="11"/>
  <c r="E60" i="11"/>
  <c r="E82" i="11" s="1"/>
  <c r="E61" i="11" l="1"/>
  <c r="G81" i="18" l="1"/>
  <c r="E80" i="18"/>
  <c r="F79" i="18"/>
  <c r="F78" i="18"/>
  <c r="F77" i="18"/>
  <c r="D76" i="18"/>
  <c r="D80" i="18" s="1"/>
  <c r="F80" i="18" s="1"/>
  <c r="F75" i="18"/>
  <c r="F70" i="18"/>
  <c r="F69" i="18"/>
  <c r="D68" i="18"/>
  <c r="D73" i="18" s="1"/>
  <c r="F73" i="18" s="1"/>
  <c r="F67" i="18"/>
  <c r="F66" i="18"/>
  <c r="F74" i="18" s="1"/>
  <c r="E63" i="18"/>
  <c r="E66" i="18" s="1"/>
  <c r="E74" i="18" s="1"/>
  <c r="D63" i="18"/>
  <c r="D66" i="18" s="1"/>
  <c r="D74" i="18" s="1"/>
  <c r="G57" i="18"/>
  <c r="G60" i="18" s="1"/>
  <c r="F56" i="18"/>
  <c r="F55" i="18"/>
  <c r="E53" i="18"/>
  <c r="D53" i="18"/>
  <c r="D57" i="18" s="1"/>
  <c r="F52" i="18"/>
  <c r="F51" i="18"/>
  <c r="F50" i="18"/>
  <c r="E50" i="18"/>
  <c r="D50" i="18"/>
  <c r="F48" i="18"/>
  <c r="F47" i="18"/>
  <c r="E47" i="18"/>
  <c r="E57" i="18" s="1"/>
  <c r="D47" i="18"/>
  <c r="G46" i="18"/>
  <c r="F45" i="18"/>
  <c r="F44" i="18"/>
  <c r="F43" i="18"/>
  <c r="E41" i="18"/>
  <c r="E46" i="18" s="1"/>
  <c r="D41" i="18"/>
  <c r="F39" i="18"/>
  <c r="F37" i="18" s="1"/>
  <c r="E37" i="18"/>
  <c r="D37" i="18"/>
  <c r="F33" i="18"/>
  <c r="E33" i="18"/>
  <c r="D33" i="18"/>
  <c r="G29" i="18"/>
  <c r="F28" i="18"/>
  <c r="F27" i="18"/>
  <c r="E25" i="18"/>
  <c r="D25" i="18"/>
  <c r="E21" i="18"/>
  <c r="E29" i="18" s="1"/>
  <c r="D14" i="18"/>
  <c r="D21" i="18" s="1"/>
  <c r="D29" i="18" s="1"/>
  <c r="D46" i="18" l="1"/>
  <c r="F41" i="18"/>
  <c r="F29" i="18"/>
  <c r="F81" i="18" s="1"/>
  <c r="F53" i="18"/>
  <c r="F68" i="18"/>
  <c r="D81" i="18"/>
  <c r="D82" i="18" s="1"/>
  <c r="D84" i="18" s="1"/>
  <c r="E81" i="18"/>
  <c r="E82" i="18" s="1"/>
  <c r="E84" i="18" s="1"/>
  <c r="F46" i="18"/>
  <c r="G82" i="18"/>
  <c r="G84" i="18" s="1"/>
  <c r="G61" i="18"/>
  <c r="E60" i="18"/>
  <c r="E61" i="18" s="1"/>
  <c r="F57" i="18"/>
  <c r="D60" i="18"/>
  <c r="D61" i="18" s="1"/>
  <c r="F76" i="18"/>
  <c r="F60" i="18" l="1"/>
  <c r="F82" i="18" l="1"/>
  <c r="F84" i="18" s="1"/>
  <c r="H84" i="18" s="1"/>
  <c r="F61" i="18"/>
  <c r="F79" i="11" l="1"/>
  <c r="F78" i="11"/>
  <c r="F77" i="11"/>
  <c r="D76" i="11"/>
  <c r="D80" i="11" s="1"/>
  <c r="F80" i="11" s="1"/>
  <c r="F75" i="11"/>
  <c r="F70" i="11"/>
  <c r="F69" i="11"/>
  <c r="F68" i="11"/>
  <c r="D68" i="11"/>
  <c r="D73" i="11" s="1"/>
  <c r="F73" i="11" s="1"/>
  <c r="F67" i="11"/>
  <c r="F66" i="11"/>
  <c r="D63" i="11"/>
  <c r="D66" i="11" s="1"/>
  <c r="D74" i="11" s="1"/>
  <c r="G57" i="11"/>
  <c r="F56" i="11"/>
  <c r="F55" i="11"/>
  <c r="D53" i="11"/>
  <c r="F52" i="11"/>
  <c r="F51" i="11"/>
  <c r="D50" i="11"/>
  <c r="F50" i="11" s="1"/>
  <c r="F48" i="11"/>
  <c r="F47" i="11" s="1"/>
  <c r="D47" i="11"/>
  <c r="G46" i="11"/>
  <c r="G60" i="11" s="1"/>
  <c r="F45" i="11"/>
  <c r="F44" i="11"/>
  <c r="F43" i="11"/>
  <c r="D42" i="11"/>
  <c r="F39" i="11"/>
  <c r="F37" i="11"/>
  <c r="D37" i="11"/>
  <c r="F33" i="11"/>
  <c r="D33" i="11"/>
  <c r="G29" i="11"/>
  <c r="G81" i="11" s="1"/>
  <c r="F28" i="11"/>
  <c r="F27" i="11"/>
  <c r="F25" i="11"/>
  <c r="D25" i="11"/>
  <c r="F21" i="11"/>
  <c r="D14" i="11"/>
  <c r="D21" i="11" s="1"/>
  <c r="F76" i="11" l="1"/>
  <c r="F53" i="11"/>
  <c r="F57" i="11" s="1"/>
  <c r="F29" i="11"/>
  <c r="F41" i="11"/>
  <c r="D41" i="11" s="1"/>
  <c r="D46" i="11" s="1"/>
  <c r="D60" i="11" s="1"/>
  <c r="D82" i="11" s="1"/>
  <c r="D57" i="11"/>
  <c r="F74" i="11"/>
  <c r="D29" i="11"/>
  <c r="D61" i="11" s="1"/>
  <c r="D81" i="11"/>
  <c r="E84" i="11"/>
  <c r="G82" i="11"/>
  <c r="G84" i="11" s="1"/>
  <c r="G61" i="11"/>
  <c r="F81" i="11"/>
  <c r="F46" i="11"/>
  <c r="D84" i="11" l="1"/>
  <c r="F60" i="11"/>
  <c r="F82" i="11"/>
  <c r="F84" i="11" s="1"/>
  <c r="H84" i="11" s="1"/>
  <c r="F61" i="11"/>
  <c r="C76" i="4"/>
  <c r="C13" i="4"/>
  <c r="E59" i="4"/>
  <c r="B59" i="4"/>
  <c r="D53" i="4"/>
  <c r="E53" i="4"/>
  <c r="B53" i="4"/>
  <c r="D75" i="4"/>
  <c r="E75" i="4"/>
  <c r="B75" i="4"/>
  <c r="D46" i="4"/>
  <c r="E46" i="4"/>
  <c r="B46" i="4"/>
  <c r="D30" i="4"/>
  <c r="E30" i="4"/>
  <c r="D25" i="4"/>
  <c r="E25" i="4"/>
  <c r="B30" i="4"/>
  <c r="B25" i="4"/>
  <c r="E12" i="2"/>
  <c r="E78" i="2"/>
  <c r="E83" i="2" s="1"/>
  <c r="E69" i="2"/>
  <c r="E75" i="2" s="1"/>
  <c r="E65" i="2"/>
  <c r="E64" i="2"/>
  <c r="E67" i="2" s="1"/>
  <c r="E54" i="2"/>
  <c r="E51" i="2"/>
  <c r="E48" i="2"/>
  <c r="E42" i="2"/>
  <c r="E34" i="2"/>
  <c r="D12" i="2"/>
  <c r="E11" i="2"/>
  <c r="E10" i="2"/>
  <c r="D65" i="2"/>
  <c r="D21" i="2"/>
  <c r="D11" i="2"/>
  <c r="D10" i="2"/>
  <c r="E76" i="2" l="1"/>
  <c r="E58" i="2"/>
  <c r="B13" i="4"/>
  <c r="B76" i="4"/>
  <c r="D76" i="4"/>
  <c r="E13" i="4"/>
  <c r="E76" i="4"/>
  <c r="D13" i="4"/>
  <c r="C77" i="4" l="1"/>
  <c r="D7" i="4"/>
  <c r="E7" i="4"/>
  <c r="B7" i="4"/>
  <c r="F76" i="4"/>
  <c r="D77" i="4" l="1"/>
  <c r="F77" i="4"/>
  <c r="B77" i="4"/>
  <c r="D31" i="3"/>
  <c r="I25" i="3"/>
  <c r="D25" i="3"/>
  <c r="D20" i="3"/>
  <c r="D83" i="2"/>
  <c r="F81" i="2"/>
  <c r="F80" i="2"/>
  <c r="F79" i="2"/>
  <c r="F78" i="2"/>
  <c r="F83" i="2" s="1"/>
  <c r="D78" i="2"/>
  <c r="F71" i="2"/>
  <c r="F70" i="2"/>
  <c r="D69" i="2"/>
  <c r="F69" i="2" s="1"/>
  <c r="F68" i="2"/>
  <c r="F65" i="2"/>
  <c r="F64" i="2" s="1"/>
  <c r="F67" i="2" s="1"/>
  <c r="D64" i="2"/>
  <c r="D67" i="2" s="1"/>
  <c r="F63" i="2"/>
  <c r="G58" i="2"/>
  <c r="F57" i="2"/>
  <c r="F56" i="2"/>
  <c r="F55" i="2"/>
  <c r="D54" i="2"/>
  <c r="F53" i="2"/>
  <c r="F52" i="2"/>
  <c r="D51" i="2"/>
  <c r="F51" i="2" s="1"/>
  <c r="F50" i="2"/>
  <c r="F49" i="2"/>
  <c r="G47" i="2"/>
  <c r="F46" i="2"/>
  <c r="F45" i="2"/>
  <c r="F44" i="2"/>
  <c r="F43" i="2"/>
  <c r="F41" i="2"/>
  <c r="F40" i="2"/>
  <c r="E40" i="2" s="1"/>
  <c r="E38" i="2" s="1"/>
  <c r="E47" i="2" s="1"/>
  <c r="E61" i="2" s="1"/>
  <c r="F39" i="2"/>
  <c r="F37" i="2"/>
  <c r="F36" i="2"/>
  <c r="D34" i="2" s="1"/>
  <c r="F35" i="2"/>
  <c r="F33" i="2"/>
  <c r="G30" i="2"/>
  <c r="G84" i="2" s="1"/>
  <c r="F29" i="2"/>
  <c r="F28" i="2"/>
  <c r="E26" i="2"/>
  <c r="D26" i="2"/>
  <c r="F24" i="2"/>
  <c r="F23" i="2"/>
  <c r="F21" i="2"/>
  <c r="F19" i="2"/>
  <c r="F17" i="2"/>
  <c r="E17" i="2"/>
  <c r="F15" i="2"/>
  <c r="E15" i="2"/>
  <c r="F13" i="2"/>
  <c r="E13" i="2"/>
  <c r="F12" i="2"/>
  <c r="F11" i="2"/>
  <c r="F10" i="2"/>
  <c r="G61" i="2" l="1"/>
  <c r="G85" i="2" s="1"/>
  <c r="D40" i="2"/>
  <c r="D38" i="2" s="1"/>
  <c r="E77" i="4"/>
  <c r="F26" i="2"/>
  <c r="D15" i="2"/>
  <c r="D13" i="2"/>
  <c r="D17" i="2"/>
  <c r="D48" i="2"/>
  <c r="D58" i="2" s="1"/>
  <c r="D26" i="3"/>
  <c r="F34" i="2"/>
  <c r="F42" i="2"/>
  <c r="I20" i="3"/>
  <c r="I33" i="3" s="1"/>
  <c r="F54" i="2"/>
  <c r="F14" i="2"/>
  <c r="F22" i="2" s="1"/>
  <c r="D42" i="2"/>
  <c r="D33" i="3"/>
  <c r="G87" i="2"/>
  <c r="E14" i="2"/>
  <c r="E22" i="2" s="1"/>
  <c r="F38" i="2"/>
  <c r="F48" i="2"/>
  <c r="G62" i="2"/>
  <c r="D75" i="2"/>
  <c r="F75" i="2" s="1"/>
  <c r="F76" i="2" s="1"/>
  <c r="D14" i="2" l="1"/>
  <c r="D22" i="2" s="1"/>
  <c r="D47" i="2"/>
  <c r="D61" i="2" s="1"/>
  <c r="E85" i="2"/>
  <c r="F58" i="2"/>
  <c r="F30" i="2"/>
  <c r="F84" i="2" s="1"/>
  <c r="D21" i="3"/>
  <c r="E30" i="2"/>
  <c r="E62" i="2" s="1"/>
  <c r="D76" i="2"/>
  <c r="F47" i="2"/>
  <c r="F61" i="2" l="1"/>
  <c r="F85" i="2" s="1"/>
  <c r="F87" i="2" s="1"/>
  <c r="D85" i="2"/>
  <c r="E84" i="2"/>
  <c r="E87" i="2" s="1"/>
  <c r="D30" i="2"/>
  <c r="F62" i="2"/>
  <c r="D84" i="2" l="1"/>
  <c r="D86" i="2" s="1"/>
  <c r="D62" i="2"/>
  <c r="D87" i="2" l="1"/>
  <c r="D10" i="21" l="1"/>
  <c r="D22" i="21" s="1"/>
  <c r="D30" i="21" s="1"/>
  <c r="D82" i="21" l="1"/>
  <c r="D85" i="21" s="1"/>
  <c r="D62" i="21"/>
</calcChain>
</file>

<file path=xl/sharedStrings.xml><?xml version="1.0" encoding="utf-8"?>
<sst xmlns="http://schemas.openxmlformats.org/spreadsheetml/2006/main" count="1413" uniqueCount="643">
  <si>
    <t>I.</t>
  </si>
  <si>
    <t>Sármellék Község Önkormányzata</t>
  </si>
  <si>
    <t>Kiadásainak és bevételeinek fő összesítője</t>
  </si>
  <si>
    <t>2.melléklet</t>
  </si>
  <si>
    <t>Sor-szám</t>
  </si>
  <si>
    <t>Megnevezés</t>
  </si>
  <si>
    <t>Sármellék összesen</t>
  </si>
  <si>
    <t>Kötelező feladat</t>
  </si>
  <si>
    <t>Önként vállalt feladat</t>
  </si>
  <si>
    <t>Állami feladat</t>
  </si>
  <si>
    <t>KIADÁSOK</t>
  </si>
  <si>
    <t>Személyi juttatások</t>
  </si>
  <si>
    <t xml:space="preserve">Munkaadókat terhelő járulékok </t>
  </si>
  <si>
    <t>Dologi és egyéb folyó kiadások</t>
  </si>
  <si>
    <t>4.</t>
  </si>
  <si>
    <t>Ellátottak pénzbeli juttatásai</t>
  </si>
  <si>
    <t>5.</t>
  </si>
  <si>
    <t>Egyéb működési kiadások (a+b+c+d)</t>
  </si>
  <si>
    <t>a.</t>
  </si>
  <si>
    <t>b.</t>
  </si>
  <si>
    <t>Működési célú pénzeszközátadás AHT-n kívülre és belül</t>
  </si>
  <si>
    <t>c.</t>
  </si>
  <si>
    <t>Társadalom-, szociálpolitikai és egyéb juttatás, Önormányzat által folyósított ellátások</t>
  </si>
  <si>
    <t>d.</t>
  </si>
  <si>
    <t>Általános és céltartalék</t>
  </si>
  <si>
    <t>Kötött, - céltartalék</t>
  </si>
  <si>
    <t>Működési kiadások (1+….+5)</t>
  </si>
  <si>
    <t>6.</t>
  </si>
  <si>
    <t>Beruházás</t>
  </si>
  <si>
    <t>7.</t>
  </si>
  <si>
    <t>Felújítás</t>
  </si>
  <si>
    <t>8.</t>
  </si>
  <si>
    <t>Felhalmozási célú támogatásérétkű kiadás</t>
  </si>
  <si>
    <t>II.</t>
  </si>
  <si>
    <t>Felhalmozási kiadások (6+7+8)</t>
  </si>
  <si>
    <t>III.</t>
  </si>
  <si>
    <t>IV.</t>
  </si>
  <si>
    <t>V.</t>
  </si>
  <si>
    <t>A.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</si>
  <si>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</si>
  <si>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BEVÉTELEK</t>
  </si>
  <si>
    <t>1.</t>
  </si>
  <si>
    <t>Intézményi Működési bevételek</t>
  </si>
  <si>
    <t>2.</t>
  </si>
  <si>
    <t>Önkormányzatok sajátos működési bevételei</t>
  </si>
  <si>
    <t>2.1.</t>
  </si>
  <si>
    <t>Helyi adók</t>
  </si>
  <si>
    <t>2.2.</t>
  </si>
  <si>
    <t>Átengedett központi adók</t>
  </si>
  <si>
    <t>2.3.</t>
  </si>
  <si>
    <t>Bírságok, egyéb bevételek</t>
  </si>
  <si>
    <t>3.</t>
  </si>
  <si>
    <t>Működési támogatások</t>
  </si>
  <si>
    <t>3.1.</t>
  </si>
  <si>
    <t>Helyi Önkormányzatok általános működésének támogatása</t>
  </si>
  <si>
    <t>3.2.</t>
  </si>
  <si>
    <t>Központosított előirányzatokból a működési célúak</t>
  </si>
  <si>
    <t>3.3.</t>
  </si>
  <si>
    <t>Helyi önkormányzatok kiegészítő támogatása</t>
  </si>
  <si>
    <t>Egyéb működési bevételek</t>
  </si>
  <si>
    <t>4.1.</t>
  </si>
  <si>
    <t>Támogatásértékű működési bevételek összesen</t>
  </si>
  <si>
    <t>4.2.</t>
  </si>
  <si>
    <t>Működési célú pénzeszköz átvétel államháztartáson kívülről</t>
  </si>
  <si>
    <t>4.3.</t>
  </si>
  <si>
    <t>ÁFA visszaigénylés</t>
  </si>
  <si>
    <t>4.4.</t>
  </si>
  <si>
    <t>Előző évi költségvetési kiegészítések, visszatérülések</t>
  </si>
  <si>
    <t>Működési bevételek (1+2+3+4)</t>
  </si>
  <si>
    <t>Felhalmozási és tőkejellegű bevételek</t>
  </si>
  <si>
    <t>5.1.</t>
  </si>
  <si>
    <t>Tárgyi eszközök, immateriális javak értékesítése</t>
  </si>
  <si>
    <t>5.2.</t>
  </si>
  <si>
    <t>Önkormányzatok sajátos felhalmozási és tőke bevételei</t>
  </si>
  <si>
    <t>Felhalmozási támogatások</t>
  </si>
  <si>
    <t>6.1.</t>
  </si>
  <si>
    <t>Köpontosított előirányzatokból fejlesztési célúak</t>
  </si>
  <si>
    <t>6.2.</t>
  </si>
  <si>
    <t>Fejlesztési célú támogatások</t>
  </si>
  <si>
    <t>Egyéb felhalmozási bevételek</t>
  </si>
  <si>
    <t>7.1.</t>
  </si>
  <si>
    <t>Támogatásértékű felhalmozási bevételek összesen</t>
  </si>
  <si>
    <t>7.2.</t>
  </si>
  <si>
    <t>Felhalmozási célú pénzeszközátvétel államháztartáson kívülről</t>
  </si>
  <si>
    <t>7.3.</t>
  </si>
  <si>
    <t>előző évi felhalmozási célú előirányzat-maradvány</t>
  </si>
  <si>
    <t>Felhalmozási bevételek (5+6+7)</t>
  </si>
  <si>
    <t>Támogatási kölcsönök visszatérülése</t>
  </si>
  <si>
    <t>Pénzforgalom nélküli bevételek</t>
  </si>
  <si>
    <t>B.</t>
  </si>
  <si>
    <t>Költségvetési bevételek összesen (I+II+III+IV)</t>
  </si>
  <si>
    <t>A.Költségvetési kiadások és B.költségvetési bevételek egyenlege (A-B)</t>
  </si>
  <si>
    <t>Felügyeleti szervtől kapott támogatás</t>
  </si>
  <si>
    <t>Pénzmaradvány igénybevétele</t>
  </si>
  <si>
    <t>Működési célra</t>
  </si>
  <si>
    <t>Felhalmozási célra</t>
  </si>
  <si>
    <t>C.</t>
  </si>
  <si>
    <t>Költségvetési hiány belső finanszírozására szolgáló pénzforgalom nélküli bevételek (V)</t>
  </si>
  <si>
    <t>VI.</t>
  </si>
  <si>
    <t>Értékpapír értékesítésének bevétele</t>
  </si>
  <si>
    <t>VII.</t>
  </si>
  <si>
    <t>Hitelek felvétele</t>
  </si>
  <si>
    <t>ÁHT-n kívülre nyújtott működési célú hitel bevétele</t>
  </si>
  <si>
    <t>Felhalmozási célú hitel felvétele</t>
  </si>
  <si>
    <t>Bérhitel</t>
  </si>
  <si>
    <t>Folyószámlahitel</t>
  </si>
  <si>
    <t>D.</t>
  </si>
  <si>
    <t>Költségvetési hiány belső finanszírozását meghaladó összegének külső finanszírozására szolgáló bevételek  (VI+VII)</t>
  </si>
  <si>
    <t>E.</t>
  </si>
  <si>
    <t>Finanszírozási bevételek (C+D)</t>
  </si>
  <si>
    <t>VIII.</t>
  </si>
  <si>
    <t>Felügyeleti szervi támogatás</t>
  </si>
  <si>
    <t>IX.</t>
  </si>
  <si>
    <t>Hitelek törlesztése</t>
  </si>
  <si>
    <t>Működési célú hitel nyújtása (éven belüli)</t>
  </si>
  <si>
    <t>Működési célú hitel nyújtása (éven túli)</t>
  </si>
  <si>
    <t>Felhalmozási célú hitel törlesztése</t>
  </si>
  <si>
    <t>X.</t>
  </si>
  <si>
    <t>F.</t>
  </si>
  <si>
    <t>Finanszírozási kiadások összesen (VIII+IX+X)</t>
  </si>
  <si>
    <t>G.</t>
  </si>
  <si>
    <t>Tárgyévi kiadások  össsesen (A+F)</t>
  </si>
  <si>
    <t>H.</t>
  </si>
  <si>
    <t>Tárgyévi bevételek összesen (B+E)</t>
  </si>
  <si>
    <t>3 melléklet</t>
  </si>
  <si>
    <t>Önkormányzat összesen</t>
  </si>
  <si>
    <t>Működési bevételek</t>
  </si>
  <si>
    <t>Támogatásértékű működési kiadások</t>
  </si>
  <si>
    <t xml:space="preserve">Működési célú pénzeszközátadás </t>
  </si>
  <si>
    <t>Előző évi állami támogatás visszafizetés</t>
  </si>
  <si>
    <t>Irányítószerv alá tartozó költségvetési szervnek folyósított támogatás</t>
  </si>
  <si>
    <t>Működési bevételek (1+2+3+49)</t>
  </si>
  <si>
    <t xml:space="preserve">Működési bevételek és működési kiadások különbözete: </t>
  </si>
  <si>
    <t>Beruházási kiadások</t>
  </si>
  <si>
    <t>Egyéb felhalmozási kiadások</t>
  </si>
  <si>
    <t>Felhalmozási kiadások (6+….+8)</t>
  </si>
  <si>
    <t>Felhalmozási bevételek és kiadások különbözete:</t>
  </si>
  <si>
    <t>9.</t>
  </si>
  <si>
    <t>10.</t>
  </si>
  <si>
    <t>11.</t>
  </si>
  <si>
    <t xml:space="preserve">Hitelek </t>
  </si>
  <si>
    <t>Finanszírozási bevételek (8+9+10+11)</t>
  </si>
  <si>
    <t>Finanszírozási kiadások</t>
  </si>
  <si>
    <t>Költségvetési Bevételek Összesen (A+B+C)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</si>
  <si>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</si>
  <si>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Tárgyévi kiadások és bevételek egyenlege</t>
  </si>
  <si>
    <t>adatok Ft-ban</t>
  </si>
  <si>
    <t>Felhalmozási kiadások feladatonként</t>
  </si>
  <si>
    <t>4.melléklet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</si>
  <si>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</si>
  <si>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</si>
  <si>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</si>
  <si>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</si>
  <si>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</si>
  <si>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Gyerek mesekönyvek (K64)</t>
  </si>
  <si>
    <t>Mágneses kapuzár (K64)</t>
  </si>
  <si>
    <t>Cipőtároló (K64)</t>
  </si>
  <si>
    <t>Tálalószekrény (K64)</t>
  </si>
  <si>
    <t>Ruhaszárító 3 db  (K64)</t>
  </si>
  <si>
    <t>Kés, kenyérszeletelő 2 db  (K64)</t>
  </si>
  <si>
    <t>Szőnyeg 2 csoportszobába  (K64)</t>
  </si>
  <si>
    <t>Tornaszoba ablakokra redőny+szúnyogháló (K64)</t>
  </si>
  <si>
    <t xml:space="preserve">Függönyök </t>
  </si>
  <si>
    <t>Óvoda összesen:</t>
  </si>
  <si>
    <t>Kerékpártároló (K64)</t>
  </si>
  <si>
    <t>Fogas, esernyőtartó (K64)</t>
  </si>
  <si>
    <t>pedagógus asztal (K64)</t>
  </si>
  <si>
    <t>Bölcsőde összesen:</t>
  </si>
  <si>
    <t>ÁMK aula világítás (K64)</t>
  </si>
  <si>
    <t>Könyvtári, közművelődési tev. Összesen:</t>
  </si>
  <si>
    <t>TOP-1.2.1-15 ZA1-2016-00003 Zala Kétkeréken - Kerékpárút fejlesztés Sármellék és Zalaszentgrót településeken</t>
  </si>
  <si>
    <t xml:space="preserve">Beruházási kiadások összesen </t>
  </si>
  <si>
    <t>ÖSSZESEN:</t>
  </si>
  <si>
    <t>Mindösszesen</t>
  </si>
  <si>
    <t>Működési célú pénzeszköz-átadások részletezése</t>
  </si>
  <si>
    <t>forintban</t>
  </si>
  <si>
    <t>Eredeti előirányzat</t>
  </si>
  <si>
    <t>Rovatkód</t>
  </si>
  <si>
    <t>Működési célú pénzeszköz átadás ÁHT-n belül</t>
  </si>
  <si>
    <t>Bursa Hungarica ösztöndíj-támogatás</t>
  </si>
  <si>
    <t>K506-04</t>
  </si>
  <si>
    <t>K506-08</t>
  </si>
  <si>
    <t>K506-09</t>
  </si>
  <si>
    <t>Működési célú pénzeszköz átadás ÁHT-n belül összesen</t>
  </si>
  <si>
    <t>Működési célú pénzeszköz átadás ÁHT-n kívül</t>
  </si>
  <si>
    <t>Sármelléki Polgárőrség</t>
  </si>
  <si>
    <t>Sármelléki Sportegyesület</t>
  </si>
  <si>
    <t>K512-03</t>
  </si>
  <si>
    <t>K512-02</t>
  </si>
  <si>
    <t>Keszthelyi Mentőszolg.Alapítvány</t>
  </si>
  <si>
    <t>K512-08</t>
  </si>
  <si>
    <t>Működési célú pénzeszköz átadás ÁHT-n kívül összesen</t>
  </si>
  <si>
    <t>Működési célú pénzeszköz átadás ÁHT-n belűl és kívül összesen</t>
  </si>
  <si>
    <t>K89-02</t>
  </si>
  <si>
    <t>K89-01</t>
  </si>
  <si>
    <t>Felhalmozási célúcélú pénzeszköz átadás  összesen</t>
  </si>
  <si>
    <t>Sármelléki Közös Önkormányzati Hivatal</t>
  </si>
  <si>
    <t>011130</t>
  </si>
  <si>
    <t>Bölcsőde</t>
  </si>
  <si>
    <t>Sármelléki Óvoda Általános Művelődési Központ</t>
  </si>
  <si>
    <t>Előző évi működési célú előirányzat-maradvány, pénzmaradvány átadás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</si>
  <si>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</si>
  <si>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Előző évi működési célú előirányzat-maradvány, pénzmaradvány átvétel</t>
  </si>
  <si>
    <t xml:space="preserve">Működési célú hitel felvétele </t>
  </si>
  <si>
    <t>Értékpapír vásárlásainak kiadása</t>
  </si>
  <si>
    <t>Működési célú hitel törlesztése (folyószámlahitel)</t>
  </si>
  <si>
    <t>Működési célú hitel törlesztése (éven túli)</t>
  </si>
  <si>
    <t>Finanszírozási kiadások összesen (VIII+IX)</t>
  </si>
  <si>
    <t>összeg</t>
  </si>
  <si>
    <t>ÁFA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</si>
  <si>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</si>
  <si>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</si>
  <si>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</si>
  <si>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</si>
  <si>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személyi juttatásai (K11)</t>
  </si>
  <si>
    <t>Tiszteletdíj: Ferge Józsefné (K122)</t>
  </si>
  <si>
    <t>Tiszteletdíj: Balogh Anikó (K122)</t>
  </si>
  <si>
    <t>Tiszteletdíj: Bakos Sándor (K122)</t>
  </si>
  <si>
    <t>Külső személyi juttatások összesen (K12)</t>
  </si>
  <si>
    <t>SZEMÉLYI JUTTATÁSOK MINDÖSSZESEN (K1)</t>
  </si>
  <si>
    <t>MUNKAADÓKAT TERHELŐ JÁRULÉKOK ÉS SZOCIÁLIS HOZZÁJÁRULÁSI ADÓ (K2)</t>
  </si>
  <si>
    <t>szakmai anyagok beszerzése összesen (K311)</t>
  </si>
  <si>
    <t xml:space="preserve">papír, írószer, fénymásoló papír, nyomtatvány </t>
  </si>
  <si>
    <t>tintaparton, toner</t>
  </si>
  <si>
    <t>Konyharuha, viaszkos vászon, lábtörlő, öntözőkanna</t>
  </si>
  <si>
    <t>10 db 12 személyes asztalterítő</t>
  </si>
  <si>
    <t>Üzemeltetési anyagok beszerzése összesen  (K312)</t>
  </si>
  <si>
    <t>KÉSZLETBESZERZÉS (K31)</t>
  </si>
  <si>
    <t>Adatátviteli célú távközlési díj:internet</t>
  </si>
  <si>
    <t>Informatikai szolgáltatások igénybevétele (K321)</t>
  </si>
  <si>
    <t xml:space="preserve">Telefondíj, mobil telefon díjak </t>
  </si>
  <si>
    <t>Egyéb kommunikációs szolgáltatások (K322)</t>
  </si>
  <si>
    <t>KOMMUNIKÁCIÓS SZOLGÁLTATÁSOK (K32)</t>
  </si>
  <si>
    <t>Közüzemi  díjak (K331)</t>
  </si>
  <si>
    <t>Karbantartási, kisjavítási szolgáltatások (K334)</t>
  </si>
  <si>
    <t>Szakmai tevékenységet segítő szolgáltatások (K336)</t>
  </si>
  <si>
    <t>SÖTYE-Nőklub éves működés (K337)</t>
  </si>
  <si>
    <t>Otelló Borbarátok éves működés (K337)</t>
  </si>
  <si>
    <t>BRACCS éves működés (K337)</t>
  </si>
  <si>
    <t>Horváth Szilárd heti 1 óra furulyaoktatás 1500 Ft/óra (K337)</t>
  </si>
  <si>
    <t>Egyéb szolgáltatások (K337)</t>
  </si>
  <si>
    <t>Szolgáltatási kiadások (K33)</t>
  </si>
  <si>
    <t>Kiküldetések kiadásai (K341)</t>
  </si>
  <si>
    <t>ARTISJUS egész éves rendezvény díja (K341)</t>
  </si>
  <si>
    <t>Kiküldetések, reklám- és propagandakiadások (K34)</t>
  </si>
  <si>
    <t>Működési célú általános forgalmi adó (K351)</t>
  </si>
  <si>
    <t>Különféle befizetések és egyéb dologi kiadások (K35)</t>
  </si>
  <si>
    <t>DOLOGI KIADÁSOK ÖSSZESEN (K3)</t>
  </si>
  <si>
    <t>Egyéb dologi kiadás (K355)</t>
  </si>
  <si>
    <t>Beruházási célú előzetesen felszámított ÁFA (K67)</t>
  </si>
  <si>
    <t>KÖLTSÉGVETÉSI KIADÁSOK MINDÖSSZESEN</t>
  </si>
  <si>
    <t>Kicsi kuka, virágosládák, öntözőkanna</t>
  </si>
  <si>
    <t>Közös Önk.Hiv.</t>
  </si>
  <si>
    <t>Foglalkoztatottak egyéb személyi juttatásai (K1113)</t>
  </si>
  <si>
    <t>Költségvetési levelek előfizetése</t>
  </si>
  <si>
    <t>wINsZOC program díja: ABAUS</t>
  </si>
  <si>
    <t>informatikai eszk. Karbantartás:TC Informatika</t>
  </si>
  <si>
    <t>ECOSTAT rendszer karbantartás:CompuTrend</t>
  </si>
  <si>
    <t xml:space="preserve">Internet modem bérleti díja </t>
  </si>
  <si>
    <t>Bérleti és lízing díjak (K333)</t>
  </si>
  <si>
    <t>Szakmai tev.segítő szolg.:üzemorvosi dÍj (K336)</t>
  </si>
  <si>
    <t>Postaköltségek, postafiókbérlet (K337)</t>
  </si>
  <si>
    <t>Bankköltségek (K337)</t>
  </si>
  <si>
    <t>KIADÁSOK MINDÖSSZESEN</t>
  </si>
  <si>
    <t xml:space="preserve">Dologi és egyéb folyó kiadásai intézményi és összesített kimutatása </t>
  </si>
  <si>
    <t>Rovatszám</t>
  </si>
  <si>
    <t>Tartozik</t>
  </si>
  <si>
    <t>Szakmai anyagok beszerzése</t>
  </si>
  <si>
    <t>01</t>
  </si>
  <si>
    <t>311</t>
  </si>
  <si>
    <t>Üzemeltetési anyagok beszerzése</t>
  </si>
  <si>
    <t>02</t>
  </si>
  <si>
    <t>312</t>
  </si>
  <si>
    <t>5102</t>
  </si>
  <si>
    <t>Árubeszerzés</t>
  </si>
  <si>
    <t>03</t>
  </si>
  <si>
    <t>313</t>
  </si>
  <si>
    <t>5113</t>
  </si>
  <si>
    <t>Készletbeszerzés (01+…+3)</t>
  </si>
  <si>
    <t>04</t>
  </si>
  <si>
    <t>5103</t>
  </si>
  <si>
    <t>Informatikai szolgáltatások igénybevétele</t>
  </si>
  <si>
    <t>05</t>
  </si>
  <si>
    <t>321</t>
  </si>
  <si>
    <t>Egyéb kommunikációs szolgáltatások</t>
  </si>
  <si>
    <t>06</t>
  </si>
  <si>
    <t>322</t>
  </si>
  <si>
    <t>Kommunikációs szolgáltatások (5+6)</t>
  </si>
  <si>
    <t>07</t>
  </si>
  <si>
    <t>Közüzemi díjak</t>
  </si>
  <si>
    <t>08</t>
  </si>
  <si>
    <t>331</t>
  </si>
  <si>
    <t>Vásárolt élelmezés</t>
  </si>
  <si>
    <t>09</t>
  </si>
  <si>
    <t>332</t>
  </si>
  <si>
    <t>5108</t>
  </si>
  <si>
    <t>Bérleti és lízing díjak</t>
  </si>
  <si>
    <t>10</t>
  </si>
  <si>
    <t>333</t>
  </si>
  <si>
    <t>ebből PPP alapuló szerződéses konstrukció</t>
  </si>
  <si>
    <t>11</t>
  </si>
  <si>
    <t>5110</t>
  </si>
  <si>
    <t>Karbantartási kisjavítási szolgáltatások</t>
  </si>
  <si>
    <t>12</t>
  </si>
  <si>
    <t>334</t>
  </si>
  <si>
    <t>Közvetített szolgáltatások</t>
  </si>
  <si>
    <t>13</t>
  </si>
  <si>
    <t>335</t>
  </si>
  <si>
    <t>5112</t>
  </si>
  <si>
    <t>ebből ÁHT-n belül</t>
  </si>
  <si>
    <t>14</t>
  </si>
  <si>
    <t>Szakmai tevékenységet segítő szolgáltatások</t>
  </si>
  <si>
    <t>15</t>
  </si>
  <si>
    <t>336</t>
  </si>
  <si>
    <t>Egyéb szolgáltatások</t>
  </si>
  <si>
    <t>16</t>
  </si>
  <si>
    <t>337</t>
  </si>
  <si>
    <t>5201</t>
  </si>
  <si>
    <t>Szolgáltatási kiadások (08+09+10+12+13+15+16)</t>
  </si>
  <si>
    <t>17</t>
  </si>
  <si>
    <t>Kiküldetés kiadásai</t>
  </si>
  <si>
    <t>18</t>
  </si>
  <si>
    <t>341</t>
  </si>
  <si>
    <t>Reklám- és propaganda kiadások</t>
  </si>
  <si>
    <t>19</t>
  </si>
  <si>
    <t>342</t>
  </si>
  <si>
    <t>Kiküldetés, reklám kiadások (18+19)</t>
  </si>
  <si>
    <t>20</t>
  </si>
  <si>
    <t>5204</t>
  </si>
  <si>
    <t>Műk.c. előzetesen felszámított ÁFA</t>
  </si>
  <si>
    <t>21</t>
  </si>
  <si>
    <t>351</t>
  </si>
  <si>
    <t>5205</t>
  </si>
  <si>
    <t>Fizetendő ÁFA</t>
  </si>
  <si>
    <t>22</t>
  </si>
  <si>
    <t>352</t>
  </si>
  <si>
    <t>Kamatkiadások   (24+25)</t>
  </si>
  <si>
    <t>23</t>
  </si>
  <si>
    <t>353</t>
  </si>
  <si>
    <t>ebből ÁÁHT-n belül</t>
  </si>
  <si>
    <t>24</t>
  </si>
  <si>
    <t>5207</t>
  </si>
  <si>
    <t>ebből fedezeti ügyletek kamatkiadásai</t>
  </si>
  <si>
    <t>25</t>
  </si>
  <si>
    <t>5208</t>
  </si>
  <si>
    <t>Egyéb pénzügyi műveletek kiadásai(27+28+29)</t>
  </si>
  <si>
    <t>26</t>
  </si>
  <si>
    <t>354</t>
  </si>
  <si>
    <t>ebből valuta, deviza eszközök realizált árf. Veszt.</t>
  </si>
  <si>
    <t>27</t>
  </si>
  <si>
    <t>5210</t>
  </si>
  <si>
    <t>ebből hitelviszonyt megtestesítő értékp. Árf. Különbözet</t>
  </si>
  <si>
    <t>28</t>
  </si>
  <si>
    <t>5211</t>
  </si>
  <si>
    <t>ebből deviza kötelezettségek realizált árf. Veszt.</t>
  </si>
  <si>
    <t>29</t>
  </si>
  <si>
    <t>5212</t>
  </si>
  <si>
    <t>Egyéb dologi kiadások</t>
  </si>
  <si>
    <t>30</t>
  </si>
  <si>
    <t>355</t>
  </si>
  <si>
    <t>KLF. Befizetések, egyéb dologi kiadások (21+22+23+26+30)</t>
  </si>
  <si>
    <t>31</t>
  </si>
  <si>
    <t>DOLOGI KIADÁSOK  (4+7+17+20+31)</t>
  </si>
  <si>
    <t>32</t>
  </si>
  <si>
    <t>reprezentáció (K123)</t>
  </si>
  <si>
    <t>(Ft)</t>
  </si>
  <si>
    <t>Általánostartalék</t>
  </si>
  <si>
    <t>kötött, - céltartalék</t>
  </si>
  <si>
    <t>VPG-7-2-1 Külterületi utak fejlesztése Szentgyörgyvár - Sármellék</t>
  </si>
  <si>
    <t>EFOP-1.5.2-16-2017 Humán szolgáltatások fejlesztése Sármellék térségben</t>
  </si>
  <si>
    <t>EFOP-3.7.3.-16 Az egész életen át tartó tanuláshoz hozzáférés biztosítása Sármellék és Alsópáhok településeken</t>
  </si>
  <si>
    <t>Sármellék  öszesen</t>
  </si>
  <si>
    <t>Önkormányzati hivatal működésének általános támogatása</t>
  </si>
  <si>
    <t>B111</t>
  </si>
  <si>
    <t>Települési önkormányzatok egyes köznevelési feladatainak támogatás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</si>
  <si>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</si>
  <si>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</si>
  <si>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</si>
  <si>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</t>
  </si>
  <si>
    <t>B114</t>
  </si>
  <si>
    <t>Kiegészítő támogatás</t>
  </si>
  <si>
    <t>Bérkompenzáció ÁMK</t>
  </si>
  <si>
    <t>B115</t>
  </si>
  <si>
    <t>Bérkompenzáció Közös Hivatal</t>
  </si>
  <si>
    <t>Szociális ágazati és kiegészítő pótlék ÁMK</t>
  </si>
  <si>
    <t>Mezőőri támogatás</t>
  </si>
  <si>
    <t>B16-04</t>
  </si>
  <si>
    <t>B16-06</t>
  </si>
  <si>
    <t>B16-05</t>
  </si>
  <si>
    <t>Rendkívüli gyermekvédelmi tám.</t>
  </si>
  <si>
    <t>B16-02</t>
  </si>
  <si>
    <t>EU-tól kapott támogatások</t>
  </si>
  <si>
    <t>EU Támogatások összesen:</t>
  </si>
  <si>
    <t xml:space="preserve">Állami támogatás </t>
  </si>
  <si>
    <t xml:space="preserve">Kiadás </t>
  </si>
  <si>
    <t>különbség</t>
  </si>
  <si>
    <t>Óvoda</t>
  </si>
  <si>
    <t>Óvodai állami támogatás összesen</t>
  </si>
  <si>
    <t>Bölcsődei állami támogatás összesen</t>
  </si>
  <si>
    <t>Bölcsőde és Óvodai állami támogatások összesen</t>
  </si>
  <si>
    <t>Kiadás</t>
  </si>
  <si>
    <t>Kulturális illetménypótlék</t>
  </si>
  <si>
    <t>Könyvtári, közművelődési feladatok támogatása mindösszesen</t>
  </si>
  <si>
    <t>Bérleti díj:Nyitok</t>
  </si>
  <si>
    <t>Helység bérleti díjak</t>
  </si>
  <si>
    <t>ÁMK bevételek mindösszesen</t>
  </si>
  <si>
    <t>ÁMK kiadások mindösszesen</t>
  </si>
  <si>
    <t>Különbség</t>
  </si>
  <si>
    <t>Bevétel</t>
  </si>
  <si>
    <t>Önk.hiv. működési támogatás</t>
  </si>
  <si>
    <t xml:space="preserve">pénztár: </t>
  </si>
  <si>
    <t>bankszámla</t>
  </si>
  <si>
    <t>KÖLTSÉGVETÉSI BEVÉTELEK  ÖSSZESEN:</t>
  </si>
  <si>
    <t>kiadások</t>
  </si>
  <si>
    <t>Különbözet</t>
  </si>
  <si>
    <t>B75</t>
  </si>
  <si>
    <t>2019 évi eredeti előirányzat (Ft)</t>
  </si>
  <si>
    <t>Előző évi állami támogatás visszafizetése</t>
  </si>
  <si>
    <t>2018. évi állami támogatás visszafizetése</t>
  </si>
  <si>
    <t>Felhasználás
2019.XII.31-ig</t>
  </si>
  <si>
    <t xml:space="preserve">2019. évi eredeti előirányzat </t>
  </si>
  <si>
    <t>2019. év utáni szükséglet
(6=2 - 4 - 5)</t>
  </si>
  <si>
    <t>MTA-492 szgk. felújítása</t>
  </si>
  <si>
    <t>KDC-494 szgk. Felújítása</t>
  </si>
  <si>
    <t>Homokozóra takaróponyva (K64)</t>
  </si>
  <si>
    <t>Udvari árnyékolás  (K64)</t>
  </si>
  <si>
    <t>Teleszkópos pókhálózó (K64)</t>
  </si>
  <si>
    <t>Teleszkópos ablaklehúzó szett (K64)</t>
  </si>
  <si>
    <t>Ragasztó pisztoly (K64)</t>
  </si>
  <si>
    <t>mentőláda 1 db  (K64)</t>
  </si>
  <si>
    <t>Katlan, főzőüst, üst ház, gázrózsa  (K64)</t>
  </si>
  <si>
    <t>csocsó és ping-pong kellékek (K64)</t>
  </si>
  <si>
    <t>hűtőszekrény vásárlása (K64)</t>
  </si>
  <si>
    <t>Patriot Burst 120GB SSD PC 8 db számítógépre</t>
  </si>
  <si>
    <t xml:space="preserve">szerver </t>
  </si>
  <si>
    <t>Közös Hivatal beszerzése Összesen:</t>
  </si>
  <si>
    <t>TOP 1.4 óvoda pályázat</t>
  </si>
  <si>
    <t>TOP Ipari park pályázat</t>
  </si>
  <si>
    <t>óvoda felújítási pályázat</t>
  </si>
  <si>
    <t>VP6 Külterületi utak pályázat</t>
  </si>
  <si>
    <t>önkormányzati beruházások összesen</t>
  </si>
  <si>
    <t>Szünetmentes tápegység védőnői szolgálat részére</t>
  </si>
  <si>
    <t>vérnyomásmérő készülék</t>
  </si>
  <si>
    <t>tér, látásvizsgáló (Stereo teszt)</t>
  </si>
  <si>
    <t>Stefánia védőnői program</t>
  </si>
  <si>
    <t>Stefánia védőnői program havi rendszer díja</t>
  </si>
  <si>
    <t>Védőnői szolgálat beruházásai összesen</t>
  </si>
  <si>
    <t>2019.évi kiadás</t>
  </si>
  <si>
    <t>TÖOSZ 2019. évi tagdíj</t>
  </si>
  <si>
    <t>Sármellék Zalavár Kármentesítő Társulás</t>
  </si>
  <si>
    <t>Keszthelyi és Környéke többcélú Kistérségi Társulás 2019 tagdíj</t>
  </si>
  <si>
    <t>Keszthely város környéki Önkormányztok Ügyelet és orvosi ügyelet éves díja</t>
  </si>
  <si>
    <t>Fogászati  2019 tagdíj</t>
  </si>
  <si>
    <t>Keszthelyi Kistérségi támogatás ( belső ellenőrzési hozzájárulás)</t>
  </si>
  <si>
    <t>Egyéb alapítványok támogatása</t>
  </si>
  <si>
    <t>Erdős Bt (Iskola e.ü.) 8400 Ft/hó</t>
  </si>
  <si>
    <t>ÁMK összesen</t>
  </si>
  <si>
    <t>2019. évi eredeti előirányzat (eFt)</t>
  </si>
  <si>
    <t>Foglalkoztatottak személyi juttatásai (K1113)</t>
  </si>
  <si>
    <t>Megbízási díj december havi: Takácsné Ilku Anita (K122)</t>
  </si>
  <si>
    <t xml:space="preserve">SZEMÉLYI JUTTATÁSOK ÉS MUNKAADÓKAT TERHELŐ JÁRULÉKOK ÉS SZOCIÁLIS HOZZÁJÁRULÁSI ADÓ ÖSSZESEN </t>
  </si>
  <si>
    <t>Szakmai ismeretek, folyóirat előfizetése:Kereplő újság +óvoda+bölcsőde</t>
  </si>
  <si>
    <t xml:space="preserve">Szakmai anyagok beszerzése </t>
  </si>
  <si>
    <t>papír, írószer, fénymásoló papír, nyomtatvány+ SHIP irodaköltségek</t>
  </si>
  <si>
    <t xml:space="preserve">tintaparton, toner SHIP iroda költségei </t>
  </si>
  <si>
    <t>tisztítószer ÁMK+SHIP iroda</t>
  </si>
  <si>
    <t>munkaruha 10 fő részére</t>
  </si>
  <si>
    <t>Tisztasági festéséhez anyagok beszerzése</t>
  </si>
  <si>
    <t>12 db tálca, 6 db kancsó beszerzése</t>
  </si>
  <si>
    <t xml:space="preserve">kávés csésze készletek  </t>
  </si>
  <si>
    <t xml:space="preserve">2 dl-es üvegpoharak  100 db </t>
  </si>
  <si>
    <t>programok, rendezvények költségei:koszorú, oklevél, könyvjutalom, dekorációk, liszt beszerzése  kenyérszenteléshez, könyvtári foglalkozásokhoz anyagbeszerzések</t>
  </si>
  <si>
    <t xml:space="preserve"> díszfák, virágosítás, játéktároló kosarak, melléképület betonozása </t>
  </si>
  <si>
    <t xml:space="preserve">Vizdíj, gázdíj, áramdíj </t>
  </si>
  <si>
    <t>Bérleti díj (légvár bérlése (K333)</t>
  </si>
  <si>
    <t>üzemorvosi díj (K336)</t>
  </si>
  <si>
    <t>Üst Gyula heti 6 alkalom 4500 Ft/37 iskolai hét 6 óra (K337)</t>
  </si>
  <si>
    <t>Üst Gyula néptánc felléspések rendezvényeken (K337)</t>
  </si>
  <si>
    <t>Színjátszó csoport éves működési díjA: Lasics Henrietta  (K337)</t>
  </si>
  <si>
    <t>Bánáti György  könyvtári szolgáltatás, közműv.tev. (K337)</t>
  </si>
  <si>
    <t xml:space="preserve">programok, rendezvények költségei: fellépők díja, gyerekelőadások díja, zenekari szolgáltatások, Őrség messemondó díja </t>
  </si>
  <si>
    <t>tűzvédelmi és baleseti oktatás: Vörös Tibor (K337)</t>
  </si>
  <si>
    <t>munkahelyi kockázati tényezők szabályzata: Vörös Tibor  (K337)</t>
  </si>
  <si>
    <t>rágcsálóírtás (K337)</t>
  </si>
  <si>
    <t>bankköltségek   (K337)</t>
  </si>
  <si>
    <t>teleszkópos pókhálózó (K64)</t>
  </si>
  <si>
    <t>teleszkópos ablaklehúzó szett (K64)</t>
  </si>
  <si>
    <t>ragasztó pisztoly  (K64)</t>
  </si>
  <si>
    <t>bölcsődei beruházások:</t>
  </si>
  <si>
    <t>bölcsődei beruházások mindösszesen:</t>
  </si>
  <si>
    <t>óvodai beruházások</t>
  </si>
  <si>
    <t>homokozóra takaróponyva (64)</t>
  </si>
  <si>
    <t xml:space="preserve">Udvari árnyékolás </t>
  </si>
  <si>
    <t>Függönyök (64)</t>
  </si>
  <si>
    <t>óvodai beruházások mindösszesen</t>
  </si>
  <si>
    <t>Egyéb tárgyi eszközök mindösszesen óvoda és bölcsőde (K64)</t>
  </si>
  <si>
    <t>Egyéb tárgyi eszközök mindösszesen (K64)</t>
  </si>
  <si>
    <t>2019. évi</t>
  </si>
  <si>
    <t>Intézményi bevételek</t>
  </si>
  <si>
    <t>2018. december 31-i pénzkészlet összesen:</t>
  </si>
  <si>
    <t>pénztár 2018.december 31-i egyenlege</t>
  </si>
  <si>
    <t>költségvetési elszámolási számla 2018. december 31-i egyenlege</t>
  </si>
  <si>
    <t>2019. évi bevételek Közös Hivatal Sármellék</t>
  </si>
  <si>
    <t>Önk.hiv.KIEGYENLÍTŐ BÉRRENDEZÉS támogatás</t>
  </si>
  <si>
    <t>2018. december 31.-i pénzmaradvány</t>
  </si>
  <si>
    <t>Sármelléki Közös Hivatal 2019. évi kiadásai mindösszesen</t>
  </si>
  <si>
    <t>Megbízási díj (K122)</t>
  </si>
  <si>
    <t>Információs biztonsági referens éves díj:Cloudworks Kft</t>
  </si>
  <si>
    <t>Adatvédelmi tevékenység:CloudFactory Internet_kft.</t>
  </si>
  <si>
    <t>Szabályzatok elkészítése (2 Önk +intézm.+ROMA Önk.)(K337)</t>
  </si>
  <si>
    <t xml:space="preserve">szerver  </t>
  </si>
  <si>
    <t>Beruházások mindösszesen (K6)</t>
  </si>
  <si>
    <t xml:space="preserve">Személyi juttatásai és munkaadókat terhelő járulékai intézményi és összesített kimutatása </t>
  </si>
  <si>
    <t>066020 községgazdálkodás</t>
  </si>
  <si>
    <t>041233 közfoglalkoz-tatás</t>
  </si>
  <si>
    <t>096015    iskolai étkeztetés</t>
  </si>
  <si>
    <t>082092 Közművelődés-ifjúsági garancia program</t>
  </si>
  <si>
    <t>82091       EFOP 1.5.2 pályázat</t>
  </si>
  <si>
    <t>82092       EFOP 4.1.7 pályázat</t>
  </si>
  <si>
    <t>82093        EFOP 3.7.3 pályázat</t>
  </si>
  <si>
    <t>önk.ig.tev.</t>
  </si>
  <si>
    <t>869041 védőnő</t>
  </si>
  <si>
    <t>Törvény szerinti illetmények, munkabérek</t>
  </si>
  <si>
    <t>1101</t>
  </si>
  <si>
    <t>Céljuttatás, projektprémium</t>
  </si>
  <si>
    <t>1103</t>
  </si>
  <si>
    <t>Béren kívüli juttatások</t>
  </si>
  <si>
    <t>1107</t>
  </si>
  <si>
    <t>Közlekedési költségtérítés</t>
  </si>
  <si>
    <t>1109</t>
  </si>
  <si>
    <t>Foglalkoztatottak egyéb személyi juttatásai</t>
  </si>
  <si>
    <t>1113</t>
  </si>
  <si>
    <t xml:space="preserve"> választott tisztségviselők juttatásai</t>
  </si>
  <si>
    <t>121</t>
  </si>
  <si>
    <t>munkavégzésre irányuló egyéb jogv.megbízásidíjai)</t>
  </si>
  <si>
    <t>122</t>
  </si>
  <si>
    <t>egyéb külső személyi juttatás</t>
  </si>
  <si>
    <t>123</t>
  </si>
  <si>
    <t xml:space="preserve">Személyi juttatások összesen </t>
  </si>
  <si>
    <t>Szociális hozzájárulási adó</t>
  </si>
  <si>
    <t>K2</t>
  </si>
  <si>
    <t>Munkáltatói SZJA</t>
  </si>
  <si>
    <t xml:space="preserve">Munkaadókat terhelő járulékok  és szociális hozzárjárulási adó összesen </t>
  </si>
  <si>
    <t xml:space="preserve">Személyi juttatások és munkaadókat terhelő járulékok és szoc.hj.adó összesen </t>
  </si>
  <si>
    <t>62 707 442</t>
  </si>
  <si>
    <t>29 120 300</t>
  </si>
  <si>
    <t>51 468 697</t>
  </si>
  <si>
    <t>2 228 820</t>
  </si>
  <si>
    <t>ÁLLAMI TÁMOGATÁSOK ÉS KIEGÉSZÍTŐ TÁMOGATÁSOK MINDÖSSZESEN</t>
  </si>
  <si>
    <t>Közfoglalkoztatottak támogatása</t>
  </si>
  <si>
    <t>Védőnői támogatás OEP támogatás (iskolaeü. 8400 Ft/hó, védőnő 407200 Ft/hó)</t>
  </si>
  <si>
    <t xml:space="preserve">Ifjúság garancia program támogatása 6 hónapig </t>
  </si>
  <si>
    <t xml:space="preserve">B21 </t>
  </si>
  <si>
    <t>top 1.4 óvoda pályázat</t>
  </si>
  <si>
    <t xml:space="preserve">TOP ipari park pályázat </t>
  </si>
  <si>
    <t>b75</t>
  </si>
  <si>
    <t>Támogatások mindösszesen</t>
  </si>
  <si>
    <t xml:space="preserve">Kiadásainak és bevételeinek fő összesítője </t>
  </si>
  <si>
    <t>11.melléklet</t>
  </si>
  <si>
    <t>13. melléklet</t>
  </si>
  <si>
    <t>15. számú melléklet</t>
  </si>
  <si>
    <t>2019 Sármellék Önk,</t>
  </si>
  <si>
    <t>Keszthelyi és Környéke többcélú Kistérségi Társulás 2019. évi  házi segítségnyújtás, család és gyermekjóléti szolgáltatás támogatás</t>
  </si>
  <si>
    <t>6. számú melléklet</t>
  </si>
  <si>
    <t xml:space="preserve">Támogatásértékű működési bevételek összesen </t>
  </si>
  <si>
    <t>2019 évi módosított előirányzat (Ft)</t>
  </si>
  <si>
    <t xml:space="preserve">2019 ÉVI MÓDOSÍTOTT KÖLTSÉGVETÉS  </t>
  </si>
  <si>
    <t xml:space="preserve">2019. ÉVI MÓDOSÍTOTT KÖLTSÉGVETÉS  </t>
  </si>
  <si>
    <t>eredeti</t>
  </si>
  <si>
    <t>előirányzat</t>
  </si>
  <si>
    <t>módosított</t>
  </si>
  <si>
    <t xml:space="preserve">eredeti előirányzat </t>
  </si>
  <si>
    <t xml:space="preserve">módosított előirányzat </t>
  </si>
  <si>
    <t>Teljes költség eredeti előirányzat</t>
  </si>
  <si>
    <t xml:space="preserve">2019. évi módosított előirányzat </t>
  </si>
  <si>
    <t>2019. Évi módosított költségvetés</t>
  </si>
  <si>
    <t>Művelődési ház felújítása</t>
  </si>
  <si>
    <t>Tájház épület felújítása:Hungarikum pályázat</t>
  </si>
  <si>
    <t>EFOP 4.1.7 Műv.ház pályázat fény és hangtechnika beépítése</t>
  </si>
  <si>
    <t>Teljes költség módosított előirányzat</t>
  </si>
  <si>
    <t>Informatikai eszközök beszerzése:Ihgálózati ROUTER TP-link   (K63)</t>
  </si>
  <si>
    <t>EPSONL120 külső tintatartályos nyomtató vásárlása (K63)</t>
  </si>
  <si>
    <t>kártyaolvasó, TP link adapter beszerzése</t>
  </si>
  <si>
    <t>bankjegyvizsgáló anyakönyvi kivonathoz</t>
  </si>
  <si>
    <t xml:space="preserve">Rackszekrény </t>
  </si>
  <si>
    <t>Szünetmentes tápegység a rackszekrénybe</t>
  </si>
  <si>
    <t xml:space="preserve">Router+WIFI </t>
  </si>
  <si>
    <t>Módosított előirányzat</t>
  </si>
  <si>
    <t>Pécs-Normandia Lions Club támogatása (szülőszállás)</t>
  </si>
  <si>
    <t>Kis Szent Teréz Plébánia Keszthely támogatása</t>
  </si>
  <si>
    <t>2019. ÉVI MÓDOSÍTOTT KÖLTSÉGVETÉS</t>
  </si>
  <si>
    <t>eredeti előirányzat</t>
  </si>
  <si>
    <t>módosított előirányzat</t>
  </si>
  <si>
    <t>Varga Bálint (GINOP-Ifjúsági Garancia Program) bére 2019.05.01-08.31-ig (K1101)</t>
  </si>
  <si>
    <t>Zöld Éva szabadság megváltása (K1113)</t>
  </si>
  <si>
    <t>Hálózati router tp linkhez szükséges kábelek és elemek:Extreme Digital Zrt.</t>
  </si>
  <si>
    <t>Hangosító berendezésekhez csatlakozók, átalakítók, audió kábelek:Muziker Bratislava</t>
  </si>
  <si>
    <t xml:space="preserve">Szatmári férfi viselet 2db, szatmári női viselet 6 db, sármelléki női viselet 6 db (Csóri Sándor pályázat) varrása:Bertalanné Varga Ildikó </t>
  </si>
  <si>
    <t>Csóri Sándor pályázat elszámolása: Zene és táncművészeti tevékenység: Üst Gyula</t>
  </si>
  <si>
    <t>Csóri Sándor pályázat elszámolása: Táncoktatás:Szabó Csaba</t>
  </si>
  <si>
    <t>Csóri Sándor pályázat elszámolása: Előadó művészeti tevékenység Horváth László zenekar tiszteletdíja</t>
  </si>
  <si>
    <t>Informatikai eszközök utáni szállítási költségek: Extreme Digital Zrt.</t>
  </si>
  <si>
    <t>Hangosító berendezésekhez csatlakozók, átalakítók, audió kábelek utáni szállítási költségek:Muziker Bratislava</t>
  </si>
  <si>
    <t>közművelődési beruházások:</t>
  </si>
  <si>
    <t>mentőláda (64)</t>
  </si>
  <si>
    <t>Katlan, főző üst, üst ház, gázrózsa (64)</t>
  </si>
  <si>
    <t>csocsó és ping-pong kellékek (64)</t>
  </si>
  <si>
    <t>Informatikai eszközök beszerzése:Ihgálózati ROUTER TP-link   (K63) (extreme digital)</t>
  </si>
  <si>
    <t>Informatikai eszközök összesen (K63)</t>
  </si>
  <si>
    <t>Egyéb tárgyi eszközök összesen (K64) ÁMK</t>
  </si>
  <si>
    <t>ámk beruházások mindösszesen</t>
  </si>
  <si>
    <t>BERUHÁZÁSOK MINDÖSSZESEN</t>
  </si>
  <si>
    <t>11.a. számú melléklet</t>
  </si>
  <si>
    <t>ÁMK 2019. évi Módosított KÖLTSÉGVETÉSI KIADÁSAI ÖSSZESEN</t>
  </si>
  <si>
    <t>Zöld Gólya Óvoda és Bölcsőde ÁMK bevétele</t>
  </si>
  <si>
    <t>Ifjúsági Garancia GINOP 5.2.1-14-2015-00001 bérköltség támogatás</t>
  </si>
  <si>
    <t>ZM Kormányhivataltól 2019.05.01-08.31-ig: Varga Bálint</t>
  </si>
  <si>
    <t>2018. december 31-i helyesbített pénzmaradvány:</t>
  </si>
  <si>
    <t>11. f. számú melléklet</t>
  </si>
  <si>
    <t xml:space="preserve">Egyéb külső személyi juttatások (K123) </t>
  </si>
  <si>
    <t>Fiók bérleti díja:posta 8250/név</t>
  </si>
  <si>
    <t>tisztviselői normatíva :Nemzeti Közszolgálati Egyetem</t>
  </si>
  <si>
    <t>munkavédelmi szabályzatok elkészítése:Vörös Tibor</t>
  </si>
  <si>
    <t>Egyéb szolgálatatások (választási költségek)</t>
  </si>
  <si>
    <t>13. a. számú melléklet</t>
  </si>
  <si>
    <t>2019.évi bevételek módosított előirányzat</t>
  </si>
  <si>
    <t>2019.évi bevételek eredeti előirányzat</t>
  </si>
  <si>
    <t>2018. december 31.-i helyesbített pénzmaradvány</t>
  </si>
  <si>
    <t>Egyéb működési célú támogatás államháztartáson belülről (választásra átvett)</t>
  </si>
  <si>
    <t xml:space="preserve">Eredeti előirányzat és a módosított előirányzat közötti külömbség: </t>
  </si>
  <si>
    <t>13.b. számú melléklet</t>
  </si>
  <si>
    <t xml:space="preserve">2019. ÉVI módosított KÖLTSÉGVETÉS  </t>
  </si>
  <si>
    <t>16. a. számú melléklet</t>
  </si>
  <si>
    <t>16.b. számú melléklet</t>
  </si>
  <si>
    <t>Nyári diákmunka támogatásaára átvett pénzeszköz</t>
  </si>
  <si>
    <t>Átvett pénzeszköz államháztartáson belül összesen</t>
  </si>
  <si>
    <t>Közbeszerzési Hatóság által kivetett bírság megtérítése</t>
  </si>
  <si>
    <t>Átvett pénzeszköz államháztartáson kívülről összesen</t>
  </si>
  <si>
    <t>SÁRMELLÉK KÖZSÉG ÖNKORMÁNYZAT 2019. ÉVI ÁLLAMI TÁMOGATÁSA                                           16. c. melléklet</t>
  </si>
  <si>
    <t>2019. évi módosított előirányzat (eFt)</t>
  </si>
  <si>
    <t xml:space="preserve">2019. Évi MÓDOSÍTOTT KÖLTSÉGVETÉS  </t>
  </si>
  <si>
    <t>2019. évi módosított költségvetés</t>
  </si>
  <si>
    <t xml:space="preserve"> működési és felhalmozási célú bevételi és kiadási előirányzatok bemutatása tájékoztató jelleggel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</si>
</sst>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#,##0\ _F_t"/>
    <numFmt numFmtId="166" formatCode="_-* #,##0.00\ _€_-;\-* #,##0.00\ _€_-;_-* &quot;-&quot;??\ _€_-;_-@_-"/>
    <numFmt numFmtId="167" formatCode="_-* #,##0\ _F_t_-;\-* #,##0\ _F_t_-;_-* &quot;-&quot;??\ _F_t_-;_-@_-"/>
    <numFmt numFmtId="168" formatCode="#,###"/>
    <numFmt numFmtId="169" formatCode="0__"/>
    <numFmt numFmtId="171" formatCode="#,##0_ ;\-#,##0\ "/>
  </numFmts>
  <fonts count="6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Arial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Arial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Arial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6"/>
      <name val="Times New Roman CE"/>
      <family val="1"/>
      <charset val="238"/>
    </font>
    <font>
      <b/>
      <sz val="16"/>
      <name val="Times New Roman CE"/>
      <charset val="238"/>
    </font>
    <font>
      <sz val="16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indexed="8"/>
      <name val="Arial"/>
      <family val="2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gray06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Horizontal"/>
    </fill>
    <fill>
      <patternFill patternType="lightHorizontal">
        <bgColor theme="9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21" fillId="0" borderId="0"/>
  </cellStyleXfs>
  <cellXfs count="821">
    <xf numFmtId="0" fontId="0" fillId="0" borderId="0" xfId="0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9" xfId="2" applyFont="1" applyBorder="1" applyAlignment="1">
      <alignment vertical="center"/>
    </xf>
    <xf numFmtId="0" fontId="10" fillId="0" borderId="10" xfId="2" applyFont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165" fontId="6" fillId="0" borderId="14" xfId="2" applyNumberFormat="1" applyFont="1" applyBorder="1" applyAlignment="1">
      <alignment horizontal="center" vertical="center"/>
    </xf>
    <xf numFmtId="165" fontId="6" fillId="0" borderId="5" xfId="3" applyNumberFormat="1" applyFont="1" applyFill="1" applyBorder="1" applyAlignment="1">
      <alignment horizontal="center"/>
    </xf>
    <xf numFmtId="167" fontId="7" fillId="0" borderId="6" xfId="1" applyNumberFormat="1" applyFont="1" applyBorder="1" applyAlignment="1">
      <alignment vertical="center"/>
    </xf>
    <xf numFmtId="167" fontId="6" fillId="0" borderId="6" xfId="1" applyNumberFormat="1" applyFont="1" applyBorder="1" applyAlignment="1">
      <alignment horizontal="center" vertical="center"/>
    </xf>
    <xf numFmtId="167" fontId="7" fillId="0" borderId="15" xfId="1" applyNumberFormat="1" applyFont="1" applyBorder="1" applyAlignment="1">
      <alignment vertical="center"/>
    </xf>
    <xf numFmtId="165" fontId="6" fillId="0" borderId="16" xfId="2" applyNumberFormat="1" applyFont="1" applyBorder="1" applyAlignment="1">
      <alignment horizontal="center" vertical="center"/>
    </xf>
    <xf numFmtId="165" fontId="6" fillId="0" borderId="5" xfId="2" applyNumberFormat="1" applyFont="1" applyBorder="1" applyAlignment="1">
      <alignment horizontal="center" vertical="center"/>
    </xf>
    <xf numFmtId="165" fontId="6" fillId="0" borderId="15" xfId="2" applyNumberFormat="1" applyFont="1" applyBorder="1" applyAlignment="1">
      <alignment horizontal="center" vertical="center"/>
    </xf>
    <xf numFmtId="165" fontId="6" fillId="0" borderId="5" xfId="3" applyNumberFormat="1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165" fontId="8" fillId="3" borderId="5" xfId="2" applyNumberFormat="1" applyFont="1" applyFill="1" applyBorder="1" applyAlignment="1">
      <alignment horizontal="center" vertical="center"/>
    </xf>
    <xf numFmtId="165" fontId="8" fillId="3" borderId="15" xfId="2" applyNumberFormat="1" applyFont="1" applyFill="1" applyBorder="1" applyAlignment="1">
      <alignment horizontal="center" vertical="center"/>
    </xf>
    <xf numFmtId="0" fontId="13" fillId="0" borderId="0" xfId="0" applyFont="1"/>
    <xf numFmtId="165" fontId="8" fillId="3" borderId="5" xfId="3" applyNumberFormat="1" applyFont="1" applyFill="1" applyBorder="1" applyAlignment="1">
      <alignment horizontal="center"/>
    </xf>
    <xf numFmtId="167" fontId="14" fillId="3" borderId="6" xfId="1" applyNumberFormat="1" applyFont="1" applyFill="1" applyBorder="1" applyAlignment="1">
      <alignment vertical="center"/>
    </xf>
    <xf numFmtId="165" fontId="6" fillId="0" borderId="14" xfId="3" applyNumberFormat="1" applyFont="1" applyBorder="1" applyAlignment="1">
      <alignment horizontal="center"/>
    </xf>
    <xf numFmtId="165" fontId="8" fillId="0" borderId="5" xfId="3" applyNumberFormat="1" applyFont="1" applyBorder="1" applyAlignment="1">
      <alignment horizontal="center"/>
    </xf>
    <xf numFmtId="165" fontId="8" fillId="0" borderId="14" xfId="3" applyNumberFormat="1" applyFont="1" applyBorder="1" applyAlignment="1">
      <alignment horizontal="center"/>
    </xf>
    <xf numFmtId="165" fontId="6" fillId="4" borderId="18" xfId="3" applyNumberFormat="1" applyFont="1" applyFill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165" fontId="5" fillId="5" borderId="16" xfId="3" applyNumberFormat="1" applyFont="1" applyFill="1" applyBorder="1" applyAlignment="1">
      <alignment horizontal="center"/>
    </xf>
    <xf numFmtId="165" fontId="5" fillId="5" borderId="5" xfId="3" applyNumberFormat="1" applyFont="1" applyFill="1" applyBorder="1" applyAlignment="1">
      <alignment horizontal="center"/>
    </xf>
    <xf numFmtId="165" fontId="5" fillId="5" borderId="15" xfId="3" applyNumberFormat="1" applyFont="1" applyFill="1" applyBorder="1" applyAlignment="1">
      <alignment horizontal="center"/>
    </xf>
    <xf numFmtId="0" fontId="6" fillId="6" borderId="4" xfId="2" applyFont="1" applyFill="1" applyBorder="1" applyAlignment="1">
      <alignment horizontal="center" vertical="center"/>
    </xf>
    <xf numFmtId="165" fontId="6" fillId="7" borderId="16" xfId="3" applyNumberFormat="1" applyFont="1" applyFill="1" applyBorder="1" applyAlignment="1">
      <alignment horizontal="center"/>
    </xf>
    <xf numFmtId="165" fontId="6" fillId="7" borderId="5" xfId="3" applyNumberFormat="1" applyFont="1" applyFill="1" applyBorder="1" applyAlignment="1">
      <alignment horizontal="center"/>
    </xf>
    <xf numFmtId="165" fontId="6" fillId="7" borderId="14" xfId="3" applyNumberFormat="1" applyFont="1" applyFill="1" applyBorder="1" applyAlignment="1">
      <alignment horizontal="center"/>
    </xf>
    <xf numFmtId="165" fontId="6" fillId="7" borderId="6" xfId="3" applyNumberFormat="1" applyFont="1" applyFill="1" applyBorder="1" applyAlignment="1">
      <alignment horizontal="center"/>
    </xf>
    <xf numFmtId="165" fontId="6" fillId="5" borderId="5" xfId="3" applyNumberFormat="1" applyFont="1" applyFill="1" applyBorder="1" applyAlignment="1">
      <alignment horizontal="center"/>
    </xf>
    <xf numFmtId="165" fontId="6" fillId="5" borderId="12" xfId="3" applyNumberFormat="1" applyFont="1" applyFill="1" applyBorder="1" applyAlignment="1">
      <alignment horizontal="center"/>
    </xf>
    <xf numFmtId="167" fontId="7" fillId="5" borderId="6" xfId="1" applyNumberFormat="1" applyFont="1" applyFill="1" applyBorder="1" applyAlignment="1">
      <alignment vertical="center"/>
    </xf>
    <xf numFmtId="3" fontId="6" fillId="0" borderId="5" xfId="2" applyNumberFormat="1" applyFont="1" applyBorder="1" applyAlignment="1">
      <alignment horizontal="center" vertical="center"/>
    </xf>
    <xf numFmtId="3" fontId="6" fillId="0" borderId="14" xfId="3" applyNumberFormat="1" applyFont="1" applyBorder="1" applyAlignment="1">
      <alignment horizontal="center"/>
    </xf>
    <xf numFmtId="3" fontId="7" fillId="0" borderId="6" xfId="1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3" fontId="6" fillId="0" borderId="5" xfId="3" applyNumberFormat="1" applyFont="1" applyBorder="1" applyAlignment="1">
      <alignment horizontal="center"/>
    </xf>
    <xf numFmtId="3" fontId="6" fillId="0" borderId="5" xfId="3" applyNumberFormat="1" applyFont="1" applyFill="1" applyBorder="1" applyAlignment="1">
      <alignment horizontal="center"/>
    </xf>
    <xf numFmtId="49" fontId="6" fillId="0" borderId="5" xfId="2" applyNumberFormat="1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5" xfId="2" applyFont="1" applyFill="1" applyBorder="1" applyAlignment="1">
      <alignment horizontal="left"/>
    </xf>
    <xf numFmtId="3" fontId="8" fillId="3" borderId="5" xfId="3" applyNumberFormat="1" applyFont="1" applyFill="1" applyBorder="1" applyAlignment="1">
      <alignment horizontal="center"/>
    </xf>
    <xf numFmtId="3" fontId="8" fillId="3" borderId="15" xfId="3" applyNumberFormat="1" applyFont="1" applyFill="1" applyBorder="1" applyAlignment="1">
      <alignment horizontal="center"/>
    </xf>
    <xf numFmtId="3" fontId="8" fillId="0" borderId="5" xfId="3" applyNumberFormat="1" applyFont="1" applyBorder="1" applyAlignment="1">
      <alignment horizontal="center"/>
    </xf>
    <xf numFmtId="3" fontId="8" fillId="0" borderId="5" xfId="3" applyNumberFormat="1" applyFont="1" applyFill="1" applyBorder="1" applyAlignment="1">
      <alignment horizontal="center"/>
    </xf>
    <xf numFmtId="3" fontId="14" fillId="0" borderId="15" xfId="1" applyNumberFormat="1" applyFont="1" applyBorder="1" applyAlignment="1">
      <alignment vertical="center"/>
    </xf>
    <xf numFmtId="3" fontId="5" fillId="5" borderId="5" xfId="3" applyNumberFormat="1" applyFont="1" applyFill="1" applyBorder="1" applyAlignment="1">
      <alignment horizontal="center"/>
    </xf>
    <xf numFmtId="3" fontId="5" fillId="5" borderId="17" xfId="3" applyNumberFormat="1" applyFont="1" applyFill="1" applyBorder="1" applyAlignment="1">
      <alignment horizontal="center"/>
    </xf>
    <xf numFmtId="3" fontId="5" fillId="5" borderId="15" xfId="3" applyNumberFormat="1" applyFont="1" applyFill="1" applyBorder="1" applyAlignment="1">
      <alignment horizontal="center"/>
    </xf>
    <xf numFmtId="165" fontId="5" fillId="0" borderId="5" xfId="3" applyNumberFormat="1" applyFont="1" applyBorder="1" applyAlignment="1">
      <alignment horizontal="center"/>
    </xf>
    <xf numFmtId="165" fontId="5" fillId="0" borderId="15" xfId="3" applyNumberFormat="1" applyFont="1" applyBorder="1" applyAlignment="1">
      <alignment horizontal="center"/>
    </xf>
    <xf numFmtId="49" fontId="6" fillId="0" borderId="5" xfId="2" applyNumberFormat="1" applyFont="1" applyBorder="1" applyAlignment="1">
      <alignment horizontal="right"/>
    </xf>
    <xf numFmtId="167" fontId="17" fillId="0" borderId="15" xfId="1" applyNumberFormat="1" applyFont="1" applyBorder="1" applyAlignment="1">
      <alignment vertical="center"/>
    </xf>
    <xf numFmtId="165" fontId="5" fillId="0" borderId="14" xfId="3" applyNumberFormat="1" applyFont="1" applyBorder="1" applyAlignment="1">
      <alignment horizontal="center"/>
    </xf>
    <xf numFmtId="165" fontId="5" fillId="0" borderId="5" xfId="3" applyNumberFormat="1" applyFont="1" applyFill="1" applyBorder="1" applyAlignment="1">
      <alignment horizontal="center"/>
    </xf>
    <xf numFmtId="167" fontId="17" fillId="0" borderId="6" xfId="1" applyNumberFormat="1" applyFont="1" applyBorder="1" applyAlignment="1">
      <alignment vertical="center"/>
    </xf>
    <xf numFmtId="165" fontId="9" fillId="0" borderId="5" xfId="3" applyNumberFormat="1" applyFont="1" applyBorder="1" applyAlignment="1">
      <alignment horizontal="center"/>
    </xf>
    <xf numFmtId="165" fontId="9" fillId="0" borderId="14" xfId="3" applyNumberFormat="1" applyFont="1" applyBorder="1" applyAlignment="1">
      <alignment horizontal="center"/>
    </xf>
    <xf numFmtId="165" fontId="9" fillId="0" borderId="5" xfId="3" applyNumberFormat="1" applyFont="1" applyFill="1" applyBorder="1" applyAlignment="1">
      <alignment horizontal="center"/>
    </xf>
    <xf numFmtId="165" fontId="9" fillId="0" borderId="14" xfId="3" applyNumberFormat="1" applyFont="1" applyFill="1" applyBorder="1" applyAlignment="1">
      <alignment horizontal="center"/>
    </xf>
    <xf numFmtId="0" fontId="5" fillId="8" borderId="4" xfId="2" applyFont="1" applyFill="1" applyBorder="1" applyAlignment="1">
      <alignment horizontal="center" vertical="center"/>
    </xf>
    <xf numFmtId="165" fontId="5" fillId="8" borderId="5" xfId="2" applyNumberFormat="1" applyFont="1" applyFill="1" applyBorder="1" applyAlignment="1">
      <alignment horizontal="center"/>
    </xf>
    <xf numFmtId="165" fontId="5" fillId="8" borderId="15" xfId="2" applyNumberFormat="1" applyFont="1" applyFill="1" applyBorder="1" applyAlignment="1">
      <alignment horizontal="center"/>
    </xf>
    <xf numFmtId="0" fontId="5" fillId="8" borderId="7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vertical="center"/>
    </xf>
    <xf numFmtId="165" fontId="5" fillId="8" borderId="8" xfId="2" applyNumberFormat="1" applyFont="1" applyFill="1" applyBorder="1" applyAlignment="1">
      <alignment horizontal="center"/>
    </xf>
    <xf numFmtId="165" fontId="5" fillId="8" borderId="9" xfId="2" applyNumberFormat="1" applyFont="1" applyFill="1" applyBorder="1" applyAlignment="1">
      <alignment horizont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0" fontId="0" fillId="0" borderId="0" xfId="0" applyBorder="1"/>
    <xf numFmtId="0" fontId="8" fillId="0" borderId="0" xfId="2" applyFont="1" applyBorder="1" applyAlignment="1">
      <alignment horizontal="right"/>
    </xf>
    <xf numFmtId="0" fontId="0" fillId="0" borderId="1" xfId="0" applyBorder="1"/>
    <xf numFmtId="0" fontId="10" fillId="0" borderId="2" xfId="2" applyFont="1" applyBorder="1" applyAlignment="1">
      <alignment horizontal="center" vertical="center" wrapText="1"/>
    </xf>
    <xf numFmtId="0" fontId="0" fillId="0" borderId="4" xfId="0" applyBorder="1"/>
    <xf numFmtId="0" fontId="10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0" fillId="6" borderId="4" xfId="0" applyFill="1" applyBorder="1"/>
    <xf numFmtId="165" fontId="6" fillId="6" borderId="5" xfId="3" applyNumberFormat="1" applyFont="1" applyFill="1" applyBorder="1" applyAlignment="1">
      <alignment horizontal="center"/>
    </xf>
    <xf numFmtId="0" fontId="0" fillId="6" borderId="21" xfId="0" applyFill="1" applyBorder="1"/>
    <xf numFmtId="165" fontId="6" fillId="6" borderId="22" xfId="3" applyNumberFormat="1" applyFont="1" applyFill="1" applyBorder="1" applyAlignment="1">
      <alignment horizontal="center"/>
    </xf>
    <xf numFmtId="0" fontId="6" fillId="0" borderId="22" xfId="2" applyFont="1" applyBorder="1" applyAlignment="1">
      <alignment horizontal="center" vertical="center"/>
    </xf>
    <xf numFmtId="0" fontId="0" fillId="6" borderId="24" xfId="0" applyFill="1" applyBorder="1"/>
    <xf numFmtId="0" fontId="6" fillId="6" borderId="20" xfId="2" applyFont="1" applyFill="1" applyBorder="1" applyAlignment="1">
      <alignment horizontal="left"/>
    </xf>
    <xf numFmtId="165" fontId="6" fillId="6" borderId="20" xfId="3" applyNumberFormat="1" applyFont="1" applyFill="1" applyBorder="1" applyAlignment="1">
      <alignment horizontal="center"/>
    </xf>
    <xf numFmtId="0" fontId="19" fillId="0" borderId="5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20" fillId="0" borderId="27" xfId="0" applyFont="1" applyBorder="1"/>
    <xf numFmtId="165" fontId="10" fillId="0" borderId="28" xfId="3" applyNumberFormat="1" applyFont="1" applyFill="1" applyBorder="1" applyAlignment="1">
      <alignment horizontal="center"/>
    </xf>
    <xf numFmtId="0" fontId="10" fillId="0" borderId="28" xfId="2" applyFont="1" applyBorder="1" applyAlignment="1">
      <alignment horizontal="center" vertical="center"/>
    </xf>
    <xf numFmtId="0" fontId="10" fillId="0" borderId="28" xfId="2" applyFont="1" applyBorder="1" applyAlignment="1">
      <alignment horizontal="left" vertical="center"/>
    </xf>
    <xf numFmtId="0" fontId="20" fillId="0" borderId="0" xfId="0" applyFont="1"/>
    <xf numFmtId="0" fontId="10" fillId="0" borderId="24" xfId="0" applyFont="1" applyBorder="1"/>
    <xf numFmtId="165" fontId="10" fillId="0" borderId="20" xfId="3" applyNumberFormat="1" applyFont="1" applyFill="1" applyBorder="1" applyAlignment="1">
      <alignment horizontal="center"/>
    </xf>
    <xf numFmtId="0" fontId="10" fillId="0" borderId="20" xfId="2" applyFont="1" applyBorder="1" applyAlignment="1">
      <alignment horizontal="center" vertical="center"/>
    </xf>
    <xf numFmtId="0" fontId="10" fillId="0" borderId="20" xfId="2" applyFont="1" applyBorder="1" applyAlignment="1">
      <alignment horizontal="left" vertical="center"/>
    </xf>
    <xf numFmtId="0" fontId="0" fillId="0" borderId="10" xfId="0" applyBorder="1"/>
    <xf numFmtId="165" fontId="6" fillId="0" borderId="11" xfId="3" applyNumberFormat="1" applyFont="1" applyFill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0" fillId="0" borderId="21" xfId="0" applyBorder="1"/>
    <xf numFmtId="165" fontId="6" fillId="0" borderId="22" xfId="3" applyNumberFormat="1" applyFont="1" applyFill="1" applyBorder="1" applyAlignment="1">
      <alignment horizontal="center"/>
    </xf>
    <xf numFmtId="0" fontId="10" fillId="0" borderId="20" xfId="2" applyFont="1" applyBorder="1" applyAlignment="1">
      <alignment horizontal="left" vertical="center" wrapText="1"/>
    </xf>
    <xf numFmtId="0" fontId="8" fillId="6" borderId="5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20" fillId="0" borderId="4" xfId="0" applyFont="1" applyBorder="1"/>
    <xf numFmtId="165" fontId="10" fillId="0" borderId="5" xfId="3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165" fontId="6" fillId="6" borderId="6" xfId="3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0" fillId="0" borderId="7" xfId="0" applyBorder="1"/>
    <xf numFmtId="165" fontId="5" fillId="0" borderId="8" xfId="2" applyNumberFormat="1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/>
    </xf>
    <xf numFmtId="165" fontId="6" fillId="0" borderId="0" xfId="2" applyNumberFormat="1" applyFont="1" applyBorder="1" applyAlignment="1">
      <alignment horizontal="center" vertical="center"/>
    </xf>
    <xf numFmtId="165" fontId="5" fillId="0" borderId="0" xfId="3" applyNumberFormat="1" applyFont="1" applyFill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168" fontId="21" fillId="0" borderId="0" xfId="4" applyNumberFormat="1" applyFill="1" applyAlignment="1">
      <alignment vertical="center" wrapText="1"/>
    </xf>
    <xf numFmtId="167" fontId="0" fillId="0" borderId="0" xfId="1" applyNumberFormat="1" applyFont="1"/>
    <xf numFmtId="168" fontId="4" fillId="0" borderId="0" xfId="4" applyNumberFormat="1" applyFont="1" applyFill="1" applyAlignment="1">
      <alignment horizontal="right" wrapText="1"/>
    </xf>
    <xf numFmtId="168" fontId="23" fillId="0" borderId="27" xfId="4" applyNumberFormat="1" applyFont="1" applyFill="1" applyBorder="1" applyAlignment="1">
      <alignment horizontal="center" vertical="center" wrapText="1"/>
    </xf>
    <xf numFmtId="168" fontId="23" fillId="0" borderId="28" xfId="4" applyNumberFormat="1" applyFont="1" applyFill="1" applyBorder="1" applyAlignment="1">
      <alignment horizontal="center" vertical="center" wrapText="1"/>
    </xf>
    <xf numFmtId="168" fontId="23" fillId="0" borderId="29" xfId="4" applyNumberFormat="1" applyFont="1" applyFill="1" applyBorder="1" applyAlignment="1" applyProtection="1">
      <alignment horizontal="center" vertical="center" wrapText="1"/>
    </xf>
    <xf numFmtId="168" fontId="24" fillId="0" borderId="32" xfId="4" applyNumberFormat="1" applyFont="1" applyFill="1" applyBorder="1" applyAlignment="1" applyProtection="1">
      <alignment horizontal="center" vertical="center" wrapText="1"/>
    </xf>
    <xf numFmtId="168" fontId="24" fillId="0" borderId="33" xfId="4" applyNumberFormat="1" applyFont="1" applyFill="1" applyBorder="1" applyAlignment="1" applyProtection="1">
      <alignment horizontal="center" vertical="center" wrapText="1"/>
    </xf>
    <xf numFmtId="168" fontId="24" fillId="0" borderId="34" xfId="4" applyNumberFormat="1" applyFont="1" applyFill="1" applyBorder="1" applyAlignment="1" applyProtection="1">
      <alignment horizontal="center" vertical="center" wrapText="1"/>
    </xf>
    <xf numFmtId="168" fontId="22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8" fontId="22" fillId="0" borderId="5" xfId="4" applyNumberFormat="1" applyFont="1" applyFill="1" applyBorder="1" applyAlignment="1" applyProtection="1">
      <alignment vertical="center" wrapText="1"/>
      <protection locked="0"/>
    </xf>
    <xf numFmtId="168" fontId="25" fillId="0" borderId="6" xfId="4" applyNumberFormat="1" applyFont="1" applyFill="1" applyBorder="1" applyAlignment="1" applyProtection="1">
      <alignment vertical="center" wrapText="1"/>
    </xf>
    <xf numFmtId="0" fontId="26" fillId="0" borderId="0" xfId="0" applyFont="1"/>
    <xf numFmtId="168" fontId="27" fillId="0" borderId="5" xfId="4" applyNumberFormat="1" applyFont="1" applyFill="1" applyBorder="1" applyAlignment="1" applyProtection="1">
      <alignment vertical="center" wrapText="1"/>
      <protection locked="0"/>
    </xf>
    <xf numFmtId="1" fontId="27" fillId="0" borderId="5" xfId="4" applyNumberFormat="1" applyFont="1" applyFill="1" applyBorder="1" applyAlignment="1" applyProtection="1">
      <alignment vertical="center" wrapText="1"/>
      <protection locked="0"/>
    </xf>
    <xf numFmtId="168" fontId="28" fillId="0" borderId="6" xfId="4" applyNumberFormat="1" applyFont="1" applyFill="1" applyBorder="1" applyAlignment="1" applyProtection="1">
      <alignment vertical="center" wrapText="1"/>
    </xf>
    <xf numFmtId="167" fontId="0" fillId="0" borderId="0" xfId="0" applyNumberFormat="1"/>
    <xf numFmtId="168" fontId="27" fillId="0" borderId="22" xfId="4" applyNumberFormat="1" applyFont="1" applyFill="1" applyBorder="1" applyAlignment="1" applyProtection="1">
      <alignment vertical="center" wrapText="1"/>
      <protection locked="0"/>
    </xf>
    <xf numFmtId="1" fontId="27" fillId="0" borderId="22" xfId="4" applyNumberFormat="1" applyFont="1" applyFill="1" applyBorder="1" applyAlignment="1" applyProtection="1">
      <alignment vertical="center" wrapText="1"/>
      <protection locked="0"/>
    </xf>
    <xf numFmtId="168" fontId="28" fillId="0" borderId="23" xfId="4" applyNumberFormat="1" applyFont="1" applyFill="1" applyBorder="1" applyAlignment="1" applyProtection="1">
      <alignment vertical="center" wrapText="1"/>
    </xf>
    <xf numFmtId="168" fontId="22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22" fillId="0" borderId="27" xfId="4" applyNumberFormat="1" applyFont="1" applyFill="1" applyBorder="1" applyAlignment="1" applyProtection="1">
      <alignment vertical="center" wrapText="1"/>
      <protection locked="0"/>
    </xf>
    <xf numFmtId="168" fontId="28" fillId="0" borderId="29" xfId="4" applyNumberFormat="1" applyFont="1" applyFill="1" applyBorder="1" applyAlignment="1" applyProtection="1">
      <alignment vertical="center" wrapText="1"/>
    </xf>
    <xf numFmtId="0" fontId="0" fillId="0" borderId="37" xfId="0" applyFont="1" applyBorder="1" applyAlignment="1"/>
    <xf numFmtId="3" fontId="0" fillId="0" borderId="38" xfId="0" applyNumberFormat="1" applyFont="1" applyBorder="1"/>
    <xf numFmtId="0" fontId="0" fillId="0" borderId="33" xfId="0" applyFont="1" applyBorder="1" applyAlignment="1"/>
    <xf numFmtId="168" fontId="28" fillId="0" borderId="13" xfId="4" applyNumberFormat="1" applyFont="1" applyFill="1" applyBorder="1" applyAlignment="1" applyProtection="1">
      <alignment vertical="center" wrapText="1"/>
    </xf>
    <xf numFmtId="3" fontId="0" fillId="0" borderId="35" xfId="0" applyNumberFormat="1" applyFont="1" applyBorder="1"/>
    <xf numFmtId="0" fontId="0" fillId="0" borderId="36" xfId="0" applyFont="1" applyBorder="1" applyAlignment="1"/>
    <xf numFmtId="0" fontId="0" fillId="0" borderId="28" xfId="0" applyFont="1" applyBorder="1" applyAlignment="1"/>
    <xf numFmtId="0" fontId="0" fillId="0" borderId="39" xfId="0" applyFont="1" applyBorder="1" applyAlignment="1"/>
    <xf numFmtId="3" fontId="0" fillId="0" borderId="40" xfId="0" applyNumberFormat="1" applyFont="1" applyBorder="1"/>
    <xf numFmtId="0" fontId="0" fillId="0" borderId="41" xfId="0" applyFont="1" applyBorder="1" applyAlignment="1"/>
    <xf numFmtId="0" fontId="0" fillId="0" borderId="19" xfId="0" applyFont="1" applyBorder="1" applyAlignment="1"/>
    <xf numFmtId="168" fontId="22" fillId="0" borderId="37" xfId="4" applyNumberFormat="1" applyFont="1" applyFill="1" applyBorder="1" applyAlignment="1" applyProtection="1">
      <alignment horizontal="left" vertical="center" wrapText="1" indent="1"/>
      <protection locked="0"/>
    </xf>
    <xf numFmtId="167" fontId="17" fillId="0" borderId="35" xfId="1" applyNumberFormat="1" applyFont="1" applyFill="1" applyBorder="1" applyAlignment="1" applyProtection="1">
      <alignment vertical="center" wrapText="1"/>
      <protection locked="0"/>
    </xf>
    <xf numFmtId="0" fontId="0" fillId="0" borderId="42" xfId="0" applyFont="1" applyBorder="1" applyAlignment="1"/>
    <xf numFmtId="0" fontId="0" fillId="0" borderId="38" xfId="0" applyFont="1" applyBorder="1" applyAlignment="1"/>
    <xf numFmtId="0" fontId="0" fillId="0" borderId="43" xfId="0" applyFont="1" applyBorder="1" applyAlignment="1"/>
    <xf numFmtId="0" fontId="0" fillId="0" borderId="35" xfId="0" applyFont="1" applyBorder="1" applyAlignment="1"/>
    <xf numFmtId="0" fontId="0" fillId="0" borderId="44" xfId="0" applyFont="1" applyBorder="1" applyAlignment="1"/>
    <xf numFmtId="0" fontId="0" fillId="0" borderId="40" xfId="0" applyFont="1" applyBorder="1" applyAlignment="1"/>
    <xf numFmtId="167" fontId="12" fillId="0" borderId="35" xfId="1" applyNumberFormat="1" applyFont="1" applyBorder="1"/>
    <xf numFmtId="167" fontId="27" fillId="0" borderId="11" xfId="1" applyNumberFormat="1" applyFont="1" applyFill="1" applyBorder="1" applyAlignment="1" applyProtection="1">
      <alignment vertical="center" wrapText="1"/>
      <protection locked="0"/>
    </xf>
    <xf numFmtId="1" fontId="27" fillId="0" borderId="14" xfId="4" applyNumberFormat="1" applyFont="1" applyFill="1" applyBorder="1" applyAlignment="1" applyProtection="1">
      <alignment horizontal="right" vertical="center" wrapText="1"/>
      <protection locked="0"/>
    </xf>
    <xf numFmtId="167" fontId="27" fillId="0" borderId="47" xfId="1" applyNumberFormat="1" applyFont="1" applyFill="1" applyBorder="1" applyAlignment="1" applyProtection="1">
      <alignment vertical="center" wrapText="1"/>
      <protection locked="0"/>
    </xf>
    <xf numFmtId="168" fontId="32" fillId="0" borderId="37" xfId="4" applyNumberFormat="1" applyFont="1" applyFill="1" applyBorder="1" applyAlignment="1" applyProtection="1">
      <alignment horizontal="left" vertical="center" wrapText="1" indent="1"/>
      <protection locked="0"/>
    </xf>
    <xf numFmtId="167" fontId="29" fillId="0" borderId="28" xfId="1" applyNumberFormat="1" applyFont="1" applyBorder="1"/>
    <xf numFmtId="0" fontId="33" fillId="0" borderId="0" xfId="0" applyFont="1"/>
    <xf numFmtId="0" fontId="36" fillId="0" borderId="0" xfId="0" applyFont="1"/>
    <xf numFmtId="168" fontId="21" fillId="0" borderId="0" xfId="4" applyNumberFormat="1" applyFill="1" applyAlignment="1">
      <alignment horizontal="center" vertical="center" wrapText="1"/>
    </xf>
    <xf numFmtId="168" fontId="21" fillId="0" borderId="0" xfId="4" applyNumberFormat="1" applyFont="1" applyFill="1" applyAlignment="1">
      <alignment vertical="center" wrapText="1"/>
    </xf>
    <xf numFmtId="168" fontId="30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8" fontId="21" fillId="0" borderId="0" xfId="4" applyNumberFormat="1" applyFont="1" applyFill="1" applyBorder="1" applyAlignment="1">
      <alignment vertical="center" wrapText="1"/>
    </xf>
    <xf numFmtId="0" fontId="21" fillId="0" borderId="0" xfId="4" applyNumberFormat="1" applyFont="1" applyFill="1" applyBorder="1" applyAlignment="1">
      <alignment horizontal="center" vertical="center" wrapText="1"/>
    </xf>
    <xf numFmtId="0" fontId="21" fillId="0" borderId="0" xfId="4" applyNumberFormat="1" applyFill="1" applyAlignment="1">
      <alignment horizontal="center" vertical="center" wrapText="1"/>
    </xf>
    <xf numFmtId="168" fontId="21" fillId="0" borderId="0" xfId="4" applyNumberFormat="1" applyFill="1" applyBorder="1" applyAlignment="1">
      <alignment vertical="center" wrapText="1"/>
    </xf>
    <xf numFmtId="0" fontId="21" fillId="0" borderId="0" xfId="4" applyNumberFormat="1" applyFill="1" applyBorder="1" applyAlignment="1">
      <alignment horizontal="center" vertical="center" wrapText="1"/>
    </xf>
    <xf numFmtId="168" fontId="31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8" fontId="21" fillId="0" borderId="0" xfId="4" applyNumberFormat="1" applyFill="1" applyBorder="1" applyAlignment="1">
      <alignment horizontal="center" vertical="center" wrapText="1"/>
    </xf>
    <xf numFmtId="0" fontId="21" fillId="0" borderId="0" xfId="4" applyNumberFormat="1" applyFill="1" applyBorder="1" applyAlignment="1">
      <alignment vertical="center" wrapText="1"/>
    </xf>
    <xf numFmtId="168" fontId="27" fillId="0" borderId="11" xfId="4" applyNumberFormat="1" applyFont="1" applyFill="1" applyBorder="1" applyAlignment="1" applyProtection="1">
      <alignment vertical="center" wrapText="1"/>
      <protection locked="0"/>
    </xf>
    <xf numFmtId="0" fontId="7" fillId="0" borderId="6" xfId="2" applyFont="1" applyBorder="1" applyAlignment="1">
      <alignment vertical="center"/>
    </xf>
    <xf numFmtId="0" fontId="11" fillId="6" borderId="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6" borderId="5" xfId="2" applyFont="1" applyFill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center" vertical="center"/>
    </xf>
    <xf numFmtId="165" fontId="6" fillId="0" borderId="6" xfId="3" applyNumberFormat="1" applyFont="1" applyBorder="1" applyAlignment="1">
      <alignment horizontal="center"/>
    </xf>
    <xf numFmtId="165" fontId="6" fillId="0" borderId="18" xfId="3" applyNumberFormat="1" applyFont="1" applyFill="1" applyBorder="1" applyAlignment="1">
      <alignment horizontal="center"/>
    </xf>
    <xf numFmtId="167" fontId="7" fillId="0" borderId="17" xfId="1" applyNumberFormat="1" applyFont="1" applyBorder="1" applyAlignment="1">
      <alignment vertical="center"/>
    </xf>
    <xf numFmtId="0" fontId="0" fillId="0" borderId="5" xfId="0" applyBorder="1"/>
    <xf numFmtId="165" fontId="8" fillId="0" borderId="6" xfId="3" applyNumberFormat="1" applyFont="1" applyBorder="1" applyAlignment="1">
      <alignment horizontal="center"/>
    </xf>
    <xf numFmtId="165" fontId="6" fillId="4" borderId="14" xfId="3" applyNumberFormat="1" applyFont="1" applyFill="1" applyBorder="1" applyAlignment="1">
      <alignment horizontal="center"/>
    </xf>
    <xf numFmtId="165" fontId="5" fillId="0" borderId="6" xfId="3" applyNumberFormat="1" applyFont="1" applyBorder="1" applyAlignment="1">
      <alignment horizontal="center"/>
    </xf>
    <xf numFmtId="165" fontId="5" fillId="0" borderId="16" xfId="3" applyNumberFormat="1" applyFont="1" applyBorder="1" applyAlignment="1">
      <alignment horizontal="center"/>
    </xf>
    <xf numFmtId="165" fontId="6" fillId="6" borderId="14" xfId="3" applyNumberFormat="1" applyFont="1" applyFill="1" applyBorder="1" applyAlignment="1">
      <alignment horizontal="center"/>
    </xf>
    <xf numFmtId="165" fontId="8" fillId="0" borderId="15" xfId="3" applyNumberFormat="1" applyFont="1" applyBorder="1" applyAlignment="1">
      <alignment horizontal="center"/>
    </xf>
    <xf numFmtId="165" fontId="8" fillId="0" borderId="5" xfId="3" applyNumberFormat="1" applyFont="1" applyFill="1" applyBorder="1" applyAlignment="1">
      <alignment horizontal="center"/>
    </xf>
    <xf numFmtId="167" fontId="14" fillId="0" borderId="6" xfId="1" applyNumberFormat="1" applyFont="1" applyBorder="1" applyAlignment="1">
      <alignment vertical="center"/>
    </xf>
    <xf numFmtId="165" fontId="9" fillId="0" borderId="6" xfId="3" applyNumberFormat="1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65" fontId="5" fillId="0" borderId="9" xfId="2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35" xfId="0" applyNumberFormat="1" applyFont="1" applyBorder="1" applyAlignment="1">
      <alignment horizontal="center"/>
    </xf>
    <xf numFmtId="3" fontId="3" fillId="0" borderId="35" xfId="0" applyNumberFormat="1" applyFont="1" applyBorder="1"/>
    <xf numFmtId="3" fontId="0" fillId="0" borderId="35" xfId="0" applyNumberFormat="1" applyBorder="1"/>
    <xf numFmtId="3" fontId="40" fillId="0" borderId="35" xfId="0" applyNumberFormat="1" applyFont="1" applyBorder="1"/>
    <xf numFmtId="0" fontId="40" fillId="0" borderId="0" xfId="0" applyFont="1"/>
    <xf numFmtId="3" fontId="39" fillId="0" borderId="35" xfId="0" applyNumberFormat="1" applyFont="1" applyBorder="1"/>
    <xf numFmtId="0" fontId="39" fillId="0" borderId="0" xfId="0" applyFont="1"/>
    <xf numFmtId="165" fontId="6" fillId="0" borderId="14" xfId="3" applyNumberFormat="1" applyFont="1" applyFill="1" applyBorder="1" applyAlignment="1">
      <alignment horizontal="center"/>
    </xf>
    <xf numFmtId="165" fontId="6" fillId="6" borderId="16" xfId="3" applyNumberFormat="1" applyFont="1" applyFill="1" applyBorder="1" applyAlignment="1">
      <alignment horizontal="center"/>
    </xf>
    <xf numFmtId="0" fontId="14" fillId="0" borderId="0" xfId="2" applyFont="1" applyAlignment="1">
      <alignment vertical="center"/>
    </xf>
    <xf numFmtId="3" fontId="5" fillId="0" borderId="5" xfId="3" applyNumberFormat="1" applyFont="1" applyBorder="1" applyAlignment="1">
      <alignment horizontal="center"/>
    </xf>
    <xf numFmtId="0" fontId="17" fillId="0" borderId="0" xfId="2" applyFont="1" applyAlignment="1">
      <alignment vertical="center"/>
    </xf>
    <xf numFmtId="165" fontId="5" fillId="0" borderId="5" xfId="2" applyNumberFormat="1" applyFont="1" applyBorder="1" applyAlignment="1">
      <alignment horizontal="center"/>
    </xf>
    <xf numFmtId="0" fontId="20" fillId="0" borderId="51" xfId="0" applyFont="1" applyBorder="1"/>
    <xf numFmtId="0" fontId="20" fillId="0" borderId="56" xfId="0" applyFont="1" applyBorder="1"/>
    <xf numFmtId="0" fontId="10" fillId="0" borderId="56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center" vertical="center" wrapText="1"/>
    </xf>
    <xf numFmtId="0" fontId="11" fillId="6" borderId="53" xfId="2" applyFont="1" applyFill="1" applyBorder="1" applyAlignment="1">
      <alignment horizontal="center" vertical="center" wrapText="1"/>
    </xf>
    <xf numFmtId="165" fontId="6" fillId="0" borderId="53" xfId="2" applyNumberFormat="1" applyFont="1" applyBorder="1" applyAlignment="1">
      <alignment horizontal="center" vertical="center"/>
    </xf>
    <xf numFmtId="165" fontId="6" fillId="0" borderId="53" xfId="3" applyNumberFormat="1" applyFont="1" applyFill="1" applyBorder="1" applyAlignment="1">
      <alignment horizontal="center"/>
    </xf>
    <xf numFmtId="165" fontId="6" fillId="0" borderId="55" xfId="3" applyNumberFormat="1" applyFont="1" applyFill="1" applyBorder="1" applyAlignment="1">
      <alignment horizontal="center"/>
    </xf>
    <xf numFmtId="165" fontId="6" fillId="0" borderId="52" xfId="3" applyNumberFormat="1" applyFont="1" applyFill="1" applyBorder="1" applyAlignment="1">
      <alignment horizontal="center"/>
    </xf>
    <xf numFmtId="165" fontId="10" fillId="0" borderId="35" xfId="3" applyNumberFormat="1" applyFont="1" applyFill="1" applyBorder="1" applyAlignment="1">
      <alignment horizontal="center"/>
    </xf>
    <xf numFmtId="165" fontId="10" fillId="0" borderId="52" xfId="3" applyNumberFormat="1" applyFont="1" applyFill="1" applyBorder="1" applyAlignment="1">
      <alignment horizontal="center"/>
    </xf>
    <xf numFmtId="165" fontId="6" fillId="0" borderId="54" xfId="3" applyNumberFormat="1" applyFont="1" applyFill="1" applyBorder="1" applyAlignment="1">
      <alignment horizontal="center"/>
    </xf>
    <xf numFmtId="165" fontId="10" fillId="0" borderId="35" xfId="3" applyNumberFormat="1" applyFont="1" applyBorder="1" applyAlignment="1">
      <alignment horizontal="center"/>
    </xf>
    <xf numFmtId="165" fontId="10" fillId="0" borderId="52" xfId="3" applyNumberFormat="1" applyFont="1" applyBorder="1" applyAlignment="1">
      <alignment horizontal="center"/>
    </xf>
    <xf numFmtId="165" fontId="8" fillId="6" borderId="53" xfId="3" applyNumberFormat="1" applyFont="1" applyFill="1" applyBorder="1" applyAlignment="1">
      <alignment horizontal="center"/>
    </xf>
    <xf numFmtId="165" fontId="8" fillId="0" borderId="53" xfId="3" applyNumberFormat="1" applyFont="1" applyFill="1" applyBorder="1" applyAlignment="1">
      <alignment horizontal="center"/>
    </xf>
    <xf numFmtId="165" fontId="6" fillId="6" borderId="53" xfId="3" applyNumberFormat="1" applyFont="1" applyFill="1" applyBorder="1" applyAlignment="1">
      <alignment horizontal="center"/>
    </xf>
    <xf numFmtId="165" fontId="5" fillId="0" borderId="53" xfId="3" applyNumberFormat="1" applyFont="1" applyFill="1" applyBorder="1" applyAlignment="1">
      <alignment horizontal="center"/>
    </xf>
    <xf numFmtId="165" fontId="5" fillId="0" borderId="60" xfId="3" applyNumberFormat="1" applyFont="1" applyFill="1" applyBorder="1" applyAlignment="1">
      <alignment horizontal="center"/>
    </xf>
    <xf numFmtId="168" fontId="31" fillId="0" borderId="46" xfId="4" applyNumberFormat="1" applyFont="1" applyFill="1" applyBorder="1" applyAlignment="1" applyProtection="1">
      <alignment horizontal="left" vertical="center" wrapText="1" indent="1"/>
      <protection locked="0"/>
    </xf>
    <xf numFmtId="167" fontId="27" fillId="0" borderId="5" xfId="1" applyNumberFormat="1" applyFont="1" applyFill="1" applyBorder="1" applyAlignment="1" applyProtection="1">
      <alignment vertical="center" wrapText="1"/>
      <protection locked="0"/>
    </xf>
    <xf numFmtId="167" fontId="6" fillId="0" borderId="5" xfId="1" applyNumberFormat="1" applyFont="1" applyBorder="1" applyAlignment="1"/>
    <xf numFmtId="167" fontId="6" fillId="0" borderId="19" xfId="1" applyNumberFormat="1" applyFont="1" applyBorder="1"/>
    <xf numFmtId="167" fontId="12" fillId="0" borderId="37" xfId="1" applyNumberFormat="1" applyFont="1" applyBorder="1"/>
    <xf numFmtId="167" fontId="27" fillId="0" borderId="16" xfId="1" applyNumberFormat="1" applyFont="1" applyFill="1" applyBorder="1" applyAlignment="1" applyProtection="1">
      <alignment vertical="center" wrapText="1"/>
      <protection locked="0"/>
    </xf>
    <xf numFmtId="0" fontId="47" fillId="0" borderId="0" xfId="0" applyFont="1"/>
    <xf numFmtId="0" fontId="0" fillId="0" borderId="40" xfId="0" applyBorder="1"/>
    <xf numFmtId="167" fontId="0" fillId="10" borderId="0" xfId="1" applyNumberFormat="1" applyFont="1" applyFill="1"/>
    <xf numFmtId="0" fontId="0" fillId="11" borderId="0" xfId="0" applyFill="1"/>
    <xf numFmtId="167" fontId="48" fillId="0" borderId="0" xfId="1" applyNumberFormat="1" applyFont="1"/>
    <xf numFmtId="0" fontId="48" fillId="0" borderId="0" xfId="0" applyFont="1"/>
    <xf numFmtId="0" fontId="49" fillId="0" borderId="0" xfId="0" applyFont="1"/>
    <xf numFmtId="167" fontId="13" fillId="0" borderId="0" xfId="0" applyNumberFormat="1" applyFont="1"/>
    <xf numFmtId="167" fontId="13" fillId="0" borderId="0" xfId="1" applyNumberFormat="1" applyFont="1"/>
    <xf numFmtId="167" fontId="19" fillId="0" borderId="16" xfId="1" applyNumberFormat="1" applyFont="1" applyBorder="1" applyAlignment="1">
      <alignment horizontal="left" vertical="justify" wrapText="1"/>
    </xf>
    <xf numFmtId="167" fontId="19" fillId="0" borderId="16" xfId="1" applyNumberFormat="1" applyFont="1" applyBorder="1" applyAlignment="1">
      <alignment horizontal="left" wrapText="1"/>
    </xf>
    <xf numFmtId="0" fontId="29" fillId="0" borderId="0" xfId="0" applyFont="1"/>
    <xf numFmtId="167" fontId="29" fillId="13" borderId="0" xfId="1" applyNumberFormat="1" applyFont="1" applyFill="1"/>
    <xf numFmtId="167" fontId="19" fillId="0" borderId="22" xfId="1" applyNumberFormat="1" applyFont="1" applyBorder="1" applyAlignment="1">
      <alignment vertical="distributed" wrapText="1"/>
    </xf>
    <xf numFmtId="0" fontId="29" fillId="0" borderId="16" xfId="0" applyFont="1" applyBorder="1"/>
    <xf numFmtId="167" fontId="12" fillId="0" borderId="54" xfId="1" applyNumberFormat="1" applyFont="1" applyBorder="1"/>
    <xf numFmtId="167" fontId="29" fillId="13" borderId="35" xfId="1" applyNumberFormat="1" applyFont="1" applyFill="1" applyBorder="1"/>
    <xf numFmtId="0" fontId="0" fillId="10" borderId="0" xfId="0" applyFill="1"/>
    <xf numFmtId="0" fontId="50" fillId="0" borderId="0" xfId="0" applyFont="1"/>
    <xf numFmtId="0" fontId="3" fillId="0" borderId="35" xfId="0" applyFont="1" applyBorder="1" applyAlignment="1">
      <alignment horizontal="center"/>
    </xf>
    <xf numFmtId="0" fontId="3" fillId="0" borderId="37" xfId="0" applyFont="1" applyBorder="1"/>
    <xf numFmtId="0" fontId="3" fillId="0" borderId="35" xfId="0" applyFont="1" applyBorder="1"/>
    <xf numFmtId="3" fontId="39" fillId="0" borderId="37" xfId="0" applyNumberFormat="1" applyFont="1" applyBorder="1"/>
    <xf numFmtId="3" fontId="3" fillId="0" borderId="37" xfId="0" applyNumberFormat="1" applyFont="1" applyBorder="1"/>
    <xf numFmtId="3" fontId="51" fillId="0" borderId="35" xfId="0" applyNumberFormat="1" applyFont="1" applyBorder="1"/>
    <xf numFmtId="0" fontId="51" fillId="0" borderId="0" xfId="0" applyFont="1"/>
    <xf numFmtId="0" fontId="0" fillId="0" borderId="35" xfId="0" applyBorder="1" applyAlignment="1">
      <alignment horizontal="center"/>
    </xf>
    <xf numFmtId="167" fontId="52" fillId="10" borderId="56" xfId="1" applyNumberFormat="1" applyFont="1" applyFill="1" applyBorder="1" applyAlignment="1">
      <alignment horizontal="right"/>
    </xf>
    <xf numFmtId="0" fontId="0" fillId="0" borderId="38" xfId="0" applyBorder="1"/>
    <xf numFmtId="3" fontId="0" fillId="0" borderId="35" xfId="0" applyNumberFormat="1" applyBorder="1" applyAlignment="1">
      <alignment horizontal="center"/>
    </xf>
    <xf numFmtId="3" fontId="0" fillId="0" borderId="38" xfId="0" applyNumberFormat="1" applyBorder="1"/>
    <xf numFmtId="168" fontId="22" fillId="0" borderId="0" xfId="4" applyNumberFormat="1" applyFont="1" applyFill="1" applyAlignment="1">
      <alignment horizontal="center" vertical="center" wrapText="1"/>
    </xf>
    <xf numFmtId="168" fontId="22" fillId="0" borderId="0" xfId="4" applyNumberFormat="1" applyFont="1" applyFill="1" applyAlignment="1">
      <alignment vertical="center" wrapText="1"/>
    </xf>
    <xf numFmtId="3" fontId="53" fillId="0" borderId="0" xfId="0" applyNumberFormat="1" applyFont="1"/>
    <xf numFmtId="3" fontId="53" fillId="10" borderId="0" xfId="0" applyNumberFormat="1" applyFont="1" applyFill="1"/>
    <xf numFmtId="3" fontId="53" fillId="12" borderId="0" xfId="0" applyNumberFormat="1" applyFont="1" applyFill="1"/>
    <xf numFmtId="3" fontId="29" fillId="13" borderId="35" xfId="1" applyNumberFormat="1" applyFont="1" applyFill="1" applyBorder="1"/>
    <xf numFmtId="168" fontId="22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8" fontId="28" fillId="0" borderId="0" xfId="4" applyNumberFormat="1" applyFont="1" applyFill="1" applyBorder="1" applyAlignment="1" applyProtection="1">
      <alignment vertical="center" wrapText="1"/>
    </xf>
    <xf numFmtId="167" fontId="6" fillId="0" borderId="0" xfId="1" applyNumberFormat="1" applyFont="1" applyBorder="1" applyAlignment="1"/>
    <xf numFmtId="167" fontId="8" fillId="0" borderId="37" xfId="1" applyNumberFormat="1" applyFont="1" applyBorder="1" applyAlignment="1">
      <alignment horizontal="left"/>
    </xf>
    <xf numFmtId="167" fontId="8" fillId="0" borderId="28" xfId="1" applyNumberFormat="1" applyFont="1" applyBorder="1"/>
    <xf numFmtId="167" fontId="8" fillId="0" borderId="36" xfId="1" applyNumberFormat="1" applyFont="1" applyBorder="1" applyAlignment="1"/>
    <xf numFmtId="167" fontId="6" fillId="0" borderId="56" xfId="1" applyNumberFormat="1" applyFont="1" applyBorder="1"/>
    <xf numFmtId="167" fontId="6" fillId="0" borderId="30" xfId="1" applyNumberFormat="1" applyFont="1" applyBorder="1"/>
    <xf numFmtId="167" fontId="6" fillId="0" borderId="40" xfId="1" applyNumberFormat="1" applyFont="1" applyBorder="1" applyAlignment="1"/>
    <xf numFmtId="167" fontId="6" fillId="0" borderId="52" xfId="1" applyNumberFormat="1" applyFont="1" applyBorder="1" applyAlignment="1"/>
    <xf numFmtId="167" fontId="6" fillId="0" borderId="46" xfId="1" applyNumberFormat="1" applyFont="1" applyBorder="1" applyAlignment="1">
      <alignment horizontal="left"/>
    </xf>
    <xf numFmtId="167" fontId="6" fillId="0" borderId="61" xfId="1" applyNumberFormat="1" applyFont="1" applyBorder="1" applyAlignment="1">
      <alignment horizontal="left"/>
    </xf>
    <xf numFmtId="167" fontId="29" fillId="0" borderId="35" xfId="1" applyNumberFormat="1" applyFont="1" applyBorder="1"/>
    <xf numFmtId="0" fontId="1" fillId="0" borderId="0" xfId="0" applyFont="1"/>
    <xf numFmtId="168" fontId="23" fillId="0" borderId="51" xfId="4" applyNumberFormat="1" applyFont="1" applyFill="1" applyBorder="1" applyAlignment="1">
      <alignment horizontal="center" vertical="center" wrapText="1"/>
    </xf>
    <xf numFmtId="168" fontId="24" fillId="0" borderId="62" xfId="4" applyNumberFormat="1" applyFont="1" applyFill="1" applyBorder="1" applyAlignment="1" applyProtection="1">
      <alignment horizontal="center" vertical="center" wrapText="1"/>
    </xf>
    <xf numFmtId="0" fontId="0" fillId="0" borderId="51" xfId="0" applyFont="1" applyBorder="1" applyAlignment="1"/>
    <xf numFmtId="0" fontId="0" fillId="0" borderId="62" xfId="0" applyFont="1" applyBorder="1" applyAlignment="1"/>
    <xf numFmtId="167" fontId="29" fillId="0" borderId="37" xfId="1" applyNumberFormat="1" applyFont="1" applyBorder="1"/>
    <xf numFmtId="167" fontId="8" fillId="0" borderId="51" xfId="1" applyNumberFormat="1" applyFont="1" applyBorder="1"/>
    <xf numFmtId="168" fontId="23" fillId="0" borderId="35" xfId="4" applyNumberFormat="1" applyFont="1" applyFill="1" applyBorder="1" applyAlignment="1" applyProtection="1">
      <alignment horizontal="center" vertical="center" wrapText="1"/>
    </xf>
    <xf numFmtId="168" fontId="24" fillId="0" borderId="38" xfId="4" applyNumberFormat="1" applyFont="1" applyFill="1" applyBorder="1" applyAlignment="1" applyProtection="1">
      <alignment horizontal="center" vertical="center" wrapText="1"/>
    </xf>
    <xf numFmtId="168" fontId="28" fillId="0" borderId="35" xfId="4" applyNumberFormat="1" applyFont="1" applyFill="1" applyBorder="1" applyAlignment="1" applyProtection="1">
      <alignment vertical="center" wrapText="1"/>
    </xf>
    <xf numFmtId="168" fontId="28" fillId="0" borderId="54" xfId="4" applyNumberFormat="1" applyFont="1" applyFill="1" applyBorder="1" applyAlignment="1" applyProtection="1">
      <alignment vertical="center" wrapText="1"/>
    </xf>
    <xf numFmtId="168" fontId="28" fillId="0" borderId="53" xfId="4" applyNumberFormat="1" applyFont="1" applyFill="1" applyBorder="1" applyAlignment="1" applyProtection="1">
      <alignment vertical="center" wrapText="1"/>
    </xf>
    <xf numFmtId="167" fontId="8" fillId="0" borderId="0" xfId="1" applyNumberFormat="1" applyFont="1" applyBorder="1" applyAlignment="1">
      <alignment horizontal="left"/>
    </xf>
    <xf numFmtId="167" fontId="8" fillId="0" borderId="0" xfId="1" applyNumberFormat="1" applyFont="1" applyBorder="1"/>
    <xf numFmtId="167" fontId="8" fillId="0" borderId="0" xfId="1" applyNumberFormat="1" applyFont="1" applyBorder="1" applyAlignment="1"/>
    <xf numFmtId="167" fontId="29" fillId="0" borderId="51" xfId="1" applyNumberFormat="1" applyFont="1" applyBorder="1"/>
    <xf numFmtId="168" fontId="28" fillId="0" borderId="55" xfId="4" applyNumberFormat="1" applyFont="1" applyFill="1" applyBorder="1" applyAlignment="1" applyProtection="1">
      <alignment vertical="center" wrapText="1"/>
    </xf>
    <xf numFmtId="168" fontId="34" fillId="0" borderId="38" xfId="4" applyNumberFormat="1" applyFont="1" applyFill="1" applyBorder="1" applyAlignment="1" applyProtection="1">
      <alignment vertical="center" wrapText="1"/>
    </xf>
    <xf numFmtId="168" fontId="31" fillId="0" borderId="35" xfId="4" applyNumberFormat="1" applyFont="1" applyFill="1" applyBorder="1" applyAlignment="1" applyProtection="1">
      <alignment vertical="center" wrapText="1"/>
    </xf>
    <xf numFmtId="168" fontId="30" fillId="0" borderId="63" xfId="4" applyNumberFormat="1" applyFont="1" applyFill="1" applyBorder="1" applyAlignment="1" applyProtection="1">
      <alignment horizontal="left" vertical="center" wrapText="1" indent="1"/>
      <protection locked="0"/>
    </xf>
    <xf numFmtId="1" fontId="27" fillId="0" borderId="12" xfId="4" applyNumberFormat="1" applyFont="1" applyFill="1" applyBorder="1" applyAlignment="1" applyProtection="1">
      <alignment horizontal="right" vertical="center" wrapText="1"/>
      <protection locked="0"/>
    </xf>
    <xf numFmtId="1" fontId="27" fillId="0" borderId="18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30" xfId="0" applyFont="1" applyBorder="1" applyAlignment="1"/>
    <xf numFmtId="168" fontId="34" fillId="0" borderId="42" xfId="4" applyNumberFormat="1" applyFont="1" applyFill="1" applyBorder="1" applyAlignment="1">
      <alignment horizontal="left" vertical="center" wrapText="1"/>
    </xf>
    <xf numFmtId="168" fontId="35" fillId="0" borderId="33" xfId="4" applyNumberFormat="1" applyFont="1" applyFill="1" applyBorder="1" applyAlignment="1">
      <alignment vertical="center" wrapText="1"/>
    </xf>
    <xf numFmtId="168" fontId="35" fillId="0" borderId="62" xfId="4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0" fontId="4" fillId="0" borderId="5" xfId="0" applyFont="1" applyBorder="1" applyAlignment="1">
      <alignment horizontal="centerContinuous"/>
    </xf>
    <xf numFmtId="0" fontId="4" fillId="0" borderId="5" xfId="0" applyFont="1" applyBorder="1"/>
    <xf numFmtId="165" fontId="4" fillId="0" borderId="0" xfId="0" applyNumberFormat="1" applyFont="1"/>
    <xf numFmtId="169" fontId="4" fillId="0" borderId="0" xfId="0" applyNumberFormat="1" applyFont="1"/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165" fontId="7" fillId="0" borderId="0" xfId="2" applyNumberFormat="1" applyFont="1" applyAlignment="1">
      <alignment vertical="center"/>
    </xf>
    <xf numFmtId="3" fontId="2" fillId="0" borderId="35" xfId="0" applyNumberFormat="1" applyFont="1" applyBorder="1"/>
    <xf numFmtId="0" fontId="2" fillId="0" borderId="0" xfId="0" applyFont="1"/>
    <xf numFmtId="0" fontId="0" fillId="0" borderId="35" xfId="0" applyBorder="1"/>
    <xf numFmtId="0" fontId="51" fillId="0" borderId="35" xfId="0" applyFont="1" applyBorder="1"/>
    <xf numFmtId="3" fontId="0" fillId="0" borderId="40" xfId="0" applyNumberFormat="1" applyBorder="1"/>
    <xf numFmtId="3" fontId="56" fillId="0" borderId="35" xfId="0" applyNumberFormat="1" applyFont="1" applyBorder="1"/>
    <xf numFmtId="0" fontId="40" fillId="0" borderId="2" xfId="0" applyFont="1" applyBorder="1"/>
    <xf numFmtId="0" fontId="40" fillId="0" borderId="58" xfId="0" applyFont="1" applyBorder="1"/>
    <xf numFmtId="0" fontId="55" fillId="0" borderId="19" xfId="0" quotePrefix="1" applyFont="1" applyBorder="1" applyAlignment="1">
      <alignment wrapText="1"/>
    </xf>
    <xf numFmtId="0" fontId="55" fillId="0" borderId="2" xfId="0" applyFont="1" applyBorder="1"/>
    <xf numFmtId="0" fontId="55" fillId="0" borderId="11" xfId="0" quotePrefix="1" applyFont="1" applyBorder="1" applyAlignment="1">
      <alignment wrapText="1"/>
    </xf>
    <xf numFmtId="0" fontId="55" fillId="0" borderId="16" xfId="0" applyFont="1" applyBorder="1" applyAlignment="1">
      <alignment horizontal="center" wrapText="1"/>
    </xf>
    <xf numFmtId="167" fontId="0" fillId="0" borderId="4" xfId="0" applyNumberFormat="1" applyBorder="1"/>
    <xf numFmtId="167" fontId="4" fillId="0" borderId="16" xfId="1" applyNumberFormat="1" applyFont="1" applyBorder="1"/>
    <xf numFmtId="3" fontId="4" fillId="0" borderId="35" xfId="0" applyNumberFormat="1" applyFont="1" applyBorder="1" applyAlignment="1">
      <alignment wrapText="1"/>
    </xf>
    <xf numFmtId="167" fontId="4" fillId="0" borderId="14" xfId="1" applyNumberFormat="1" applyFont="1" applyBorder="1"/>
    <xf numFmtId="167" fontId="4" fillId="0" borderId="5" xfId="1" applyNumberFormat="1" applyFont="1" applyBorder="1"/>
    <xf numFmtId="167" fontId="4" fillId="0" borderId="13" xfId="1" applyNumberFormat="1" applyFont="1" applyBorder="1"/>
    <xf numFmtId="167" fontId="4" fillId="0" borderId="11" xfId="1" applyNumberFormat="1" applyFont="1" applyBorder="1"/>
    <xf numFmtId="167" fontId="4" fillId="0" borderId="6" xfId="1" applyNumberFormat="1" applyFont="1" applyBorder="1"/>
    <xf numFmtId="167" fontId="40" fillId="0" borderId="4" xfId="0" applyNumberFormat="1" applyFont="1" applyBorder="1"/>
    <xf numFmtId="167" fontId="14" fillId="0" borderId="4" xfId="1" applyNumberFormat="1" applyFont="1" applyBorder="1"/>
    <xf numFmtId="167" fontId="14" fillId="0" borderId="53" xfId="1" applyNumberFormat="1" applyFont="1" applyBorder="1"/>
    <xf numFmtId="167" fontId="4" fillId="0" borderId="22" xfId="1" applyNumberFormat="1" applyFont="1" applyBorder="1"/>
    <xf numFmtId="167" fontId="4" fillId="0" borderId="48" xfId="1" applyNumberFormat="1" applyFont="1" applyBorder="1"/>
    <xf numFmtId="167" fontId="4" fillId="0" borderId="23" xfId="1" applyNumberFormat="1" applyFont="1" applyBorder="1"/>
    <xf numFmtId="167" fontId="14" fillId="0" borderId="66" xfId="0" applyNumberFormat="1" applyFont="1" applyBorder="1"/>
    <xf numFmtId="167" fontId="14" fillId="0" borderId="28" xfId="0" applyNumberFormat="1" applyFont="1" applyBorder="1"/>
    <xf numFmtId="167" fontId="14" fillId="0" borderId="29" xfId="0" applyNumberFormat="1" applyFont="1" applyBorder="1"/>
    <xf numFmtId="167" fontId="14" fillId="0" borderId="7" xfId="0" applyNumberFormat="1" applyFont="1" applyBorder="1"/>
    <xf numFmtId="167" fontId="14" fillId="0" borderId="60" xfId="0" applyNumberFormat="1" applyFont="1" applyBorder="1"/>
    <xf numFmtId="0" fontId="14" fillId="0" borderId="0" xfId="0" applyFont="1"/>
    <xf numFmtId="167" fontId="4" fillId="0" borderId="0" xfId="0" applyNumberFormat="1" applyFont="1"/>
    <xf numFmtId="0" fontId="56" fillId="10" borderId="37" xfId="0" applyFont="1" applyFill="1" applyBorder="1" applyAlignment="1">
      <alignment horizontal="center"/>
    </xf>
    <xf numFmtId="171" fontId="17" fillId="0" borderId="44" xfId="1" applyNumberFormat="1" applyFont="1" applyBorder="1"/>
    <xf numFmtId="0" fontId="56" fillId="0" borderId="0" xfId="0" applyFont="1"/>
    <xf numFmtId="3" fontId="60" fillId="0" borderId="0" xfId="0" applyNumberFormat="1" applyFont="1"/>
    <xf numFmtId="167" fontId="57" fillId="0" borderId="35" xfId="1" applyNumberFormat="1" applyFont="1" applyBorder="1"/>
    <xf numFmtId="167" fontId="61" fillId="10" borderId="5" xfId="1" applyNumberFormat="1" applyFont="1" applyFill="1" applyBorder="1" applyAlignment="1">
      <alignment horizontal="center"/>
    </xf>
    <xf numFmtId="165" fontId="9" fillId="0" borderId="22" xfId="3" applyNumberFormat="1" applyFont="1" applyBorder="1" applyAlignment="1">
      <alignment horizontal="center"/>
    </xf>
    <xf numFmtId="165" fontId="5" fillId="0" borderId="11" xfId="3" applyNumberFormat="1" applyFont="1" applyBorder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49" fontId="45" fillId="0" borderId="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45" fillId="0" borderId="4" xfId="1" applyNumberFormat="1" applyFont="1" applyBorder="1" applyAlignment="1">
      <alignment horizontal="center"/>
    </xf>
    <xf numFmtId="3" fontId="55" fillId="0" borderId="35" xfId="0" applyNumberFormat="1" applyFont="1" applyBorder="1" applyAlignment="1">
      <alignment horizontal="center"/>
    </xf>
    <xf numFmtId="49" fontId="46" fillId="0" borderId="4" xfId="1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5" xfId="2" applyFont="1" applyBorder="1" applyAlignment="1">
      <alignment horizontal="left"/>
    </xf>
    <xf numFmtId="168" fontId="27" fillId="0" borderId="72" xfId="4" applyNumberFormat="1" applyFont="1" applyFill="1" applyBorder="1" applyAlignment="1" applyProtection="1">
      <alignment vertical="center" wrapText="1"/>
      <protection locked="0"/>
    </xf>
    <xf numFmtId="1" fontId="27" fillId="0" borderId="72" xfId="4" applyNumberFormat="1" applyFont="1" applyFill="1" applyBorder="1" applyAlignment="1" applyProtection="1">
      <alignment vertical="center" wrapText="1"/>
      <protection locked="0"/>
    </xf>
    <xf numFmtId="168" fontId="28" fillId="0" borderId="26" xfId="4" applyNumberFormat="1" applyFont="1" applyFill="1" applyBorder="1" applyAlignment="1" applyProtection="1">
      <alignment vertical="center" wrapText="1"/>
    </xf>
    <xf numFmtId="0" fontId="0" fillId="0" borderId="38" xfId="0" applyBorder="1" applyAlignment="1">
      <alignment vertical="distributed" wrapText="1"/>
    </xf>
    <xf numFmtId="1" fontId="27" fillId="0" borderId="72" xfId="4" applyNumberFormat="1" applyFont="1" applyFill="1" applyBorder="1" applyAlignment="1" applyProtection="1">
      <alignment horizontal="right" vertical="center" wrapText="1"/>
      <protection locked="0"/>
    </xf>
    <xf numFmtId="168" fontId="28" fillId="0" borderId="52" xfId="4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11" fillId="0" borderId="22" xfId="2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40" fillId="0" borderId="36" xfId="0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51" fillId="0" borderId="36" xfId="0" applyFont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56" fillId="0" borderId="36" xfId="0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0" fontId="6" fillId="0" borderId="16" xfId="2" applyFont="1" applyBorder="1" applyAlignment="1">
      <alignment horizontal="left"/>
    </xf>
    <xf numFmtId="0" fontId="0" fillId="0" borderId="14" xfId="0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8" borderId="5" xfId="2" applyFont="1" applyFill="1" applyBorder="1" applyAlignment="1">
      <alignment horizontal="left"/>
    </xf>
    <xf numFmtId="0" fontId="6" fillId="0" borderId="14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18" fillId="0" borderId="5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0" fontId="5" fillId="3" borderId="5" xfId="2" applyFont="1" applyFill="1" applyBorder="1" applyAlignment="1">
      <alignment horizontal="left"/>
    </xf>
    <xf numFmtId="0" fontId="8" fillId="0" borderId="5" xfId="2" applyFont="1" applyBorder="1" applyAlignment="1">
      <alignment horizontal="left"/>
    </xf>
    <xf numFmtId="0" fontId="15" fillId="5" borderId="5" xfId="2" applyFont="1" applyFill="1" applyBorder="1" applyAlignment="1">
      <alignment horizontal="left"/>
    </xf>
    <xf numFmtId="0" fontId="6" fillId="0" borderId="5" xfId="2" applyFont="1" applyBorder="1" applyAlignment="1">
      <alignment horizontal="left" vertical="center" wrapText="1"/>
    </xf>
    <xf numFmtId="0" fontId="5" fillId="3" borderId="5" xfId="2" applyFont="1" applyFill="1" applyBorder="1" applyAlignment="1">
      <alignment horizontal="left" vertical="center" wrapText="1"/>
    </xf>
    <xf numFmtId="0" fontId="6" fillId="0" borderId="5" xfId="2" applyFont="1" applyBorder="1" applyAlignment="1">
      <alignment horizontal="left" wrapText="1"/>
    </xf>
    <xf numFmtId="0" fontId="15" fillId="5" borderId="5" xfId="2" applyFont="1" applyFill="1" applyBorder="1" applyAlignment="1">
      <alignment horizontal="left" wrapText="1"/>
    </xf>
    <xf numFmtId="0" fontId="6" fillId="7" borderId="5" xfId="2" applyFont="1" applyFill="1" applyBorder="1" applyAlignment="1">
      <alignment horizontal="center"/>
    </xf>
    <xf numFmtId="0" fontId="8" fillId="5" borderId="5" xfId="2" applyFont="1" applyFill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5" xfId="2" applyFont="1" applyBorder="1" applyAlignment="1">
      <alignment horizontal="right" vertical="center"/>
    </xf>
    <xf numFmtId="0" fontId="6" fillId="0" borderId="16" xfId="2" applyFont="1" applyBorder="1" applyAlignment="1">
      <alignment horizontal="right" wrapText="1"/>
    </xf>
    <xf numFmtId="0" fontId="6" fillId="0" borderId="14" xfId="2" applyFont="1" applyBorder="1" applyAlignment="1">
      <alignment horizontal="right" wrapText="1"/>
    </xf>
    <xf numFmtId="0" fontId="6" fillId="0" borderId="5" xfId="2" applyFont="1" applyBorder="1" applyAlignment="1">
      <alignment horizontal="right" vertical="center"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5" fillId="3" borderId="16" xfId="2" applyFont="1" applyFill="1" applyBorder="1" applyAlignment="1">
      <alignment horizontal="left" vertical="center"/>
    </xf>
    <xf numFmtId="0" fontId="12" fillId="3" borderId="14" xfId="0" applyFont="1" applyFill="1" applyBorder="1" applyAlignment="1"/>
    <xf numFmtId="0" fontId="7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Border="1" applyAlignment="1">
      <alignment horizontal="right"/>
    </xf>
    <xf numFmtId="0" fontId="10" fillId="0" borderId="1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0" fontId="5" fillId="0" borderId="16" xfId="2" applyFont="1" applyBorder="1" applyAlignment="1">
      <alignment horizontal="left" wrapText="1"/>
    </xf>
    <xf numFmtId="0" fontId="5" fillId="0" borderId="8" xfId="2" applyFont="1" applyBorder="1" applyAlignment="1">
      <alignment horizontal="left"/>
    </xf>
    <xf numFmtId="0" fontId="5" fillId="0" borderId="8" xfId="2" applyFont="1" applyBorder="1" applyAlignment="1">
      <alignment horizontal="left" wrapText="1"/>
    </xf>
    <xf numFmtId="0" fontId="5" fillId="0" borderId="25" xfId="2" applyFont="1" applyBorder="1" applyAlignment="1">
      <alignment horizontal="left" wrapText="1"/>
    </xf>
    <xf numFmtId="0" fontId="8" fillId="6" borderId="16" xfId="2" applyFont="1" applyFill="1" applyBorder="1" applyAlignment="1">
      <alignment horizontal="left" wrapText="1"/>
    </xf>
    <xf numFmtId="0" fontId="8" fillId="6" borderId="17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/>
    </xf>
    <xf numFmtId="0" fontId="8" fillId="0" borderId="16" xfId="2" applyFont="1" applyBorder="1" applyAlignment="1">
      <alignment horizontal="left" wrapText="1"/>
    </xf>
    <xf numFmtId="0" fontId="8" fillId="0" borderId="17" xfId="2" applyFont="1" applyBorder="1" applyAlignment="1">
      <alignment horizontal="left" wrapText="1"/>
    </xf>
    <xf numFmtId="0" fontId="6" fillId="6" borderId="5" xfId="2" applyFont="1" applyFill="1" applyBorder="1" applyAlignment="1">
      <alignment horizontal="center"/>
    </xf>
    <xf numFmtId="0" fontId="6" fillId="6" borderId="16" xfId="2" applyFont="1" applyFill="1" applyBorder="1" applyAlignment="1">
      <alignment horizontal="center"/>
    </xf>
    <xf numFmtId="0" fontId="8" fillId="6" borderId="5" xfId="2" applyFont="1" applyFill="1" applyBorder="1" applyAlignment="1">
      <alignment horizontal="left" wrapText="1"/>
    </xf>
    <xf numFmtId="0" fontId="6" fillId="0" borderId="16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left" vertical="center" wrapText="1"/>
    </xf>
    <xf numFmtId="0" fontId="6" fillId="0" borderId="48" xfId="2" applyFont="1" applyBorder="1" applyAlignment="1">
      <alignment horizontal="left" vertical="center" wrapText="1"/>
    </xf>
    <xf numFmtId="0" fontId="10" fillId="0" borderId="28" xfId="2" applyFont="1" applyBorder="1" applyAlignment="1">
      <alignment horizontal="left"/>
    </xf>
    <xf numFmtId="0" fontId="10" fillId="0" borderId="28" xfId="2" applyFont="1" applyBorder="1" applyAlignment="1">
      <alignment horizontal="left" vertical="center" wrapText="1"/>
    </xf>
    <xf numFmtId="0" fontId="10" fillId="0" borderId="51" xfId="2" applyFont="1" applyBorder="1" applyAlignment="1">
      <alignment horizontal="left" vertical="center" wrapText="1"/>
    </xf>
    <xf numFmtId="0" fontId="10" fillId="0" borderId="30" xfId="2" applyFont="1" applyBorder="1" applyAlignment="1">
      <alignment horizontal="left"/>
    </xf>
    <xf numFmtId="0" fontId="10" fillId="0" borderId="31" xfId="2" applyFont="1" applyBorder="1" applyAlignment="1">
      <alignment horizontal="left"/>
    </xf>
    <xf numFmtId="0" fontId="6" fillId="0" borderId="11" xfId="2" applyFont="1" applyBorder="1" applyAlignment="1">
      <alignment horizontal="left"/>
    </xf>
    <xf numFmtId="0" fontId="6" fillId="6" borderId="5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left" wrapText="1"/>
    </xf>
    <xf numFmtId="0" fontId="6" fillId="0" borderId="16" xfId="2" applyFont="1" applyBorder="1" applyAlignment="1">
      <alignment horizontal="right" vertical="center" wrapText="1"/>
    </xf>
    <xf numFmtId="0" fontId="6" fillId="0" borderId="25" xfId="2" applyFont="1" applyBorder="1" applyAlignment="1">
      <alignment horizontal="right" vertical="center" wrapText="1"/>
    </xf>
    <xf numFmtId="0" fontId="6" fillId="0" borderId="59" xfId="2" applyFont="1" applyBorder="1" applyAlignment="1">
      <alignment horizontal="right" vertical="center" wrapText="1"/>
    </xf>
    <xf numFmtId="0" fontId="6" fillId="0" borderId="11" xfId="2" applyFont="1" applyBorder="1" applyAlignment="1">
      <alignment horizontal="left" vertical="center" wrapText="1"/>
    </xf>
    <xf numFmtId="0" fontId="6" fillId="0" borderId="47" xfId="2" applyFont="1" applyBorder="1" applyAlignment="1">
      <alignment horizontal="left" vertical="center" wrapText="1"/>
    </xf>
    <xf numFmtId="0" fontId="6" fillId="6" borderId="5" xfId="2" applyFont="1" applyFill="1" applyBorder="1" applyAlignment="1">
      <alignment horizontal="left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right" vertical="center" wrapText="1"/>
    </xf>
    <xf numFmtId="0" fontId="6" fillId="6" borderId="22" xfId="2" applyFont="1" applyFill="1" applyBorder="1" applyAlignment="1">
      <alignment horizontal="left"/>
    </xf>
    <xf numFmtId="0" fontId="19" fillId="0" borderId="16" xfId="2" applyFont="1" applyBorder="1" applyAlignment="1">
      <alignment horizontal="right" wrapText="1"/>
    </xf>
    <xf numFmtId="0" fontId="19" fillId="0" borderId="17" xfId="2" applyFont="1" applyBorder="1" applyAlignment="1">
      <alignment horizontal="right" wrapText="1"/>
    </xf>
    <xf numFmtId="0" fontId="0" fillId="0" borderId="16" xfId="0" applyBorder="1" applyAlignment="1">
      <alignment horizontal="left" vertical="center"/>
    </xf>
    <xf numFmtId="0" fontId="8" fillId="0" borderId="5" xfId="2" applyFont="1" applyBorder="1" applyAlignment="1">
      <alignment horizontal="center"/>
    </xf>
    <xf numFmtId="0" fontId="8" fillId="0" borderId="1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58" xfId="2" applyFont="1" applyBorder="1" applyAlignment="1">
      <alignment horizontal="center" vertical="center"/>
    </xf>
    <xf numFmtId="168" fontId="22" fillId="0" borderId="0" xfId="4" applyNumberFormat="1" applyFont="1" applyFill="1" applyAlignment="1">
      <alignment horizontal="center" vertical="center" wrapText="1"/>
    </xf>
    <xf numFmtId="168" fontId="22" fillId="0" borderId="0" xfId="4" applyNumberFormat="1" applyFont="1" applyFill="1" applyAlignment="1">
      <alignment vertical="center" wrapText="1"/>
    </xf>
    <xf numFmtId="165" fontId="4" fillId="0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55" fillId="0" borderId="5" xfId="0" applyNumberFormat="1" applyFont="1" applyBorder="1" applyAlignment="1">
      <alignment horizontal="center"/>
    </xf>
    <xf numFmtId="0" fontId="55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65" fontId="4" fillId="9" borderId="5" xfId="0" applyNumberFormat="1" applyFont="1" applyFill="1" applyBorder="1" applyAlignment="1">
      <alignment horizontal="center"/>
    </xf>
    <xf numFmtId="0" fontId="52" fillId="0" borderId="5" xfId="0" applyFont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165" fontId="4" fillId="6" borderId="5" xfId="0" applyNumberFormat="1" applyFont="1" applyFill="1" applyBorder="1" applyAlignment="1">
      <alignment horizontal="center"/>
    </xf>
    <xf numFmtId="0" fontId="5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/>
    </xf>
    <xf numFmtId="165" fontId="4" fillId="0" borderId="17" xfId="0" applyNumberFormat="1" applyFont="1" applyFill="1" applyBorder="1" applyAlignment="1">
      <alignment horizontal="center"/>
    </xf>
    <xf numFmtId="165" fontId="4" fillId="0" borderId="14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 wrapText="1"/>
    </xf>
    <xf numFmtId="0" fontId="11" fillId="0" borderId="2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right" wrapText="1"/>
    </xf>
    <xf numFmtId="0" fontId="10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40" fillId="0" borderId="37" xfId="0" applyFont="1" applyBorder="1" applyAlignment="1">
      <alignment horizontal="center"/>
    </xf>
    <xf numFmtId="0" fontId="40" fillId="0" borderId="36" xfId="0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39" fillId="0" borderId="36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7" xfId="0" applyBorder="1" applyAlignment="1">
      <alignment horizontal="center" vertical="distributed" wrapText="1"/>
    </xf>
    <xf numFmtId="0" fontId="0" fillId="0" borderId="36" xfId="0" applyBorder="1" applyAlignment="1">
      <alignment horizontal="center" vertical="distributed" wrapText="1"/>
    </xf>
    <xf numFmtId="0" fontId="0" fillId="0" borderId="44" xfId="0" applyBorder="1" applyAlignment="1">
      <alignment horizontal="center" vertical="distributed" wrapText="1"/>
    </xf>
    <xf numFmtId="0" fontId="3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5" xfId="0" applyBorder="1" applyAlignment="1">
      <alignment horizontal="center"/>
    </xf>
    <xf numFmtId="0" fontId="40" fillId="0" borderId="39" xfId="0" applyFont="1" applyBorder="1" applyAlignment="1">
      <alignment horizontal="center"/>
    </xf>
    <xf numFmtId="0" fontId="40" fillId="0" borderId="41" xfId="0" applyFont="1" applyBorder="1" applyAlignment="1">
      <alignment horizontal="center"/>
    </xf>
    <xf numFmtId="0" fontId="40" fillId="0" borderId="45" xfId="0" applyFont="1" applyBorder="1" applyAlignment="1">
      <alignment horizontal="center"/>
    </xf>
    <xf numFmtId="0" fontId="40" fillId="0" borderId="39" xfId="0" applyFont="1" applyBorder="1" applyAlignment="1">
      <alignment horizontal="justify" vertical="distributed" wrapText="1"/>
    </xf>
    <xf numFmtId="0" fontId="40" fillId="0" borderId="41" xfId="0" applyFont="1" applyBorder="1" applyAlignment="1">
      <alignment horizontal="justify" vertical="distributed" wrapText="1"/>
    </xf>
    <xf numFmtId="0" fontId="40" fillId="0" borderId="45" xfId="0" applyFont="1" applyBorder="1" applyAlignment="1">
      <alignment horizontal="justify" vertical="distributed" wrapText="1"/>
    </xf>
    <xf numFmtId="0" fontId="50" fillId="0" borderId="39" xfId="0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0" fontId="50" fillId="0" borderId="4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0" fontId="52" fillId="10" borderId="37" xfId="0" applyFont="1" applyFill="1" applyBorder="1" applyAlignment="1">
      <alignment horizontal="center"/>
    </xf>
    <xf numFmtId="0" fontId="52" fillId="10" borderId="36" xfId="0" applyFont="1" applyFill="1" applyBorder="1" applyAlignment="1">
      <alignment horizontal="center"/>
    </xf>
    <xf numFmtId="0" fontId="52" fillId="10" borderId="44" xfId="0" applyFont="1" applyFill="1" applyBorder="1" applyAlignment="1">
      <alignment horizontal="center"/>
    </xf>
    <xf numFmtId="0" fontId="51" fillId="0" borderId="37" xfId="0" applyFont="1" applyBorder="1" applyAlignment="1">
      <alignment horizontal="center"/>
    </xf>
    <xf numFmtId="0" fontId="51" fillId="0" borderId="36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43" xfId="0" applyBorder="1" applyAlignment="1">
      <alignment horizontal="center"/>
    </xf>
    <xf numFmtId="0" fontId="56" fillId="0" borderId="37" xfId="0" applyFont="1" applyBorder="1" applyAlignment="1">
      <alignment horizontal="center"/>
    </xf>
    <xf numFmtId="0" fontId="56" fillId="0" borderId="36" xfId="0" applyFont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55" fillId="0" borderId="61" xfId="0" applyFont="1" applyBorder="1" applyAlignment="1">
      <alignment horizontal="center"/>
    </xf>
    <xf numFmtId="0" fontId="55" fillId="0" borderId="37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55" fillId="0" borderId="36" xfId="0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40" fillId="0" borderId="67" xfId="0" applyFont="1" applyBorder="1" applyAlignment="1">
      <alignment horizontal="center" wrapText="1"/>
    </xf>
    <xf numFmtId="0" fontId="40" fillId="0" borderId="10" xfId="0" applyFont="1" applyBorder="1" applyAlignment="1">
      <alignment horizontal="center" wrapText="1"/>
    </xf>
    <xf numFmtId="0" fontId="55" fillId="0" borderId="19" xfId="0" applyFont="1" applyBorder="1" applyAlignment="1">
      <alignment horizontal="center" wrapText="1"/>
    </xf>
    <xf numFmtId="0" fontId="55" fillId="0" borderId="33" xfId="0" applyFont="1" applyBorder="1" applyAlignment="1">
      <alignment horizontal="center" wrapText="1"/>
    </xf>
    <xf numFmtId="3" fontId="55" fillId="0" borderId="19" xfId="0" applyNumberFormat="1" applyFont="1" applyBorder="1" applyAlignment="1">
      <alignment horizontal="center" wrapText="1"/>
    </xf>
    <xf numFmtId="3" fontId="55" fillId="0" borderId="11" xfId="0" applyNumberFormat="1" applyFont="1" applyBorder="1" applyAlignment="1">
      <alignment horizontal="center" wrapText="1"/>
    </xf>
    <xf numFmtId="0" fontId="40" fillId="0" borderId="16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55" fillId="0" borderId="68" xfId="0" applyFont="1" applyBorder="1" applyAlignment="1">
      <alignment horizontal="center" wrapText="1"/>
    </xf>
    <xf numFmtId="0" fontId="55" fillId="0" borderId="13" xfId="0" applyFont="1" applyBorder="1" applyAlignment="1">
      <alignment horizontal="center" wrapText="1"/>
    </xf>
    <xf numFmtId="0" fontId="55" fillId="0" borderId="40" xfId="0" applyFont="1" applyBorder="1" applyAlignment="1">
      <alignment horizontal="center" vertical="distributed" wrapText="1"/>
    </xf>
    <xf numFmtId="0" fontId="55" fillId="0" borderId="38" xfId="0" applyFont="1" applyBorder="1" applyAlignment="1">
      <alignment horizontal="center" vertical="distributed" wrapText="1"/>
    </xf>
    <xf numFmtId="49" fontId="56" fillId="0" borderId="16" xfId="0" applyNumberFormat="1" applyFont="1" applyBorder="1" applyAlignment="1">
      <alignment horizontal="center"/>
    </xf>
    <xf numFmtId="49" fontId="56" fillId="0" borderId="15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0" fillId="0" borderId="62" xfId="0" applyNumberFormat="1" applyFont="1" applyBorder="1" applyAlignment="1">
      <alignment horizontal="center"/>
    </xf>
    <xf numFmtId="49" fontId="40" fillId="0" borderId="43" xfId="0" applyNumberFormat="1" applyFont="1" applyBorder="1" applyAlignment="1">
      <alignment horizontal="center"/>
    </xf>
    <xf numFmtId="49" fontId="4" fillId="0" borderId="48" xfId="0" applyNumberFormat="1" applyFont="1" applyBorder="1" applyAlignment="1">
      <alignment horizontal="center"/>
    </xf>
    <xf numFmtId="49" fontId="4" fillId="0" borderId="70" xfId="0" applyNumberFormat="1" applyFont="1" applyBorder="1" applyAlignment="1">
      <alignment horizontal="center"/>
    </xf>
    <xf numFmtId="49" fontId="40" fillId="0" borderId="51" xfId="0" applyNumberFormat="1" applyFont="1" applyBorder="1" applyAlignment="1">
      <alignment horizontal="center"/>
    </xf>
    <xf numFmtId="49" fontId="40" fillId="0" borderId="44" xfId="0" applyNumberFormat="1" applyFont="1" applyBorder="1" applyAlignment="1">
      <alignment horizontal="center"/>
    </xf>
    <xf numFmtId="0" fontId="14" fillId="0" borderId="42" xfId="0" applyFont="1" applyBorder="1" applyAlignment="1">
      <alignment horizontal="center" vertical="distributed" wrapText="1"/>
    </xf>
    <xf numFmtId="0" fontId="14" fillId="0" borderId="64" xfId="0" applyFont="1" applyBorder="1" applyAlignment="1">
      <alignment horizontal="center" vertical="distributed" wrapText="1"/>
    </xf>
    <xf numFmtId="0" fontId="14" fillId="0" borderId="43" xfId="0" applyFont="1" applyBorder="1" applyAlignment="1">
      <alignment horizontal="center" vertical="distributed" wrapText="1"/>
    </xf>
    <xf numFmtId="0" fontId="13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65" fontId="4" fillId="6" borderId="16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9" borderId="4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165" fontId="4" fillId="0" borderId="46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55" fillId="0" borderId="4" xfId="0" applyNumberFormat="1" applyFont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165" fontId="55" fillId="0" borderId="7" xfId="0" applyNumberFormat="1" applyFont="1" applyBorder="1" applyAlignment="1">
      <alignment horizontal="center"/>
    </xf>
    <xf numFmtId="165" fontId="55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/>
    </xf>
    <xf numFmtId="165" fontId="4" fillId="9" borderId="16" xfId="0" applyNumberFormat="1" applyFont="1" applyFill="1" applyBorder="1" applyAlignment="1">
      <alignment horizontal="center"/>
    </xf>
    <xf numFmtId="165" fontId="55" fillId="0" borderId="16" xfId="0" applyNumberFormat="1" applyFont="1" applyBorder="1" applyAlignment="1">
      <alignment horizontal="center"/>
    </xf>
    <xf numFmtId="165" fontId="55" fillId="0" borderId="25" xfId="0" applyNumberFormat="1" applyFont="1" applyBorder="1" applyAlignment="1">
      <alignment horizontal="center"/>
    </xf>
    <xf numFmtId="0" fontId="4" fillId="0" borderId="41" xfId="0" applyFont="1" applyBorder="1"/>
    <xf numFmtId="0" fontId="4" fillId="0" borderId="45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0" fillId="0" borderId="37" xfId="0" applyNumberFormat="1" applyFont="1" applyBorder="1" applyAlignment="1">
      <alignment horizontal="center"/>
    </xf>
    <xf numFmtId="3" fontId="40" fillId="0" borderId="36" xfId="0" applyNumberFormat="1" applyFont="1" applyBorder="1" applyAlignment="1">
      <alignment horizontal="center"/>
    </xf>
    <xf numFmtId="3" fontId="40" fillId="0" borderId="44" xfId="0" applyNumberFormat="1" applyFont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0" borderId="41" xfId="0" applyFont="1" applyBorder="1" applyAlignment="1">
      <alignment horizontal="center"/>
    </xf>
    <xf numFmtId="0" fontId="47" fillId="0" borderId="45" xfId="0" applyFont="1" applyBorder="1" applyAlignment="1">
      <alignment horizontal="center"/>
    </xf>
    <xf numFmtId="0" fontId="0" fillId="0" borderId="39" xfId="0" applyBorder="1" applyAlignment="1">
      <alignment horizontal="center" vertical="distributed" wrapText="1"/>
    </xf>
    <xf numFmtId="0" fontId="0" fillId="0" borderId="41" xfId="0" applyBorder="1" applyAlignment="1">
      <alignment horizontal="center" vertical="distributed" wrapText="1"/>
    </xf>
    <xf numFmtId="0" fontId="0" fillId="0" borderId="45" xfId="0" applyBorder="1" applyAlignment="1">
      <alignment horizontal="center" vertical="distributed" wrapText="1"/>
    </xf>
    <xf numFmtId="3" fontId="3" fillId="0" borderId="0" xfId="0" applyNumberFormat="1" applyFont="1"/>
    <xf numFmtId="0" fontId="61" fillId="0" borderId="37" xfId="0" applyFont="1" applyBorder="1" applyAlignment="1">
      <alignment horizontal="center" vertical="distributed" wrapText="1"/>
    </xf>
    <xf numFmtId="0" fontId="61" fillId="0" borderId="36" xfId="0" applyFont="1" applyBorder="1" applyAlignment="1">
      <alignment horizontal="center" vertical="distributed" wrapText="1"/>
    </xf>
    <xf numFmtId="0" fontId="61" fillId="0" borderId="44" xfId="0" applyFont="1" applyBorder="1" applyAlignment="1">
      <alignment horizontal="center" vertical="distributed" wrapText="1"/>
    </xf>
    <xf numFmtId="3" fontId="61" fillId="0" borderId="35" xfId="0" applyNumberFormat="1" applyFont="1" applyBorder="1"/>
    <xf numFmtId="0" fontId="52" fillId="0" borderId="0" xfId="0" applyFont="1"/>
    <xf numFmtId="0" fontId="62" fillId="0" borderId="37" xfId="0" applyFont="1" applyBorder="1" applyAlignment="1">
      <alignment horizontal="center" vertical="distributed" wrapText="1"/>
    </xf>
    <xf numFmtId="0" fontId="61" fillId="0" borderId="37" xfId="0" applyFont="1" applyBorder="1" applyAlignment="1">
      <alignment horizontal="center"/>
    </xf>
    <xf numFmtId="0" fontId="61" fillId="0" borderId="36" xfId="0" applyFont="1" applyBorder="1" applyAlignment="1">
      <alignment horizontal="center"/>
    </xf>
    <xf numFmtId="0" fontId="61" fillId="0" borderId="44" xfId="0" applyFont="1" applyBorder="1" applyAlignment="1">
      <alignment horizontal="center"/>
    </xf>
    <xf numFmtId="0" fontId="40" fillId="0" borderId="0" xfId="0" applyFont="1" applyAlignment="1">
      <alignment horizontal="center"/>
    </xf>
    <xf numFmtId="167" fontId="2" fillId="0" borderId="35" xfId="1" applyNumberFormat="1" applyBorder="1" applyAlignment="1">
      <alignment horizontal="right"/>
    </xf>
    <xf numFmtId="0" fontId="40" fillId="0" borderId="37" xfId="0" applyFont="1" applyBorder="1" applyAlignment="1">
      <alignment horizontal="center" vertical="distributed" wrapText="1"/>
    </xf>
    <xf numFmtId="0" fontId="40" fillId="0" borderId="36" xfId="0" applyFont="1" applyBorder="1" applyAlignment="1">
      <alignment horizontal="center" vertical="distributed" wrapText="1"/>
    </xf>
    <xf numFmtId="0" fontId="40" fillId="0" borderId="36" xfId="0" applyFont="1" applyBorder="1" applyAlignment="1">
      <alignment horizontal="center" vertical="distributed" wrapText="1"/>
    </xf>
    <xf numFmtId="3" fontId="39" fillId="0" borderId="0" xfId="0" applyNumberFormat="1" applyFont="1"/>
    <xf numFmtId="0" fontId="41" fillId="0" borderId="0" xfId="0" applyFont="1"/>
    <xf numFmtId="3" fontId="55" fillId="0" borderId="37" xfId="0" applyNumberFormat="1" applyFont="1" applyBorder="1" applyAlignment="1">
      <alignment horizontal="center"/>
    </xf>
    <xf numFmtId="3" fontId="55" fillId="0" borderId="36" xfId="0" applyNumberFormat="1" applyFont="1" applyBorder="1" applyAlignment="1">
      <alignment horizontal="center"/>
    </xf>
    <xf numFmtId="3" fontId="55" fillId="0" borderId="44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3" fontId="46" fillId="0" borderId="35" xfId="0" applyNumberFormat="1" applyFont="1" applyBorder="1"/>
    <xf numFmtId="0" fontId="46" fillId="0" borderId="0" xfId="0" applyFont="1"/>
    <xf numFmtId="0" fontId="4" fillId="0" borderId="4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3" fontId="4" fillId="0" borderId="35" xfId="0" applyNumberFormat="1" applyFont="1" applyBorder="1"/>
    <xf numFmtId="0" fontId="63" fillId="0" borderId="0" xfId="0" applyFont="1"/>
    <xf numFmtId="0" fontId="63" fillId="0" borderId="37" xfId="0" applyFont="1" applyBorder="1" applyAlignment="1">
      <alignment horizontal="center"/>
    </xf>
    <xf numFmtId="0" fontId="63" fillId="0" borderId="36" xfId="0" applyFont="1" applyBorder="1" applyAlignment="1">
      <alignment horizontal="center"/>
    </xf>
    <xf numFmtId="0" fontId="63" fillId="0" borderId="44" xfId="0" applyFont="1" applyBorder="1" applyAlignment="1">
      <alignment horizontal="center"/>
    </xf>
    <xf numFmtId="3" fontId="63" fillId="0" borderId="35" xfId="0" applyNumberFormat="1" applyFont="1" applyBorder="1"/>
    <xf numFmtId="0" fontId="55" fillId="0" borderId="0" xfId="0" applyFont="1" applyAlignment="1">
      <alignment horizontal="center"/>
    </xf>
    <xf numFmtId="0" fontId="55" fillId="0" borderId="64" xfId="0" applyFont="1" applyBorder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top"/>
    </xf>
    <xf numFmtId="0" fontId="44" fillId="0" borderId="0" xfId="0" applyFont="1" applyAlignment="1">
      <alignment horizontal="center" vertical="top"/>
    </xf>
    <xf numFmtId="0" fontId="7" fillId="0" borderId="42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 wrapText="1"/>
    </xf>
    <xf numFmtId="0" fontId="42" fillId="0" borderId="70" xfId="0" applyFont="1" applyBorder="1" applyAlignment="1">
      <alignment horizontal="center" vertical="center" wrapText="1"/>
    </xf>
    <xf numFmtId="0" fontId="0" fillId="0" borderId="41" xfId="0" applyBorder="1"/>
    <xf numFmtId="0" fontId="0" fillId="0" borderId="45" xfId="0" applyBorder="1"/>
    <xf numFmtId="3" fontId="0" fillId="0" borderId="45" xfId="0" applyNumberFormat="1" applyBorder="1" applyAlignment="1">
      <alignment horizontal="center"/>
    </xf>
    <xf numFmtId="0" fontId="42" fillId="0" borderId="47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3" xfId="0" applyBorder="1" applyAlignment="1">
      <alignment wrapText="1"/>
    </xf>
    <xf numFmtId="3" fontId="0" fillId="0" borderId="73" xfId="0" applyNumberFormat="1" applyBorder="1" applyAlignment="1">
      <alignment horizontal="center"/>
    </xf>
    <xf numFmtId="0" fontId="42" fillId="0" borderId="16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2" fillId="0" borderId="16" xfId="0" quotePrefix="1" applyFont="1" applyBorder="1" applyAlignment="1">
      <alignment horizontal="center" vertical="center"/>
    </xf>
    <xf numFmtId="0" fontId="42" fillId="0" borderId="15" xfId="0" quotePrefix="1" applyFont="1" applyBorder="1" applyAlignment="1">
      <alignment horizontal="center" vertical="center"/>
    </xf>
    <xf numFmtId="0" fontId="37" fillId="0" borderId="16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right" vertical="center" wrapText="1"/>
    </xf>
    <xf numFmtId="0" fontId="42" fillId="0" borderId="17" xfId="0" applyFont="1" applyBorder="1" applyAlignment="1">
      <alignment horizontal="right" vertical="center" wrapText="1"/>
    </xf>
    <xf numFmtId="0" fontId="42" fillId="0" borderId="14" xfId="0" applyFont="1" applyBorder="1" applyAlignment="1">
      <alignment horizontal="righ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6" xfId="0" quotePrefix="1" applyFont="1" applyBorder="1" applyAlignment="1">
      <alignment horizontal="center" vertical="center"/>
    </xf>
    <xf numFmtId="0" fontId="38" fillId="0" borderId="15" xfId="0" quotePrefix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center"/>
    </xf>
    <xf numFmtId="0" fontId="42" fillId="0" borderId="16" xfId="0" applyFont="1" applyBorder="1" applyAlignment="1">
      <alignment horizontal="left" vertical="center"/>
    </xf>
    <xf numFmtId="0" fontId="42" fillId="0" borderId="17" xfId="0" applyFont="1" applyBorder="1" applyAlignment="1">
      <alignment horizontal="left" vertical="center"/>
    </xf>
    <xf numFmtId="0" fontId="42" fillId="0" borderId="14" xfId="0" applyFont="1" applyBorder="1" applyAlignment="1">
      <alignment horizontal="left" vertical="center"/>
    </xf>
    <xf numFmtId="49" fontId="45" fillId="0" borderId="7" xfId="1" applyNumberFormat="1" applyFont="1" applyBorder="1" applyAlignment="1">
      <alignment horizontal="center"/>
    </xf>
    <xf numFmtId="49" fontId="0" fillId="0" borderId="6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8" fillId="0" borderId="0" xfId="0" applyFont="1"/>
    <xf numFmtId="0" fontId="59" fillId="0" borderId="39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59" fillId="0" borderId="45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59" fillId="0" borderId="63" xfId="0" applyFont="1" applyBorder="1" applyAlignment="1">
      <alignment horizontal="center" vertical="center"/>
    </xf>
    <xf numFmtId="0" fontId="59" fillId="0" borderId="50" xfId="0" applyFont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0" borderId="50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58" fillId="0" borderId="46" xfId="0" applyFont="1" applyBorder="1" applyAlignment="1">
      <alignment horizontal="left" vertical="center"/>
    </xf>
    <xf numFmtId="0" fontId="58" fillId="0" borderId="17" xfId="0" applyFont="1" applyBorder="1" applyAlignment="1">
      <alignment horizontal="left" vertical="center"/>
    </xf>
    <xf numFmtId="0" fontId="58" fillId="0" borderId="15" xfId="0" applyFont="1" applyBorder="1" applyAlignment="1">
      <alignment horizontal="left" vertical="center"/>
    </xf>
    <xf numFmtId="0" fontId="58" fillId="0" borderId="17" xfId="0" quotePrefix="1" applyFont="1" applyBorder="1" applyAlignment="1">
      <alignment horizontal="center" vertical="center"/>
    </xf>
    <xf numFmtId="0" fontId="58" fillId="0" borderId="14" xfId="0" quotePrefix="1" applyFont="1" applyBorder="1" applyAlignment="1">
      <alignment horizontal="center" vertical="center"/>
    </xf>
    <xf numFmtId="0" fontId="58" fillId="0" borderId="46" xfId="0" applyFont="1" applyBorder="1" applyAlignment="1">
      <alignment horizontal="left" vertical="center" wrapText="1"/>
    </xf>
    <xf numFmtId="0" fontId="58" fillId="0" borderId="17" xfId="0" applyFont="1" applyBorder="1" applyAlignment="1">
      <alignment horizontal="left" vertical="center" wrapText="1"/>
    </xf>
    <xf numFmtId="0" fontId="58" fillId="0" borderId="15" xfId="0" applyFont="1" applyBorder="1" applyAlignment="1">
      <alignment horizontal="left" vertical="center" wrapText="1"/>
    </xf>
    <xf numFmtId="0" fontId="58" fillId="0" borderId="15" xfId="0" applyFont="1" applyBorder="1" applyAlignment="1">
      <alignment horizontal="left" vertical="center" wrapText="1"/>
    </xf>
    <xf numFmtId="0" fontId="37" fillId="0" borderId="46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17" xfId="0" quotePrefix="1" applyFont="1" applyBorder="1" applyAlignment="1">
      <alignment horizontal="center" vertical="center"/>
    </xf>
    <xf numFmtId="0" fontId="37" fillId="0" borderId="14" xfId="0" quotePrefix="1" applyFont="1" applyBorder="1" applyAlignment="1">
      <alignment horizontal="center" vertical="center"/>
    </xf>
    <xf numFmtId="0" fontId="58" fillId="0" borderId="65" xfId="0" applyFont="1" applyBorder="1" applyAlignment="1">
      <alignment horizontal="left" vertical="center" wrapText="1"/>
    </xf>
    <xf numFmtId="0" fontId="58" fillId="0" borderId="49" xfId="0" applyFont="1" applyBorder="1" applyAlignment="1">
      <alignment horizontal="left" vertical="center" wrapText="1"/>
    </xf>
    <xf numFmtId="0" fontId="58" fillId="0" borderId="70" xfId="0" applyFont="1" applyBorder="1" applyAlignment="1">
      <alignment horizontal="left" vertical="center" wrapText="1"/>
    </xf>
    <xf numFmtId="0" fontId="58" fillId="0" borderId="49" xfId="0" quotePrefix="1" applyFont="1" applyBorder="1" applyAlignment="1">
      <alignment horizontal="center" vertical="center"/>
    </xf>
    <xf numFmtId="0" fontId="58" fillId="0" borderId="18" xfId="0" quotePrefix="1" applyFont="1" applyBorder="1" applyAlignment="1">
      <alignment horizontal="center" vertical="center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6" xfId="0" quotePrefix="1" applyFont="1" applyBorder="1" applyAlignment="1">
      <alignment horizontal="center" vertical="center"/>
    </xf>
    <xf numFmtId="0" fontId="44" fillId="0" borderId="66" xfId="0" quotePrefix="1" applyFont="1" applyBorder="1" applyAlignment="1">
      <alignment horizontal="center" vertical="center"/>
    </xf>
    <xf numFmtId="0" fontId="44" fillId="0" borderId="64" xfId="0" quotePrefix="1" applyFont="1" applyBorder="1" applyAlignment="1">
      <alignment horizontal="center" vertical="center"/>
    </xf>
    <xf numFmtId="0" fontId="44" fillId="0" borderId="71" xfId="0" quotePrefix="1" applyFont="1" applyBorder="1" applyAlignment="1">
      <alignment horizontal="center" vertical="center"/>
    </xf>
    <xf numFmtId="167" fontId="14" fillId="0" borderId="37" xfId="0" applyNumberFormat="1" applyFont="1" applyBorder="1" applyAlignment="1">
      <alignment horizontal="center"/>
    </xf>
    <xf numFmtId="167" fontId="14" fillId="0" borderId="36" xfId="0" applyNumberFormat="1" applyFont="1" applyBorder="1" applyAlignment="1">
      <alignment horizontal="center"/>
    </xf>
    <xf numFmtId="167" fontId="14" fillId="0" borderId="44" xfId="0" applyNumberFormat="1" applyFont="1" applyBorder="1" applyAlignment="1">
      <alignment horizontal="center"/>
    </xf>
    <xf numFmtId="0" fontId="59" fillId="0" borderId="39" xfId="0" applyFont="1" applyBorder="1" applyAlignment="1">
      <alignment horizontal="center" vertical="center" wrapText="1"/>
    </xf>
    <xf numFmtId="0" fontId="59" fillId="0" borderId="63" xfId="0" applyFont="1" applyBorder="1" applyAlignment="1">
      <alignment horizontal="center" vertical="center" wrapText="1"/>
    </xf>
    <xf numFmtId="0" fontId="58" fillId="0" borderId="46" xfId="0" quotePrefix="1" applyFont="1" applyBorder="1" applyAlignment="1">
      <alignment horizontal="center" vertical="center"/>
    </xf>
    <xf numFmtId="0" fontId="37" fillId="0" borderId="46" xfId="0" quotePrefix="1" applyFont="1" applyBorder="1" applyAlignment="1">
      <alignment horizontal="center" vertical="center"/>
    </xf>
    <xf numFmtId="167" fontId="7" fillId="0" borderId="4" xfId="1" applyNumberFormat="1" applyFont="1" applyBorder="1"/>
    <xf numFmtId="0" fontId="58" fillId="0" borderId="74" xfId="0" applyFont="1" applyBorder="1" applyAlignment="1">
      <alignment horizontal="left" vertical="center" wrapText="1"/>
    </xf>
    <xf numFmtId="0" fontId="58" fillId="0" borderId="59" xfId="0" applyFont="1" applyBorder="1" applyAlignment="1">
      <alignment horizontal="left" vertical="center" wrapText="1"/>
    </xf>
    <xf numFmtId="0" fontId="58" fillId="0" borderId="75" xfId="0" applyFont="1" applyBorder="1" applyAlignment="1">
      <alignment horizontal="left" vertical="center" wrapText="1"/>
    </xf>
    <xf numFmtId="0" fontId="58" fillId="0" borderId="74" xfId="0" quotePrefix="1" applyFont="1" applyBorder="1" applyAlignment="1">
      <alignment horizontal="center" vertical="center"/>
    </xf>
    <xf numFmtId="0" fontId="58" fillId="0" borderId="59" xfId="0" quotePrefix="1" applyFont="1" applyBorder="1" applyAlignment="1">
      <alignment horizontal="center" vertical="center"/>
    </xf>
    <xf numFmtId="0" fontId="58" fillId="0" borderId="76" xfId="0" quotePrefix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/>
    </xf>
    <xf numFmtId="49" fontId="4" fillId="0" borderId="75" xfId="0" applyNumberFormat="1" applyFont="1" applyBorder="1" applyAlignment="1">
      <alignment horizontal="center"/>
    </xf>
    <xf numFmtId="0" fontId="44" fillId="0" borderId="37" xfId="0" applyFont="1" applyBorder="1" applyAlignment="1">
      <alignment horizontal="left" vertical="center" wrapText="1"/>
    </xf>
    <xf numFmtId="0" fontId="44" fillId="0" borderId="36" xfId="0" applyFont="1" applyBorder="1" applyAlignment="1">
      <alignment horizontal="left" vertical="center" wrapText="1"/>
    </xf>
    <xf numFmtId="0" fontId="44" fillId="0" borderId="44" xfId="0" applyFont="1" applyBorder="1" applyAlignment="1">
      <alignment horizontal="left" vertical="center" wrapText="1"/>
    </xf>
    <xf numFmtId="0" fontId="44" fillId="0" borderId="37" xfId="0" quotePrefix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distributed" wrapText="1"/>
    </xf>
    <xf numFmtId="0" fontId="14" fillId="0" borderId="36" xfId="0" applyFont="1" applyBorder="1" applyAlignment="1">
      <alignment horizontal="center" vertical="distributed" wrapText="1"/>
    </xf>
    <xf numFmtId="0" fontId="14" fillId="0" borderId="44" xfId="0" applyFont="1" applyBorder="1" applyAlignment="1">
      <alignment horizontal="center" vertical="distributed" wrapText="1"/>
    </xf>
    <xf numFmtId="167" fontId="0" fillId="0" borderId="35" xfId="1" applyNumberFormat="1" applyFont="1" applyBorder="1"/>
    <xf numFmtId="0" fontId="0" fillId="10" borderId="0" xfId="0" applyFill="1" applyAlignment="1">
      <alignment horizontal="center"/>
    </xf>
    <xf numFmtId="0" fontId="40" fillId="0" borderId="35" xfId="0" applyFont="1" applyBorder="1"/>
    <xf numFmtId="167" fontId="29" fillId="13" borderId="37" xfId="1" applyNumberFormat="1" applyFont="1" applyFill="1" applyBorder="1"/>
    <xf numFmtId="167" fontId="29" fillId="13" borderId="44" xfId="1" applyNumberFormat="1" applyFont="1" applyFill="1" applyBorder="1"/>
    <xf numFmtId="167" fontId="29" fillId="0" borderId="0" xfId="1" applyNumberFormat="1" applyFont="1"/>
  </cellXfs>
  <cellStyles count="5">
    <cellStyle name="Ezres" xfId="1" builtinId="3"/>
    <cellStyle name="Ezres_Ktgvetési rendelet mellékletek_2008_Eszteregnye" xfId="3" xr:uid="{00000000-0005-0000-0000-000001000000}"/>
    <cellStyle name="Normál" xfId="0" builtinId="0"/>
    <cellStyle name="Normál_Ktgvetési rendelet mellékletek_2008_Eszteregnye" xfId="2" xr:uid="{00000000-0005-0000-0000-000003000000}"/>
    <cellStyle name="Normál_KVIREND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S&#225;rmell&#233;k/S&#225;rmell&#233;k_k&#246;lts&#233;gvet&#233;se_2_fordul&#243;_2018_02_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k&#246;z&#246;s_hivatal/Edit_K&#246;z&#246;s_Hivatal_K&#246;lts&#233;gvet&#233;s_1_fordu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mell&#233;k_2019&#233;vi_tervez&#233;s_test&#252;letnek/Ktgvet&#233;s_tervez&#233;se_SM&#214;nk_3_v&#225;ltozat_2019_03_0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mell&#233;k_2019_07_04T&#252;l&#233;sre/&#193;MK_ktgvet&#233;s_m&#243;d/&#193;MK_k&#246;lts&#233;gvet&#233;s_m&#243;dos&#237;t&#225;s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mell&#233;k_2019_07_04T&#252;l&#233;sre/K&#246;z&#246;s_Hivatal_ktgvet&#233;s_m&#243;d/2019&#233;vi_m&#243;d_ktgvet&#233;s_k&#246;z&#246;s_hivat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mell&#233;k_2019_07_04T&#252;l&#233;sre/S&#225;rmell&#233;ki_&#214;nk_ktgvet&#233;s_m&#243;d/S&#225;rmell&#233;k_M&#211;D_ktgvet&#233;s_el&#337;terjeszt&#233;s_mell&#233;kletek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&#246;lts&#233;gvet&#233;s_tervez&#233;s\S&#225;rmell&#233;k\S&#225;rmell&#233;k%202018%20k&#246;lts&#233;gvet&#233;s%20rovatren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mell&#233;k_2019&#233;vi_v&#233;gleges_ktgvet&#233;se/S&#225;rmell&#233;k_ktgvet&#233;s_el&#337;terjeszt&#233;s_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m"/>
      <sheetName val="15"/>
      <sheetName val="3"/>
      <sheetName val="5"/>
      <sheetName val="6"/>
      <sheetName val="tartalék"/>
      <sheetName val="7"/>
      <sheetName val="4"/>
      <sheetName val="8"/>
      <sheetName val="9"/>
      <sheetName val="14"/>
      <sheetName val="18"/>
      <sheetName val="13"/>
      <sheetName val="13a"/>
      <sheetName val="12"/>
      <sheetName val="11"/>
      <sheetName val="11a"/>
      <sheetName val="11b"/>
      <sheetName val="11c"/>
      <sheetName val="11d"/>
      <sheetName val="11e"/>
      <sheetName val="10"/>
      <sheetName val="2"/>
      <sheetName val="16"/>
      <sheetName val="16a"/>
      <sheetName val="16b"/>
      <sheetName val="17"/>
    </sheetNames>
    <sheetDataSet>
      <sheetData sheetId="0"/>
      <sheetData sheetId="1"/>
      <sheetData sheetId="2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2">
          <cell r="F22"/>
        </row>
        <row r="24">
          <cell r="F24"/>
        </row>
        <row r="25">
          <cell r="F25"/>
        </row>
        <row r="34">
          <cell r="F34"/>
        </row>
        <row r="36">
          <cell r="F36"/>
        </row>
        <row r="37">
          <cell r="F37"/>
        </row>
        <row r="38">
          <cell r="F38"/>
        </row>
        <row r="40">
          <cell r="F40"/>
        </row>
        <row r="41">
          <cell r="F41"/>
        </row>
        <row r="42">
          <cell r="F42"/>
        </row>
        <row r="44">
          <cell r="F44"/>
        </row>
        <row r="45">
          <cell r="F45"/>
        </row>
        <row r="46">
          <cell r="F46"/>
        </row>
        <row r="47">
          <cell r="F47">
            <v>0</v>
          </cell>
        </row>
        <row r="50">
          <cell r="F50"/>
        </row>
        <row r="51">
          <cell r="F51"/>
        </row>
        <row r="53">
          <cell r="F53">
            <v>0</v>
          </cell>
        </row>
        <row r="54">
          <cell r="F54">
            <v>0</v>
          </cell>
        </row>
        <row r="56">
          <cell r="F56"/>
        </row>
        <row r="57">
          <cell r="F57">
            <v>0</v>
          </cell>
        </row>
        <row r="58">
          <cell r="F58">
            <v>0</v>
          </cell>
        </row>
        <row r="66">
          <cell r="F6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4"/>
      <sheetData sheetId="15"/>
      <sheetData sheetId="16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+járulék"/>
      <sheetName val="dologi_kiadások"/>
      <sheetName val="Költségvetési_kiadások_mindössz"/>
      <sheetName val="Bevétel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/>
      <sheetData sheetId="1"/>
      <sheetData sheetId="2">
        <row r="15">
          <cell r="Y15">
            <v>71038925</v>
          </cell>
        </row>
        <row r="18">
          <cell r="Y18">
            <v>14121345.225</v>
          </cell>
        </row>
      </sheetData>
      <sheetData sheetId="3">
        <row r="14">
          <cell r="B14">
            <v>396755930</v>
          </cell>
        </row>
        <row r="21">
          <cell r="B21">
            <v>241000</v>
          </cell>
        </row>
        <row r="25">
          <cell r="B25">
            <v>850000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lcsőde"/>
      <sheetName val="óvoda"/>
      <sheetName val="bölcsőde_és_óvoda"/>
      <sheetName val="közművelődés"/>
      <sheetName val="2019éviámk_ÖSSZESEN"/>
      <sheetName val="ÁMK_bevétele"/>
    </sheetNames>
    <sheetDataSet>
      <sheetData sheetId="0">
        <row r="9">
          <cell r="F9">
            <v>82080</v>
          </cell>
          <cell r="I9">
            <v>82080</v>
          </cell>
          <cell r="K9">
            <v>82080</v>
          </cell>
        </row>
        <row r="49">
          <cell r="H49">
            <v>13566945</v>
          </cell>
          <cell r="K49">
            <v>13781173</v>
          </cell>
        </row>
      </sheetData>
      <sheetData sheetId="1">
        <row r="10">
          <cell r="F10">
            <v>197100</v>
          </cell>
          <cell r="I10">
            <v>197100</v>
          </cell>
          <cell r="K10">
            <v>197100</v>
          </cell>
        </row>
        <row r="63">
          <cell r="H63">
            <v>26621592</v>
          </cell>
          <cell r="K63">
            <v>28313228</v>
          </cell>
        </row>
      </sheetData>
      <sheetData sheetId="2">
        <row r="6">
          <cell r="F6">
            <v>24763807</v>
          </cell>
          <cell r="I6">
            <v>24463807</v>
          </cell>
          <cell r="K6">
            <v>24463807</v>
          </cell>
        </row>
        <row r="8">
          <cell r="F8">
            <v>900000</v>
          </cell>
          <cell r="I8">
            <v>900000</v>
          </cell>
          <cell r="K8">
            <v>900000</v>
          </cell>
        </row>
        <row r="9">
          <cell r="F9">
            <v>864000</v>
          </cell>
          <cell r="I9">
            <v>864000</v>
          </cell>
          <cell r="K9">
            <v>864000</v>
          </cell>
        </row>
        <row r="11">
          <cell r="F11">
            <v>180000</v>
          </cell>
          <cell r="I11">
            <v>180000</v>
          </cell>
          <cell r="K11">
            <v>180000</v>
          </cell>
        </row>
        <row r="14">
          <cell r="F14">
            <v>5392062</v>
          </cell>
          <cell r="H14">
            <v>5392062</v>
          </cell>
          <cell r="I14">
            <v>5544162</v>
          </cell>
          <cell r="K14">
            <v>5544162</v>
          </cell>
        </row>
        <row r="16">
          <cell r="F16">
            <v>139000</v>
          </cell>
          <cell r="G16">
            <v>6950</v>
          </cell>
          <cell r="I16">
            <v>139000</v>
          </cell>
          <cell r="J16">
            <v>6950</v>
          </cell>
        </row>
        <row r="17">
          <cell r="F17">
            <v>911700</v>
          </cell>
          <cell r="G17">
            <v>246159</v>
          </cell>
          <cell r="I17">
            <v>911700</v>
          </cell>
          <cell r="J17">
            <v>246159</v>
          </cell>
        </row>
        <row r="19">
          <cell r="F19">
            <v>100000</v>
          </cell>
          <cell r="G19">
            <v>27000</v>
          </cell>
          <cell r="I19">
            <v>100000</v>
          </cell>
          <cell r="J19">
            <v>27000</v>
          </cell>
        </row>
        <row r="20">
          <cell r="F20">
            <v>80000</v>
          </cell>
          <cell r="G20">
            <v>21600</v>
          </cell>
          <cell r="I20">
            <v>80000</v>
          </cell>
          <cell r="J20">
            <v>21600</v>
          </cell>
        </row>
        <row r="21">
          <cell r="F21">
            <v>260000</v>
          </cell>
          <cell r="I21">
            <v>260000</v>
          </cell>
        </row>
        <row r="23">
          <cell r="F23">
            <v>140000</v>
          </cell>
          <cell r="G23">
            <v>37800</v>
          </cell>
          <cell r="I23">
            <v>140000</v>
          </cell>
          <cell r="J23">
            <v>37800</v>
          </cell>
        </row>
        <row r="29">
          <cell r="F29">
            <v>75000</v>
          </cell>
          <cell r="G29">
            <v>3750</v>
          </cell>
          <cell r="I29">
            <v>75000</v>
          </cell>
          <cell r="J29">
            <v>3750</v>
          </cell>
        </row>
        <row r="31">
          <cell r="F31">
            <v>216000</v>
          </cell>
          <cell r="G31">
            <v>58320</v>
          </cell>
          <cell r="I31">
            <v>216000</v>
          </cell>
          <cell r="J31">
            <v>58320</v>
          </cell>
        </row>
        <row r="34">
          <cell r="F34">
            <v>2010000</v>
          </cell>
          <cell r="G34">
            <v>542699</v>
          </cell>
          <cell r="I34">
            <v>2983764</v>
          </cell>
          <cell r="J34">
            <v>542699</v>
          </cell>
        </row>
        <row r="35">
          <cell r="F35">
            <v>160000</v>
          </cell>
          <cell r="G35">
            <v>43200</v>
          </cell>
          <cell r="I35">
            <v>160000</v>
          </cell>
          <cell r="J35">
            <v>43200</v>
          </cell>
        </row>
        <row r="38">
          <cell r="F38">
            <v>300300</v>
          </cell>
          <cell r="I38">
            <v>300300</v>
          </cell>
        </row>
        <row r="39">
          <cell r="F39">
            <v>66000</v>
          </cell>
          <cell r="G39">
            <v>17820</v>
          </cell>
          <cell r="H39">
            <v>83820</v>
          </cell>
          <cell r="I39">
            <v>66000</v>
          </cell>
          <cell r="J39">
            <v>17820</v>
          </cell>
          <cell r="K39">
            <v>83820</v>
          </cell>
        </row>
        <row r="40">
          <cell r="F40">
            <v>30000</v>
          </cell>
          <cell r="I40">
            <v>30000</v>
          </cell>
        </row>
        <row r="41">
          <cell r="F41">
            <v>25000</v>
          </cell>
          <cell r="G41">
            <v>6750</v>
          </cell>
          <cell r="H41">
            <v>31750</v>
          </cell>
          <cell r="I41">
            <v>25000</v>
          </cell>
          <cell r="J41">
            <v>6750</v>
          </cell>
          <cell r="K41">
            <v>31750</v>
          </cell>
        </row>
        <row r="45">
          <cell r="F45">
            <v>120000</v>
          </cell>
          <cell r="I45">
            <v>120000</v>
          </cell>
        </row>
        <row r="47">
          <cell r="G47">
            <v>1263148</v>
          </cell>
          <cell r="J47">
            <v>1263148</v>
          </cell>
        </row>
        <row r="48">
          <cell r="F48">
            <v>25000</v>
          </cell>
          <cell r="I48">
            <v>25000</v>
          </cell>
        </row>
        <row r="71">
          <cell r="G71">
            <v>216340</v>
          </cell>
        </row>
        <row r="72">
          <cell r="F72">
            <v>38709049</v>
          </cell>
          <cell r="G72">
            <v>1479488</v>
          </cell>
          <cell r="H72">
            <v>40188537</v>
          </cell>
        </row>
      </sheetData>
      <sheetData sheetId="3">
        <row r="7">
          <cell r="F7">
            <v>100000</v>
          </cell>
          <cell r="I7">
            <v>100000</v>
          </cell>
          <cell r="K7">
            <v>100000</v>
          </cell>
        </row>
        <row r="19">
          <cell r="G19">
            <v>8500</v>
          </cell>
          <cell r="J19">
            <v>8500</v>
          </cell>
        </row>
        <row r="20">
          <cell r="G20">
            <v>51300</v>
          </cell>
          <cell r="J20">
            <v>51300</v>
          </cell>
        </row>
        <row r="22">
          <cell r="G22">
            <v>40500</v>
          </cell>
          <cell r="J22">
            <v>40500</v>
          </cell>
        </row>
        <row r="23">
          <cell r="G23">
            <v>21600</v>
          </cell>
          <cell r="J23">
            <v>21600</v>
          </cell>
        </row>
        <row r="26">
          <cell r="G26">
            <v>10800</v>
          </cell>
          <cell r="J26">
            <v>10800</v>
          </cell>
        </row>
        <row r="36">
          <cell r="G36">
            <v>3500</v>
          </cell>
          <cell r="J36">
            <v>3500</v>
          </cell>
        </row>
        <row r="38">
          <cell r="G38">
            <v>75600</v>
          </cell>
          <cell r="J38">
            <v>75600</v>
          </cell>
        </row>
        <row r="41">
          <cell r="G41">
            <v>156600</v>
          </cell>
          <cell r="J41">
            <v>156600</v>
          </cell>
        </row>
        <row r="44">
          <cell r="F44">
            <v>50000</v>
          </cell>
          <cell r="G44">
            <v>13500</v>
          </cell>
          <cell r="I44">
            <v>50000</v>
          </cell>
          <cell r="J44">
            <v>13500</v>
          </cell>
        </row>
        <row r="46">
          <cell r="F46">
            <v>19200</v>
          </cell>
          <cell r="I46">
            <v>19200</v>
          </cell>
        </row>
        <row r="63">
          <cell r="F63">
            <v>70000</v>
          </cell>
          <cell r="I63">
            <v>70000</v>
          </cell>
        </row>
        <row r="66">
          <cell r="G66">
            <v>985350</v>
          </cell>
          <cell r="J66">
            <v>993568</v>
          </cell>
        </row>
        <row r="67">
          <cell r="F67">
            <v>30000</v>
          </cell>
          <cell r="I67">
            <v>30000</v>
          </cell>
        </row>
        <row r="82">
          <cell r="G82">
            <v>0</v>
          </cell>
        </row>
        <row r="83">
          <cell r="F83">
            <v>12418016</v>
          </cell>
          <cell r="G83">
            <v>985350</v>
          </cell>
          <cell r="H83">
            <v>13403366</v>
          </cell>
          <cell r="K83">
            <v>13276898.120000001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tábla+dologi"/>
      <sheetName val="dologi+ber_tételes"/>
      <sheetName val="bEVÉTEL"/>
    </sheetNames>
    <sheetDataSet>
      <sheetData sheetId="0">
        <row r="9">
          <cell r="C9">
            <v>31121100</v>
          </cell>
        </row>
        <row r="10">
          <cell r="C10">
            <v>800000</v>
          </cell>
        </row>
        <row r="11">
          <cell r="C11">
            <v>1509592</v>
          </cell>
        </row>
        <row r="12">
          <cell r="C12">
            <v>288960</v>
          </cell>
        </row>
        <row r="13">
          <cell r="C13">
            <v>150000</v>
          </cell>
        </row>
        <row r="14">
          <cell r="C14">
            <v>700000</v>
          </cell>
        </row>
        <row r="15">
          <cell r="C15">
            <v>20000</v>
          </cell>
        </row>
        <row r="16">
          <cell r="C16">
            <v>6971421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Kiadások_összesen"/>
      <sheetName val="Pénzeszközátadások"/>
      <sheetName val="dologi_kiadások_összesen"/>
      <sheetName val="Dologi_kiadás_összesítő"/>
      <sheetName val="Bevételek"/>
      <sheetName val="Munka2"/>
    </sheetNames>
    <sheetDataSet>
      <sheetData sheetId="0"/>
      <sheetData sheetId="1">
        <row r="11">
          <cell r="K11">
            <v>15726600</v>
          </cell>
          <cell r="N11">
            <v>648000</v>
          </cell>
          <cell r="O11">
            <v>312000</v>
          </cell>
          <cell r="P11">
            <v>775000</v>
          </cell>
          <cell r="S11">
            <v>160000</v>
          </cell>
          <cell r="W11">
            <v>3436212</v>
          </cell>
          <cell r="X11">
            <v>97200</v>
          </cell>
        </row>
        <row r="21">
          <cell r="K21">
            <v>4891806</v>
          </cell>
          <cell r="S21">
            <v>50000</v>
          </cell>
          <cell r="W21">
            <v>963652.17</v>
          </cell>
        </row>
        <row r="25">
          <cell r="K25">
            <v>3110300</v>
          </cell>
          <cell r="N25">
            <v>192000</v>
          </cell>
          <cell r="P25">
            <v>200000</v>
          </cell>
          <cell r="S25">
            <v>80000</v>
          </cell>
          <cell r="W25">
            <v>698548.5</v>
          </cell>
          <cell r="X25">
            <v>28800</v>
          </cell>
        </row>
        <row r="27">
          <cell r="P27">
            <v>100000</v>
          </cell>
          <cell r="Q27">
            <v>148699</v>
          </cell>
        </row>
        <row r="35">
          <cell r="K35">
            <v>9038220</v>
          </cell>
          <cell r="O35">
            <v>900000</v>
          </cell>
          <cell r="S35">
            <v>50000</v>
          </cell>
          <cell r="U35">
            <v>500000</v>
          </cell>
          <cell r="W35">
            <v>2093699.2049999998</v>
          </cell>
          <cell r="X35">
            <v>128354.85</v>
          </cell>
        </row>
        <row r="37">
          <cell r="K37">
            <v>3642000</v>
          </cell>
          <cell r="L37">
            <v>396000</v>
          </cell>
          <cell r="M37">
            <v>185400</v>
          </cell>
          <cell r="N37">
            <v>96000</v>
          </cell>
          <cell r="P37">
            <v>100000</v>
          </cell>
          <cell r="S37">
            <v>30000</v>
          </cell>
        </row>
        <row r="38">
          <cell r="W38">
            <v>867633</v>
          </cell>
          <cell r="X38">
            <v>14400</v>
          </cell>
        </row>
        <row r="40">
          <cell r="K40">
            <v>1755000</v>
          </cell>
          <cell r="S40">
            <v>20000</v>
          </cell>
        </row>
        <row r="41">
          <cell r="Y41">
            <v>346125</v>
          </cell>
        </row>
        <row r="54">
          <cell r="K54">
            <v>8484000</v>
          </cell>
          <cell r="S54">
            <v>0</v>
          </cell>
          <cell r="T54">
            <v>12684000</v>
          </cell>
          <cell r="W54">
            <v>4127760</v>
          </cell>
        </row>
        <row r="58">
          <cell r="T58">
            <v>252000</v>
          </cell>
          <cell r="W58">
            <v>49140</v>
          </cell>
        </row>
        <row r="72">
          <cell r="K72">
            <v>4028400</v>
          </cell>
          <cell r="T72">
            <v>2483500</v>
          </cell>
          <cell r="W72">
            <v>1269820.5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  <sheetName val="étkeztetések"/>
      <sheetName val="dologi  2018"/>
      <sheetName val="üres dologi"/>
      <sheetName val="Személyi 02"/>
      <sheetName val="alapadatok bér 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/>
      <sheetData sheetId="1">
        <row r="64">
          <cell r="K64"/>
        </row>
        <row r="71">
          <cell r="S71"/>
        </row>
      </sheetData>
      <sheetData sheetId="2">
        <row r="15">
          <cell r="Y15">
            <v>71038925</v>
          </cell>
        </row>
      </sheetData>
      <sheetData sheetId="3">
        <row r="14">
          <cell r="B14">
            <v>396755930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7"/>
  <sheetViews>
    <sheetView topLeftCell="D23" workbookViewId="0">
      <selection activeCell="H23" sqref="H23"/>
    </sheetView>
  </sheetViews>
  <sheetFormatPr defaultRowHeight="15.75" x14ac:dyDescent="0.25"/>
  <cols>
    <col min="1" max="1" width="6" style="2" customWidth="1"/>
    <col min="2" max="2" width="5.140625" style="1" customWidth="1"/>
    <col min="3" max="3" width="53.7109375" style="1" customWidth="1"/>
    <col min="4" max="4" width="21.28515625" style="2" bestFit="1" customWidth="1"/>
    <col min="5" max="5" width="19.140625" style="2" bestFit="1" customWidth="1"/>
    <col min="6" max="6" width="16.7109375" style="2" customWidth="1"/>
    <col min="7" max="7" width="14.85546875" style="4" bestFit="1" customWidth="1"/>
    <col min="8" max="8" width="19.5703125" bestFit="1" customWidth="1"/>
    <col min="9" max="9" width="19.140625" bestFit="1" customWidth="1"/>
    <col min="10" max="10" width="17" bestFit="1" customWidth="1"/>
  </cols>
  <sheetData>
    <row r="1" spans="1:11" ht="18.75" x14ac:dyDescent="0.3">
      <c r="A1" s="446" t="s">
        <v>566</v>
      </c>
      <c r="B1" s="447"/>
      <c r="C1" s="447"/>
      <c r="D1" s="447"/>
      <c r="E1" s="447"/>
      <c r="F1" s="447"/>
    </row>
    <row r="2" spans="1:11" x14ac:dyDescent="0.25">
      <c r="A2" s="415"/>
      <c r="B2" s="415"/>
      <c r="C2" s="415"/>
      <c r="D2" s="415"/>
      <c r="E2" s="415"/>
      <c r="F2" s="415"/>
    </row>
    <row r="3" spans="1:11" x14ac:dyDescent="0.25">
      <c r="A3" s="448" t="s">
        <v>1</v>
      </c>
      <c r="B3" s="448"/>
      <c r="C3" s="448"/>
      <c r="D3" s="448"/>
      <c r="E3" s="448"/>
      <c r="F3" s="448"/>
    </row>
    <row r="4" spans="1:11" x14ac:dyDescent="0.25">
      <c r="A4" s="415" t="s">
        <v>2</v>
      </c>
      <c r="B4" s="415"/>
      <c r="C4" s="415"/>
      <c r="D4" s="415"/>
      <c r="E4" s="415"/>
      <c r="F4" s="415"/>
    </row>
    <row r="5" spans="1:11" ht="16.5" thickBot="1" x14ac:dyDescent="0.3">
      <c r="A5" s="449" t="s">
        <v>3</v>
      </c>
      <c r="B5" s="449"/>
      <c r="C5" s="449"/>
      <c r="D5" s="449"/>
      <c r="E5" s="449"/>
      <c r="F5" s="449"/>
    </row>
    <row r="6" spans="1:11" ht="12.75" customHeight="1" x14ac:dyDescent="0.25">
      <c r="A6" s="450" t="s">
        <v>4</v>
      </c>
      <c r="B6" s="453" t="s">
        <v>5</v>
      </c>
      <c r="C6" s="453"/>
      <c r="D6" s="456" t="s">
        <v>6</v>
      </c>
      <c r="E6" s="458" t="s">
        <v>7</v>
      </c>
      <c r="F6" s="458" t="s">
        <v>8</v>
      </c>
      <c r="G6" s="442" t="s">
        <v>9</v>
      </c>
      <c r="H6" s="456" t="s">
        <v>6</v>
      </c>
      <c r="I6" s="458" t="s">
        <v>7</v>
      </c>
      <c r="J6" s="458" t="s">
        <v>8</v>
      </c>
      <c r="K6" s="442" t="s">
        <v>9</v>
      </c>
    </row>
    <row r="7" spans="1:11" ht="21.75" customHeight="1" x14ac:dyDescent="0.25">
      <c r="A7" s="451"/>
      <c r="B7" s="454"/>
      <c r="C7" s="454"/>
      <c r="D7" s="457"/>
      <c r="E7" s="459"/>
      <c r="F7" s="459"/>
      <c r="G7" s="443"/>
      <c r="H7" s="457"/>
      <c r="I7" s="459"/>
      <c r="J7" s="459"/>
      <c r="K7" s="443"/>
    </row>
    <row r="8" spans="1:11" ht="15.75" customHeight="1" thickBot="1" x14ac:dyDescent="0.3">
      <c r="A8" s="452"/>
      <c r="B8" s="455"/>
      <c r="C8" s="455"/>
      <c r="D8" s="444" t="s">
        <v>416</v>
      </c>
      <c r="E8" s="444"/>
      <c r="F8" s="444"/>
      <c r="G8" s="5"/>
      <c r="H8" s="444" t="s">
        <v>565</v>
      </c>
      <c r="I8" s="444"/>
      <c r="J8" s="444"/>
      <c r="K8" s="5"/>
    </row>
    <row r="9" spans="1:11" x14ac:dyDescent="0.25">
      <c r="A9" s="6"/>
      <c r="B9" s="445" t="s">
        <v>10</v>
      </c>
      <c r="C9" s="445"/>
      <c r="D9" s="7"/>
      <c r="E9" s="8"/>
      <c r="F9" s="7"/>
      <c r="G9" s="9"/>
      <c r="H9" s="7"/>
      <c r="I9" s="8"/>
      <c r="J9" s="7"/>
      <c r="K9" s="9"/>
    </row>
    <row r="10" spans="1:11" ht="15.75" customHeight="1" x14ac:dyDescent="0.25">
      <c r="A10" s="3">
        <v>1</v>
      </c>
      <c r="B10" s="427" t="s">
        <v>11</v>
      </c>
      <c r="C10" s="427"/>
      <c r="D10" s="10">
        <f>71038925+34589652+31149887</f>
        <v>136778464</v>
      </c>
      <c r="E10" s="10">
        <f>71038925+34589652+31149887</f>
        <v>136778464</v>
      </c>
      <c r="F10" s="11">
        <f>'[1]11'!F10+'[1]13'!F10+'[1]15'!F10</f>
        <v>0</v>
      </c>
      <c r="G10" s="12"/>
      <c r="H10" s="10">
        <v>139104682</v>
      </c>
      <c r="I10" s="10">
        <v>139104682</v>
      </c>
      <c r="J10" s="11">
        <f>'[1]11'!J10+'[1]13'!J10+'[1]15'!J10</f>
        <v>0</v>
      </c>
      <c r="K10" s="12"/>
    </row>
    <row r="11" spans="1:11" ht="15.75" customHeight="1" x14ac:dyDescent="0.25">
      <c r="A11" s="3">
        <v>2</v>
      </c>
      <c r="B11" s="427" t="s">
        <v>12</v>
      </c>
      <c r="C11" s="427"/>
      <c r="D11" s="10">
        <f>14121345+6971421+6406478</f>
        <v>27499244</v>
      </c>
      <c r="E11" s="10">
        <f>14121345+6971421+6406478</f>
        <v>27499244</v>
      </c>
      <c r="F11" s="11">
        <f>'[1]11'!F11+'[1]13'!F11+'[1]15'!F11</f>
        <v>0</v>
      </c>
      <c r="G11" s="12"/>
      <c r="H11" s="10">
        <v>27932507</v>
      </c>
      <c r="I11" s="10">
        <v>27932507</v>
      </c>
      <c r="J11" s="11">
        <f>'[1]11'!J11+'[1]13'!J11+'[1]15'!J11</f>
        <v>0</v>
      </c>
      <c r="K11" s="12"/>
    </row>
    <row r="12" spans="1:11" ht="15.75" customHeight="1" x14ac:dyDescent="0.25">
      <c r="A12" s="3">
        <v>3</v>
      </c>
      <c r="B12" s="427" t="s">
        <v>13</v>
      </c>
      <c r="C12" s="427"/>
      <c r="D12" s="10">
        <f>14977198+3524010+133766236</f>
        <v>152267444</v>
      </c>
      <c r="E12" s="10">
        <f>14977198+3524010+133766236</f>
        <v>152267444</v>
      </c>
      <c r="F12" s="11">
        <f>'[1]11'!F12+'[1]13'!F12+'[1]15'!F12</f>
        <v>0</v>
      </c>
      <c r="G12" s="13"/>
      <c r="H12" s="10">
        <v>158338762</v>
      </c>
      <c r="I12" s="10">
        <v>158338762</v>
      </c>
      <c r="J12" s="11">
        <f>'[1]11'!J12+'[1]13'!J12+'[1]15'!J12</f>
        <v>0</v>
      </c>
      <c r="K12" s="13"/>
    </row>
    <row r="13" spans="1:11" ht="15.75" customHeight="1" x14ac:dyDescent="0.25">
      <c r="A13" s="3" t="s">
        <v>14</v>
      </c>
      <c r="B13" s="427" t="s">
        <v>15</v>
      </c>
      <c r="C13" s="427"/>
      <c r="D13" s="10">
        <f t="shared" ref="D13:D17" si="0">SUM(E13:G13)</f>
        <v>0</v>
      </c>
      <c r="E13" s="10">
        <f>'[1]11'!E13+'[1]13'!E13+'[1]15'!E13</f>
        <v>0</v>
      </c>
      <c r="F13" s="11">
        <f>'[1]11'!F13+'[1]13'!F13+'[1]15'!F13</f>
        <v>0</v>
      </c>
      <c r="G13" s="14"/>
      <c r="H13" s="10">
        <f t="shared" ref="H13" si="1">SUM(I13:K13)</f>
        <v>0</v>
      </c>
      <c r="I13" s="10">
        <f>'[1]11'!I13+'[1]13'!I13+'[1]15'!I13</f>
        <v>0</v>
      </c>
      <c r="J13" s="11">
        <f>'[1]11'!J13+'[1]13'!J13+'[1]15'!J13</f>
        <v>0</v>
      </c>
      <c r="K13" s="14"/>
    </row>
    <row r="14" spans="1:11" x14ac:dyDescent="0.25">
      <c r="A14" s="3" t="s">
        <v>16</v>
      </c>
      <c r="B14" s="433" t="s">
        <v>17</v>
      </c>
      <c r="C14" s="433"/>
      <c r="D14" s="10">
        <f>D15+D16+D17+D18</f>
        <v>18280262</v>
      </c>
      <c r="E14" s="15">
        <f>+E15+E16+E17+E18</f>
        <v>14843562</v>
      </c>
      <c r="F14" s="16">
        <f>+F15+F16+F17+F18+F19</f>
        <v>3436700</v>
      </c>
      <c r="G14" s="17"/>
      <c r="H14" s="10">
        <f>H15+H16+H17+H18</f>
        <v>16611942</v>
      </c>
      <c r="I14" s="15">
        <f>+I15+I16+I17+I18</f>
        <v>13175242</v>
      </c>
      <c r="J14" s="16">
        <f>+J15+J16+J17+J18+J19</f>
        <v>3436700</v>
      </c>
      <c r="K14" s="17"/>
    </row>
    <row r="15" spans="1:11" x14ac:dyDescent="0.25">
      <c r="A15" s="3" t="s">
        <v>18</v>
      </c>
      <c r="B15" s="434"/>
      <c r="C15" s="434"/>
      <c r="D15" s="10">
        <f t="shared" si="0"/>
        <v>0</v>
      </c>
      <c r="E15" s="10">
        <f>'[1]11'!E15+'[1]13'!E15+'[1]15'!E15</f>
        <v>0</v>
      </c>
      <c r="F15" s="11">
        <f>'[1]11'!F15+'[1]13'!F15+'[1]15'!F15</f>
        <v>0</v>
      </c>
      <c r="G15" s="14"/>
      <c r="H15" s="10">
        <f t="shared" ref="H15" si="2">SUM(I15:K15)</f>
        <v>0</v>
      </c>
      <c r="I15" s="10">
        <f>'[1]11'!I15+'[1]13'!I15+'[1]15'!I15</f>
        <v>0</v>
      </c>
      <c r="J15" s="11">
        <f>'[1]11'!J15+'[1]13'!J15+'[1]15'!J15</f>
        <v>0</v>
      </c>
      <c r="K15" s="14"/>
    </row>
    <row r="16" spans="1:11" x14ac:dyDescent="0.25">
      <c r="A16" s="3" t="s">
        <v>19</v>
      </c>
      <c r="B16" s="434" t="s">
        <v>20</v>
      </c>
      <c r="C16" s="434"/>
      <c r="D16" s="10">
        <v>8161962</v>
      </c>
      <c r="E16" s="10">
        <v>5781162</v>
      </c>
      <c r="F16" s="11">
        <v>2380800</v>
      </c>
      <c r="G16" s="14"/>
      <c r="H16" s="10">
        <f>I16+J16</f>
        <v>6493642</v>
      </c>
      <c r="I16" s="10">
        <v>4112842</v>
      </c>
      <c r="J16" s="11">
        <v>2380800</v>
      </c>
      <c r="K16" s="14"/>
    </row>
    <row r="17" spans="1:11" x14ac:dyDescent="0.25">
      <c r="A17" s="3"/>
      <c r="B17" s="435"/>
      <c r="C17" s="436"/>
      <c r="D17" s="10">
        <f t="shared" si="0"/>
        <v>0</v>
      </c>
      <c r="E17" s="10">
        <f>'[1]11'!E17+'[1]13'!E17+'[1]15'!E17</f>
        <v>0</v>
      </c>
      <c r="F17" s="11">
        <f>'[1]11'!F17+'[1]13'!F17+'[1]15'!F17</f>
        <v>0</v>
      </c>
      <c r="G17" s="14"/>
      <c r="H17" s="10">
        <f t="shared" ref="H17" si="3">SUM(I17:K17)</f>
        <v>0</v>
      </c>
      <c r="I17" s="10">
        <f>'[1]11'!I17+'[1]13'!I17+'[1]15'!I17</f>
        <v>0</v>
      </c>
      <c r="J17" s="11">
        <f>'[1]11'!J17+'[1]13'!J17+'[1]15'!J17</f>
        <v>0</v>
      </c>
      <c r="K17" s="14"/>
    </row>
    <row r="18" spans="1:11" ht="15.75" customHeight="1" x14ac:dyDescent="0.25">
      <c r="A18" s="3" t="s">
        <v>21</v>
      </c>
      <c r="B18" s="437" t="s">
        <v>22</v>
      </c>
      <c r="C18" s="437"/>
      <c r="D18" s="10">
        <v>10118300</v>
      </c>
      <c r="E18" s="10">
        <v>9062400</v>
      </c>
      <c r="F18" s="11">
        <v>1055900</v>
      </c>
      <c r="G18" s="14"/>
      <c r="H18" s="10">
        <v>10118300</v>
      </c>
      <c r="I18" s="10">
        <v>9062400</v>
      </c>
      <c r="J18" s="11">
        <v>1055900</v>
      </c>
      <c r="K18" s="14"/>
    </row>
    <row r="19" spans="1:11" ht="15.75" customHeight="1" x14ac:dyDescent="0.25">
      <c r="A19" s="3" t="s">
        <v>23</v>
      </c>
      <c r="B19" s="427"/>
      <c r="C19" s="427"/>
      <c r="D19" s="16"/>
      <c r="E19" s="16"/>
      <c r="F19" s="11">
        <f>'[1]11'!F19+'[1]13'!F19+'[1]15'!F19</f>
        <v>0</v>
      </c>
      <c r="G19" s="14"/>
      <c r="H19" s="16"/>
      <c r="I19" s="16"/>
      <c r="J19" s="11">
        <f>'[1]11'!J19+'[1]13'!J19+'[1]15'!J19</f>
        <v>0</v>
      </c>
      <c r="K19" s="14"/>
    </row>
    <row r="20" spans="1:11" ht="15.75" customHeight="1" x14ac:dyDescent="0.25">
      <c r="A20" s="3"/>
      <c r="B20" s="427" t="s">
        <v>24</v>
      </c>
      <c r="C20" s="427"/>
      <c r="D20" s="16">
        <v>0</v>
      </c>
      <c r="E20" s="10">
        <v>0</v>
      </c>
      <c r="F20" s="11">
        <v>0</v>
      </c>
      <c r="G20" s="14"/>
      <c r="H20" s="16">
        <v>0</v>
      </c>
      <c r="I20" s="10">
        <v>0</v>
      </c>
      <c r="J20" s="11">
        <v>0</v>
      </c>
      <c r="K20" s="14"/>
    </row>
    <row r="21" spans="1:11" ht="15.75" customHeight="1" x14ac:dyDescent="0.25">
      <c r="A21" s="3"/>
      <c r="B21" s="438" t="s">
        <v>25</v>
      </c>
      <c r="C21" s="439"/>
      <c r="D21" s="18">
        <f>28456625+1449948+269381</f>
        <v>30175954</v>
      </c>
      <c r="E21" s="10">
        <v>30175954</v>
      </c>
      <c r="F21" s="11">
        <f>'[1]15'!F22</f>
        <v>0</v>
      </c>
      <c r="G21" s="14"/>
      <c r="H21" s="18">
        <v>28673242</v>
      </c>
      <c r="I21" s="18">
        <v>28673242</v>
      </c>
      <c r="J21" s="11">
        <f>'[1]15'!J22</f>
        <v>0</v>
      </c>
      <c r="K21" s="14"/>
    </row>
    <row r="22" spans="1:11" s="22" customFormat="1" ht="15.75" customHeight="1" x14ac:dyDescent="0.25">
      <c r="A22" s="19" t="s">
        <v>0</v>
      </c>
      <c r="B22" s="440" t="s">
        <v>26</v>
      </c>
      <c r="C22" s="441"/>
      <c r="D22" s="20">
        <f>D10+D11+D12+D14+D19+D21+D20</f>
        <v>365001368</v>
      </c>
      <c r="E22" s="20">
        <f t="shared" ref="E22:F22" si="4">E10+E11+E12+E14+E19+E21+E20</f>
        <v>361564668</v>
      </c>
      <c r="F22" s="20">
        <f t="shared" si="4"/>
        <v>3436700</v>
      </c>
      <c r="G22" s="21"/>
      <c r="H22" s="20">
        <f>H10+H11+H12+H14+H19+H21+H20</f>
        <v>370661135</v>
      </c>
      <c r="I22" s="20">
        <f t="shared" ref="I22:J22" si="5">I10+I11+I12+I14+I19+I21+I20</f>
        <v>367224435</v>
      </c>
      <c r="J22" s="20">
        <f t="shared" si="5"/>
        <v>3436700</v>
      </c>
      <c r="K22" s="21"/>
    </row>
    <row r="23" spans="1:11" x14ac:dyDescent="0.25">
      <c r="A23" s="3" t="s">
        <v>27</v>
      </c>
      <c r="B23" s="427" t="s">
        <v>28</v>
      </c>
      <c r="C23" s="427"/>
      <c r="D23" s="10">
        <v>399314520</v>
      </c>
      <c r="E23" s="10">
        <v>399314520</v>
      </c>
      <c r="F23" s="11">
        <f>'[1]15'!F24</f>
        <v>0</v>
      </c>
      <c r="G23" s="12"/>
      <c r="H23" s="10">
        <v>396045863</v>
      </c>
      <c r="I23" s="10">
        <v>398399072</v>
      </c>
      <c r="J23" s="11">
        <f>'[1]15'!J24</f>
        <v>0</v>
      </c>
      <c r="K23" s="12"/>
    </row>
    <row r="24" spans="1:11" ht="15.75" customHeight="1" x14ac:dyDescent="0.25">
      <c r="A24" s="3" t="s">
        <v>29</v>
      </c>
      <c r="B24" s="427" t="s">
        <v>30</v>
      </c>
      <c r="C24" s="427"/>
      <c r="D24" s="10">
        <v>850000</v>
      </c>
      <c r="E24" s="10">
        <v>850000</v>
      </c>
      <c r="F24" s="11">
        <f>'[1]11'!F24+'[1]13'!F24+'[1]15'!F25</f>
        <v>0</v>
      </c>
      <c r="G24" s="12"/>
      <c r="H24" s="10">
        <v>11413019</v>
      </c>
      <c r="I24" s="10">
        <v>11413019</v>
      </c>
      <c r="J24" s="11">
        <f>'[1]11'!J24+'[1]13'!J24+'[1]15'!J25</f>
        <v>0</v>
      </c>
      <c r="K24" s="12"/>
    </row>
    <row r="25" spans="1:11" ht="15.75" customHeight="1" x14ac:dyDescent="0.25">
      <c r="A25" s="3" t="s">
        <v>31</v>
      </c>
      <c r="B25" s="427" t="s">
        <v>32</v>
      </c>
      <c r="C25" s="427"/>
      <c r="D25" s="10">
        <v>0</v>
      </c>
      <c r="E25" s="10"/>
      <c r="F25" s="11">
        <v>0</v>
      </c>
      <c r="G25" s="12"/>
      <c r="H25" s="10">
        <v>0</v>
      </c>
      <c r="I25" s="10"/>
      <c r="J25" s="11">
        <v>0</v>
      </c>
      <c r="K25" s="12"/>
    </row>
    <row r="26" spans="1:11" s="22" customFormat="1" ht="18.75" x14ac:dyDescent="0.25">
      <c r="A26" s="19" t="s">
        <v>33</v>
      </c>
      <c r="B26" s="428" t="s">
        <v>34</v>
      </c>
      <c r="C26" s="428"/>
      <c r="D26" s="23">
        <f>+D23+D24+D25</f>
        <v>400164520</v>
      </c>
      <c r="E26" s="23">
        <f>+E23+E24+E25</f>
        <v>400164520</v>
      </c>
      <c r="F26" s="23">
        <f>+F23+F24+F25</f>
        <v>0</v>
      </c>
      <c r="G26" s="24"/>
      <c r="H26" s="23">
        <f>+H23+H24+H25</f>
        <v>407458882</v>
      </c>
      <c r="I26" s="23">
        <f>+I23+I24+I25</f>
        <v>409812091</v>
      </c>
      <c r="J26" s="23">
        <f>+J23+J24+J25</f>
        <v>0</v>
      </c>
      <c r="K26" s="24"/>
    </row>
    <row r="27" spans="1:11" x14ac:dyDescent="0.25">
      <c r="A27" s="3" t="s">
        <v>35</v>
      </c>
      <c r="B27" s="427" t="s">
        <v>417</v>
      </c>
      <c r="C27" s="427"/>
      <c r="D27" s="18">
        <v>1136830</v>
      </c>
      <c r="E27" s="25">
        <v>1136830</v>
      </c>
      <c r="F27" s="11"/>
      <c r="G27" s="12"/>
      <c r="H27" s="18">
        <f>I27+J27</f>
        <v>3682999</v>
      </c>
      <c r="I27" s="25">
        <v>3682999</v>
      </c>
      <c r="J27" s="11">
        <v>0</v>
      </c>
      <c r="K27" s="12"/>
    </row>
    <row r="28" spans="1:11" x14ac:dyDescent="0.25">
      <c r="A28" s="3" t="s">
        <v>36</v>
      </c>
      <c r="B28" s="429"/>
      <c r="C28" s="429"/>
      <c r="D28" s="26"/>
      <c r="E28" s="27"/>
      <c r="F28" s="11">
        <f>+D28+E28</f>
        <v>0</v>
      </c>
      <c r="G28" s="12"/>
      <c r="H28" s="26"/>
      <c r="I28" s="27"/>
      <c r="J28" s="11">
        <f>+H28+I28</f>
        <v>0</v>
      </c>
      <c r="K28" s="12"/>
    </row>
    <row r="29" spans="1:11" ht="19.5" customHeight="1" x14ac:dyDescent="0.25">
      <c r="A29" s="3" t="s">
        <v>37</v>
      </c>
      <c r="B29" s="429"/>
      <c r="C29" s="429"/>
      <c r="D29" s="26"/>
      <c r="E29" s="28"/>
      <c r="F29" s="11">
        <f>+D29+E29</f>
        <v>0</v>
      </c>
      <c r="G29" s="12"/>
      <c r="H29" s="26"/>
      <c r="I29" s="28"/>
      <c r="J29" s="11">
        <f>+H29+I29</f>
        <v>0</v>
      </c>
      <c r="K29" s="12"/>
    </row>
    <row r="30" spans="1:11" ht="20.25" x14ac:dyDescent="0.3">
      <c r="A30" s="29" t="s">
        <v>38</v>
      </c>
      <c r="B30" s="430" t="s">
        <v>39</v>
      </c>
      <c r="C30" s="430"/>
      <c r="D30" s="30">
        <f t="shared" ref="D30:K30" si="6">+D22+D26+D27+D28+D29</f>
        <v>766302718</v>
      </c>
      <c r="E30" s="31">
        <f t="shared" si="6"/>
        <v>762866018</v>
      </c>
      <c r="F30" s="31">
        <f t="shared" si="6"/>
        <v>3436700</v>
      </c>
      <c r="G30" s="32">
        <f t="shared" si="6"/>
        <v>0</v>
      </c>
      <c r="H30" s="30">
        <f t="shared" si="6"/>
        <v>781803016</v>
      </c>
      <c r="I30" s="31">
        <f t="shared" si="6"/>
        <v>780719525</v>
      </c>
      <c r="J30" s="31">
        <f t="shared" si="6"/>
        <v>3436700</v>
      </c>
      <c r="K30" s="32">
        <f t="shared" si="6"/>
        <v>0</v>
      </c>
    </row>
    <row r="31" spans="1:11" x14ac:dyDescent="0.25">
      <c r="A31" s="33"/>
      <c r="B31" s="431"/>
      <c r="C31" s="431"/>
      <c r="D31" s="34"/>
      <c r="E31" s="35"/>
      <c r="F31" s="36"/>
      <c r="G31" s="37"/>
      <c r="H31" s="34"/>
      <c r="I31" s="35"/>
      <c r="J31" s="36"/>
      <c r="K31" s="37"/>
    </row>
    <row r="32" spans="1:11" x14ac:dyDescent="0.25">
      <c r="A32" s="3"/>
      <c r="B32" s="432" t="s">
        <v>40</v>
      </c>
      <c r="C32" s="432"/>
      <c r="D32" s="38"/>
      <c r="E32" s="39"/>
      <c r="F32" s="38"/>
      <c r="G32" s="40"/>
      <c r="H32" s="38"/>
      <c r="I32" s="39"/>
      <c r="J32" s="38"/>
      <c r="K32" s="40"/>
    </row>
    <row r="33" spans="1:11" x14ac:dyDescent="0.25">
      <c r="A33" s="3" t="s">
        <v>41</v>
      </c>
      <c r="B33" s="421" t="s">
        <v>42</v>
      </c>
      <c r="C33" s="421"/>
      <c r="D33" s="41">
        <v>14451020</v>
      </c>
      <c r="E33" s="41">
        <v>14451020</v>
      </c>
      <c r="F33" s="42">
        <f>'[1]11'!F32+'[1]13'!F32+'[1]15'!F34</f>
        <v>0</v>
      </c>
      <c r="G33" s="43"/>
      <c r="H33" s="41">
        <v>14715010</v>
      </c>
      <c r="I33" s="41">
        <v>14715010</v>
      </c>
      <c r="J33" s="42">
        <f>'[1]11'!J32+'[1]13'!J32+'[1]15'!J34</f>
        <v>0</v>
      </c>
      <c r="K33" s="43"/>
    </row>
    <row r="34" spans="1:11" x14ac:dyDescent="0.25">
      <c r="A34" s="3" t="s">
        <v>43</v>
      </c>
      <c r="B34" s="421" t="s">
        <v>44</v>
      </c>
      <c r="C34" s="421"/>
      <c r="D34" s="41">
        <f>D35+D36+D37</f>
        <v>40830000</v>
      </c>
      <c r="E34" s="41">
        <f>E35+E36+E37</f>
        <v>40830000</v>
      </c>
      <c r="F34" s="42">
        <f>SUM(F35:F37)</f>
        <v>0</v>
      </c>
      <c r="G34" s="43"/>
      <c r="H34" s="41">
        <f>H35+H36+H37</f>
        <v>40891200</v>
      </c>
      <c r="I34" s="41">
        <f>I35+I36+I37</f>
        <v>40891200</v>
      </c>
      <c r="J34" s="42">
        <f>SUM(J35:J37)</f>
        <v>0</v>
      </c>
      <c r="K34" s="43"/>
    </row>
    <row r="35" spans="1:11" x14ac:dyDescent="0.25">
      <c r="A35" s="3"/>
      <c r="B35" s="44" t="s">
        <v>45</v>
      </c>
      <c r="C35" s="45" t="s">
        <v>46</v>
      </c>
      <c r="D35" s="41">
        <v>35825000</v>
      </c>
      <c r="E35" s="41">
        <v>35825000</v>
      </c>
      <c r="F35" s="42">
        <f>'[1]11'!F34+'[1]13'!F34+'[1]15'!F36</f>
        <v>0</v>
      </c>
      <c r="G35" s="43"/>
      <c r="H35" s="41">
        <v>35886200</v>
      </c>
      <c r="I35" s="41">
        <v>35886200</v>
      </c>
      <c r="J35" s="42">
        <f>'[1]11'!J34+'[1]13'!J34+'[1]15'!J36</f>
        <v>0</v>
      </c>
      <c r="K35" s="43"/>
    </row>
    <row r="36" spans="1:11" x14ac:dyDescent="0.25">
      <c r="A36" s="3"/>
      <c r="B36" s="44" t="s">
        <v>47</v>
      </c>
      <c r="C36" s="45" t="s">
        <v>48</v>
      </c>
      <c r="D36" s="41">
        <v>4500000</v>
      </c>
      <c r="E36" s="41">
        <v>4500000</v>
      </c>
      <c r="F36" s="42">
        <f>'[1]11'!F35+'[1]13'!F35+'[1]15'!F37</f>
        <v>0</v>
      </c>
      <c r="G36" s="43"/>
      <c r="H36" s="41">
        <v>4500000</v>
      </c>
      <c r="I36" s="41">
        <v>4500000</v>
      </c>
      <c r="J36" s="42">
        <f>'[1]11'!J35+'[1]13'!J35+'[1]15'!J37</f>
        <v>0</v>
      </c>
      <c r="K36" s="43"/>
    </row>
    <row r="37" spans="1:11" x14ac:dyDescent="0.25">
      <c r="A37" s="3"/>
      <c r="B37" s="44" t="s">
        <v>49</v>
      </c>
      <c r="C37" s="45" t="s">
        <v>50</v>
      </c>
      <c r="D37" s="41">
        <v>505000</v>
      </c>
      <c r="E37" s="41">
        <v>505000</v>
      </c>
      <c r="F37" s="42">
        <f>'[1]11'!F36+'[1]13'!F36+'[1]15'!F38</f>
        <v>0</v>
      </c>
      <c r="G37" s="43"/>
      <c r="H37" s="41">
        <v>505000</v>
      </c>
      <c r="I37" s="41">
        <v>505000</v>
      </c>
      <c r="J37" s="42">
        <f>'[1]11'!J36+'[1]13'!J36+'[1]15'!J38</f>
        <v>0</v>
      </c>
      <c r="K37" s="43"/>
    </row>
    <row r="38" spans="1:11" x14ac:dyDescent="0.25">
      <c r="A38" s="3" t="s">
        <v>51</v>
      </c>
      <c r="B38" s="421" t="s">
        <v>52</v>
      </c>
      <c r="C38" s="421"/>
      <c r="D38" s="46">
        <f>D39+D40+D41</f>
        <v>152161604</v>
      </c>
      <c r="E38" s="46">
        <f>E39+E40+E41</f>
        <v>152161604</v>
      </c>
      <c r="F38" s="47">
        <f>SUM(F39:F41)</f>
        <v>0</v>
      </c>
      <c r="G38" s="43"/>
      <c r="H38" s="46">
        <f>H39+H40+H41</f>
        <v>151269259</v>
      </c>
      <c r="I38" s="46">
        <f>I39+I40+I41</f>
        <v>151269259</v>
      </c>
      <c r="J38" s="47">
        <f>SUM(J39:J41)</f>
        <v>0</v>
      </c>
      <c r="K38" s="43"/>
    </row>
    <row r="39" spans="1:11" x14ac:dyDescent="0.25">
      <c r="A39" s="3"/>
      <c r="B39" s="48" t="s">
        <v>53</v>
      </c>
      <c r="C39" s="49" t="s">
        <v>54</v>
      </c>
      <c r="D39" s="46">
        <v>145525259</v>
      </c>
      <c r="E39" s="46">
        <v>145525259</v>
      </c>
      <c r="F39" s="42">
        <f>'[1]11'!F38+'[1]13'!F38+'[1]15'!F40</f>
        <v>0</v>
      </c>
      <c r="G39" s="43"/>
      <c r="H39" s="46">
        <v>145525259</v>
      </c>
      <c r="I39" s="46">
        <v>145525259</v>
      </c>
      <c r="J39" s="42">
        <f>'[1]11'!J38+'[1]13'!J38+'[1]15'!J40</f>
        <v>0</v>
      </c>
      <c r="K39" s="43"/>
    </row>
    <row r="40" spans="1:11" x14ac:dyDescent="0.25">
      <c r="A40" s="3"/>
      <c r="B40" s="48" t="s">
        <v>55</v>
      </c>
      <c r="C40" s="49" t="s">
        <v>56</v>
      </c>
      <c r="D40" s="46">
        <f t="shared" ref="D40:E40" si="7">SUM(E40:G40)</f>
        <v>0</v>
      </c>
      <c r="E40" s="46">
        <f t="shared" si="7"/>
        <v>0</v>
      </c>
      <c r="F40" s="42">
        <f>'[1]11'!F39+'[1]13'!F39+'[1]15'!F41</f>
        <v>0</v>
      </c>
      <c r="G40" s="43"/>
      <c r="H40" s="46">
        <f t="shared" ref="H40" si="8">SUM(I40:K40)</f>
        <v>0</v>
      </c>
      <c r="I40" s="46">
        <f t="shared" ref="I40" si="9">SUM(J40:L40)</f>
        <v>0</v>
      </c>
      <c r="J40" s="42">
        <f>'[1]11'!J39+'[1]13'!J39+'[1]15'!J41</f>
        <v>0</v>
      </c>
      <c r="K40" s="43"/>
    </row>
    <row r="41" spans="1:11" x14ac:dyDescent="0.25">
      <c r="A41" s="3"/>
      <c r="B41" s="48" t="s">
        <v>57</v>
      </c>
      <c r="C41" s="49" t="s">
        <v>58</v>
      </c>
      <c r="D41" s="46">
        <v>6636345</v>
      </c>
      <c r="E41" s="46">
        <v>6636345</v>
      </c>
      <c r="F41" s="42">
        <f>'[1]11'!F40+'[1]13'!F40+'[1]15'!F42</f>
        <v>0</v>
      </c>
      <c r="G41" s="43"/>
      <c r="H41" s="46">
        <v>5744000</v>
      </c>
      <c r="I41" s="46">
        <v>5744000</v>
      </c>
      <c r="J41" s="42">
        <f>'[1]11'!J40+'[1]13'!J40+'[1]15'!J42</f>
        <v>0</v>
      </c>
      <c r="K41" s="43"/>
    </row>
    <row r="42" spans="1:11" x14ac:dyDescent="0.25">
      <c r="A42" s="3" t="s">
        <v>14</v>
      </c>
      <c r="B42" s="421" t="s">
        <v>59</v>
      </c>
      <c r="C42" s="421"/>
      <c r="D42" s="46">
        <f>SUM(D43:D46)</f>
        <v>14483373</v>
      </c>
      <c r="E42" s="46">
        <f>SUM(E43:E46)</f>
        <v>14483373</v>
      </c>
      <c r="F42" s="42">
        <f>SUM(F43:F46)</f>
        <v>0</v>
      </c>
      <c r="G42" s="43"/>
      <c r="H42" s="46">
        <f>SUM(H43:H46)</f>
        <v>39991321</v>
      </c>
      <c r="I42" s="46">
        <f>SUM(I43:I46)</f>
        <v>39991321</v>
      </c>
      <c r="J42" s="42">
        <f>SUM(J43:J46)</f>
        <v>0</v>
      </c>
      <c r="K42" s="43"/>
    </row>
    <row r="43" spans="1:11" x14ac:dyDescent="0.25">
      <c r="A43" s="3"/>
      <c r="B43" s="48" t="s">
        <v>60</v>
      </c>
      <c r="C43" s="50" t="s">
        <v>61</v>
      </c>
      <c r="D43" s="46">
        <v>13483373</v>
      </c>
      <c r="E43" s="46">
        <v>13483373</v>
      </c>
      <c r="F43" s="42">
        <f>'[1]11'!F42+'[1]13'!F42+'[1]15'!F44</f>
        <v>0</v>
      </c>
      <c r="G43" s="43"/>
      <c r="H43" s="46">
        <v>35682804</v>
      </c>
      <c r="I43" s="46">
        <v>35682804</v>
      </c>
      <c r="J43" s="42">
        <f>'[1]11'!J42+'[1]13'!J42+'[1]15'!J44</f>
        <v>0</v>
      </c>
      <c r="K43" s="43"/>
    </row>
    <row r="44" spans="1:11" x14ac:dyDescent="0.25">
      <c r="A44" s="3"/>
      <c r="B44" s="48" t="s">
        <v>62</v>
      </c>
      <c r="C44" s="49" t="s">
        <v>63</v>
      </c>
      <c r="D44" s="46"/>
      <c r="E44" s="46"/>
      <c r="F44" s="42">
        <f>'[1]11'!F43+'[1]13'!F43+'[1]15'!F45</f>
        <v>0</v>
      </c>
      <c r="G44" s="43"/>
      <c r="H44" s="46">
        <v>3308517</v>
      </c>
      <c r="I44" s="46">
        <v>3308517</v>
      </c>
      <c r="J44" s="42">
        <f>'[1]11'!J43+'[1]13'!J43+'[1]15'!J45</f>
        <v>0</v>
      </c>
      <c r="K44" s="43"/>
    </row>
    <row r="45" spans="1:11" x14ac:dyDescent="0.25">
      <c r="A45" s="3"/>
      <c r="B45" s="48" t="s">
        <v>64</v>
      </c>
      <c r="C45" s="49" t="s">
        <v>65</v>
      </c>
      <c r="D45" s="46">
        <v>1000000</v>
      </c>
      <c r="E45" s="46">
        <v>1000000</v>
      </c>
      <c r="F45" s="42">
        <f>'[1]11'!F44+'[1]13'!F44+'[1]15'!F46</f>
        <v>0</v>
      </c>
      <c r="G45" s="43"/>
      <c r="H45" s="46">
        <v>1000000</v>
      </c>
      <c r="I45" s="46">
        <v>1000000</v>
      </c>
      <c r="J45" s="42">
        <f>'[1]11'!J44+'[1]13'!J44+'[1]15'!J46</f>
        <v>0</v>
      </c>
      <c r="K45" s="43"/>
    </row>
    <row r="46" spans="1:11" x14ac:dyDescent="0.25">
      <c r="A46" s="3"/>
      <c r="B46" s="48" t="s">
        <v>66</v>
      </c>
      <c r="C46" s="49" t="s">
        <v>67</v>
      </c>
      <c r="D46" s="46"/>
      <c r="E46" s="46"/>
      <c r="F46" s="42">
        <f>'[1]11'!F45+'[1]13'!F45+'[1]15'!F47</f>
        <v>0</v>
      </c>
      <c r="G46" s="43"/>
      <c r="H46" s="46"/>
      <c r="I46" s="46"/>
      <c r="J46" s="42">
        <f>'[1]11'!J45+'[1]13'!J45+'[1]15'!J47</f>
        <v>0</v>
      </c>
      <c r="K46" s="43"/>
    </row>
    <row r="47" spans="1:11" ht="18.75" x14ac:dyDescent="0.3">
      <c r="A47" s="19" t="s">
        <v>0</v>
      </c>
      <c r="B47" s="424" t="s">
        <v>68</v>
      </c>
      <c r="C47" s="424"/>
      <c r="D47" s="51">
        <f>D42+D38+D33+D34</f>
        <v>221925997</v>
      </c>
      <c r="E47" s="51">
        <f>E42+E38+E33+E34</f>
        <v>221925997</v>
      </c>
      <c r="F47" s="51">
        <f>+F33+F34+F38+F42</f>
        <v>0</v>
      </c>
      <c r="G47" s="52">
        <f>+G33+G34+G38+G42</f>
        <v>0</v>
      </c>
      <c r="H47" s="51">
        <f>H42+H38+H33+H34</f>
        <v>246866790</v>
      </c>
      <c r="I47" s="51">
        <f>I42+I38+I33+I34</f>
        <v>246866790</v>
      </c>
      <c r="J47" s="51">
        <f>+J33+J34+J38+J42</f>
        <v>0</v>
      </c>
      <c r="K47" s="52">
        <f>+K33+K34+K38+K42</f>
        <v>0</v>
      </c>
    </row>
    <row r="48" spans="1:11" x14ac:dyDescent="0.25">
      <c r="A48" s="3" t="s">
        <v>16</v>
      </c>
      <c r="B48" s="421" t="s">
        <v>69</v>
      </c>
      <c r="C48" s="421"/>
      <c r="D48" s="42">
        <f>SUM(D49:D50)</f>
        <v>7867898</v>
      </c>
      <c r="E48" s="42">
        <f>SUM(E49:E50)</f>
        <v>7867898</v>
      </c>
      <c r="F48" s="42">
        <f>SUM(F49:F50)</f>
        <v>0</v>
      </c>
      <c r="G48" s="43"/>
      <c r="H48" s="42">
        <f>SUM(H49:H50)</f>
        <v>7867898</v>
      </c>
      <c r="I48" s="42">
        <f>SUM(I49:I50)</f>
        <v>7867898</v>
      </c>
      <c r="J48" s="42">
        <f>SUM(J49:J50)</f>
        <v>0</v>
      </c>
      <c r="K48" s="43"/>
    </row>
    <row r="49" spans="1:11" x14ac:dyDescent="0.25">
      <c r="A49" s="3"/>
      <c r="B49" s="48" t="s">
        <v>70</v>
      </c>
      <c r="C49" s="49" t="s">
        <v>71</v>
      </c>
      <c r="D49" s="46">
        <v>3518600</v>
      </c>
      <c r="E49" s="46">
        <v>3518600</v>
      </c>
      <c r="F49" s="42">
        <f>'[1]11'!F48+'[1]13'!F48+'[1]15'!F50</f>
        <v>0</v>
      </c>
      <c r="G49" s="43"/>
      <c r="H49" s="46">
        <v>3518600</v>
      </c>
      <c r="I49" s="46">
        <v>3518600</v>
      </c>
      <c r="J49" s="42">
        <f>'[1]11'!J48+'[1]13'!J48+'[1]15'!J50</f>
        <v>0</v>
      </c>
      <c r="K49" s="43"/>
    </row>
    <row r="50" spans="1:11" x14ac:dyDescent="0.25">
      <c r="A50" s="3"/>
      <c r="B50" s="48" t="s">
        <v>72</v>
      </c>
      <c r="C50" s="49" t="s">
        <v>73</v>
      </c>
      <c r="D50" s="46">
        <v>4349298</v>
      </c>
      <c r="E50" s="46">
        <v>4349298</v>
      </c>
      <c r="F50" s="42">
        <f>'[1]11'!F49+'[1]13'!F49+'[1]15'!F51</f>
        <v>0</v>
      </c>
      <c r="G50" s="43"/>
      <c r="H50" s="46">
        <v>4349298</v>
      </c>
      <c r="I50" s="46">
        <v>4349298</v>
      </c>
      <c r="J50" s="42">
        <f>'[1]11'!J49+'[1]13'!J49+'[1]15'!J51</f>
        <v>0</v>
      </c>
      <c r="K50" s="43"/>
    </row>
    <row r="51" spans="1:11" x14ac:dyDescent="0.25">
      <c r="A51" s="3" t="s">
        <v>27</v>
      </c>
      <c r="B51" s="421" t="s">
        <v>74</v>
      </c>
      <c r="C51" s="421"/>
      <c r="D51" s="46">
        <f>SUM(D52:D53)</f>
        <v>0</v>
      </c>
      <c r="E51" s="46">
        <f>SUM(E52:E53)</f>
        <v>0</v>
      </c>
      <c r="F51" s="47">
        <f>SUM(D51:D51)</f>
        <v>0</v>
      </c>
      <c r="G51" s="43"/>
      <c r="H51" s="46">
        <f>SUM(H52:H53)</f>
        <v>8939663</v>
      </c>
      <c r="I51" s="46">
        <f>SUM(I52:I53)</f>
        <v>8939663</v>
      </c>
      <c r="J51" s="47">
        <v>0</v>
      </c>
      <c r="K51" s="43"/>
    </row>
    <row r="52" spans="1:11" x14ac:dyDescent="0.25">
      <c r="A52" s="3"/>
      <c r="B52" s="48" t="s">
        <v>75</v>
      </c>
      <c r="C52" s="49" t="s">
        <v>76</v>
      </c>
      <c r="D52" s="46"/>
      <c r="E52" s="46"/>
      <c r="F52" s="42">
        <f>'[1]11'!F51+'[1]13'!F51+'[1]15'!F53</f>
        <v>0</v>
      </c>
      <c r="G52" s="43"/>
      <c r="H52" s="46"/>
      <c r="I52" s="46"/>
      <c r="J52" s="42">
        <f>'[1]11'!J51+'[1]13'!J51+'[1]15'!J53</f>
        <v>0</v>
      </c>
      <c r="K52" s="43"/>
    </row>
    <row r="53" spans="1:11" x14ac:dyDescent="0.25">
      <c r="A53" s="3"/>
      <c r="B53" s="48" t="s">
        <v>77</v>
      </c>
      <c r="C53" s="49" t="s">
        <v>78</v>
      </c>
      <c r="D53" s="46">
        <v>0</v>
      </c>
      <c r="E53" s="46">
        <v>0</v>
      </c>
      <c r="F53" s="42">
        <f>'[1]11'!F52+'[1]13'!F52+'[1]15'!F54</f>
        <v>0</v>
      </c>
      <c r="G53" s="43"/>
      <c r="H53" s="46">
        <v>8939663</v>
      </c>
      <c r="I53" s="46">
        <v>8939663</v>
      </c>
      <c r="J53" s="42">
        <f>'[1]11'!J52+'[1]13'!J52+'[1]15'!J54</f>
        <v>0</v>
      </c>
      <c r="K53" s="43"/>
    </row>
    <row r="54" spans="1:11" x14ac:dyDescent="0.25">
      <c r="A54" s="3" t="s">
        <v>29</v>
      </c>
      <c r="B54" s="421" t="s">
        <v>79</v>
      </c>
      <c r="C54" s="421"/>
      <c r="D54" s="46">
        <f>SUM(D55:D57)</f>
        <v>269478267</v>
      </c>
      <c r="E54" s="46">
        <f>SUM(E55:E57)</f>
        <v>269478267</v>
      </c>
      <c r="F54" s="47">
        <f>SUM(F55:F57)</f>
        <v>0</v>
      </c>
      <c r="G54" s="43"/>
      <c r="H54" s="46">
        <f>SUM(H55:H57)</f>
        <v>240286425</v>
      </c>
      <c r="I54" s="46">
        <f>SUM(I55:I57)</f>
        <v>240286425</v>
      </c>
      <c r="J54" s="47">
        <f>SUM(J55:J57)</f>
        <v>0</v>
      </c>
      <c r="K54" s="43"/>
    </row>
    <row r="55" spans="1:11" x14ac:dyDescent="0.25">
      <c r="A55" s="3"/>
      <c r="B55" s="48" t="s">
        <v>80</v>
      </c>
      <c r="C55" s="49" t="s">
        <v>81</v>
      </c>
      <c r="D55" s="46"/>
      <c r="E55" s="46"/>
      <c r="F55" s="42">
        <f>'[1]11'!F54+'[1]13'!F54+'[1]15'!F56</f>
        <v>0</v>
      </c>
      <c r="G55" s="43"/>
      <c r="H55" s="46"/>
      <c r="I55" s="46"/>
      <c r="J55" s="42">
        <f>'[1]11'!J54+'[1]13'!J54+'[1]15'!J56</f>
        <v>0</v>
      </c>
      <c r="K55" s="43"/>
    </row>
    <row r="56" spans="1:11" x14ac:dyDescent="0.25">
      <c r="A56" s="3"/>
      <c r="B56" s="48" t="s">
        <v>82</v>
      </c>
      <c r="C56" s="49" t="s">
        <v>83</v>
      </c>
      <c r="D56" s="46">
        <v>269478267</v>
      </c>
      <c r="E56" s="46">
        <v>269478267</v>
      </c>
      <c r="F56" s="42">
        <f>'[1]11'!F55+'[1]13'!F55+'[1]15'!F57</f>
        <v>0</v>
      </c>
      <c r="G56" s="43"/>
      <c r="H56" s="46">
        <v>240286425</v>
      </c>
      <c r="I56" s="46">
        <v>240286425</v>
      </c>
      <c r="J56" s="42">
        <f>'[1]11'!J55+'[1]13'!J55+'[1]15'!J57</f>
        <v>0</v>
      </c>
      <c r="K56" s="43"/>
    </row>
    <row r="57" spans="1:11" x14ac:dyDescent="0.25">
      <c r="A57" s="3"/>
      <c r="B57" s="48" t="s">
        <v>84</v>
      </c>
      <c r="C57" s="49" t="s">
        <v>85</v>
      </c>
      <c r="D57" s="46"/>
      <c r="E57" s="46"/>
      <c r="F57" s="42">
        <f>'[1]11'!F56+'[1]13'!F56+'[1]15'!F58</f>
        <v>0</v>
      </c>
      <c r="G57" s="43"/>
      <c r="H57" s="46"/>
      <c r="I57" s="46"/>
      <c r="J57" s="42">
        <f>'[1]11'!J56+'[1]13'!J56+'[1]15'!J58</f>
        <v>0</v>
      </c>
      <c r="K57" s="43"/>
    </row>
    <row r="58" spans="1:11" ht="18.75" x14ac:dyDescent="0.3">
      <c r="A58" s="19" t="s">
        <v>33</v>
      </c>
      <c r="B58" s="424" t="s">
        <v>86</v>
      </c>
      <c r="C58" s="424"/>
      <c r="D58" s="51">
        <f>D48+D51+D54</f>
        <v>277346165</v>
      </c>
      <c r="E58" s="51">
        <f>E48+E51+E54</f>
        <v>277346165</v>
      </c>
      <c r="F58" s="51">
        <f>+F48+F51+F54</f>
        <v>0</v>
      </c>
      <c r="G58" s="52">
        <f>+G48+G51+G54</f>
        <v>0</v>
      </c>
      <c r="H58" s="51">
        <f>H48+H51+H54</f>
        <v>257093986</v>
      </c>
      <c r="I58" s="51">
        <f>I48+I51+I54</f>
        <v>257093986</v>
      </c>
      <c r="J58" s="51">
        <f>+J48+J51+J54</f>
        <v>0</v>
      </c>
      <c r="K58" s="52">
        <f>+K48+K51+K54</f>
        <v>0</v>
      </c>
    </row>
    <row r="59" spans="1:11" x14ac:dyDescent="0.25">
      <c r="A59" s="19" t="s">
        <v>35</v>
      </c>
      <c r="B59" s="425" t="s">
        <v>87</v>
      </c>
      <c r="C59" s="425"/>
      <c r="D59" s="53"/>
      <c r="E59" s="53"/>
      <c r="F59" s="54"/>
      <c r="G59" s="55"/>
      <c r="H59" s="53"/>
      <c r="I59" s="53"/>
      <c r="J59" s="54"/>
      <c r="K59" s="55"/>
    </row>
    <row r="60" spans="1:11" x14ac:dyDescent="0.25">
      <c r="A60" s="19" t="s">
        <v>36</v>
      </c>
      <c r="B60" s="425" t="s">
        <v>88</v>
      </c>
      <c r="C60" s="425"/>
      <c r="D60" s="53"/>
      <c r="E60" s="53"/>
      <c r="F60" s="54"/>
      <c r="G60" s="55"/>
      <c r="H60" s="53"/>
      <c r="I60" s="53"/>
      <c r="J60" s="54"/>
      <c r="K60" s="55"/>
    </row>
    <row r="61" spans="1:11" ht="20.25" x14ac:dyDescent="0.3">
      <c r="A61" s="29" t="s">
        <v>89</v>
      </c>
      <c r="B61" s="426" t="s">
        <v>90</v>
      </c>
      <c r="C61" s="426"/>
      <c r="D61" s="56">
        <f>D47+D58</f>
        <v>499272162</v>
      </c>
      <c r="E61" s="56">
        <f>E47+E58</f>
        <v>499272162</v>
      </c>
      <c r="F61" s="57">
        <f>+F47+F58+F59+F60</f>
        <v>0</v>
      </c>
      <c r="G61" s="58">
        <f>+G47+G58+G59+G60</f>
        <v>0</v>
      </c>
      <c r="H61" s="56">
        <f>H47+H58</f>
        <v>503960776</v>
      </c>
      <c r="I61" s="56">
        <f>I47+I58</f>
        <v>503960776</v>
      </c>
      <c r="J61" s="57">
        <f>+J47+J58+J59+J60</f>
        <v>0</v>
      </c>
      <c r="K61" s="58">
        <f>+K47+K58+K59+K60</f>
        <v>0</v>
      </c>
    </row>
    <row r="62" spans="1:11" ht="18.75" x14ac:dyDescent="0.3">
      <c r="A62" s="29"/>
      <c r="B62" s="418" t="s">
        <v>91</v>
      </c>
      <c r="C62" s="418"/>
      <c r="D62" s="59">
        <f>+D30-D61</f>
        <v>267030556</v>
      </c>
      <c r="E62" s="59">
        <f>+E30-E61</f>
        <v>263593856</v>
      </c>
      <c r="F62" s="59">
        <f>F30-F61</f>
        <v>3436700</v>
      </c>
      <c r="G62" s="60">
        <f>+G30-G61</f>
        <v>0</v>
      </c>
      <c r="H62" s="59">
        <f>+H30-H61</f>
        <v>277842240</v>
      </c>
      <c r="I62" s="59">
        <f>+I30-I61</f>
        <v>276758749</v>
      </c>
      <c r="J62" s="59">
        <v>0</v>
      </c>
      <c r="K62" s="60">
        <f>+K30-K61</f>
        <v>0</v>
      </c>
    </row>
    <row r="63" spans="1:11" ht="18.75" x14ac:dyDescent="0.3">
      <c r="A63" s="29"/>
      <c r="B63" s="425" t="s">
        <v>92</v>
      </c>
      <c r="C63" s="425"/>
      <c r="D63" s="59"/>
      <c r="E63" s="59"/>
      <c r="F63" s="59">
        <f>+'[1]11'!F62+'[1]13'!F62</f>
        <v>0</v>
      </c>
      <c r="G63" s="60"/>
      <c r="H63" s="59"/>
      <c r="I63" s="59"/>
      <c r="J63" s="59">
        <f>+'[1]11'!J62+'[1]13'!J62</f>
        <v>0</v>
      </c>
      <c r="K63" s="60"/>
    </row>
    <row r="64" spans="1:11" x14ac:dyDescent="0.25">
      <c r="A64" s="19" t="s">
        <v>37</v>
      </c>
      <c r="B64" s="425" t="s">
        <v>93</v>
      </c>
      <c r="C64" s="425"/>
      <c r="D64" s="18">
        <f>D65+D66</f>
        <v>267030556</v>
      </c>
      <c r="E64" s="18">
        <f>E65+E66</f>
        <v>267030556</v>
      </c>
      <c r="F64" s="18">
        <f>SUM(F65:F66)</f>
        <v>0</v>
      </c>
      <c r="G64" s="14"/>
      <c r="H64" s="18">
        <f>H65+H66</f>
        <v>277842240</v>
      </c>
      <c r="I64" s="18">
        <f>I65+I66</f>
        <v>277842240</v>
      </c>
      <c r="J64" s="18">
        <f>SUM(J65:J66)</f>
        <v>0</v>
      </c>
      <c r="K64" s="14"/>
    </row>
    <row r="65" spans="1:11" ht="18.75" x14ac:dyDescent="0.25">
      <c r="A65" s="29"/>
      <c r="B65" s="61" t="s">
        <v>41</v>
      </c>
      <c r="C65" s="49" t="s">
        <v>94</v>
      </c>
      <c r="D65" s="18">
        <f>29532605+1449948+269381</f>
        <v>31251934</v>
      </c>
      <c r="E65" s="18">
        <f>29532605+1449948+269381</f>
        <v>31251934</v>
      </c>
      <c r="F65" s="18">
        <f>'[1]11'!F64+'[1]13'!F64+'[1]15'!F66</f>
        <v>0</v>
      </c>
      <c r="G65" s="62"/>
      <c r="H65" s="18">
        <f>36634104+5429514</f>
        <v>42063618</v>
      </c>
      <c r="I65" s="18">
        <f>36634104+5429514</f>
        <v>42063618</v>
      </c>
      <c r="J65" s="18">
        <f>'[1]11'!J64+'[1]13'!J64+'[1]15'!J66</f>
        <v>0</v>
      </c>
      <c r="K65" s="62"/>
    </row>
    <row r="66" spans="1:11" ht="18.75" x14ac:dyDescent="0.25">
      <c r="A66" s="29"/>
      <c r="B66" s="61" t="s">
        <v>43</v>
      </c>
      <c r="C66" s="49" t="s">
        <v>95</v>
      </c>
      <c r="D66" s="18">
        <v>235778622</v>
      </c>
      <c r="E66" s="18">
        <v>235778622</v>
      </c>
      <c r="F66" s="11"/>
      <c r="G66" s="62"/>
      <c r="H66" s="18">
        <v>235778622</v>
      </c>
      <c r="I66" s="18">
        <v>235778622</v>
      </c>
      <c r="J66" s="11"/>
      <c r="K66" s="62"/>
    </row>
    <row r="67" spans="1:11" ht="18.75" customHeight="1" x14ac:dyDescent="0.3">
      <c r="A67" s="29" t="s">
        <v>96</v>
      </c>
      <c r="B67" s="423" t="s">
        <v>97</v>
      </c>
      <c r="C67" s="423"/>
      <c r="D67" s="59">
        <f>D64</f>
        <v>267030556</v>
      </c>
      <c r="E67" s="59">
        <f>E64</f>
        <v>267030556</v>
      </c>
      <c r="F67" s="59">
        <f>+F64</f>
        <v>0</v>
      </c>
      <c r="G67" s="62"/>
      <c r="H67" s="59">
        <f>H64</f>
        <v>277842240</v>
      </c>
      <c r="I67" s="59">
        <f>I64</f>
        <v>277842240</v>
      </c>
      <c r="J67" s="59">
        <f>+J64</f>
        <v>0</v>
      </c>
      <c r="K67" s="62"/>
    </row>
    <row r="68" spans="1:11" ht="18.75" x14ac:dyDescent="0.3">
      <c r="A68" s="3" t="s">
        <v>98</v>
      </c>
      <c r="B68" s="416" t="s">
        <v>99</v>
      </c>
      <c r="C68" s="420"/>
      <c r="D68" s="59"/>
      <c r="E68" s="59"/>
      <c r="F68" s="64">
        <f>SUM(D68:E68)</f>
        <v>0</v>
      </c>
      <c r="G68" s="65"/>
      <c r="H68" s="59"/>
      <c r="I68" s="59"/>
      <c r="J68" s="64">
        <f>SUM(H68:I68)</f>
        <v>0</v>
      </c>
      <c r="K68" s="65"/>
    </row>
    <row r="69" spans="1:11" ht="18.75" x14ac:dyDescent="0.3">
      <c r="A69" s="3" t="s">
        <v>100</v>
      </c>
      <c r="B69" s="421" t="s">
        <v>101</v>
      </c>
      <c r="C69" s="421"/>
      <c r="D69" s="59">
        <f>SUM(D70:D73)</f>
        <v>0</v>
      </c>
      <c r="E69" s="59">
        <f>SUM(E70:E73)</f>
        <v>0</v>
      </c>
      <c r="F69" s="64">
        <f>SUM(D69:E69)</f>
        <v>0</v>
      </c>
      <c r="G69" s="65"/>
      <c r="H69" s="59">
        <f>SUM(H70:H73)</f>
        <v>0</v>
      </c>
      <c r="I69" s="59">
        <f>SUM(I70:I73)</f>
        <v>0</v>
      </c>
      <c r="J69" s="64">
        <f>SUM(H69:I69)</f>
        <v>0</v>
      </c>
      <c r="K69" s="65"/>
    </row>
    <row r="70" spans="1:11" ht="18.75" x14ac:dyDescent="0.3">
      <c r="A70" s="3"/>
      <c r="B70" s="48" t="s">
        <v>41</v>
      </c>
      <c r="C70" s="49" t="s">
        <v>102</v>
      </c>
      <c r="D70" s="66"/>
      <c r="E70" s="66"/>
      <c r="F70" s="68">
        <f>SUM(D70:E70)</f>
        <v>0</v>
      </c>
      <c r="G70" s="65"/>
      <c r="H70" s="66"/>
      <c r="I70" s="66"/>
      <c r="J70" s="68">
        <f>SUM(H70:I70)</f>
        <v>0</v>
      </c>
      <c r="K70" s="65"/>
    </row>
    <row r="71" spans="1:11" ht="18.75" x14ac:dyDescent="0.3">
      <c r="A71" s="3"/>
      <c r="B71" s="48" t="s">
        <v>43</v>
      </c>
      <c r="C71" s="49" t="s">
        <v>103</v>
      </c>
      <c r="D71" s="59"/>
      <c r="E71" s="59"/>
      <c r="F71" s="64">
        <f>SUM(D71:E71)</f>
        <v>0</v>
      </c>
      <c r="G71" s="65"/>
      <c r="H71" s="59"/>
      <c r="I71" s="59"/>
      <c r="J71" s="64">
        <f>SUM(H71:I71)</f>
        <v>0</v>
      </c>
      <c r="K71" s="65"/>
    </row>
    <row r="72" spans="1:11" ht="18.75" x14ac:dyDescent="0.3">
      <c r="A72" s="3"/>
      <c r="B72" s="48" t="s">
        <v>51</v>
      </c>
      <c r="C72" s="49" t="s">
        <v>104</v>
      </c>
      <c r="D72" s="66"/>
      <c r="E72" s="66"/>
      <c r="F72" s="64"/>
      <c r="G72" s="65"/>
      <c r="H72" s="66"/>
      <c r="I72" s="66"/>
      <c r="J72" s="64"/>
      <c r="K72" s="65"/>
    </row>
    <row r="73" spans="1:11" ht="18.75" x14ac:dyDescent="0.3">
      <c r="A73" s="3"/>
      <c r="B73" s="48" t="s">
        <v>14</v>
      </c>
      <c r="C73" s="49" t="s">
        <v>105</v>
      </c>
      <c r="D73" s="66"/>
      <c r="E73" s="66"/>
      <c r="F73" s="64"/>
      <c r="G73" s="65"/>
      <c r="H73" s="66"/>
      <c r="I73" s="66"/>
      <c r="J73" s="64"/>
      <c r="K73" s="65"/>
    </row>
    <row r="74" spans="1:11" ht="18.75" x14ac:dyDescent="0.3">
      <c r="A74" s="3"/>
      <c r="B74" s="48"/>
      <c r="C74" s="397"/>
      <c r="D74" s="66"/>
      <c r="E74" s="66"/>
      <c r="F74" s="64"/>
      <c r="G74" s="65"/>
      <c r="H74" s="66"/>
      <c r="I74" s="66"/>
      <c r="J74" s="64"/>
      <c r="K74" s="65"/>
    </row>
    <row r="75" spans="1:11" ht="35.25" customHeight="1" x14ac:dyDescent="0.3">
      <c r="A75" s="29" t="s">
        <v>106</v>
      </c>
      <c r="B75" s="422" t="s">
        <v>107</v>
      </c>
      <c r="C75" s="422"/>
      <c r="D75" s="59">
        <f>+D68+D69</f>
        <v>0</v>
      </c>
      <c r="E75" s="59">
        <f>+E68+E69</f>
        <v>0</v>
      </c>
      <c r="F75" s="64">
        <f>SUM(D75:E75)</f>
        <v>0</v>
      </c>
      <c r="G75" s="65"/>
      <c r="H75" s="59">
        <f>+H68+H69</f>
        <v>0</v>
      </c>
      <c r="I75" s="59">
        <f>+I68+I69</f>
        <v>0</v>
      </c>
      <c r="J75" s="64">
        <f>SUM(H75:I75)</f>
        <v>0</v>
      </c>
      <c r="K75" s="65"/>
    </row>
    <row r="76" spans="1:11" ht="18.75" x14ac:dyDescent="0.3">
      <c r="A76" s="29" t="s">
        <v>108</v>
      </c>
      <c r="B76" s="418" t="s">
        <v>109</v>
      </c>
      <c r="C76" s="418"/>
      <c r="D76" s="59">
        <f>+D67+D75</f>
        <v>267030556</v>
      </c>
      <c r="E76" s="59">
        <f>+E67+E75</f>
        <v>267030556</v>
      </c>
      <c r="F76" s="63">
        <f>+F67+F75</f>
        <v>0</v>
      </c>
      <c r="G76" s="65"/>
      <c r="H76" s="59">
        <f>+H67+H75</f>
        <v>277842240</v>
      </c>
      <c r="I76" s="59">
        <f>+I67+I75</f>
        <v>277842240</v>
      </c>
      <c r="J76" s="63">
        <f>+J67+J75</f>
        <v>0</v>
      </c>
      <c r="K76" s="65"/>
    </row>
    <row r="77" spans="1:11" ht="18.75" x14ac:dyDescent="0.3">
      <c r="A77" s="3" t="s">
        <v>110</v>
      </c>
      <c r="B77" s="421" t="s">
        <v>111</v>
      </c>
      <c r="C77" s="421"/>
      <c r="D77" s="59"/>
      <c r="E77" s="59"/>
      <c r="F77" s="64"/>
      <c r="G77" s="65"/>
      <c r="H77" s="59"/>
      <c r="I77" s="59"/>
      <c r="J77" s="64"/>
      <c r="K77" s="65"/>
    </row>
    <row r="78" spans="1:11" ht="18.75" x14ac:dyDescent="0.3">
      <c r="A78" s="3" t="s">
        <v>112</v>
      </c>
      <c r="B78" s="421" t="s">
        <v>113</v>
      </c>
      <c r="C78" s="421"/>
      <c r="D78" s="66">
        <f>SUM(D79:D81)</f>
        <v>0</v>
      </c>
      <c r="E78" s="66">
        <f>SUM(E79:E81)</f>
        <v>0</v>
      </c>
      <c r="F78" s="68">
        <f>SUM(D78:E78)</f>
        <v>0</v>
      </c>
      <c r="G78" s="65"/>
      <c r="H78" s="66">
        <f>SUM(H79:H81)</f>
        <v>0</v>
      </c>
      <c r="I78" s="66">
        <f>SUM(I79:I81)</f>
        <v>0</v>
      </c>
      <c r="J78" s="68">
        <f>SUM(H78:I78)</f>
        <v>0</v>
      </c>
      <c r="K78" s="65"/>
    </row>
    <row r="79" spans="1:11" ht="18.75" x14ac:dyDescent="0.3">
      <c r="A79" s="3"/>
      <c r="B79" s="48" t="s">
        <v>41</v>
      </c>
      <c r="C79" s="49" t="s">
        <v>114</v>
      </c>
      <c r="D79" s="66"/>
      <c r="E79" s="66"/>
      <c r="F79" s="68">
        <f>SUM(D79:E79)</f>
        <v>0</v>
      </c>
      <c r="G79" s="65"/>
      <c r="H79" s="66"/>
      <c r="I79" s="66"/>
      <c r="J79" s="68">
        <f>SUM(H79:I79)</f>
        <v>0</v>
      </c>
      <c r="K79" s="65"/>
    </row>
    <row r="80" spans="1:11" ht="18.75" x14ac:dyDescent="0.3">
      <c r="A80" s="3"/>
      <c r="B80" s="48" t="s">
        <v>43</v>
      </c>
      <c r="C80" s="49" t="s">
        <v>115</v>
      </c>
      <c r="D80" s="66"/>
      <c r="E80" s="66"/>
      <c r="F80" s="68">
        <f>SUM(D80:E80)</f>
        <v>0</v>
      </c>
      <c r="G80" s="65"/>
      <c r="H80" s="66"/>
      <c r="I80" s="66"/>
      <c r="J80" s="68">
        <f>SUM(H80:I80)</f>
        <v>0</v>
      </c>
      <c r="K80" s="65"/>
    </row>
    <row r="81" spans="1:11" ht="18.75" x14ac:dyDescent="0.3">
      <c r="A81" s="3"/>
      <c r="B81" s="48" t="s">
        <v>51</v>
      </c>
      <c r="C81" s="49" t="s">
        <v>116</v>
      </c>
      <c r="D81" s="66"/>
      <c r="E81" s="66"/>
      <c r="F81" s="68">
        <f>SUM(D81:E81)</f>
        <v>0</v>
      </c>
      <c r="G81" s="65"/>
      <c r="H81" s="66"/>
      <c r="I81" s="66"/>
      <c r="J81" s="68">
        <f>SUM(H81:I81)</f>
        <v>0</v>
      </c>
      <c r="K81" s="65"/>
    </row>
    <row r="82" spans="1:11" ht="18.75" x14ac:dyDescent="0.3">
      <c r="A82" s="3" t="s">
        <v>117</v>
      </c>
      <c r="B82" s="416"/>
      <c r="C82" s="417"/>
      <c r="D82" s="66"/>
      <c r="E82" s="66"/>
      <c r="F82" s="69"/>
      <c r="G82" s="65"/>
      <c r="H82" s="66"/>
      <c r="I82" s="66"/>
      <c r="J82" s="69"/>
      <c r="K82" s="65"/>
    </row>
    <row r="83" spans="1:11" ht="18.75" x14ac:dyDescent="0.3">
      <c r="A83" s="29" t="s">
        <v>118</v>
      </c>
      <c r="B83" s="418" t="s">
        <v>119</v>
      </c>
      <c r="C83" s="418"/>
      <c r="D83" s="59">
        <f>+D77+D78+D82</f>
        <v>0</v>
      </c>
      <c r="E83" s="59">
        <f>+E77+E78+E82</f>
        <v>0</v>
      </c>
      <c r="F83" s="63">
        <f>+F77+F78</f>
        <v>0</v>
      </c>
      <c r="G83" s="65"/>
      <c r="H83" s="59">
        <f>+H77+H78+H82</f>
        <v>0</v>
      </c>
      <c r="I83" s="59">
        <f>+I77+I78+I82</f>
        <v>0</v>
      </c>
      <c r="J83" s="63">
        <f>+J77+J78</f>
        <v>0</v>
      </c>
      <c r="K83" s="65"/>
    </row>
    <row r="84" spans="1:11" ht="18.75" x14ac:dyDescent="0.3">
      <c r="A84" s="70" t="s">
        <v>120</v>
      </c>
      <c r="B84" s="419" t="s">
        <v>121</v>
      </c>
      <c r="C84" s="419"/>
      <c r="D84" s="71">
        <f>+D30+D83</f>
        <v>766302718</v>
      </c>
      <c r="E84" s="71">
        <f>+E30+E83</f>
        <v>762866018</v>
      </c>
      <c r="F84" s="71">
        <f>F30+G30+F83</f>
        <v>3436700</v>
      </c>
      <c r="G84" s="72">
        <f>+G30+G83</f>
        <v>0</v>
      </c>
      <c r="H84" s="71">
        <f>+H30+H83</f>
        <v>781803016</v>
      </c>
      <c r="I84" s="71">
        <f>+I30+I83</f>
        <v>780719525</v>
      </c>
      <c r="J84" s="71">
        <f>J30+K30+J83</f>
        <v>3436700</v>
      </c>
      <c r="K84" s="72">
        <f>+K30+K83</f>
        <v>0</v>
      </c>
    </row>
    <row r="85" spans="1:11" ht="19.5" thickBot="1" x14ac:dyDescent="0.35">
      <c r="A85" s="73" t="s">
        <v>122</v>
      </c>
      <c r="B85" s="74" t="s">
        <v>123</v>
      </c>
      <c r="C85" s="74"/>
      <c r="D85" s="75">
        <f>+D61+D76+D63</f>
        <v>766302718</v>
      </c>
      <c r="E85" s="75">
        <f>+E61+E76+E63</f>
        <v>766302718</v>
      </c>
      <c r="F85" s="75">
        <f>+F61+F76+F63</f>
        <v>0</v>
      </c>
      <c r="G85" s="76">
        <f>+G61+G76</f>
        <v>0</v>
      </c>
      <c r="H85" s="75">
        <f>+H61+H76+H63</f>
        <v>781803016</v>
      </c>
      <c r="I85" s="75">
        <f>+I61+I76+I63</f>
        <v>781803016</v>
      </c>
      <c r="J85" s="75">
        <f>+J61+J76+J63</f>
        <v>0</v>
      </c>
      <c r="K85" s="76">
        <f>+K61+K76</f>
        <v>0</v>
      </c>
    </row>
    <row r="86" spans="1:11" x14ac:dyDescent="0.25">
      <c r="B86" s="77"/>
      <c r="C86" s="77"/>
      <c r="D86" s="79">
        <f>D85-D84</f>
        <v>0</v>
      </c>
      <c r="E86" s="78"/>
      <c r="F86" s="78"/>
    </row>
    <row r="87" spans="1:11" hidden="1" x14ac:dyDescent="0.25">
      <c r="B87" s="77"/>
      <c r="C87" s="77"/>
      <c r="D87" s="79">
        <f>+D85-D84</f>
        <v>0</v>
      </c>
      <c r="E87" s="79">
        <f>+E85-E84</f>
        <v>3436700</v>
      </c>
      <c r="F87" s="79">
        <f>+F85-F84</f>
        <v>-3436700</v>
      </c>
      <c r="G87" s="79">
        <f>+G85-G84</f>
        <v>0</v>
      </c>
    </row>
    <row r="88" spans="1:11" x14ac:dyDescent="0.25">
      <c r="B88" s="77"/>
      <c r="C88" s="77"/>
      <c r="D88" s="78"/>
      <c r="E88" s="78"/>
      <c r="F88" s="78"/>
    </row>
    <row r="89" spans="1:11" x14ac:dyDescent="0.25">
      <c r="B89" s="77"/>
      <c r="C89" s="77"/>
      <c r="D89" s="78"/>
      <c r="E89" s="78"/>
      <c r="F89" s="78"/>
    </row>
    <row r="90" spans="1:11" x14ac:dyDescent="0.25">
      <c r="B90" s="77"/>
      <c r="C90" s="77"/>
      <c r="D90" s="78"/>
      <c r="E90" s="78"/>
      <c r="F90" s="78"/>
    </row>
    <row r="91" spans="1:11" x14ac:dyDescent="0.25">
      <c r="B91" s="77"/>
      <c r="C91" s="77"/>
      <c r="D91" s="78"/>
      <c r="E91" s="78"/>
      <c r="F91" s="78"/>
    </row>
    <row r="92" spans="1:11" x14ac:dyDescent="0.25">
      <c r="B92" s="77"/>
      <c r="C92" s="77"/>
      <c r="D92" s="78"/>
      <c r="E92" s="78"/>
      <c r="F92" s="78"/>
    </row>
    <row r="93" spans="1:11" x14ac:dyDescent="0.25">
      <c r="B93" s="77"/>
      <c r="C93" s="77"/>
      <c r="D93" s="78"/>
      <c r="E93" s="78"/>
      <c r="F93" s="78"/>
    </row>
    <row r="94" spans="1:11" x14ac:dyDescent="0.25">
      <c r="B94" s="77"/>
      <c r="C94" s="77"/>
      <c r="D94" s="78"/>
      <c r="E94" s="78"/>
      <c r="F94" s="78"/>
    </row>
    <row r="95" spans="1:11" x14ac:dyDescent="0.25">
      <c r="B95" s="77"/>
      <c r="C95" s="77"/>
      <c r="D95" s="78"/>
      <c r="E95" s="78"/>
      <c r="F95" s="78"/>
    </row>
    <row r="96" spans="1:11" x14ac:dyDescent="0.25">
      <c r="B96" s="77"/>
      <c r="C96" s="77"/>
      <c r="D96" s="78"/>
      <c r="E96" s="78"/>
      <c r="F96" s="78"/>
    </row>
    <row r="97" spans="2:6" x14ac:dyDescent="0.25">
      <c r="B97" s="77"/>
      <c r="C97" s="77"/>
      <c r="D97" s="78"/>
      <c r="E97" s="78"/>
      <c r="F97" s="78"/>
    </row>
    <row r="98" spans="2:6" x14ac:dyDescent="0.25">
      <c r="B98" s="77"/>
      <c r="C98" s="77"/>
      <c r="D98" s="78"/>
      <c r="E98" s="78"/>
      <c r="F98" s="78"/>
    </row>
    <row r="99" spans="2:6" x14ac:dyDescent="0.25">
      <c r="B99" s="77"/>
      <c r="C99" s="77"/>
      <c r="D99" s="78"/>
      <c r="E99" s="78"/>
      <c r="F99" s="78"/>
    </row>
    <row r="100" spans="2:6" x14ac:dyDescent="0.25">
      <c r="B100" s="77"/>
      <c r="C100" s="77"/>
      <c r="D100" s="78"/>
      <c r="E100" s="78"/>
      <c r="F100" s="78"/>
    </row>
    <row r="101" spans="2:6" x14ac:dyDescent="0.25">
      <c r="B101" s="77"/>
      <c r="C101" s="77"/>
      <c r="D101" s="78"/>
      <c r="E101" s="78"/>
      <c r="F101" s="78"/>
    </row>
    <row r="102" spans="2:6" x14ac:dyDescent="0.25">
      <c r="B102" s="77"/>
      <c r="C102" s="77"/>
      <c r="D102" s="78"/>
      <c r="E102" s="78"/>
      <c r="F102" s="78"/>
    </row>
    <row r="103" spans="2:6" x14ac:dyDescent="0.25">
      <c r="B103" s="77"/>
      <c r="C103" s="77"/>
      <c r="D103" s="78"/>
      <c r="E103" s="78"/>
      <c r="F103" s="78"/>
    </row>
    <row r="104" spans="2:6" x14ac:dyDescent="0.25">
      <c r="B104" s="77"/>
      <c r="C104" s="77"/>
      <c r="D104" s="78"/>
      <c r="E104" s="78"/>
      <c r="F104" s="78"/>
    </row>
    <row r="105" spans="2:6" x14ac:dyDescent="0.25">
      <c r="B105" s="77"/>
      <c r="C105" s="77"/>
      <c r="D105" s="78"/>
      <c r="E105" s="78"/>
      <c r="F105" s="78"/>
    </row>
    <row r="106" spans="2:6" x14ac:dyDescent="0.25">
      <c r="B106" s="77"/>
      <c r="C106" s="77"/>
      <c r="D106" s="78"/>
      <c r="E106" s="78"/>
      <c r="F106" s="78"/>
    </row>
    <row r="107" spans="2:6" x14ac:dyDescent="0.25">
      <c r="B107" s="77"/>
      <c r="C107" s="77"/>
      <c r="D107" s="78"/>
      <c r="E107" s="78"/>
      <c r="F107" s="78"/>
    </row>
  </sheetData>
  <mergeCells count="66">
    <mergeCell ref="H6:H7"/>
    <mergeCell ref="I6:I7"/>
    <mergeCell ref="J6:J7"/>
    <mergeCell ref="K6:K7"/>
    <mergeCell ref="H8:J8"/>
    <mergeCell ref="B12:C12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G6:G7"/>
    <mergeCell ref="D8:F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42:C4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67:C67"/>
    <mergeCell ref="B47:C47"/>
    <mergeCell ref="B48:C48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82:C82"/>
    <mergeCell ref="B83:C83"/>
    <mergeCell ref="B84:C84"/>
    <mergeCell ref="B68:C68"/>
    <mergeCell ref="B69:C69"/>
    <mergeCell ref="B75:C75"/>
    <mergeCell ref="B76:C76"/>
    <mergeCell ref="B77:C77"/>
    <mergeCell ref="B78:C7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0"/>
  <sheetViews>
    <sheetView workbookViewId="0">
      <selection activeCell="M1" sqref="M1"/>
    </sheetView>
  </sheetViews>
  <sheetFormatPr defaultRowHeight="12.75" x14ac:dyDescent="0.2"/>
  <cols>
    <col min="1" max="3" width="9.140625" style="330"/>
    <col min="4" max="4" width="19.5703125" style="330" customWidth="1"/>
    <col min="5" max="5" width="14" style="330" bestFit="1" customWidth="1"/>
    <col min="6" max="9" width="9.140625" style="330"/>
    <col min="10" max="10" width="15.28515625" style="330" customWidth="1"/>
    <col min="11" max="11" width="14" style="330" bestFit="1" customWidth="1"/>
    <col min="12" max="16384" width="9.140625" style="330"/>
  </cols>
  <sheetData>
    <row r="1" spans="1:11" x14ac:dyDescent="0.2">
      <c r="K1" s="687" t="s">
        <v>630</v>
      </c>
    </row>
    <row r="2" spans="1:11" x14ac:dyDescent="0.2">
      <c r="B2" s="593" t="s">
        <v>502</v>
      </c>
      <c r="C2" s="702"/>
      <c r="D2" s="702"/>
      <c r="E2" s="702"/>
    </row>
    <row r="4" spans="1:11" ht="13.5" thickBot="1" x14ac:dyDescent="0.25"/>
    <row r="5" spans="1:11" ht="13.5" thickBot="1" x14ac:dyDescent="0.25">
      <c r="A5" s="594" t="s">
        <v>625</v>
      </c>
      <c r="B5" s="596"/>
      <c r="C5" s="596"/>
      <c r="D5" s="596"/>
      <c r="E5" s="595"/>
      <c r="G5" s="703" t="s">
        <v>626</v>
      </c>
      <c r="H5" s="703"/>
      <c r="I5" s="703"/>
      <c r="J5" s="703"/>
      <c r="K5" s="703"/>
    </row>
    <row r="6" spans="1:11" ht="15.75" thickBot="1" x14ac:dyDescent="0.3">
      <c r="A6" s="552" t="s">
        <v>408</v>
      </c>
      <c r="B6" s="553"/>
      <c r="C6" s="553"/>
      <c r="D6" s="554"/>
      <c r="E6" s="282" t="s">
        <v>208</v>
      </c>
      <c r="G6" s="552" t="s">
        <v>408</v>
      </c>
      <c r="H6" s="553"/>
      <c r="I6" s="553"/>
      <c r="J6" s="554"/>
      <c r="K6" s="282" t="s">
        <v>208</v>
      </c>
    </row>
    <row r="7" spans="1:11" ht="15.75" thickBot="1" x14ac:dyDescent="0.3">
      <c r="A7" s="552" t="s">
        <v>409</v>
      </c>
      <c r="B7" s="553"/>
      <c r="C7" s="553"/>
      <c r="D7" s="554"/>
      <c r="E7" s="217">
        <v>32884400</v>
      </c>
      <c r="G7" s="552" t="s">
        <v>409</v>
      </c>
      <c r="H7" s="553"/>
      <c r="I7" s="553"/>
      <c r="J7" s="554"/>
      <c r="K7" s="217">
        <v>32884400</v>
      </c>
    </row>
    <row r="8" spans="1:11" ht="15.75" thickBot="1" x14ac:dyDescent="0.3">
      <c r="A8" s="532" t="s">
        <v>503</v>
      </c>
      <c r="B8" s="553"/>
      <c r="C8" s="553"/>
      <c r="D8" s="554"/>
      <c r="E8" s="217">
        <v>5744000</v>
      </c>
      <c r="G8" s="532" t="s">
        <v>503</v>
      </c>
      <c r="H8" s="553"/>
      <c r="I8" s="553"/>
      <c r="J8" s="554"/>
      <c r="K8" s="217">
        <v>5744000</v>
      </c>
    </row>
    <row r="9" spans="1:11" ht="15.75" thickBot="1" x14ac:dyDescent="0.3">
      <c r="A9" s="532" t="s">
        <v>627</v>
      </c>
      <c r="B9" s="553"/>
      <c r="C9" s="553"/>
      <c r="D9" s="554"/>
      <c r="E9" s="217">
        <v>268608</v>
      </c>
      <c r="G9" s="552" t="s">
        <v>504</v>
      </c>
      <c r="H9" s="553"/>
      <c r="I9" s="553"/>
      <c r="J9" s="554"/>
      <c r="K9" s="217">
        <f>K11+K10</f>
        <v>269381</v>
      </c>
    </row>
    <row r="10" spans="1:11" ht="15.75" thickBot="1" x14ac:dyDescent="0.3">
      <c r="A10" s="555" t="s">
        <v>628</v>
      </c>
      <c r="B10" s="556"/>
      <c r="C10" s="556"/>
      <c r="D10" s="557"/>
      <c r="E10" s="283">
        <v>1104589</v>
      </c>
      <c r="G10" s="552" t="s">
        <v>410</v>
      </c>
      <c r="H10" s="553"/>
      <c r="I10" s="553"/>
      <c r="J10" s="554"/>
      <c r="K10" s="283">
        <v>915</v>
      </c>
    </row>
    <row r="11" spans="1:11" ht="19.5" thickBot="1" x14ac:dyDescent="0.35">
      <c r="A11" s="549" t="s">
        <v>412</v>
      </c>
      <c r="B11" s="550"/>
      <c r="C11" s="550"/>
      <c r="D11" s="551"/>
      <c r="E11" s="220">
        <f>SUM(E7:E9)+E10</f>
        <v>40001597</v>
      </c>
      <c r="G11" s="552" t="s">
        <v>411</v>
      </c>
      <c r="H11" s="553"/>
      <c r="I11" s="553"/>
      <c r="J11" s="554"/>
      <c r="K11" s="283">
        <v>268466</v>
      </c>
    </row>
    <row r="12" spans="1:11" ht="19.5" thickBot="1" x14ac:dyDescent="0.35">
      <c r="A12"/>
      <c r="B12"/>
      <c r="C12"/>
      <c r="D12"/>
      <c r="E12" s="213"/>
      <c r="G12" s="549" t="s">
        <v>412</v>
      </c>
      <c r="H12" s="550"/>
      <c r="I12" s="550"/>
      <c r="J12" s="551"/>
      <c r="K12" s="220">
        <f>SUM(K7:K9)</f>
        <v>38897781</v>
      </c>
    </row>
    <row r="13" spans="1:11" ht="15.75" thickBot="1" x14ac:dyDescent="0.3">
      <c r="A13"/>
      <c r="B13"/>
      <c r="C13"/>
      <c r="D13"/>
      <c r="E13" s="213"/>
      <c r="G13"/>
      <c r="H13"/>
      <c r="I13"/>
      <c r="J13"/>
      <c r="K13" s="213"/>
    </row>
    <row r="14" spans="1:11" ht="16.5" thickBot="1" x14ac:dyDescent="0.3">
      <c r="A14"/>
      <c r="B14"/>
      <c r="C14"/>
      <c r="D14" s="274" t="s">
        <v>413</v>
      </c>
      <c r="E14" s="218">
        <v>47183414</v>
      </c>
      <c r="G14"/>
      <c r="H14"/>
      <c r="I14"/>
      <c r="J14"/>
      <c r="K14" s="213"/>
    </row>
    <row r="15" spans="1:11" ht="16.5" thickBot="1" x14ac:dyDescent="0.3">
      <c r="A15"/>
      <c r="B15"/>
      <c r="C15"/>
      <c r="D15"/>
      <c r="E15" s="213"/>
      <c r="G15"/>
      <c r="H15"/>
      <c r="I15"/>
      <c r="J15" s="274" t="s">
        <v>413</v>
      </c>
      <c r="K15" s="218">
        <v>45461683</v>
      </c>
    </row>
    <row r="16" spans="1:11" ht="15.75" thickBot="1" x14ac:dyDescent="0.3">
      <c r="A16"/>
      <c r="B16"/>
      <c r="C16"/>
      <c r="D16"/>
      <c r="E16" s="213"/>
      <c r="G16"/>
      <c r="H16"/>
      <c r="I16"/>
      <c r="J16"/>
      <c r="K16" s="213"/>
    </row>
    <row r="17" spans="1:11" ht="16.5" thickBot="1" x14ac:dyDescent="0.3">
      <c r="A17"/>
      <c r="B17"/>
      <c r="C17"/>
      <c r="D17" s="274" t="s">
        <v>414</v>
      </c>
      <c r="E17" s="218">
        <f>E11-E14</f>
        <v>-7181817</v>
      </c>
      <c r="G17"/>
      <c r="H17"/>
      <c r="I17"/>
      <c r="J17"/>
      <c r="K17" s="213"/>
    </row>
    <row r="18" spans="1:11" ht="16.5" thickBot="1" x14ac:dyDescent="0.3">
      <c r="A18"/>
      <c r="B18"/>
      <c r="C18"/>
      <c r="D18"/>
      <c r="E18" s="213"/>
      <c r="G18"/>
      <c r="H18"/>
      <c r="I18"/>
      <c r="J18" s="274" t="s">
        <v>414</v>
      </c>
      <c r="K18" s="218">
        <f>K12-K15</f>
        <v>-6563902</v>
      </c>
    </row>
    <row r="19" spans="1:11" ht="13.5" thickBot="1" x14ac:dyDescent="0.25"/>
    <row r="20" spans="1:11" ht="13.5" thickBot="1" x14ac:dyDescent="0.25">
      <c r="D20" s="532" t="s">
        <v>629</v>
      </c>
      <c r="E20" s="533"/>
      <c r="F20" s="533"/>
      <c r="G20" s="533"/>
      <c r="H20" s="534"/>
      <c r="I20" s="696">
        <v>617915</v>
      </c>
    </row>
  </sheetData>
  <mergeCells count="17">
    <mergeCell ref="D20:H20"/>
    <mergeCell ref="B2:E2"/>
    <mergeCell ref="G6:J6"/>
    <mergeCell ref="G7:J7"/>
    <mergeCell ref="A6:D6"/>
    <mergeCell ref="A7:D7"/>
    <mergeCell ref="A5:E5"/>
    <mergeCell ref="G5:K5"/>
    <mergeCell ref="A11:D11"/>
    <mergeCell ref="G11:J11"/>
    <mergeCell ref="G8:J8"/>
    <mergeCell ref="A9:D9"/>
    <mergeCell ref="G9:J9"/>
    <mergeCell ref="A10:D10"/>
    <mergeCell ref="G10:J10"/>
    <mergeCell ref="A8:D8"/>
    <mergeCell ref="G12:J1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5"/>
  <sheetViews>
    <sheetView topLeftCell="A4" workbookViewId="0">
      <selection activeCell="I28" sqref="I28"/>
    </sheetView>
  </sheetViews>
  <sheetFormatPr defaultRowHeight="15" x14ac:dyDescent="0.25"/>
  <cols>
    <col min="3" max="3" width="60.7109375" bestFit="1" customWidth="1"/>
    <col min="4" max="5" width="20" bestFit="1" customWidth="1"/>
  </cols>
  <sheetData>
    <row r="1" spans="1:5" ht="18.75" x14ac:dyDescent="0.3">
      <c r="A1" s="446" t="s">
        <v>631</v>
      </c>
      <c r="B1" s="447"/>
      <c r="C1" s="447"/>
      <c r="D1" s="447"/>
    </row>
    <row r="2" spans="1:5" ht="15.75" x14ac:dyDescent="0.25">
      <c r="A2" s="415"/>
      <c r="B2" s="415"/>
      <c r="C2" s="415"/>
      <c r="D2" s="415"/>
    </row>
    <row r="3" spans="1:5" ht="15.75" x14ac:dyDescent="0.25">
      <c r="A3" s="448" t="s">
        <v>1</v>
      </c>
      <c r="B3" s="448"/>
      <c r="C3" s="448"/>
      <c r="D3" s="448"/>
    </row>
    <row r="4" spans="1:5" ht="15.75" x14ac:dyDescent="0.25">
      <c r="A4" s="415" t="s">
        <v>557</v>
      </c>
      <c r="B4" s="415"/>
      <c r="C4" s="415"/>
      <c r="D4" s="415"/>
    </row>
    <row r="5" spans="1:5" ht="16.5" thickBot="1" x14ac:dyDescent="0.3">
      <c r="A5" s="449" t="s">
        <v>560</v>
      </c>
      <c r="B5" s="449"/>
      <c r="C5" s="449"/>
      <c r="D5" s="449"/>
    </row>
    <row r="6" spans="1:5" ht="12.75" customHeight="1" x14ac:dyDescent="0.25">
      <c r="A6" s="450" t="s">
        <v>4</v>
      </c>
      <c r="B6" s="453" t="s">
        <v>5</v>
      </c>
      <c r="C6" s="453"/>
      <c r="D6" s="597" t="s">
        <v>561</v>
      </c>
      <c r="E6" s="597" t="s">
        <v>561</v>
      </c>
    </row>
    <row r="7" spans="1:5" ht="35.25" customHeight="1" x14ac:dyDescent="0.25">
      <c r="A7" s="451"/>
      <c r="B7" s="454"/>
      <c r="C7" s="454"/>
      <c r="D7" s="598"/>
      <c r="E7" s="598"/>
    </row>
    <row r="8" spans="1:5" ht="21" customHeight="1" thickBot="1" x14ac:dyDescent="0.3">
      <c r="A8" s="540"/>
      <c r="B8" s="541"/>
      <c r="C8" s="541"/>
      <c r="D8" s="406" t="s">
        <v>365</v>
      </c>
      <c r="E8" s="406" t="s">
        <v>365</v>
      </c>
    </row>
    <row r="9" spans="1:5" ht="15.75" x14ac:dyDescent="0.25">
      <c r="A9" s="383"/>
      <c r="B9" s="453" t="s">
        <v>10</v>
      </c>
      <c r="C9" s="453"/>
      <c r="D9" s="194" t="s">
        <v>591</v>
      </c>
      <c r="E9" s="194" t="s">
        <v>592</v>
      </c>
    </row>
    <row r="10" spans="1:5" ht="15.75" x14ac:dyDescent="0.25">
      <c r="A10" s="3">
        <v>1</v>
      </c>
      <c r="B10" s="427" t="s">
        <v>11</v>
      </c>
      <c r="C10" s="427"/>
      <c r="D10" s="16">
        <f>[3]bér_jár_Cofogszerint!Y15</f>
        <v>71038925</v>
      </c>
      <c r="E10" s="16">
        <v>71709425</v>
      </c>
    </row>
    <row r="11" spans="1:5" ht="15.75" x14ac:dyDescent="0.25">
      <c r="A11" s="3">
        <v>2</v>
      </c>
      <c r="B11" s="427" t="s">
        <v>12</v>
      </c>
      <c r="C11" s="427"/>
      <c r="D11" s="16">
        <f>[3]bér_jár_Cofogszerint!Y18</f>
        <v>14121345.225</v>
      </c>
      <c r="E11" s="16">
        <v>14238687</v>
      </c>
    </row>
    <row r="12" spans="1:5" ht="15.75" x14ac:dyDescent="0.25">
      <c r="A12" s="3">
        <v>3</v>
      </c>
      <c r="B12" s="427" t="s">
        <v>13</v>
      </c>
      <c r="C12" s="427"/>
      <c r="D12" s="16">
        <v>133766236</v>
      </c>
      <c r="E12" s="16">
        <v>138006236</v>
      </c>
    </row>
    <row r="13" spans="1:5" ht="15.75" x14ac:dyDescent="0.25">
      <c r="A13" s="3" t="s">
        <v>14</v>
      </c>
      <c r="B13" s="427" t="s">
        <v>15</v>
      </c>
      <c r="C13" s="427"/>
      <c r="D13" s="16"/>
      <c r="E13" s="16"/>
    </row>
    <row r="14" spans="1:5" ht="15.75" x14ac:dyDescent="0.25">
      <c r="A14" s="3" t="s">
        <v>16</v>
      </c>
      <c r="B14" s="433" t="s">
        <v>17</v>
      </c>
      <c r="C14" s="433"/>
      <c r="D14" s="16">
        <f>D15+D16+D17+D18</f>
        <v>18280262</v>
      </c>
      <c r="E14" s="16">
        <f>E15+E16+E17+E18</f>
        <v>16611942</v>
      </c>
    </row>
    <row r="15" spans="1:5" ht="15.75" x14ac:dyDescent="0.25">
      <c r="A15" s="3" t="s">
        <v>18</v>
      </c>
      <c r="B15" s="434" t="s">
        <v>127</v>
      </c>
      <c r="C15" s="434"/>
      <c r="D15" s="16"/>
      <c r="E15" s="16"/>
    </row>
    <row r="16" spans="1:5" ht="15.75" x14ac:dyDescent="0.25">
      <c r="A16" s="3" t="s">
        <v>19</v>
      </c>
      <c r="B16" s="434" t="s">
        <v>20</v>
      </c>
      <c r="C16" s="434"/>
      <c r="D16" s="16">
        <v>8161962</v>
      </c>
      <c r="E16" s="16">
        <v>6493642</v>
      </c>
    </row>
    <row r="17" spans="1:5" ht="15.75" x14ac:dyDescent="0.25">
      <c r="A17" s="3"/>
      <c r="B17" s="435"/>
      <c r="C17" s="436"/>
      <c r="D17" s="16"/>
      <c r="E17" s="16"/>
    </row>
    <row r="18" spans="1:5" ht="15.75" x14ac:dyDescent="0.25">
      <c r="A18" s="3" t="s">
        <v>21</v>
      </c>
      <c r="B18" s="437" t="s">
        <v>22</v>
      </c>
      <c r="C18" s="437"/>
      <c r="D18" s="16">
        <v>10118300</v>
      </c>
      <c r="E18" s="16">
        <v>10118300</v>
      </c>
    </row>
    <row r="19" spans="1:5" ht="15.75" x14ac:dyDescent="0.25">
      <c r="A19" s="3" t="s">
        <v>23</v>
      </c>
      <c r="B19" s="437" t="s">
        <v>129</v>
      </c>
      <c r="C19" s="537"/>
      <c r="D19" s="378">
        <v>1136830</v>
      </c>
      <c r="E19" s="378">
        <v>3682999</v>
      </c>
    </row>
    <row r="20" spans="1:5" ht="15.75" x14ac:dyDescent="0.25">
      <c r="A20" s="3"/>
      <c r="B20" s="427" t="s">
        <v>366</v>
      </c>
      <c r="C20" s="427"/>
      <c r="D20" s="16">
        <v>0</v>
      </c>
      <c r="E20" s="16">
        <v>0</v>
      </c>
    </row>
    <row r="21" spans="1:5" ht="15.75" x14ac:dyDescent="0.25">
      <c r="A21" s="3"/>
      <c r="B21" s="427" t="s">
        <v>367</v>
      </c>
      <c r="C21" s="427"/>
      <c r="D21" s="18">
        <v>28456625</v>
      </c>
      <c r="E21" s="18">
        <v>19477866</v>
      </c>
    </row>
    <row r="22" spans="1:5" ht="15.75" x14ac:dyDescent="0.25">
      <c r="A22" s="3" t="s">
        <v>0</v>
      </c>
      <c r="B22" s="382" t="s">
        <v>26</v>
      </c>
      <c r="C22" s="199"/>
      <c r="D22" s="16">
        <f>D10+D11+D12+D14+D19+D21</f>
        <v>266800223.22499999</v>
      </c>
      <c r="E22" s="16">
        <f>E10+E11+E12+E14+E19+E21</f>
        <v>263727155</v>
      </c>
    </row>
    <row r="23" spans="1:5" ht="15.75" x14ac:dyDescent="0.25">
      <c r="A23" s="3" t="s">
        <v>27</v>
      </c>
      <c r="B23" s="427" t="s">
        <v>28</v>
      </c>
      <c r="C23" s="427"/>
      <c r="D23" s="25">
        <f>[3]beruházások!B14+[3]beruházások!B21</f>
        <v>396996930</v>
      </c>
      <c r="E23" s="25">
        <v>393405113</v>
      </c>
    </row>
    <row r="24" spans="1:5" ht="15.75" x14ac:dyDescent="0.25">
      <c r="A24" s="3" t="s">
        <v>29</v>
      </c>
      <c r="B24" s="427" t="s">
        <v>30</v>
      </c>
      <c r="C24" s="427"/>
      <c r="D24" s="25">
        <f>[3]beruházások!B25</f>
        <v>850000</v>
      </c>
      <c r="E24" s="25">
        <v>11413019</v>
      </c>
    </row>
    <row r="25" spans="1:5" ht="15.75" x14ac:dyDescent="0.25">
      <c r="A25" s="3" t="s">
        <v>31</v>
      </c>
      <c r="B25" s="427" t="s">
        <v>32</v>
      </c>
      <c r="C25" s="427"/>
      <c r="D25" s="25"/>
      <c r="E25" s="25"/>
    </row>
    <row r="26" spans="1:5" ht="15.75" x14ac:dyDescent="0.25">
      <c r="A26" s="3" t="s">
        <v>33</v>
      </c>
      <c r="B26" s="427" t="s">
        <v>34</v>
      </c>
      <c r="C26" s="427"/>
      <c r="D26" s="25">
        <f>SUM(D23:D25)</f>
        <v>397846930</v>
      </c>
      <c r="E26" s="25">
        <f>SUM(E23:E25)</f>
        <v>404818132</v>
      </c>
    </row>
    <row r="27" spans="1:5" ht="15.75" x14ac:dyDescent="0.25">
      <c r="A27" s="3" t="s">
        <v>35</v>
      </c>
      <c r="B27" s="427"/>
      <c r="C27" s="427"/>
      <c r="D27" s="25"/>
      <c r="E27" s="25"/>
    </row>
    <row r="28" spans="1:5" ht="15.75" x14ac:dyDescent="0.25">
      <c r="A28" s="3" t="s">
        <v>36</v>
      </c>
      <c r="B28" s="429"/>
      <c r="C28" s="429"/>
      <c r="D28" s="27"/>
      <c r="E28" s="27"/>
    </row>
    <row r="29" spans="1:5" ht="15.75" x14ac:dyDescent="0.25">
      <c r="A29" s="3" t="s">
        <v>37</v>
      </c>
      <c r="B29" s="429"/>
      <c r="C29" s="429"/>
      <c r="D29" s="28"/>
      <c r="E29" s="28"/>
    </row>
    <row r="30" spans="1:5" ht="19.5" x14ac:dyDescent="0.3">
      <c r="A30" s="29" t="s">
        <v>38</v>
      </c>
      <c r="B30" s="423" t="s">
        <v>201</v>
      </c>
      <c r="C30" s="423"/>
      <c r="D30" s="59">
        <f>+D22+D26+D27+D28+D29</f>
        <v>664647153.22500002</v>
      </c>
      <c r="E30" s="59">
        <f>+E22+E26+E27+E28+E29</f>
        <v>668545287</v>
      </c>
    </row>
    <row r="31" spans="1:5" ht="15.75" x14ac:dyDescent="0.25">
      <c r="A31" s="33"/>
      <c r="B31" s="471"/>
      <c r="C31" s="471"/>
      <c r="D31" s="223"/>
      <c r="E31" s="223"/>
    </row>
    <row r="32" spans="1:5" ht="15.75" x14ac:dyDescent="0.25">
      <c r="A32" s="3"/>
      <c r="B32" s="498" t="s">
        <v>40</v>
      </c>
      <c r="C32" s="498"/>
      <c r="D32" s="18"/>
      <c r="E32" s="18"/>
    </row>
    <row r="33" spans="1:5" ht="15.75" x14ac:dyDescent="0.25">
      <c r="A33" s="3" t="s">
        <v>41</v>
      </c>
      <c r="B33" s="421" t="s">
        <v>42</v>
      </c>
      <c r="C33" s="421"/>
      <c r="D33" s="41">
        <v>14451020</v>
      </c>
      <c r="E33" s="41">
        <v>14715010</v>
      </c>
    </row>
    <row r="34" spans="1:5" ht="15.75" x14ac:dyDescent="0.25">
      <c r="A34" s="3" t="s">
        <v>43</v>
      </c>
      <c r="B34" s="421" t="s">
        <v>44</v>
      </c>
      <c r="C34" s="421"/>
      <c r="D34" s="41">
        <f>SUM(D35:D37)</f>
        <v>40830000</v>
      </c>
      <c r="E34" s="41">
        <v>40891200</v>
      </c>
    </row>
    <row r="35" spans="1:5" ht="15.75" x14ac:dyDescent="0.25">
      <c r="A35" s="3"/>
      <c r="B35" s="44" t="s">
        <v>45</v>
      </c>
      <c r="C35" s="45" t="s">
        <v>46</v>
      </c>
      <c r="D35" s="41">
        <v>35825000</v>
      </c>
      <c r="E35" s="41">
        <v>35886200</v>
      </c>
    </row>
    <row r="36" spans="1:5" ht="15.75" x14ac:dyDescent="0.25">
      <c r="A36" s="3"/>
      <c r="B36" s="44" t="s">
        <v>47</v>
      </c>
      <c r="C36" s="45" t="s">
        <v>48</v>
      </c>
      <c r="D36" s="41">
        <v>4500000</v>
      </c>
      <c r="E36" s="41">
        <v>4500000</v>
      </c>
    </row>
    <row r="37" spans="1:5" ht="15.75" x14ac:dyDescent="0.25">
      <c r="A37" s="3"/>
      <c r="B37" s="44" t="s">
        <v>49</v>
      </c>
      <c r="C37" s="45" t="s">
        <v>50</v>
      </c>
      <c r="D37" s="41">
        <v>505000</v>
      </c>
      <c r="E37" s="41">
        <v>505000</v>
      </c>
    </row>
    <row r="38" spans="1:5" ht="15.75" x14ac:dyDescent="0.25">
      <c r="A38" s="3" t="s">
        <v>51</v>
      </c>
      <c r="B38" s="421" t="s">
        <v>52</v>
      </c>
      <c r="C38" s="421"/>
      <c r="D38" s="46">
        <v>152161604</v>
      </c>
      <c r="E38" s="46">
        <v>151269259</v>
      </c>
    </row>
    <row r="39" spans="1:5" ht="15.75" x14ac:dyDescent="0.25">
      <c r="A39" s="3"/>
      <c r="B39" s="48" t="s">
        <v>53</v>
      </c>
      <c r="C39" s="381" t="s">
        <v>54</v>
      </c>
      <c r="D39" s="46">
        <v>145525259</v>
      </c>
      <c r="E39" s="46">
        <v>145525259</v>
      </c>
    </row>
    <row r="40" spans="1:5" ht="15.75" x14ac:dyDescent="0.25">
      <c r="A40" s="3"/>
      <c r="B40" s="48" t="s">
        <v>55</v>
      </c>
      <c r="C40" s="381" t="s">
        <v>56</v>
      </c>
      <c r="D40" s="46">
        <v>0</v>
      </c>
      <c r="E40" s="46">
        <v>0</v>
      </c>
    </row>
    <row r="41" spans="1:5" ht="15.75" x14ac:dyDescent="0.25">
      <c r="A41" s="3"/>
      <c r="B41" s="48" t="s">
        <v>57</v>
      </c>
      <c r="C41" s="381" t="s">
        <v>58</v>
      </c>
      <c r="D41" s="46">
        <v>6636345</v>
      </c>
      <c r="E41" s="46">
        <v>5744000</v>
      </c>
    </row>
    <row r="42" spans="1:5" ht="15.75" x14ac:dyDescent="0.25">
      <c r="A42" s="3" t="s">
        <v>14</v>
      </c>
      <c r="B42" s="421" t="s">
        <v>59</v>
      </c>
      <c r="C42" s="421"/>
      <c r="D42" s="42">
        <f>D44+D43+D45</f>
        <v>14483373</v>
      </c>
      <c r="E42" s="42">
        <f>E44+E43+E45</f>
        <v>36203479</v>
      </c>
    </row>
    <row r="43" spans="1:5" ht="15.75" x14ac:dyDescent="0.25">
      <c r="A43" s="3"/>
      <c r="B43" s="48" t="s">
        <v>60</v>
      </c>
      <c r="C43" s="381" t="s">
        <v>61</v>
      </c>
      <c r="D43" s="46">
        <v>13483373</v>
      </c>
      <c r="E43" s="46">
        <v>34894962</v>
      </c>
    </row>
    <row r="44" spans="1:5" ht="15.75" x14ac:dyDescent="0.25">
      <c r="A44" s="3"/>
      <c r="B44" s="48" t="s">
        <v>62</v>
      </c>
      <c r="C44" s="381" t="s">
        <v>63</v>
      </c>
      <c r="D44" s="46"/>
      <c r="E44" s="46">
        <v>308517</v>
      </c>
    </row>
    <row r="45" spans="1:5" ht="15.75" x14ac:dyDescent="0.25">
      <c r="A45" s="3"/>
      <c r="B45" s="48" t="s">
        <v>64</v>
      </c>
      <c r="C45" s="381" t="s">
        <v>65</v>
      </c>
      <c r="D45" s="46">
        <v>1000000</v>
      </c>
      <c r="E45" s="46">
        <v>1000000</v>
      </c>
    </row>
    <row r="46" spans="1:5" ht="15.75" x14ac:dyDescent="0.25">
      <c r="A46" s="3"/>
      <c r="B46" s="48" t="s">
        <v>66</v>
      </c>
      <c r="C46" s="381" t="s">
        <v>67</v>
      </c>
      <c r="D46" s="46"/>
      <c r="E46" s="46"/>
    </row>
    <row r="47" spans="1:5" s="22" customFormat="1" ht="15.75" x14ac:dyDescent="0.25">
      <c r="A47" s="19" t="s">
        <v>0</v>
      </c>
      <c r="B47" s="425" t="s">
        <v>68</v>
      </c>
      <c r="C47" s="425"/>
      <c r="D47" s="53">
        <f>D33+D34+D38+D42</f>
        <v>221925997</v>
      </c>
      <c r="E47" s="53">
        <f>E33+E34+E38+E42</f>
        <v>243078948</v>
      </c>
    </row>
    <row r="48" spans="1:5" ht="15.75" x14ac:dyDescent="0.25">
      <c r="A48" s="3" t="s">
        <v>16</v>
      </c>
      <c r="B48" s="421" t="s">
        <v>69</v>
      </c>
      <c r="C48" s="421"/>
      <c r="D48" s="42">
        <f>D49+D50</f>
        <v>7867898</v>
      </c>
      <c r="E48" s="42">
        <f>E49+E50</f>
        <v>7867898</v>
      </c>
    </row>
    <row r="49" spans="1:5" ht="15.75" x14ac:dyDescent="0.25">
      <c r="A49" s="3"/>
      <c r="B49" s="48" t="s">
        <v>70</v>
      </c>
      <c r="C49" s="381" t="s">
        <v>71</v>
      </c>
      <c r="D49" s="46">
        <v>3518600</v>
      </c>
      <c r="E49" s="46">
        <v>3518600</v>
      </c>
    </row>
    <row r="50" spans="1:5" ht="15.75" x14ac:dyDescent="0.25">
      <c r="A50" s="3"/>
      <c r="B50" s="48" t="s">
        <v>72</v>
      </c>
      <c r="C50" s="381" t="s">
        <v>73</v>
      </c>
      <c r="D50" s="46">
        <v>4349298</v>
      </c>
      <c r="E50" s="46">
        <v>4349298</v>
      </c>
    </row>
    <row r="51" spans="1:5" ht="15.75" x14ac:dyDescent="0.25">
      <c r="A51" s="3" t="s">
        <v>27</v>
      </c>
      <c r="B51" s="421" t="s">
        <v>74</v>
      </c>
      <c r="C51" s="421"/>
      <c r="D51" s="46">
        <f>SUM(D52:D53)</f>
        <v>0</v>
      </c>
      <c r="E51" s="46">
        <f>SUM(E52:E53)</f>
        <v>8939663</v>
      </c>
    </row>
    <row r="52" spans="1:5" ht="15.75" x14ac:dyDescent="0.25">
      <c r="A52" s="3"/>
      <c r="B52" s="48" t="s">
        <v>75</v>
      </c>
      <c r="C52" s="381" t="s">
        <v>76</v>
      </c>
      <c r="D52" s="46"/>
      <c r="E52" s="46"/>
    </row>
    <row r="53" spans="1:5" ht="15.75" x14ac:dyDescent="0.25">
      <c r="A53" s="3"/>
      <c r="B53" s="48" t="s">
        <v>77</v>
      </c>
      <c r="C53" s="381" t="s">
        <v>78</v>
      </c>
      <c r="D53" s="46">
        <v>0</v>
      </c>
      <c r="E53" s="46">
        <v>8939663</v>
      </c>
    </row>
    <row r="54" spans="1:5" ht="15.75" x14ac:dyDescent="0.25">
      <c r="A54" s="3" t="s">
        <v>29</v>
      </c>
      <c r="B54" s="421" t="s">
        <v>79</v>
      </c>
      <c r="C54" s="421"/>
      <c r="D54" s="46">
        <f>SUM(D55:D57)</f>
        <v>269478267</v>
      </c>
      <c r="E54" s="46">
        <f>SUM(E55:E57)</f>
        <v>240286425</v>
      </c>
    </row>
    <row r="55" spans="1:5" ht="15.75" x14ac:dyDescent="0.25">
      <c r="A55" s="3"/>
      <c r="B55" s="48" t="s">
        <v>80</v>
      </c>
      <c r="C55" s="381" t="s">
        <v>81</v>
      </c>
      <c r="D55" s="46">
        <v>0</v>
      </c>
      <c r="E55" s="46">
        <v>0</v>
      </c>
    </row>
    <row r="56" spans="1:5" ht="15.75" x14ac:dyDescent="0.25">
      <c r="A56" s="3"/>
      <c r="B56" s="48" t="s">
        <v>82</v>
      </c>
      <c r="C56" s="381" t="s">
        <v>83</v>
      </c>
      <c r="D56" s="46">
        <v>269478267</v>
      </c>
      <c r="E56" s="46">
        <v>240286425</v>
      </c>
    </row>
    <row r="57" spans="1:5" ht="15.75" x14ac:dyDescent="0.25">
      <c r="A57" s="3"/>
      <c r="B57" s="48" t="s">
        <v>84</v>
      </c>
      <c r="C57" s="381" t="s">
        <v>85</v>
      </c>
      <c r="D57" s="46"/>
      <c r="E57" s="46"/>
    </row>
    <row r="58" spans="1:5" ht="15.75" x14ac:dyDescent="0.25">
      <c r="A58" s="19" t="s">
        <v>33</v>
      </c>
      <c r="B58" s="425" t="s">
        <v>86</v>
      </c>
      <c r="C58" s="425"/>
      <c r="D58" s="46">
        <f>+D48+D51+D54</f>
        <v>277346165</v>
      </c>
      <c r="E58" s="46">
        <f>+E48+E51+E54</f>
        <v>257093986</v>
      </c>
    </row>
    <row r="59" spans="1:5" ht="15.75" x14ac:dyDescent="0.25">
      <c r="A59" s="19" t="s">
        <v>35</v>
      </c>
      <c r="B59" s="425" t="s">
        <v>87</v>
      </c>
      <c r="C59" s="425"/>
      <c r="D59" s="53"/>
      <c r="E59" s="53"/>
    </row>
    <row r="60" spans="1:5" ht="15.75" x14ac:dyDescent="0.25">
      <c r="A60" s="19" t="s">
        <v>36</v>
      </c>
      <c r="B60" s="425" t="s">
        <v>88</v>
      </c>
      <c r="C60" s="425"/>
      <c r="D60" s="53"/>
      <c r="E60" s="53"/>
    </row>
    <row r="61" spans="1:5" ht="18.75" x14ac:dyDescent="0.3">
      <c r="A61" s="29" t="s">
        <v>89</v>
      </c>
      <c r="B61" s="418" t="s">
        <v>90</v>
      </c>
      <c r="C61" s="418"/>
      <c r="D61" s="225">
        <f>D47+D58</f>
        <v>499272162</v>
      </c>
      <c r="E61" s="225">
        <f>E47+E58</f>
        <v>500172934</v>
      </c>
    </row>
    <row r="62" spans="1:5" ht="18.75" x14ac:dyDescent="0.3">
      <c r="A62" s="29"/>
      <c r="B62" s="418" t="s">
        <v>91</v>
      </c>
      <c r="C62" s="418"/>
      <c r="D62" s="59">
        <f>+D30-D61</f>
        <v>165374991.22500002</v>
      </c>
      <c r="E62" s="59">
        <f>+E30-E61</f>
        <v>168372353</v>
      </c>
    </row>
    <row r="63" spans="1:5" ht="18.75" x14ac:dyDescent="0.3">
      <c r="A63" s="29"/>
      <c r="B63" s="421" t="s">
        <v>92</v>
      </c>
      <c r="C63" s="421"/>
      <c r="D63" s="59"/>
      <c r="E63" s="59"/>
    </row>
    <row r="64" spans="1:5" ht="15.75" x14ac:dyDescent="0.25">
      <c r="A64" s="19" t="s">
        <v>37</v>
      </c>
      <c r="B64" s="421" t="s">
        <v>93</v>
      </c>
      <c r="C64" s="421"/>
      <c r="D64" s="26">
        <f>SUM(D65:D66)</f>
        <v>265311227</v>
      </c>
      <c r="E64" s="26">
        <f>SUM(E65:E66)</f>
        <v>272412726</v>
      </c>
    </row>
    <row r="65" spans="1:5" ht="18.75" x14ac:dyDescent="0.25">
      <c r="A65" s="29"/>
      <c r="B65" s="61" t="s">
        <v>41</v>
      </c>
      <c r="C65" s="381" t="s">
        <v>94</v>
      </c>
      <c r="D65" s="18">
        <v>29532605</v>
      </c>
      <c r="E65" s="18">
        <v>36634104</v>
      </c>
    </row>
    <row r="66" spans="1:5" ht="18.75" x14ac:dyDescent="0.3">
      <c r="A66" s="29"/>
      <c r="B66" s="61" t="s">
        <v>43</v>
      </c>
      <c r="C66" s="381" t="s">
        <v>95</v>
      </c>
      <c r="D66" s="379">
        <v>235778622</v>
      </c>
      <c r="E66" s="379">
        <v>235778622</v>
      </c>
    </row>
    <row r="67" spans="1:5" ht="40.5" customHeight="1" x14ac:dyDescent="0.3">
      <c r="A67" s="29" t="s">
        <v>96</v>
      </c>
      <c r="B67" s="423" t="s">
        <v>97</v>
      </c>
      <c r="C67" s="462"/>
      <c r="D67" s="59">
        <f>D64</f>
        <v>265311227</v>
      </c>
      <c r="E67" s="59">
        <f>E64</f>
        <v>272412726</v>
      </c>
    </row>
    <row r="68" spans="1:5" ht="18.75" x14ac:dyDescent="0.3">
      <c r="A68" s="3" t="s">
        <v>98</v>
      </c>
      <c r="B68" s="421" t="s">
        <v>99</v>
      </c>
      <c r="C68" s="421"/>
      <c r="D68" s="380"/>
      <c r="E68" s="380"/>
    </row>
    <row r="69" spans="1:5" ht="18.75" x14ac:dyDescent="0.3">
      <c r="A69" s="3" t="s">
        <v>100</v>
      </c>
      <c r="B69" s="421" t="s">
        <v>101</v>
      </c>
      <c r="C69" s="421"/>
      <c r="D69" s="59">
        <f>SUM(D70:D73)</f>
        <v>0</v>
      </c>
      <c r="E69" s="59">
        <f>SUM(E70:E73)</f>
        <v>0</v>
      </c>
    </row>
    <row r="70" spans="1:5" ht="18.75" x14ac:dyDescent="0.3">
      <c r="A70" s="3"/>
      <c r="B70" s="48" t="s">
        <v>41</v>
      </c>
      <c r="C70" s="381" t="s">
        <v>203</v>
      </c>
      <c r="D70" s="66"/>
      <c r="E70" s="66"/>
    </row>
    <row r="71" spans="1:5" ht="18.75" x14ac:dyDescent="0.3">
      <c r="A71" s="3"/>
      <c r="B71" s="48" t="s">
        <v>43</v>
      </c>
      <c r="C71" s="381" t="s">
        <v>103</v>
      </c>
      <c r="D71" s="59"/>
      <c r="E71" s="59"/>
    </row>
    <row r="72" spans="1:5" ht="18.75" x14ac:dyDescent="0.3">
      <c r="A72" s="3"/>
      <c r="B72" s="48" t="s">
        <v>51</v>
      </c>
      <c r="C72" s="381" t="s">
        <v>104</v>
      </c>
      <c r="D72" s="66"/>
      <c r="E72" s="66"/>
    </row>
    <row r="73" spans="1:5" ht="18.75" x14ac:dyDescent="0.3">
      <c r="A73" s="3"/>
      <c r="B73" s="48" t="s">
        <v>14</v>
      </c>
      <c r="C73" s="381" t="s">
        <v>105</v>
      </c>
      <c r="D73" s="66"/>
      <c r="E73" s="66"/>
    </row>
    <row r="74" spans="1:5" ht="42" customHeight="1" x14ac:dyDescent="0.3">
      <c r="A74" s="29" t="s">
        <v>106</v>
      </c>
      <c r="B74" s="422" t="s">
        <v>107</v>
      </c>
      <c r="C74" s="422"/>
      <c r="D74" s="59">
        <f>+D68+D69</f>
        <v>0</v>
      </c>
      <c r="E74" s="59">
        <f>+E68+E69</f>
        <v>0</v>
      </c>
    </row>
    <row r="75" spans="1:5" ht="18.75" x14ac:dyDescent="0.3">
      <c r="A75" s="29" t="s">
        <v>108</v>
      </c>
      <c r="B75" s="418" t="s">
        <v>109</v>
      </c>
      <c r="C75" s="418"/>
      <c r="D75" s="59">
        <f>+D67+D74</f>
        <v>265311227</v>
      </c>
      <c r="E75" s="59">
        <f>+E67+E74</f>
        <v>272412726</v>
      </c>
    </row>
    <row r="76" spans="1:5" ht="18.75" x14ac:dyDescent="0.3">
      <c r="A76" s="3" t="s">
        <v>110</v>
      </c>
      <c r="B76" s="421" t="s">
        <v>111</v>
      </c>
      <c r="C76" s="421"/>
      <c r="D76" s="59">
        <v>99936236</v>
      </c>
      <c r="E76" s="59">
        <v>104040373</v>
      </c>
    </row>
    <row r="77" spans="1:5" ht="18.75" x14ac:dyDescent="0.3">
      <c r="A77" s="3" t="s">
        <v>112</v>
      </c>
      <c r="B77" s="421" t="s">
        <v>113</v>
      </c>
      <c r="C77" s="421"/>
      <c r="D77" s="66">
        <v>0</v>
      </c>
      <c r="E77" s="66">
        <v>0</v>
      </c>
    </row>
    <row r="78" spans="1:5" ht="18.75" x14ac:dyDescent="0.3">
      <c r="A78" s="3"/>
      <c r="B78" s="48" t="s">
        <v>41</v>
      </c>
      <c r="C78" s="381" t="s">
        <v>205</v>
      </c>
      <c r="D78" s="66"/>
      <c r="E78" s="66"/>
    </row>
    <row r="79" spans="1:5" ht="18.75" x14ac:dyDescent="0.3">
      <c r="A79" s="3"/>
      <c r="B79" s="48" t="s">
        <v>43</v>
      </c>
      <c r="C79" s="381" t="s">
        <v>206</v>
      </c>
      <c r="D79" s="66"/>
      <c r="E79" s="66"/>
    </row>
    <row r="80" spans="1:5" ht="18.75" x14ac:dyDescent="0.3">
      <c r="A80" s="3" t="s">
        <v>117</v>
      </c>
      <c r="B80" s="416"/>
      <c r="C80" s="417"/>
      <c r="D80" s="66"/>
      <c r="E80" s="66"/>
    </row>
    <row r="81" spans="1:5" ht="18.75" x14ac:dyDescent="0.3">
      <c r="A81" s="29" t="s">
        <v>118</v>
      </c>
      <c r="B81" s="418" t="s">
        <v>207</v>
      </c>
      <c r="C81" s="418"/>
      <c r="D81" s="59">
        <f>D76+D77</f>
        <v>99936236</v>
      </c>
      <c r="E81" s="59">
        <f>E76+E77</f>
        <v>104040373</v>
      </c>
    </row>
    <row r="82" spans="1:5" ht="18.75" x14ac:dyDescent="0.3">
      <c r="A82" s="29" t="s">
        <v>120</v>
      </c>
      <c r="B82" s="418" t="s">
        <v>121</v>
      </c>
      <c r="C82" s="418"/>
      <c r="D82" s="227">
        <f>+D30+D81</f>
        <v>764583389.22500002</v>
      </c>
      <c r="E82" s="227">
        <f>+E30+E81</f>
        <v>772585660</v>
      </c>
    </row>
    <row r="83" spans="1:5" ht="19.5" thickBot="1" x14ac:dyDescent="0.35">
      <c r="A83" s="210" t="s">
        <v>122</v>
      </c>
      <c r="B83" s="211" t="s">
        <v>123</v>
      </c>
      <c r="C83" s="211"/>
      <c r="D83" s="212">
        <f>D61+D75</f>
        <v>764583389</v>
      </c>
      <c r="E83" s="212">
        <f>E61+E75</f>
        <v>772585660</v>
      </c>
    </row>
    <row r="84" spans="1:5" ht="15.75" x14ac:dyDescent="0.25">
      <c r="A84" s="2"/>
      <c r="B84" s="77"/>
      <c r="C84" s="77"/>
      <c r="D84" s="78"/>
    </row>
    <row r="85" spans="1:5" ht="15.75" x14ac:dyDescent="0.25">
      <c r="A85" s="2"/>
      <c r="B85" s="77"/>
      <c r="C85" s="77"/>
      <c r="D85" s="79">
        <f>+D83-D82</f>
        <v>-0.22500002384185791</v>
      </c>
    </row>
  </sheetData>
  <mergeCells count="57">
    <mergeCell ref="E6:E7"/>
    <mergeCell ref="A1:D1"/>
    <mergeCell ref="A2:D2"/>
    <mergeCell ref="A3:D3"/>
    <mergeCell ref="A4:D4"/>
    <mergeCell ref="B12:C12"/>
    <mergeCell ref="A6:A8"/>
    <mergeCell ref="B6:C8"/>
    <mergeCell ref="D6:D7"/>
    <mergeCell ref="B9:C9"/>
    <mergeCell ref="B10:C10"/>
    <mergeCell ref="B11:C11"/>
    <mergeCell ref="A5:D5"/>
    <mergeCell ref="B25:C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4:C24"/>
    <mergeCell ref="B23:C23"/>
    <mergeCell ref="B26:C26"/>
    <mergeCell ref="B27:C27"/>
    <mergeCell ref="B28:C28"/>
    <mergeCell ref="B29:C29"/>
    <mergeCell ref="B30:C30"/>
    <mergeCell ref="B67:C67"/>
    <mergeCell ref="B31:C31"/>
    <mergeCell ref="B32:C32"/>
    <mergeCell ref="B33:C33"/>
    <mergeCell ref="B34:C34"/>
    <mergeCell ref="B38:C38"/>
    <mergeCell ref="B62:C62"/>
    <mergeCell ref="B63:C63"/>
    <mergeCell ref="B64:C64"/>
    <mergeCell ref="B47:C47"/>
    <mergeCell ref="B51:C51"/>
    <mergeCell ref="B54:C54"/>
    <mergeCell ref="B58:C58"/>
    <mergeCell ref="B81:C81"/>
    <mergeCell ref="B82:C82"/>
    <mergeCell ref="B69:C69"/>
    <mergeCell ref="B75:C75"/>
    <mergeCell ref="B76:C76"/>
    <mergeCell ref="B77:C77"/>
    <mergeCell ref="B74:C74"/>
    <mergeCell ref="B80:C80"/>
    <mergeCell ref="B42:C42"/>
    <mergeCell ref="B68:C68"/>
    <mergeCell ref="B48:C48"/>
    <mergeCell ref="B59:C59"/>
    <mergeCell ref="B60:C60"/>
    <mergeCell ref="B61:C6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A40"/>
  <sheetViews>
    <sheetView topLeftCell="A31" workbookViewId="0">
      <selection activeCell="AD5" sqref="AD5"/>
    </sheetView>
  </sheetViews>
  <sheetFormatPr defaultRowHeight="15" x14ac:dyDescent="0.25"/>
  <cols>
    <col min="6" max="6" width="7.42578125" customWidth="1"/>
    <col min="7" max="19" width="10.28515625" hidden="1" customWidth="1"/>
    <col min="24" max="24" width="12.42578125" bestFit="1" customWidth="1"/>
    <col min="27" max="27" width="12.42578125" bestFit="1" customWidth="1"/>
  </cols>
  <sheetData>
    <row r="1" spans="1:27" ht="18.75" customHeight="1" x14ac:dyDescent="0.25">
      <c r="A1" s="704"/>
      <c r="B1" s="705"/>
      <c r="C1" s="706" t="s">
        <v>590</v>
      </c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</row>
    <row r="2" spans="1:27" ht="15.75" customHeight="1" x14ac:dyDescent="0.25">
      <c r="A2" s="705"/>
      <c r="B2" s="705"/>
      <c r="C2" s="706" t="s">
        <v>1</v>
      </c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</row>
    <row r="3" spans="1:27" ht="15.75" customHeight="1" x14ac:dyDescent="0.25">
      <c r="A3" s="705"/>
      <c r="B3" s="705"/>
      <c r="C3" s="708" t="s">
        <v>264</v>
      </c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09"/>
      <c r="S3" s="709"/>
      <c r="T3" s="709"/>
      <c r="U3" s="709"/>
    </row>
    <row r="4" spans="1:27" ht="37.5" customHeight="1" thickBot="1" x14ac:dyDescent="0.3">
      <c r="A4" s="705"/>
      <c r="B4" s="705"/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10" t="s">
        <v>632</v>
      </c>
      <c r="W4" s="711"/>
      <c r="X4" s="711"/>
      <c r="Y4" s="711"/>
      <c r="Z4" s="711"/>
      <c r="AA4" s="711"/>
    </row>
    <row r="5" spans="1:27" ht="37.5" customHeight="1" thickBot="1" x14ac:dyDescent="0.3">
      <c r="A5" s="705"/>
      <c r="B5" s="705"/>
      <c r="C5" s="705"/>
      <c r="D5" s="705"/>
      <c r="E5" s="705"/>
      <c r="F5" s="705"/>
      <c r="G5" s="705"/>
      <c r="H5" s="705"/>
      <c r="I5" s="705"/>
      <c r="J5" s="705"/>
      <c r="K5" s="705"/>
      <c r="L5" s="705"/>
      <c r="M5" s="705"/>
      <c r="N5" s="705"/>
      <c r="O5" s="705"/>
      <c r="P5" s="705"/>
      <c r="Q5" s="705"/>
      <c r="R5" s="705"/>
      <c r="S5" s="705"/>
      <c r="T5" s="705"/>
      <c r="U5" s="705"/>
      <c r="V5" s="712" t="s">
        <v>591</v>
      </c>
      <c r="W5" s="713"/>
      <c r="X5" s="714"/>
      <c r="Y5" s="712" t="s">
        <v>592</v>
      </c>
      <c r="Z5" s="713"/>
      <c r="AA5" s="714"/>
    </row>
    <row r="6" spans="1:27" ht="15.75" customHeight="1" x14ac:dyDescent="0.25">
      <c r="A6" s="715" t="s">
        <v>5</v>
      </c>
      <c r="B6" s="716"/>
      <c r="C6" s="716"/>
      <c r="D6" s="716"/>
      <c r="E6" s="716"/>
      <c r="F6" s="716"/>
      <c r="G6" s="716"/>
      <c r="H6" s="716"/>
      <c r="I6" s="716"/>
      <c r="J6" s="716"/>
      <c r="K6" s="716"/>
      <c r="L6" s="716"/>
      <c r="M6" s="716"/>
      <c r="N6" s="716"/>
      <c r="O6" s="716"/>
      <c r="P6" s="716"/>
      <c r="Q6" s="716"/>
      <c r="R6" s="716"/>
      <c r="S6" s="717"/>
      <c r="T6" s="718" t="s">
        <v>4</v>
      </c>
      <c r="U6" s="719"/>
      <c r="V6" s="82" t="s">
        <v>265</v>
      </c>
      <c r="W6" s="720"/>
      <c r="X6" s="721"/>
      <c r="Y6" s="82" t="s">
        <v>265</v>
      </c>
      <c r="Z6" s="720"/>
      <c r="AA6" s="722"/>
    </row>
    <row r="7" spans="1:27" ht="15.75" customHeight="1" x14ac:dyDescent="0.25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5"/>
      <c r="T7" s="726"/>
      <c r="U7" s="727"/>
      <c r="V7" s="84" t="s">
        <v>265</v>
      </c>
      <c r="W7" s="728" t="s">
        <v>266</v>
      </c>
      <c r="X7" s="729" t="s">
        <v>371</v>
      </c>
      <c r="Y7" s="84" t="s">
        <v>265</v>
      </c>
      <c r="Z7" s="728" t="s">
        <v>266</v>
      </c>
      <c r="AA7" s="730"/>
    </row>
    <row r="8" spans="1:27" ht="15.75" customHeight="1" x14ac:dyDescent="0.25">
      <c r="A8" s="731" t="s">
        <v>267</v>
      </c>
      <c r="B8" s="732"/>
      <c r="C8" s="732"/>
      <c r="D8" s="732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R8" s="732"/>
      <c r="S8" s="733"/>
      <c r="T8" s="734" t="s">
        <v>268</v>
      </c>
      <c r="U8" s="735"/>
      <c r="V8" s="391" t="s">
        <v>269</v>
      </c>
      <c r="W8" s="392"/>
      <c r="X8" s="730">
        <v>75000</v>
      </c>
      <c r="Y8" s="391" t="s">
        <v>269</v>
      </c>
      <c r="Z8" s="392"/>
      <c r="AA8" s="730">
        <v>75000</v>
      </c>
    </row>
    <row r="9" spans="1:27" ht="15.75" customHeight="1" x14ac:dyDescent="0.25">
      <c r="A9" s="731" t="s">
        <v>270</v>
      </c>
      <c r="B9" s="732"/>
      <c r="C9" s="732"/>
      <c r="D9" s="732"/>
      <c r="E9" s="732"/>
      <c r="F9" s="732"/>
      <c r="G9" s="732"/>
      <c r="H9" s="732"/>
      <c r="I9" s="732"/>
      <c r="J9" s="732"/>
      <c r="K9" s="732"/>
      <c r="L9" s="732"/>
      <c r="M9" s="732"/>
      <c r="N9" s="732"/>
      <c r="O9" s="732"/>
      <c r="P9" s="732"/>
      <c r="Q9" s="732"/>
      <c r="R9" s="732"/>
      <c r="S9" s="733"/>
      <c r="T9" s="734" t="s">
        <v>271</v>
      </c>
      <c r="U9" s="735"/>
      <c r="V9" s="393" t="s">
        <v>272</v>
      </c>
      <c r="W9" s="392" t="s">
        <v>273</v>
      </c>
      <c r="X9" s="730">
        <v>8700000</v>
      </c>
      <c r="Y9" s="393" t="s">
        <v>272</v>
      </c>
      <c r="Z9" s="392" t="s">
        <v>273</v>
      </c>
      <c r="AA9" s="730">
        <v>8720000</v>
      </c>
    </row>
    <row r="10" spans="1:27" ht="16.5" customHeight="1" thickBot="1" x14ac:dyDescent="0.3">
      <c r="A10" s="731" t="s">
        <v>274</v>
      </c>
      <c r="B10" s="732"/>
      <c r="C10" s="732"/>
      <c r="D10" s="732"/>
      <c r="E10" s="732"/>
      <c r="F10" s="732"/>
      <c r="G10" s="732"/>
      <c r="H10" s="732"/>
      <c r="I10" s="732"/>
      <c r="J10" s="732"/>
      <c r="K10" s="732"/>
      <c r="L10" s="732"/>
      <c r="M10" s="732"/>
      <c r="N10" s="732"/>
      <c r="O10" s="732"/>
      <c r="P10" s="732"/>
      <c r="Q10" s="732"/>
      <c r="R10" s="732"/>
      <c r="S10" s="733"/>
      <c r="T10" s="734" t="s">
        <v>275</v>
      </c>
      <c r="U10" s="735"/>
      <c r="V10" s="393" t="s">
        <v>276</v>
      </c>
      <c r="W10" s="392" t="s">
        <v>277</v>
      </c>
      <c r="X10" s="730">
        <f>SUM(Y10:AY10)</f>
        <v>0</v>
      </c>
      <c r="Y10" s="393" t="s">
        <v>276</v>
      </c>
      <c r="Z10" s="392" t="s">
        <v>277</v>
      </c>
      <c r="AA10" s="730">
        <f>SUM(AB10:BB10)</f>
        <v>0</v>
      </c>
    </row>
    <row r="11" spans="1:27" ht="16.5" customHeight="1" thickBot="1" x14ac:dyDescent="0.3">
      <c r="A11" s="736" t="s">
        <v>278</v>
      </c>
      <c r="B11" s="737"/>
      <c r="C11" s="737"/>
      <c r="D11" s="737"/>
      <c r="E11" s="737"/>
      <c r="F11" s="737"/>
      <c r="G11" s="737"/>
      <c r="H11" s="737"/>
      <c r="I11" s="737"/>
      <c r="J11" s="737"/>
      <c r="K11" s="737"/>
      <c r="L11" s="737"/>
      <c r="M11" s="737"/>
      <c r="N11" s="737"/>
      <c r="O11" s="737"/>
      <c r="P11" s="737"/>
      <c r="Q11" s="737"/>
      <c r="R11" s="737"/>
      <c r="S11" s="738"/>
      <c r="T11" s="734" t="s">
        <v>279</v>
      </c>
      <c r="U11" s="735"/>
      <c r="V11" s="393"/>
      <c r="W11" s="392" t="s">
        <v>280</v>
      </c>
      <c r="X11" s="394">
        <f>X8+X9+X10</f>
        <v>8775000</v>
      </c>
      <c r="Y11" s="393"/>
      <c r="Z11" s="392" t="s">
        <v>280</v>
      </c>
      <c r="AA11" s="394">
        <f>AA8+AA9+AA10</f>
        <v>8795000</v>
      </c>
    </row>
    <row r="12" spans="1:27" ht="15.75" customHeight="1" x14ac:dyDescent="0.25">
      <c r="A12" s="731" t="s">
        <v>281</v>
      </c>
      <c r="B12" s="732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2"/>
      <c r="R12" s="732"/>
      <c r="S12" s="733"/>
      <c r="T12" s="734" t="s">
        <v>282</v>
      </c>
      <c r="U12" s="735"/>
      <c r="V12" s="393" t="s">
        <v>283</v>
      </c>
      <c r="W12" s="392"/>
      <c r="X12" s="730">
        <v>1610000</v>
      </c>
      <c r="Y12" s="393" t="s">
        <v>283</v>
      </c>
      <c r="Z12" s="392"/>
      <c r="AA12" s="730">
        <v>1610000</v>
      </c>
    </row>
    <row r="13" spans="1:27" ht="16.5" customHeight="1" thickBot="1" x14ac:dyDescent="0.3">
      <c r="A13" s="731" t="s">
        <v>284</v>
      </c>
      <c r="B13" s="732"/>
      <c r="C13" s="732"/>
      <c r="D13" s="732"/>
      <c r="E13" s="732"/>
      <c r="F13" s="732"/>
      <c r="G13" s="732"/>
      <c r="H13" s="732"/>
      <c r="I13" s="732"/>
      <c r="J13" s="732"/>
      <c r="K13" s="732"/>
      <c r="L13" s="732"/>
      <c r="M13" s="732"/>
      <c r="N13" s="732"/>
      <c r="O13" s="732"/>
      <c r="P13" s="732"/>
      <c r="Q13" s="732"/>
      <c r="R13" s="732"/>
      <c r="S13" s="733"/>
      <c r="T13" s="734" t="s">
        <v>285</v>
      </c>
      <c r="U13" s="735"/>
      <c r="V13" s="393" t="s">
        <v>286</v>
      </c>
      <c r="W13" s="392"/>
      <c r="X13" s="730">
        <v>390000</v>
      </c>
      <c r="Y13" s="393" t="s">
        <v>286</v>
      </c>
      <c r="Z13" s="392"/>
      <c r="AA13" s="730">
        <v>390000</v>
      </c>
    </row>
    <row r="14" spans="1:27" ht="16.5" customHeight="1" thickBot="1" x14ac:dyDescent="0.3">
      <c r="A14" s="736" t="s">
        <v>287</v>
      </c>
      <c r="B14" s="737"/>
      <c r="C14" s="737"/>
      <c r="D14" s="737"/>
      <c r="E14" s="737"/>
      <c r="F14" s="737"/>
      <c r="G14" s="737"/>
      <c r="H14" s="737"/>
      <c r="I14" s="737"/>
      <c r="J14" s="737"/>
      <c r="K14" s="737"/>
      <c r="L14" s="737"/>
      <c r="M14" s="737"/>
      <c r="N14" s="737"/>
      <c r="O14" s="737"/>
      <c r="P14" s="737"/>
      <c r="Q14" s="737"/>
      <c r="R14" s="737"/>
      <c r="S14" s="738"/>
      <c r="T14" s="734" t="s">
        <v>288</v>
      </c>
      <c r="U14" s="735"/>
      <c r="V14" s="393"/>
      <c r="W14" s="392"/>
      <c r="X14" s="394">
        <f>X12+X13</f>
        <v>2000000</v>
      </c>
      <c r="Y14" s="393"/>
      <c r="Z14" s="392"/>
      <c r="AA14" s="394">
        <f>AA12+AA13</f>
        <v>2000000</v>
      </c>
    </row>
    <row r="15" spans="1:27" ht="15.75" customHeight="1" x14ac:dyDescent="0.25">
      <c r="A15" s="731" t="s">
        <v>289</v>
      </c>
      <c r="B15" s="732"/>
      <c r="C15" s="732"/>
      <c r="D15" s="732"/>
      <c r="E15" s="732"/>
      <c r="F15" s="732"/>
      <c r="G15" s="732"/>
      <c r="H15" s="732"/>
      <c r="I15" s="732"/>
      <c r="J15" s="732"/>
      <c r="K15" s="732"/>
      <c r="L15" s="732"/>
      <c r="M15" s="732"/>
      <c r="N15" s="732"/>
      <c r="O15" s="732"/>
      <c r="P15" s="732"/>
      <c r="Q15" s="732"/>
      <c r="R15" s="732"/>
      <c r="S15" s="733"/>
      <c r="T15" s="734" t="s">
        <v>290</v>
      </c>
      <c r="U15" s="735"/>
      <c r="V15" s="393" t="s">
        <v>291</v>
      </c>
      <c r="W15" s="392"/>
      <c r="X15" s="730">
        <v>2950000</v>
      </c>
      <c r="Y15" s="393" t="s">
        <v>291</v>
      </c>
      <c r="Z15" s="392"/>
      <c r="AA15" s="730">
        <v>2950000</v>
      </c>
    </row>
    <row r="16" spans="1:27" ht="15.75" customHeight="1" x14ac:dyDescent="0.25">
      <c r="A16" s="731" t="s">
        <v>292</v>
      </c>
      <c r="B16" s="732"/>
      <c r="C16" s="732"/>
      <c r="D16" s="732"/>
      <c r="E16" s="732"/>
      <c r="F16" s="732"/>
      <c r="G16" s="732"/>
      <c r="H16" s="732"/>
      <c r="I16" s="732"/>
      <c r="J16" s="732"/>
      <c r="K16" s="732"/>
      <c r="L16" s="732"/>
      <c r="M16" s="732"/>
      <c r="N16" s="732"/>
      <c r="O16" s="732"/>
      <c r="P16" s="732"/>
      <c r="Q16" s="732"/>
      <c r="R16" s="732"/>
      <c r="S16" s="733"/>
      <c r="T16" s="734" t="s">
        <v>293</v>
      </c>
      <c r="U16" s="735"/>
      <c r="V16" s="393" t="s">
        <v>294</v>
      </c>
      <c r="W16" s="392" t="s">
        <v>295</v>
      </c>
      <c r="X16" s="730">
        <v>21300000</v>
      </c>
      <c r="Y16" s="393" t="s">
        <v>294</v>
      </c>
      <c r="Z16" s="392" t="s">
        <v>295</v>
      </c>
      <c r="AA16" s="730">
        <v>21300000</v>
      </c>
    </row>
    <row r="17" spans="1:27" ht="15.75" customHeight="1" x14ac:dyDescent="0.25">
      <c r="A17" s="731" t="s">
        <v>296</v>
      </c>
      <c r="B17" s="732"/>
      <c r="C17" s="732"/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32"/>
      <c r="R17" s="732"/>
      <c r="S17" s="733"/>
      <c r="T17" s="734" t="s">
        <v>297</v>
      </c>
      <c r="U17" s="735"/>
      <c r="V17" s="393" t="s">
        <v>298</v>
      </c>
      <c r="W17" s="392"/>
      <c r="X17" s="730">
        <v>1350000</v>
      </c>
      <c r="Y17" s="393" t="s">
        <v>298</v>
      </c>
      <c r="Z17" s="392"/>
      <c r="AA17" s="730">
        <v>1350000</v>
      </c>
    </row>
    <row r="18" spans="1:27" ht="15.75" customHeight="1" x14ac:dyDescent="0.25">
      <c r="A18" s="739" t="s">
        <v>299</v>
      </c>
      <c r="B18" s="740"/>
      <c r="C18" s="740"/>
      <c r="D18" s="740"/>
      <c r="E18" s="740"/>
      <c r="F18" s="740"/>
      <c r="G18" s="740"/>
      <c r="H18" s="740"/>
      <c r="I18" s="740"/>
      <c r="J18" s="740"/>
      <c r="K18" s="740"/>
      <c r="L18" s="740"/>
      <c r="M18" s="740"/>
      <c r="N18" s="740"/>
      <c r="O18" s="740"/>
      <c r="P18" s="740"/>
      <c r="Q18" s="740"/>
      <c r="R18" s="740"/>
      <c r="S18" s="741"/>
      <c r="T18" s="734" t="s">
        <v>300</v>
      </c>
      <c r="U18" s="735"/>
      <c r="V18" s="393"/>
      <c r="W18" s="392" t="s">
        <v>301</v>
      </c>
      <c r="X18" s="730">
        <f t="shared" ref="X18:X21" si="0">SUM(Y18:AY18)</f>
        <v>0</v>
      </c>
      <c r="Y18" s="393"/>
      <c r="Z18" s="392" t="s">
        <v>301</v>
      </c>
      <c r="AA18" s="730">
        <f t="shared" ref="AA18:AA21" si="1">SUM(AB18:BB18)</f>
        <v>0</v>
      </c>
    </row>
    <row r="19" spans="1:27" ht="15.75" customHeight="1" x14ac:dyDescent="0.25">
      <c r="A19" s="731" t="s">
        <v>302</v>
      </c>
      <c r="B19" s="732"/>
      <c r="C19" s="732"/>
      <c r="D19" s="732"/>
      <c r="E19" s="732"/>
      <c r="F19" s="732"/>
      <c r="G19" s="732"/>
      <c r="H19" s="732"/>
      <c r="I19" s="732"/>
      <c r="J19" s="732"/>
      <c r="K19" s="732"/>
      <c r="L19" s="732"/>
      <c r="M19" s="732"/>
      <c r="N19" s="732"/>
      <c r="O19" s="732"/>
      <c r="P19" s="732"/>
      <c r="Q19" s="732"/>
      <c r="R19" s="732"/>
      <c r="S19" s="733"/>
      <c r="T19" s="734" t="s">
        <v>303</v>
      </c>
      <c r="U19" s="735"/>
      <c r="V19" s="393" t="s">
        <v>304</v>
      </c>
      <c r="W19" s="392"/>
      <c r="X19" s="730">
        <v>550000</v>
      </c>
      <c r="Y19" s="393" t="s">
        <v>304</v>
      </c>
      <c r="Z19" s="392"/>
      <c r="AA19" s="730">
        <v>550000</v>
      </c>
    </row>
    <row r="20" spans="1:27" ht="15.75" customHeight="1" x14ac:dyDescent="0.25">
      <c r="A20" s="731" t="s">
        <v>305</v>
      </c>
      <c r="B20" s="732"/>
      <c r="C20" s="732"/>
      <c r="D20" s="732"/>
      <c r="E20" s="732"/>
      <c r="F20" s="732"/>
      <c r="G20" s="732"/>
      <c r="H20" s="732"/>
      <c r="I20" s="732"/>
      <c r="J20" s="732"/>
      <c r="K20" s="732"/>
      <c r="L20" s="732"/>
      <c r="M20" s="732"/>
      <c r="N20" s="732"/>
      <c r="O20" s="732"/>
      <c r="P20" s="732"/>
      <c r="Q20" s="732"/>
      <c r="R20" s="732"/>
      <c r="S20" s="733"/>
      <c r="T20" s="734" t="s">
        <v>306</v>
      </c>
      <c r="U20" s="735"/>
      <c r="V20" s="393" t="s">
        <v>307</v>
      </c>
      <c r="W20" s="392" t="s">
        <v>308</v>
      </c>
      <c r="X20" s="730">
        <f t="shared" si="0"/>
        <v>0</v>
      </c>
      <c r="Y20" s="393" t="s">
        <v>307</v>
      </c>
      <c r="Z20" s="392" t="s">
        <v>308</v>
      </c>
      <c r="AA20" s="730"/>
    </row>
    <row r="21" spans="1:27" ht="15.75" customHeight="1" x14ac:dyDescent="0.25">
      <c r="A21" s="739" t="s">
        <v>309</v>
      </c>
      <c r="B21" s="740"/>
      <c r="C21" s="740"/>
      <c r="D21" s="740"/>
      <c r="E21" s="740"/>
      <c r="F21" s="740"/>
      <c r="G21" s="740"/>
      <c r="H21" s="740"/>
      <c r="I21" s="740"/>
      <c r="J21" s="740"/>
      <c r="K21" s="740"/>
      <c r="L21" s="740"/>
      <c r="M21" s="740"/>
      <c r="N21" s="740"/>
      <c r="O21" s="740"/>
      <c r="P21" s="740"/>
      <c r="Q21" s="740"/>
      <c r="R21" s="740"/>
      <c r="S21" s="741"/>
      <c r="T21" s="734" t="s">
        <v>310</v>
      </c>
      <c r="U21" s="735"/>
      <c r="V21" s="393"/>
      <c r="W21" s="392" t="s">
        <v>277</v>
      </c>
      <c r="X21" s="730">
        <f t="shared" si="0"/>
        <v>0</v>
      </c>
      <c r="Y21" s="393"/>
      <c r="Z21" s="392" t="s">
        <v>277</v>
      </c>
      <c r="AA21" s="730">
        <f t="shared" si="1"/>
        <v>0</v>
      </c>
    </row>
    <row r="22" spans="1:27" ht="15.75" customHeight="1" x14ac:dyDescent="0.25">
      <c r="A22" s="742" t="s">
        <v>311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  <c r="Q22" s="743"/>
      <c r="R22" s="743"/>
      <c r="S22" s="744"/>
      <c r="T22" s="745" t="s">
        <v>312</v>
      </c>
      <c r="U22" s="746"/>
      <c r="V22" s="395" t="s">
        <v>313</v>
      </c>
      <c r="W22" s="396"/>
      <c r="X22" s="747">
        <v>20000000</v>
      </c>
      <c r="Y22" s="395" t="s">
        <v>313</v>
      </c>
      <c r="Z22" s="396"/>
      <c r="AA22" s="747">
        <v>2000000</v>
      </c>
    </row>
    <row r="23" spans="1:27" ht="16.5" customHeight="1" thickBot="1" x14ac:dyDescent="0.3">
      <c r="A23" s="731" t="s">
        <v>314</v>
      </c>
      <c r="B23" s="732"/>
      <c r="C23" s="732"/>
      <c r="D23" s="732"/>
      <c r="E23" s="732"/>
      <c r="F23" s="732"/>
      <c r="G23" s="732"/>
      <c r="H23" s="732"/>
      <c r="I23" s="732"/>
      <c r="J23" s="732"/>
      <c r="K23" s="732"/>
      <c r="L23" s="732"/>
      <c r="M23" s="732"/>
      <c r="N23" s="732"/>
      <c r="O23" s="732"/>
      <c r="P23" s="732"/>
      <c r="Q23" s="732"/>
      <c r="R23" s="732"/>
      <c r="S23" s="733"/>
      <c r="T23" s="734" t="s">
        <v>315</v>
      </c>
      <c r="U23" s="735"/>
      <c r="V23" s="393" t="s">
        <v>316</v>
      </c>
      <c r="W23" s="392" t="s">
        <v>317</v>
      </c>
      <c r="X23" s="730">
        <v>51800000</v>
      </c>
      <c r="Y23" s="393" t="s">
        <v>316</v>
      </c>
      <c r="Z23" s="392" t="s">
        <v>317</v>
      </c>
      <c r="AA23" s="730">
        <v>52520000</v>
      </c>
    </row>
    <row r="24" spans="1:27" ht="16.5" customHeight="1" thickBot="1" x14ac:dyDescent="0.3">
      <c r="A24" s="736" t="s">
        <v>318</v>
      </c>
      <c r="B24" s="737"/>
      <c r="C24" s="737"/>
      <c r="D24" s="737"/>
      <c r="E24" s="737"/>
      <c r="F24" s="737"/>
      <c r="G24" s="737"/>
      <c r="H24" s="737"/>
      <c r="I24" s="737"/>
      <c r="J24" s="737"/>
      <c r="K24" s="737"/>
      <c r="L24" s="737"/>
      <c r="M24" s="737"/>
      <c r="N24" s="737"/>
      <c r="O24" s="737"/>
      <c r="P24" s="737"/>
      <c r="Q24" s="737"/>
      <c r="R24" s="737"/>
      <c r="S24" s="738"/>
      <c r="T24" s="734" t="s">
        <v>319</v>
      </c>
      <c r="U24" s="735"/>
      <c r="V24" s="393"/>
      <c r="W24" s="392"/>
      <c r="X24" s="394">
        <f>X15+X16+X17+X19+X20+X22+X23</f>
        <v>97950000</v>
      </c>
      <c r="Y24" s="393"/>
      <c r="Z24" s="392"/>
      <c r="AA24" s="394">
        <v>98670000</v>
      </c>
    </row>
    <row r="25" spans="1:27" ht="15.75" customHeight="1" x14ac:dyDescent="0.25">
      <c r="A25" s="731" t="s">
        <v>320</v>
      </c>
      <c r="B25" s="732"/>
      <c r="C25" s="732"/>
      <c r="D25" s="732"/>
      <c r="E25" s="732"/>
      <c r="F25" s="732"/>
      <c r="G25" s="732"/>
      <c r="H25" s="732"/>
      <c r="I25" s="732"/>
      <c r="J25" s="732"/>
      <c r="K25" s="732"/>
      <c r="L25" s="732"/>
      <c r="M25" s="732"/>
      <c r="N25" s="732"/>
      <c r="O25" s="732"/>
      <c r="P25" s="732"/>
      <c r="Q25" s="732"/>
      <c r="R25" s="732"/>
      <c r="S25" s="733"/>
      <c r="T25" s="734" t="s">
        <v>321</v>
      </c>
      <c r="U25" s="735"/>
      <c r="V25" s="393" t="s">
        <v>322</v>
      </c>
      <c r="W25" s="392"/>
      <c r="X25" s="730">
        <v>190000</v>
      </c>
      <c r="Y25" s="393" t="s">
        <v>322</v>
      </c>
      <c r="Z25" s="392"/>
      <c r="AA25" s="730">
        <v>190000</v>
      </c>
    </row>
    <row r="26" spans="1:27" ht="16.5" customHeight="1" thickBot="1" x14ac:dyDescent="0.3">
      <c r="A26" s="742" t="s">
        <v>323</v>
      </c>
      <c r="B26" s="743"/>
      <c r="C26" s="743"/>
      <c r="D26" s="743"/>
      <c r="E26" s="743"/>
      <c r="F26" s="743"/>
      <c r="G26" s="743"/>
      <c r="H26" s="743"/>
      <c r="I26" s="743"/>
      <c r="J26" s="743"/>
      <c r="K26" s="743"/>
      <c r="L26" s="743"/>
      <c r="M26" s="743"/>
      <c r="N26" s="743"/>
      <c r="O26" s="743"/>
      <c r="P26" s="743"/>
      <c r="Q26" s="743"/>
      <c r="R26" s="743"/>
      <c r="S26" s="744"/>
      <c r="T26" s="734" t="s">
        <v>324</v>
      </c>
      <c r="U26" s="735"/>
      <c r="V26" s="395" t="s">
        <v>325</v>
      </c>
      <c r="W26" s="392"/>
      <c r="X26" s="730">
        <v>460000</v>
      </c>
      <c r="Y26" s="395" t="s">
        <v>325</v>
      </c>
      <c r="Z26" s="392"/>
      <c r="AA26" s="730">
        <v>960000</v>
      </c>
    </row>
    <row r="27" spans="1:27" ht="16.5" customHeight="1" thickBot="1" x14ac:dyDescent="0.3">
      <c r="A27" s="736" t="s">
        <v>326</v>
      </c>
      <c r="B27" s="737"/>
      <c r="C27" s="737"/>
      <c r="D27" s="737"/>
      <c r="E27" s="737"/>
      <c r="F27" s="737"/>
      <c r="G27" s="737"/>
      <c r="H27" s="737"/>
      <c r="I27" s="737"/>
      <c r="J27" s="737"/>
      <c r="K27" s="737"/>
      <c r="L27" s="737"/>
      <c r="M27" s="737"/>
      <c r="N27" s="737"/>
      <c r="O27" s="737"/>
      <c r="P27" s="737"/>
      <c r="Q27" s="737"/>
      <c r="R27" s="737"/>
      <c r="S27" s="738"/>
      <c r="T27" s="734" t="s">
        <v>327</v>
      </c>
      <c r="U27" s="735"/>
      <c r="V27" s="393"/>
      <c r="W27" s="392" t="s">
        <v>328</v>
      </c>
      <c r="X27" s="394">
        <f>X25+X26</f>
        <v>650000</v>
      </c>
      <c r="Y27" s="393"/>
      <c r="Z27" s="392" t="s">
        <v>328</v>
      </c>
      <c r="AA27" s="394">
        <f>AA25+AA26</f>
        <v>1150000</v>
      </c>
    </row>
    <row r="28" spans="1:27" ht="15.75" customHeight="1" x14ac:dyDescent="0.25">
      <c r="A28" s="731" t="s">
        <v>329</v>
      </c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3"/>
      <c r="T28" s="734" t="s">
        <v>330</v>
      </c>
      <c r="U28" s="735"/>
      <c r="V28" s="393" t="s">
        <v>331</v>
      </c>
      <c r="W28" s="392" t="s">
        <v>332</v>
      </c>
      <c r="X28" s="730">
        <v>23058236</v>
      </c>
      <c r="Y28" s="393" t="s">
        <v>331</v>
      </c>
      <c r="Z28" s="392" t="s">
        <v>332</v>
      </c>
      <c r="AA28" s="730">
        <v>23058236</v>
      </c>
    </row>
    <row r="29" spans="1:27" ht="15.75" customHeight="1" x14ac:dyDescent="0.25">
      <c r="A29" s="748" t="s">
        <v>333</v>
      </c>
      <c r="B29" s="749"/>
      <c r="C29" s="749"/>
      <c r="D29" s="749"/>
      <c r="E29" s="749"/>
      <c r="F29" s="749"/>
      <c r="G29" s="749"/>
      <c r="H29" s="749"/>
      <c r="I29" s="749"/>
      <c r="J29" s="749"/>
      <c r="K29" s="749"/>
      <c r="L29" s="749"/>
      <c r="M29" s="749"/>
      <c r="N29" s="749"/>
      <c r="O29" s="749"/>
      <c r="P29" s="749"/>
      <c r="Q29" s="749"/>
      <c r="R29" s="749"/>
      <c r="S29" s="750"/>
      <c r="T29" s="734" t="s">
        <v>334</v>
      </c>
      <c r="U29" s="735"/>
      <c r="V29" s="395" t="s">
        <v>335</v>
      </c>
      <c r="W29" s="392"/>
      <c r="X29" s="730">
        <v>133000</v>
      </c>
      <c r="Y29" s="395" t="s">
        <v>335</v>
      </c>
      <c r="Z29" s="392"/>
      <c r="AA29" s="730">
        <v>133000</v>
      </c>
    </row>
    <row r="30" spans="1:27" ht="15.75" customHeight="1" x14ac:dyDescent="0.25">
      <c r="A30" s="736" t="s">
        <v>336</v>
      </c>
      <c r="B30" s="737"/>
      <c r="C30" s="737"/>
      <c r="D30" s="737"/>
      <c r="E30" s="737"/>
      <c r="F30" s="737"/>
      <c r="G30" s="737"/>
      <c r="H30" s="737"/>
      <c r="I30" s="737"/>
      <c r="J30" s="737"/>
      <c r="K30" s="737"/>
      <c r="L30" s="737"/>
      <c r="M30" s="737"/>
      <c r="N30" s="737"/>
      <c r="O30" s="737"/>
      <c r="P30" s="737"/>
      <c r="Q30" s="737"/>
      <c r="R30" s="737"/>
      <c r="S30" s="738"/>
      <c r="T30" s="734" t="s">
        <v>337</v>
      </c>
      <c r="U30" s="735"/>
      <c r="V30" s="393" t="s">
        <v>338</v>
      </c>
      <c r="W30" s="392"/>
      <c r="X30" s="730">
        <f>X32+X31</f>
        <v>0</v>
      </c>
      <c r="Y30" s="393" t="s">
        <v>338</v>
      </c>
      <c r="Z30" s="392"/>
      <c r="AA30" s="730">
        <f>AA32+AA31</f>
        <v>0</v>
      </c>
    </row>
    <row r="31" spans="1:27" ht="15.75" customHeight="1" x14ac:dyDescent="0.25">
      <c r="A31" s="739" t="s">
        <v>339</v>
      </c>
      <c r="B31" s="740"/>
      <c r="C31" s="740"/>
      <c r="D31" s="740"/>
      <c r="E31" s="740"/>
      <c r="F31" s="740"/>
      <c r="G31" s="740"/>
      <c r="H31" s="740"/>
      <c r="I31" s="740"/>
      <c r="J31" s="740"/>
      <c r="K31" s="740"/>
      <c r="L31" s="740"/>
      <c r="M31" s="740"/>
      <c r="N31" s="740"/>
      <c r="O31" s="740"/>
      <c r="P31" s="740"/>
      <c r="Q31" s="740"/>
      <c r="R31" s="740"/>
      <c r="S31" s="741"/>
      <c r="T31" s="734" t="s">
        <v>340</v>
      </c>
      <c r="U31" s="735"/>
      <c r="V31" s="393" t="s">
        <v>338</v>
      </c>
      <c r="W31" s="392" t="s">
        <v>341</v>
      </c>
      <c r="X31" s="730">
        <f>SUM(Y31:AY31)</f>
        <v>0</v>
      </c>
      <c r="Y31" s="393" t="s">
        <v>338</v>
      </c>
      <c r="Z31" s="392" t="s">
        <v>341</v>
      </c>
      <c r="AA31" s="730">
        <f>SUM(AB31:BB31)</f>
        <v>0</v>
      </c>
    </row>
    <row r="32" spans="1:27" ht="15.75" customHeight="1" x14ac:dyDescent="0.25">
      <c r="A32" s="739" t="s">
        <v>342</v>
      </c>
      <c r="B32" s="740"/>
      <c r="C32" s="740"/>
      <c r="D32" s="740"/>
      <c r="E32" s="740"/>
      <c r="F32" s="740"/>
      <c r="G32" s="740"/>
      <c r="H32" s="740"/>
      <c r="I32" s="740"/>
      <c r="J32" s="740"/>
      <c r="K32" s="740"/>
      <c r="L32" s="740"/>
      <c r="M32" s="740"/>
      <c r="N32" s="740"/>
      <c r="O32" s="740"/>
      <c r="P32" s="740"/>
      <c r="Q32" s="740"/>
      <c r="R32" s="740"/>
      <c r="S32" s="741"/>
      <c r="T32" s="734" t="s">
        <v>343</v>
      </c>
      <c r="U32" s="735"/>
      <c r="V32" s="393" t="s">
        <v>338</v>
      </c>
      <c r="W32" s="392" t="s">
        <v>344</v>
      </c>
      <c r="X32" s="730">
        <f>SUM(Y32:AY32)</f>
        <v>0</v>
      </c>
      <c r="Y32" s="393" t="s">
        <v>338</v>
      </c>
      <c r="Z32" s="392" t="s">
        <v>344</v>
      </c>
      <c r="AA32" s="730">
        <f>SUM(AB32:BB32)</f>
        <v>0</v>
      </c>
    </row>
    <row r="33" spans="1:27" ht="15.75" customHeight="1" x14ac:dyDescent="0.25">
      <c r="A33" s="736" t="s">
        <v>345</v>
      </c>
      <c r="B33" s="737"/>
      <c r="C33" s="737"/>
      <c r="D33" s="737"/>
      <c r="E33" s="737"/>
      <c r="F33" s="737"/>
      <c r="G33" s="737"/>
      <c r="H33" s="737"/>
      <c r="I33" s="737"/>
      <c r="J33" s="737"/>
      <c r="K33" s="737"/>
      <c r="L33" s="737"/>
      <c r="M33" s="737"/>
      <c r="N33" s="737"/>
      <c r="O33" s="737"/>
      <c r="P33" s="737"/>
      <c r="Q33" s="737"/>
      <c r="R33" s="737"/>
      <c r="S33" s="738"/>
      <c r="T33" s="734" t="s">
        <v>346</v>
      </c>
      <c r="U33" s="735"/>
      <c r="V33" s="393" t="s">
        <v>347</v>
      </c>
      <c r="W33" s="392"/>
      <c r="X33" s="730">
        <f>X36+X35+X34</f>
        <v>0</v>
      </c>
      <c r="Y33" s="393" t="s">
        <v>347</v>
      </c>
      <c r="Z33" s="392"/>
      <c r="AA33" s="730">
        <f>AA36+AA35+AA34</f>
        <v>0</v>
      </c>
    </row>
    <row r="34" spans="1:27" ht="15.75" customHeight="1" x14ac:dyDescent="0.25">
      <c r="A34" s="739" t="s">
        <v>348</v>
      </c>
      <c r="B34" s="740"/>
      <c r="C34" s="740"/>
      <c r="D34" s="740"/>
      <c r="E34" s="740"/>
      <c r="F34" s="740"/>
      <c r="G34" s="740"/>
      <c r="H34" s="740"/>
      <c r="I34" s="740"/>
      <c r="J34" s="740"/>
      <c r="K34" s="740"/>
      <c r="L34" s="740"/>
      <c r="M34" s="740"/>
      <c r="N34" s="740"/>
      <c r="O34" s="740"/>
      <c r="P34" s="740"/>
      <c r="Q34" s="740"/>
      <c r="R34" s="740"/>
      <c r="S34" s="741"/>
      <c r="T34" s="734" t="s">
        <v>349</v>
      </c>
      <c r="U34" s="735"/>
      <c r="V34" s="393" t="s">
        <v>347</v>
      </c>
      <c r="W34" s="392" t="s">
        <v>350</v>
      </c>
      <c r="X34" s="730">
        <f>SUM(Y34:AY34)</f>
        <v>0</v>
      </c>
      <c r="Y34" s="393" t="s">
        <v>347</v>
      </c>
      <c r="Z34" s="392" t="s">
        <v>350</v>
      </c>
      <c r="AA34" s="730">
        <f>SUM(AB34:BB34)</f>
        <v>0</v>
      </c>
    </row>
    <row r="35" spans="1:27" ht="15.75" customHeight="1" x14ac:dyDescent="0.25">
      <c r="A35" s="739" t="s">
        <v>351</v>
      </c>
      <c r="B35" s="740"/>
      <c r="C35" s="740"/>
      <c r="D35" s="740"/>
      <c r="E35" s="740"/>
      <c r="F35" s="740"/>
      <c r="G35" s="740"/>
      <c r="H35" s="740"/>
      <c r="I35" s="740"/>
      <c r="J35" s="740"/>
      <c r="K35" s="740"/>
      <c r="L35" s="740"/>
      <c r="M35" s="740"/>
      <c r="N35" s="740"/>
      <c r="O35" s="740"/>
      <c r="P35" s="740"/>
      <c r="Q35" s="740"/>
      <c r="R35" s="740"/>
      <c r="S35" s="741"/>
      <c r="T35" s="734" t="s">
        <v>352</v>
      </c>
      <c r="U35" s="735"/>
      <c r="V35" s="393" t="s">
        <v>347</v>
      </c>
      <c r="W35" s="392" t="s">
        <v>353</v>
      </c>
      <c r="X35" s="730">
        <f>SUM(Y35:AY35)</f>
        <v>0</v>
      </c>
      <c r="Y35" s="393" t="s">
        <v>347</v>
      </c>
      <c r="Z35" s="392" t="s">
        <v>353</v>
      </c>
      <c r="AA35" s="730">
        <f>SUM(AB35:BB35)</f>
        <v>0</v>
      </c>
    </row>
    <row r="36" spans="1:27" ht="15.75" customHeight="1" x14ac:dyDescent="0.25">
      <c r="A36" s="739" t="s">
        <v>354</v>
      </c>
      <c r="B36" s="740"/>
      <c r="C36" s="740"/>
      <c r="D36" s="740"/>
      <c r="E36" s="740"/>
      <c r="F36" s="740"/>
      <c r="G36" s="740"/>
      <c r="H36" s="740"/>
      <c r="I36" s="740"/>
      <c r="J36" s="740"/>
      <c r="K36" s="740"/>
      <c r="L36" s="740"/>
      <c r="M36" s="740"/>
      <c r="N36" s="740"/>
      <c r="O36" s="740"/>
      <c r="P36" s="740"/>
      <c r="Q36" s="740"/>
      <c r="R36" s="740"/>
      <c r="S36" s="741"/>
      <c r="T36" s="734" t="s">
        <v>355</v>
      </c>
      <c r="U36" s="735"/>
      <c r="V36" s="393" t="s">
        <v>347</v>
      </c>
      <c r="W36" s="392" t="s">
        <v>356</v>
      </c>
      <c r="X36" s="730">
        <f>SUM(Y36:AY36)</f>
        <v>0</v>
      </c>
      <c r="Y36" s="393" t="s">
        <v>347</v>
      </c>
      <c r="Z36" s="392" t="s">
        <v>356</v>
      </c>
      <c r="AA36" s="730">
        <f>SUM(AB36:BB36)</f>
        <v>0</v>
      </c>
    </row>
    <row r="37" spans="1:27" ht="15.75" customHeight="1" x14ac:dyDescent="0.25">
      <c r="A37" s="731" t="s">
        <v>357</v>
      </c>
      <c r="B37" s="732"/>
      <c r="C37" s="732"/>
      <c r="D37" s="732"/>
      <c r="E37" s="732"/>
      <c r="F37" s="732"/>
      <c r="G37" s="732"/>
      <c r="H37" s="732"/>
      <c r="I37" s="732"/>
      <c r="J37" s="732"/>
      <c r="K37" s="732"/>
      <c r="L37" s="732"/>
      <c r="M37" s="732"/>
      <c r="N37" s="732"/>
      <c r="O37" s="732"/>
      <c r="P37" s="732"/>
      <c r="Q37" s="732"/>
      <c r="R37" s="732"/>
      <c r="S37" s="733"/>
      <c r="T37" s="734" t="s">
        <v>358</v>
      </c>
      <c r="U37" s="735"/>
      <c r="V37" s="393" t="s">
        <v>359</v>
      </c>
      <c r="W37" s="392"/>
      <c r="X37" s="730">
        <v>1200000</v>
      </c>
      <c r="Y37" s="393" t="s">
        <v>359</v>
      </c>
      <c r="Z37" s="392"/>
      <c r="AA37" s="730">
        <v>4200000</v>
      </c>
    </row>
    <row r="38" spans="1:27" ht="15.75" customHeight="1" x14ac:dyDescent="0.25">
      <c r="A38" s="736" t="s">
        <v>360</v>
      </c>
      <c r="B38" s="737"/>
      <c r="C38" s="737"/>
      <c r="D38" s="737"/>
      <c r="E38" s="737"/>
      <c r="F38" s="737"/>
      <c r="G38" s="737"/>
      <c r="H38" s="737"/>
      <c r="I38" s="737"/>
      <c r="J38" s="737"/>
      <c r="K38" s="737"/>
      <c r="L38" s="737"/>
      <c r="M38" s="737"/>
      <c r="N38" s="737"/>
      <c r="O38" s="737"/>
      <c r="P38" s="737"/>
      <c r="Q38" s="737"/>
      <c r="R38" s="737"/>
      <c r="S38" s="738"/>
      <c r="T38" s="734" t="s">
        <v>361</v>
      </c>
      <c r="U38" s="735"/>
      <c r="V38" s="393"/>
      <c r="W38" s="392"/>
      <c r="X38" s="730">
        <f>X28+X29+X30+X33+X37</f>
        <v>24391236</v>
      </c>
      <c r="Y38" s="393"/>
      <c r="Z38" s="392"/>
      <c r="AA38" s="730">
        <f>AA28+AA29+AA30+AA33+AA37</f>
        <v>27391236</v>
      </c>
    </row>
    <row r="39" spans="1:27" ht="15.75" customHeight="1" thickBot="1" x14ac:dyDescent="0.3">
      <c r="A39" s="736" t="s">
        <v>362</v>
      </c>
      <c r="B39" s="737"/>
      <c r="C39" s="737"/>
      <c r="D39" s="737"/>
      <c r="E39" s="737"/>
      <c r="F39" s="737"/>
      <c r="G39" s="737"/>
      <c r="H39" s="737"/>
      <c r="I39" s="737"/>
      <c r="J39" s="737"/>
      <c r="K39" s="737"/>
      <c r="L39" s="737"/>
      <c r="M39" s="737"/>
      <c r="N39" s="737"/>
      <c r="O39" s="737"/>
      <c r="P39" s="737"/>
      <c r="Q39" s="737"/>
      <c r="R39" s="737"/>
      <c r="S39" s="738"/>
      <c r="T39" s="734" t="s">
        <v>363</v>
      </c>
      <c r="U39" s="735"/>
      <c r="V39" s="751"/>
      <c r="W39" s="752"/>
      <c r="X39" s="753">
        <v>133766236</v>
      </c>
      <c r="Y39" s="751"/>
      <c r="Z39" s="752"/>
      <c r="AA39" s="753">
        <f>AA11+AA14+AA24+AA27+AA38</f>
        <v>138006236</v>
      </c>
    </row>
    <row r="40" spans="1:27" ht="15.75" customHeight="1" x14ac:dyDescent="0.25">
      <c r="X40" s="213"/>
    </row>
  </sheetData>
  <mergeCells count="69">
    <mergeCell ref="A39:S39"/>
    <mergeCell ref="T39:U39"/>
    <mergeCell ref="V4:AA4"/>
    <mergeCell ref="V5:X5"/>
    <mergeCell ref="Y5:AA5"/>
    <mergeCell ref="A6:S7"/>
    <mergeCell ref="T6:U7"/>
    <mergeCell ref="A8:S8"/>
    <mergeCell ref="T8:U8"/>
    <mergeCell ref="A9:S9"/>
    <mergeCell ref="T9:U9"/>
    <mergeCell ref="A10:S10"/>
    <mergeCell ref="T10:U10"/>
    <mergeCell ref="A11:S11"/>
    <mergeCell ref="T11:U11"/>
    <mergeCell ref="A12:S12"/>
    <mergeCell ref="T12:U12"/>
    <mergeCell ref="A13:S13"/>
    <mergeCell ref="T13:U13"/>
    <mergeCell ref="A14:S14"/>
    <mergeCell ref="T14:U14"/>
    <mergeCell ref="A15:S15"/>
    <mergeCell ref="T15:U15"/>
    <mergeCell ref="A16:S16"/>
    <mergeCell ref="T16:U16"/>
    <mergeCell ref="A17:S17"/>
    <mergeCell ref="T17:U17"/>
    <mergeCell ref="A18:S18"/>
    <mergeCell ref="T18:U18"/>
    <mergeCell ref="A19:S19"/>
    <mergeCell ref="T19:U19"/>
    <mergeCell ref="A20:S20"/>
    <mergeCell ref="T20:U20"/>
    <mergeCell ref="A21:S21"/>
    <mergeCell ref="T21:U21"/>
    <mergeCell ref="A22:S22"/>
    <mergeCell ref="T22:U22"/>
    <mergeCell ref="A23:S23"/>
    <mergeCell ref="T23:U23"/>
    <mergeCell ref="A24:S24"/>
    <mergeCell ref="T24:U24"/>
    <mergeCell ref="A25:S25"/>
    <mergeCell ref="T25:U25"/>
    <mergeCell ref="A26:S26"/>
    <mergeCell ref="T26:U26"/>
    <mergeCell ref="A27:S27"/>
    <mergeCell ref="T27:U27"/>
    <mergeCell ref="A28:S28"/>
    <mergeCell ref="T28:U28"/>
    <mergeCell ref="A29:S29"/>
    <mergeCell ref="T29:U29"/>
    <mergeCell ref="A30:S30"/>
    <mergeCell ref="T30:U30"/>
    <mergeCell ref="A31:S31"/>
    <mergeCell ref="T31:U31"/>
    <mergeCell ref="A32:S32"/>
    <mergeCell ref="T32:U32"/>
    <mergeCell ref="A33:S33"/>
    <mergeCell ref="T33:U33"/>
    <mergeCell ref="A34:S34"/>
    <mergeCell ref="T34:U34"/>
    <mergeCell ref="A38:S38"/>
    <mergeCell ref="T38:U38"/>
    <mergeCell ref="A35:S35"/>
    <mergeCell ref="T35:U35"/>
    <mergeCell ref="A36:S36"/>
    <mergeCell ref="T36:U36"/>
    <mergeCell ref="A37:S37"/>
    <mergeCell ref="T37:U3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H36"/>
  <sheetViews>
    <sheetView topLeftCell="A13" workbookViewId="0">
      <selection activeCell="A3" sqref="A3:AC3"/>
    </sheetView>
  </sheetViews>
  <sheetFormatPr defaultRowHeight="12.75" x14ac:dyDescent="0.2"/>
  <cols>
    <col min="1" max="17" width="3.28515625" style="330" customWidth="1"/>
    <col min="18" max="18" width="2.85546875" style="330" customWidth="1"/>
    <col min="19" max="19" width="0.7109375" style="330" customWidth="1"/>
    <col min="20" max="20" width="2" style="330" customWidth="1"/>
    <col min="21" max="21" width="3.28515625" style="330" customWidth="1"/>
    <col min="22" max="22" width="0.85546875" style="330" customWidth="1"/>
    <col min="23" max="23" width="7.85546875" style="330" customWidth="1"/>
    <col min="24" max="24" width="4" style="330" customWidth="1"/>
    <col min="25" max="25" width="17" style="330" bestFit="1" customWidth="1"/>
    <col min="26" max="26" width="17.28515625" style="330" customWidth="1"/>
    <col min="27" max="27" width="17.85546875" style="330" customWidth="1"/>
    <col min="28" max="28" width="16.140625" style="330" customWidth="1"/>
    <col min="29" max="29" width="16" style="330" customWidth="1"/>
    <col min="30" max="30" width="15.7109375" style="330" customWidth="1"/>
    <col min="31" max="31" width="15.85546875" style="330" customWidth="1"/>
    <col min="32" max="32" width="17.28515625" style="330" customWidth="1"/>
    <col min="33" max="33" width="14" style="330" customWidth="1"/>
    <col min="34" max="34" width="19.5703125" style="330" customWidth="1"/>
    <col min="35" max="16384" width="9.140625" style="330"/>
  </cols>
  <sheetData>
    <row r="1" spans="1:34" ht="18.75" x14ac:dyDescent="0.2">
      <c r="A1" s="754" t="s">
        <v>1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</row>
    <row r="2" spans="1:34" ht="15.75" x14ac:dyDescent="0.2">
      <c r="A2" s="755" t="s">
        <v>512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H2" s="687" t="s">
        <v>633</v>
      </c>
    </row>
    <row r="3" spans="1:34" ht="16.5" thickBot="1" x14ac:dyDescent="0.3">
      <c r="A3" s="529" t="s">
        <v>641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</row>
    <row r="4" spans="1:34" ht="19.5" thickBot="1" x14ac:dyDescent="0.35">
      <c r="A4" s="756"/>
      <c r="B4" s="756"/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6"/>
      <c r="P4" s="756"/>
      <c r="Q4" s="756"/>
      <c r="R4" s="756"/>
      <c r="S4" s="756"/>
      <c r="T4" s="756"/>
      <c r="U4" s="756"/>
      <c r="V4" s="756"/>
      <c r="W4"/>
      <c r="X4"/>
      <c r="Y4" s="549" t="s">
        <v>587</v>
      </c>
      <c r="Z4" s="550"/>
      <c r="AA4" s="550"/>
      <c r="AB4" s="550"/>
      <c r="AC4" s="550"/>
      <c r="AD4" s="550"/>
      <c r="AE4" s="550"/>
      <c r="AF4" s="550"/>
      <c r="AG4" s="551"/>
    </row>
    <row r="5" spans="1:34" ht="15.75" x14ac:dyDescent="0.25">
      <c r="A5" s="757" t="s">
        <v>5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9"/>
      <c r="T5" s="760" t="s">
        <v>4</v>
      </c>
      <c r="U5" s="760"/>
      <c r="V5" s="761"/>
      <c r="W5" s="346" t="s">
        <v>265</v>
      </c>
      <c r="X5" s="347"/>
      <c r="Y5" s="599" t="s">
        <v>6</v>
      </c>
      <c r="Z5" s="348" t="s">
        <v>197</v>
      </c>
      <c r="AA5" s="601" t="s">
        <v>513</v>
      </c>
      <c r="AB5" s="349"/>
      <c r="AC5" s="603" t="s">
        <v>514</v>
      </c>
      <c r="AD5" s="609" t="s">
        <v>515</v>
      </c>
      <c r="AE5" s="611" t="s">
        <v>516</v>
      </c>
      <c r="AF5" s="611" t="s">
        <v>517</v>
      </c>
      <c r="AG5" s="611" t="s">
        <v>518</v>
      </c>
      <c r="AH5" s="611" t="s">
        <v>519</v>
      </c>
    </row>
    <row r="6" spans="1:34" ht="28.5" customHeight="1" thickBot="1" x14ac:dyDescent="0.3">
      <c r="A6" s="762"/>
      <c r="B6" s="763"/>
      <c r="C6" s="763"/>
      <c r="D6" s="763"/>
      <c r="E6" s="763"/>
      <c r="F6" s="763"/>
      <c r="G6" s="763"/>
      <c r="H6" s="763"/>
      <c r="I6" s="763"/>
      <c r="J6" s="763"/>
      <c r="K6" s="763"/>
      <c r="L6" s="763"/>
      <c r="M6" s="763"/>
      <c r="N6" s="763"/>
      <c r="O6" s="763"/>
      <c r="P6" s="763"/>
      <c r="Q6" s="763"/>
      <c r="R6" s="763"/>
      <c r="S6" s="764"/>
      <c r="T6" s="765"/>
      <c r="U6" s="765"/>
      <c r="V6" s="766"/>
      <c r="W6" s="605" t="s">
        <v>266</v>
      </c>
      <c r="X6" s="606"/>
      <c r="Y6" s="600"/>
      <c r="Z6" s="350" t="s">
        <v>520</v>
      </c>
      <c r="AA6" s="602"/>
      <c r="AB6" s="351" t="s">
        <v>521</v>
      </c>
      <c r="AC6" s="604"/>
      <c r="AD6" s="610"/>
      <c r="AE6" s="612"/>
      <c r="AF6" s="612"/>
      <c r="AG6" s="612"/>
      <c r="AH6" s="612"/>
    </row>
    <row r="7" spans="1:34" ht="15.75" thickBot="1" x14ac:dyDescent="0.3">
      <c r="A7" s="767" t="s">
        <v>522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  <c r="P7" s="768"/>
      <c r="Q7" s="768"/>
      <c r="R7" s="768"/>
      <c r="S7" s="769"/>
      <c r="T7" s="770" t="s">
        <v>268</v>
      </c>
      <c r="U7" s="770"/>
      <c r="V7" s="771"/>
      <c r="W7" s="607" t="s">
        <v>523</v>
      </c>
      <c r="X7" s="608"/>
      <c r="Y7" s="352">
        <f t="shared" ref="Y7:Y19" si="0">Z7+AA7+AB7+AC7+AD7+AF7+AG7+AH7+AE7</f>
        <v>42890006</v>
      </c>
      <c r="Z7" s="353"/>
      <c r="AA7" s="354">
        <f>[6]éves_bér_és_jár!K11+670500</f>
        <v>16397100</v>
      </c>
      <c r="AB7" s="355">
        <f>[6]éves_bér_és_jár!K37+[6]éves_bér_és_jár!L37+[6]éves_bér_és_jár!M37</f>
        <v>4223400</v>
      </c>
      <c r="AC7" s="356">
        <f>[6]éves_bér_és_jár!K21</f>
        <v>4891806</v>
      </c>
      <c r="AD7" s="353">
        <f>[6]éves_bér_és_jár!K25</f>
        <v>3110300</v>
      </c>
      <c r="AE7" s="357">
        <f>[6]éves_bér_és_jár!K40</f>
        <v>1755000</v>
      </c>
      <c r="AF7" s="357">
        <f>[6]éves_bér_és_jár!K54</f>
        <v>8484000</v>
      </c>
      <c r="AG7" s="357"/>
      <c r="AH7" s="357">
        <f>[6]éves_bér_és_jár!K72</f>
        <v>4028400</v>
      </c>
    </row>
    <row r="8" spans="1:34" ht="15" x14ac:dyDescent="0.25">
      <c r="A8" s="772" t="s">
        <v>524</v>
      </c>
      <c r="B8" s="773"/>
      <c r="C8" s="773"/>
      <c r="D8" s="773"/>
      <c r="E8" s="773"/>
      <c r="F8" s="773"/>
      <c r="G8" s="773"/>
      <c r="H8" s="773"/>
      <c r="I8" s="773"/>
      <c r="J8" s="773"/>
      <c r="K8" s="773"/>
      <c r="L8" s="773"/>
      <c r="M8" s="773"/>
      <c r="N8" s="773"/>
      <c r="O8" s="773"/>
      <c r="P8" s="773"/>
      <c r="Q8" s="773"/>
      <c r="R8" s="773"/>
      <c r="S8" s="774"/>
      <c r="T8" s="770" t="s">
        <v>271</v>
      </c>
      <c r="U8" s="770"/>
      <c r="V8" s="771"/>
      <c r="W8" s="607" t="s">
        <v>525</v>
      </c>
      <c r="X8" s="608"/>
      <c r="Y8" s="352">
        <v>1075000</v>
      </c>
      <c r="Z8" s="356"/>
      <c r="AA8" s="358">
        <f>[6]éves_bér_és_jár!P11</f>
        <v>775000</v>
      </c>
      <c r="AB8" s="355">
        <f>[6]éves_bér_és_jár!P37</f>
        <v>100000</v>
      </c>
      <c r="AC8" s="353"/>
      <c r="AD8" s="353">
        <f>[6]éves_bér_és_jár!P25</f>
        <v>200000</v>
      </c>
      <c r="AE8" s="359"/>
      <c r="AF8" s="359"/>
      <c r="AG8" s="359" t="e">
        <f>[7]bér_jár_Cofogszerint!V10</f>
        <v>#REF!</v>
      </c>
      <c r="AH8" s="359"/>
    </row>
    <row r="9" spans="1:34" ht="15" x14ac:dyDescent="0.25">
      <c r="A9" s="772" t="s">
        <v>526</v>
      </c>
      <c r="B9" s="773"/>
      <c r="C9" s="773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4"/>
      <c r="T9" s="770" t="s">
        <v>275</v>
      </c>
      <c r="U9" s="770"/>
      <c r="V9" s="771"/>
      <c r="W9" s="607" t="s">
        <v>527</v>
      </c>
      <c r="X9" s="608"/>
      <c r="Y9" s="352">
        <f t="shared" si="0"/>
        <v>1084699</v>
      </c>
      <c r="Z9" s="356">
        <f>[6]éves_bér_és_jár!Q27</f>
        <v>148699</v>
      </c>
      <c r="AA9" s="356">
        <f>[6]éves_bér_és_jár!N11</f>
        <v>648000</v>
      </c>
      <c r="AB9" s="355">
        <f>[6]éves_bér_és_jár!N37</f>
        <v>96000</v>
      </c>
      <c r="AC9" s="353"/>
      <c r="AD9" s="353">
        <f>[6]éves_bér_és_jár!N25</f>
        <v>192000</v>
      </c>
      <c r="AE9" s="359"/>
      <c r="AF9" s="359"/>
      <c r="AG9" s="359"/>
      <c r="AH9" s="359"/>
    </row>
    <row r="10" spans="1:34" ht="15" x14ac:dyDescent="0.25">
      <c r="A10" s="772" t="s">
        <v>528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4"/>
      <c r="T10" s="770" t="s">
        <v>279</v>
      </c>
      <c r="U10" s="770"/>
      <c r="V10" s="771"/>
      <c r="W10" s="607" t="s">
        <v>529</v>
      </c>
      <c r="X10" s="608"/>
      <c r="Y10" s="352">
        <v>1212000</v>
      </c>
      <c r="Z10" s="356">
        <f>[6]éves_bér_és_jár!O35</f>
        <v>900000</v>
      </c>
      <c r="AA10" s="356">
        <f>[6]éves_bér_és_jár!O11</f>
        <v>312000</v>
      </c>
      <c r="AB10" s="355"/>
      <c r="AC10" s="353"/>
      <c r="AD10" s="353"/>
      <c r="AE10" s="359"/>
      <c r="AF10" s="359"/>
      <c r="AG10" s="359" t="e">
        <f>[7]bér_jár_Cofogszerint!T10</f>
        <v>#REF!</v>
      </c>
      <c r="AH10" s="359"/>
    </row>
    <row r="11" spans="1:34" ht="15" x14ac:dyDescent="0.25">
      <c r="A11" s="772" t="s">
        <v>530</v>
      </c>
      <c r="B11" s="773"/>
      <c r="C11" s="773"/>
      <c r="D11" s="773"/>
      <c r="E11" s="773"/>
      <c r="F11" s="773"/>
      <c r="G11" s="773"/>
      <c r="H11" s="773"/>
      <c r="I11" s="773"/>
      <c r="J11" s="773"/>
      <c r="K11" s="773"/>
      <c r="L11" s="773"/>
      <c r="M11" s="773"/>
      <c r="N11" s="773"/>
      <c r="O11" s="773"/>
      <c r="P11" s="773"/>
      <c r="Q11" s="773"/>
      <c r="R11" s="773"/>
      <c r="S11" s="775"/>
      <c r="T11" s="770" t="s">
        <v>282</v>
      </c>
      <c r="U11" s="770"/>
      <c r="V11" s="771"/>
      <c r="W11" s="607" t="s">
        <v>531</v>
      </c>
      <c r="X11" s="608"/>
      <c r="Y11" s="352">
        <f t="shared" si="0"/>
        <v>390000</v>
      </c>
      <c r="Z11" s="356">
        <f>[6]éves_bér_és_jár!S35</f>
        <v>50000</v>
      </c>
      <c r="AA11" s="356">
        <f>[6]éves_bér_és_jár!S11</f>
        <v>160000</v>
      </c>
      <c r="AB11" s="355">
        <f>[6]éves_bér_és_jár!S37</f>
        <v>30000</v>
      </c>
      <c r="AC11" s="353">
        <f>[6]éves_bér_és_jár!S21</f>
        <v>50000</v>
      </c>
      <c r="AD11" s="353">
        <f>[6]éves_bér_és_jár!S25</f>
        <v>80000</v>
      </c>
      <c r="AE11" s="359">
        <f>[6]éves_bér_és_jár!S40</f>
        <v>20000</v>
      </c>
      <c r="AF11" s="359"/>
      <c r="AG11" s="359"/>
      <c r="AH11" s="359"/>
    </row>
    <row r="12" spans="1:34" ht="15" x14ac:dyDescent="0.25">
      <c r="A12" s="772" t="s">
        <v>532</v>
      </c>
      <c r="B12" s="773"/>
      <c r="C12" s="773"/>
      <c r="D12" s="773"/>
      <c r="E12" s="773"/>
      <c r="F12" s="773"/>
      <c r="G12" s="773"/>
      <c r="H12" s="773"/>
      <c r="I12" s="773"/>
      <c r="J12" s="773"/>
      <c r="K12" s="773"/>
      <c r="L12" s="773"/>
      <c r="M12" s="773"/>
      <c r="N12" s="773"/>
      <c r="O12" s="773"/>
      <c r="P12" s="773"/>
      <c r="Q12" s="773"/>
      <c r="R12" s="773"/>
      <c r="S12" s="774"/>
      <c r="T12" s="770" t="s">
        <v>285</v>
      </c>
      <c r="U12" s="770"/>
      <c r="V12" s="771"/>
      <c r="W12" s="607" t="s">
        <v>533</v>
      </c>
      <c r="X12" s="608"/>
      <c r="Y12" s="352">
        <f t="shared" si="0"/>
        <v>9138220</v>
      </c>
      <c r="Z12" s="356">
        <f>[6]éves_bér_és_jár!K35+[6]éves_bér_és_jár!P27</f>
        <v>9138220</v>
      </c>
      <c r="AA12" s="356"/>
      <c r="AB12" s="355"/>
      <c r="AC12" s="353"/>
      <c r="AD12" s="353"/>
      <c r="AE12" s="359"/>
      <c r="AF12" s="359"/>
      <c r="AG12" s="359"/>
      <c r="AH12" s="359"/>
    </row>
    <row r="13" spans="1:34" ht="15" x14ac:dyDescent="0.25">
      <c r="A13" s="772" t="s">
        <v>534</v>
      </c>
      <c r="B13" s="773"/>
      <c r="C13" s="773"/>
      <c r="D13" s="773"/>
      <c r="E13" s="773"/>
      <c r="F13" s="773"/>
      <c r="G13" s="773"/>
      <c r="H13" s="773"/>
      <c r="I13" s="773"/>
      <c r="J13" s="773"/>
      <c r="K13" s="773"/>
      <c r="L13" s="773"/>
      <c r="M13" s="773"/>
      <c r="N13" s="773"/>
      <c r="O13" s="773"/>
      <c r="P13" s="773"/>
      <c r="Q13" s="773"/>
      <c r="R13" s="773"/>
      <c r="S13" s="774"/>
      <c r="T13" s="770" t="s">
        <v>288</v>
      </c>
      <c r="U13" s="770"/>
      <c r="V13" s="771"/>
      <c r="W13" s="607" t="s">
        <v>535</v>
      </c>
      <c r="X13" s="608"/>
      <c r="Y13" s="352">
        <f t="shared" si="0"/>
        <v>15419500</v>
      </c>
      <c r="Z13" s="356"/>
      <c r="AA13" s="356"/>
      <c r="AB13" s="355"/>
      <c r="AC13" s="353"/>
      <c r="AD13" s="353"/>
      <c r="AE13" s="359">
        <f>[6]éves_bér_és_jár!S54</f>
        <v>0</v>
      </c>
      <c r="AF13" s="359">
        <f>[6]éves_bér_és_jár!T54</f>
        <v>12684000</v>
      </c>
      <c r="AG13" s="359">
        <f>[6]éves_bér_és_jár!T58</f>
        <v>252000</v>
      </c>
      <c r="AH13" s="359">
        <f>[6]éves_bér_és_jár!T72</f>
        <v>2483500</v>
      </c>
    </row>
    <row r="14" spans="1:34" ht="15" x14ac:dyDescent="0.25">
      <c r="A14" s="772" t="s">
        <v>536</v>
      </c>
      <c r="B14" s="773"/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773"/>
      <c r="S14" s="774"/>
      <c r="T14" s="770" t="s">
        <v>290</v>
      </c>
      <c r="U14" s="770"/>
      <c r="V14" s="771"/>
      <c r="W14" s="607" t="s">
        <v>537</v>
      </c>
      <c r="X14" s="608"/>
      <c r="Y14" s="352">
        <f t="shared" si="0"/>
        <v>500000</v>
      </c>
      <c r="Z14" s="356">
        <f>[6]éves_bér_és_jár!U35</f>
        <v>500000</v>
      </c>
      <c r="AA14" s="356"/>
      <c r="AB14" s="355">
        <f>[6]éves_bér_és_jár!K47</f>
        <v>0</v>
      </c>
      <c r="AC14" s="353"/>
      <c r="AD14" s="353"/>
      <c r="AE14" s="359"/>
      <c r="AF14" s="359"/>
      <c r="AG14" s="359"/>
      <c r="AH14" s="359"/>
    </row>
    <row r="15" spans="1:34" ht="15.75" x14ac:dyDescent="0.25">
      <c r="A15" s="776" t="s">
        <v>538</v>
      </c>
      <c r="B15" s="737"/>
      <c r="C15" s="737"/>
      <c r="D15" s="737"/>
      <c r="E15" s="737"/>
      <c r="F15" s="737"/>
      <c r="G15" s="737"/>
      <c r="H15" s="737"/>
      <c r="I15" s="737"/>
      <c r="J15" s="737"/>
      <c r="K15" s="737"/>
      <c r="L15" s="737"/>
      <c r="M15" s="737"/>
      <c r="N15" s="737"/>
      <c r="O15" s="737"/>
      <c r="P15" s="737"/>
      <c r="Q15" s="737"/>
      <c r="R15" s="737"/>
      <c r="S15" s="777"/>
      <c r="T15" s="778" t="s">
        <v>293</v>
      </c>
      <c r="U15" s="778"/>
      <c r="V15" s="779"/>
      <c r="W15" s="613"/>
      <c r="X15" s="614"/>
      <c r="Y15" s="352">
        <v>71709425</v>
      </c>
      <c r="Z15" s="361">
        <f>Z7+Z8+Z9+Z10+Z11+Z12+Z13+Z14</f>
        <v>10736919</v>
      </c>
      <c r="AA15" s="361">
        <f>AA7+AA8+AA9+AA10+AA11+AA12+AA13+AA14</f>
        <v>18292100</v>
      </c>
      <c r="AB15" s="361">
        <f t="shared" ref="AB15:AH15" si="1">AB7+AB8+AB9+AB10+AB11+AB12+AB13+AB14</f>
        <v>4449400</v>
      </c>
      <c r="AC15" s="361">
        <f t="shared" si="1"/>
        <v>4941806</v>
      </c>
      <c r="AD15" s="361">
        <f t="shared" si="1"/>
        <v>3582300</v>
      </c>
      <c r="AE15" s="361">
        <f t="shared" si="1"/>
        <v>1775000</v>
      </c>
      <c r="AF15" s="361">
        <f t="shared" si="1"/>
        <v>21168000</v>
      </c>
      <c r="AG15" s="361" t="e">
        <f t="shared" si="1"/>
        <v>#REF!</v>
      </c>
      <c r="AH15" s="362">
        <f t="shared" si="1"/>
        <v>6511900</v>
      </c>
    </row>
    <row r="16" spans="1:34" ht="15.75" x14ac:dyDescent="0.25">
      <c r="A16" s="772" t="s">
        <v>539</v>
      </c>
      <c r="B16" s="773"/>
      <c r="C16" s="773"/>
      <c r="D16" s="773"/>
      <c r="E16" s="773"/>
      <c r="F16" s="773"/>
      <c r="G16" s="773"/>
      <c r="H16" s="773"/>
      <c r="I16" s="773"/>
      <c r="J16" s="773"/>
      <c r="K16" s="773"/>
      <c r="L16" s="773"/>
      <c r="M16" s="773"/>
      <c r="N16" s="773"/>
      <c r="O16" s="773"/>
      <c r="P16" s="773"/>
      <c r="Q16" s="773"/>
      <c r="R16" s="773"/>
      <c r="S16" s="774"/>
      <c r="T16" s="770" t="s">
        <v>297</v>
      </c>
      <c r="U16" s="770"/>
      <c r="V16" s="771"/>
      <c r="W16" s="615" t="s">
        <v>540</v>
      </c>
      <c r="X16" s="616"/>
      <c r="Y16" s="352">
        <f t="shared" si="0"/>
        <v>13969932.375</v>
      </c>
      <c r="Z16" s="356">
        <f>[6]éves_bér_és_jár!W35</f>
        <v>2093699.2049999998</v>
      </c>
      <c r="AA16" s="356">
        <f>[6]éves_bér_és_jár!W11+117342</f>
        <v>3553554</v>
      </c>
      <c r="AB16" s="356">
        <f>[6]éves_bér_és_jár!W38</f>
        <v>867633</v>
      </c>
      <c r="AC16" s="353">
        <f>[6]éves_bér_és_jár!W21</f>
        <v>963652.17</v>
      </c>
      <c r="AD16" s="353">
        <f>[6]éves_bér_és_jár!W25</f>
        <v>698548.5</v>
      </c>
      <c r="AE16" s="361">
        <f>[6]éves_bér_és_jár!Y41</f>
        <v>346125</v>
      </c>
      <c r="AF16" s="359">
        <f>[6]éves_bér_és_jár!W54</f>
        <v>4127760</v>
      </c>
      <c r="AG16" s="359">
        <f>[6]éves_bér_és_jár!W58</f>
        <v>49140</v>
      </c>
      <c r="AH16" s="359">
        <f>[6]éves_bér_és_jár!W72</f>
        <v>1269820.5</v>
      </c>
    </row>
    <row r="17" spans="1:34" ht="15.75" thickBot="1" x14ac:dyDescent="0.3">
      <c r="A17" s="780" t="s">
        <v>541</v>
      </c>
      <c r="B17" s="781"/>
      <c r="C17" s="781"/>
      <c r="D17" s="781"/>
      <c r="E17" s="781"/>
      <c r="F17" s="781"/>
      <c r="G17" s="781"/>
      <c r="H17" s="781"/>
      <c r="I17" s="781"/>
      <c r="J17" s="781"/>
      <c r="K17" s="781"/>
      <c r="L17" s="781"/>
      <c r="M17" s="781"/>
      <c r="N17" s="781"/>
      <c r="O17" s="781"/>
      <c r="P17" s="781"/>
      <c r="Q17" s="781"/>
      <c r="R17" s="781"/>
      <c r="S17" s="782"/>
      <c r="T17" s="783" t="s">
        <v>300</v>
      </c>
      <c r="U17" s="783"/>
      <c r="V17" s="784"/>
      <c r="W17" s="619" t="s">
        <v>540</v>
      </c>
      <c r="X17" s="620"/>
      <c r="Y17" s="352">
        <f t="shared" si="0"/>
        <v>268754.84999999998</v>
      </c>
      <c r="Z17" s="363">
        <f>[6]éves_bér_és_jár!X35</f>
        <v>128354.85</v>
      </c>
      <c r="AA17" s="363">
        <f>[6]éves_bér_és_jár!X11</f>
        <v>97200</v>
      </c>
      <c r="AB17" s="363">
        <f>[6]éves_bér_és_jár!X38</f>
        <v>14400</v>
      </c>
      <c r="AC17" s="364"/>
      <c r="AD17" s="364">
        <f>[6]éves_bér_és_jár!X25</f>
        <v>28800</v>
      </c>
      <c r="AE17" s="365"/>
      <c r="AF17" s="365"/>
      <c r="AG17" s="365"/>
      <c r="AH17" s="365"/>
    </row>
    <row r="18" spans="1:34" ht="16.5" thickBot="1" x14ac:dyDescent="0.3">
      <c r="A18" s="785" t="s">
        <v>542</v>
      </c>
      <c r="B18" s="786"/>
      <c r="C18" s="786"/>
      <c r="D18" s="786"/>
      <c r="E18" s="786"/>
      <c r="F18" s="786"/>
      <c r="G18" s="786"/>
      <c r="H18" s="786"/>
      <c r="I18" s="786"/>
      <c r="J18" s="786"/>
      <c r="K18" s="786"/>
      <c r="L18" s="786"/>
      <c r="M18" s="786"/>
      <c r="N18" s="786"/>
      <c r="O18" s="786"/>
      <c r="P18" s="786"/>
      <c r="Q18" s="786"/>
      <c r="R18" s="786"/>
      <c r="S18" s="787"/>
      <c r="T18" s="788" t="s">
        <v>303</v>
      </c>
      <c r="U18" s="788"/>
      <c r="V18" s="789"/>
      <c r="W18" s="621"/>
      <c r="X18" s="622"/>
      <c r="Y18" s="352">
        <f t="shared" si="0"/>
        <v>14238687.225</v>
      </c>
      <c r="Z18" s="366">
        <f>Z16+Z17</f>
        <v>2222054.0549999997</v>
      </c>
      <c r="AA18" s="367">
        <f>AA16+AA17</f>
        <v>3650754</v>
      </c>
      <c r="AB18" s="367">
        <f t="shared" ref="AB18:AH18" si="2">AB16+AB17</f>
        <v>882033</v>
      </c>
      <c r="AC18" s="367">
        <f t="shared" si="2"/>
        <v>963652.17</v>
      </c>
      <c r="AD18" s="367">
        <f t="shared" si="2"/>
        <v>727348.5</v>
      </c>
      <c r="AE18" s="367">
        <f t="shared" si="2"/>
        <v>346125</v>
      </c>
      <c r="AF18" s="367">
        <f t="shared" si="2"/>
        <v>4127760</v>
      </c>
      <c r="AG18" s="367">
        <f t="shared" si="2"/>
        <v>49140</v>
      </c>
      <c r="AH18" s="368">
        <f t="shared" si="2"/>
        <v>1269820.5</v>
      </c>
    </row>
    <row r="19" spans="1:34" s="371" customFormat="1" ht="16.5" thickBot="1" x14ac:dyDescent="0.3">
      <c r="A19" s="623" t="s">
        <v>543</v>
      </c>
      <c r="B19" s="624"/>
      <c r="C19" s="624"/>
      <c r="D19" s="624"/>
      <c r="E19" s="624"/>
      <c r="F19" s="624"/>
      <c r="G19" s="624"/>
      <c r="H19" s="624"/>
      <c r="I19" s="624"/>
      <c r="J19" s="624"/>
      <c r="K19" s="624"/>
      <c r="L19" s="624"/>
      <c r="M19" s="624"/>
      <c r="N19" s="624"/>
      <c r="O19" s="624"/>
      <c r="P19" s="624"/>
      <c r="Q19" s="624"/>
      <c r="R19" s="624"/>
      <c r="S19" s="625"/>
      <c r="T19" s="790" t="s">
        <v>306</v>
      </c>
      <c r="U19" s="790"/>
      <c r="V19" s="791"/>
      <c r="W19" s="617"/>
      <c r="X19" s="618"/>
      <c r="Y19" s="352">
        <v>85948112</v>
      </c>
      <c r="Z19" s="369">
        <f>Z15+Z18</f>
        <v>12958973.055</v>
      </c>
      <c r="AA19" s="369">
        <f>AA18+AA15</f>
        <v>21942854</v>
      </c>
      <c r="AB19" s="369">
        <f t="shared" ref="AB19:AH19" si="3">AB18+AB15</f>
        <v>5331433</v>
      </c>
      <c r="AC19" s="369">
        <f t="shared" si="3"/>
        <v>5905458.1699999999</v>
      </c>
      <c r="AD19" s="369">
        <f t="shared" si="3"/>
        <v>4309648.5</v>
      </c>
      <c r="AE19" s="369">
        <f t="shared" si="3"/>
        <v>2121125</v>
      </c>
      <c r="AF19" s="369">
        <f t="shared" si="3"/>
        <v>25295760</v>
      </c>
      <c r="AG19" s="369" t="e">
        <f t="shared" si="3"/>
        <v>#REF!</v>
      </c>
      <c r="AH19" s="370">
        <f t="shared" si="3"/>
        <v>7781720.5</v>
      </c>
    </row>
    <row r="20" spans="1:34" ht="13.5" thickBot="1" x14ac:dyDescent="0.25">
      <c r="Y20" s="372"/>
      <c r="Z20" s="372"/>
      <c r="AA20" s="372"/>
      <c r="AB20" s="372"/>
      <c r="AC20" s="372"/>
      <c r="AD20" s="372"/>
      <c r="AE20" s="372"/>
      <c r="AF20" s="372"/>
    </row>
    <row r="21" spans="1:34" ht="16.5" thickBot="1" x14ac:dyDescent="0.3">
      <c r="Y21" s="792" t="s">
        <v>176</v>
      </c>
      <c r="Z21" s="793"/>
      <c r="AA21" s="793"/>
      <c r="AB21" s="793"/>
      <c r="AC21" s="793"/>
      <c r="AD21" s="793"/>
      <c r="AE21" s="793"/>
      <c r="AF21" s="793"/>
      <c r="AG21" s="793"/>
      <c r="AH21" s="794"/>
    </row>
    <row r="22" spans="1:34" ht="15.75" x14ac:dyDescent="0.25">
      <c r="A22" s="757" t="s">
        <v>5</v>
      </c>
      <c r="B22" s="758"/>
      <c r="C22" s="758"/>
      <c r="D22" s="758"/>
      <c r="E22" s="758"/>
      <c r="F22" s="758"/>
      <c r="G22" s="758"/>
      <c r="H22" s="758"/>
      <c r="I22" s="758"/>
      <c r="J22" s="758"/>
      <c r="K22" s="758"/>
      <c r="L22" s="758"/>
      <c r="M22" s="758"/>
      <c r="N22" s="758"/>
      <c r="O22" s="758"/>
      <c r="P22" s="758"/>
      <c r="Q22" s="758"/>
      <c r="R22" s="758"/>
      <c r="S22" s="759"/>
      <c r="T22" s="795" t="s">
        <v>4</v>
      </c>
      <c r="U22" s="760"/>
      <c r="V22" s="761"/>
      <c r="W22" s="346" t="s">
        <v>265</v>
      </c>
      <c r="X22" s="347"/>
      <c r="Y22" s="599" t="s">
        <v>6</v>
      </c>
      <c r="Z22" s="348" t="s">
        <v>197</v>
      </c>
      <c r="AA22" s="601" t="s">
        <v>513</v>
      </c>
      <c r="AB22" s="349"/>
      <c r="AC22" s="603" t="s">
        <v>514</v>
      </c>
      <c r="AD22" s="609" t="s">
        <v>515</v>
      </c>
      <c r="AE22" s="611" t="s">
        <v>516</v>
      </c>
      <c r="AF22" s="611" t="s">
        <v>517</v>
      </c>
      <c r="AG22" s="611" t="s">
        <v>518</v>
      </c>
      <c r="AH22" s="611" t="s">
        <v>519</v>
      </c>
    </row>
    <row r="23" spans="1:34" ht="48.75" customHeight="1" thickBot="1" x14ac:dyDescent="0.3">
      <c r="A23" s="762"/>
      <c r="B23" s="763"/>
      <c r="C23" s="763"/>
      <c r="D23" s="763"/>
      <c r="E23" s="763"/>
      <c r="F23" s="763"/>
      <c r="G23" s="763"/>
      <c r="H23" s="763"/>
      <c r="I23" s="763"/>
      <c r="J23" s="763"/>
      <c r="K23" s="763"/>
      <c r="L23" s="763"/>
      <c r="M23" s="763"/>
      <c r="N23" s="763"/>
      <c r="O23" s="763"/>
      <c r="P23" s="763"/>
      <c r="Q23" s="763"/>
      <c r="R23" s="763"/>
      <c r="S23" s="764"/>
      <c r="T23" s="796"/>
      <c r="U23" s="765"/>
      <c r="V23" s="766"/>
      <c r="W23" s="605" t="s">
        <v>266</v>
      </c>
      <c r="X23" s="606"/>
      <c r="Y23" s="600"/>
      <c r="Z23" s="350" t="s">
        <v>520</v>
      </c>
      <c r="AA23" s="602"/>
      <c r="AB23" s="351" t="s">
        <v>521</v>
      </c>
      <c r="AC23" s="604"/>
      <c r="AD23" s="610"/>
      <c r="AE23" s="612"/>
      <c r="AF23" s="612"/>
      <c r="AG23" s="612"/>
      <c r="AH23" s="612"/>
    </row>
    <row r="24" spans="1:34" ht="15.75" thickBot="1" x14ac:dyDescent="0.3">
      <c r="A24" s="767" t="s">
        <v>522</v>
      </c>
      <c r="B24" s="768"/>
      <c r="C24" s="768"/>
      <c r="D24" s="768"/>
      <c r="E24" s="768"/>
      <c r="F24" s="768"/>
      <c r="G24" s="768"/>
      <c r="H24" s="768"/>
      <c r="I24" s="768"/>
      <c r="J24" s="768"/>
      <c r="K24" s="768"/>
      <c r="L24" s="768"/>
      <c r="M24" s="768"/>
      <c r="N24" s="768"/>
      <c r="O24" s="768"/>
      <c r="P24" s="768"/>
      <c r="Q24" s="768"/>
      <c r="R24" s="768"/>
      <c r="S24" s="769"/>
      <c r="T24" s="797" t="s">
        <v>268</v>
      </c>
      <c r="U24" s="770"/>
      <c r="V24" s="771"/>
      <c r="W24" s="607" t="s">
        <v>523</v>
      </c>
      <c r="X24" s="608"/>
      <c r="Y24" s="352">
        <f>Z24+AA24+AB24+AC24+AD24+AF24+AG24+AH24+AE24</f>
        <v>42219506</v>
      </c>
      <c r="Z24" s="353"/>
      <c r="AA24" s="354">
        <v>15726600</v>
      </c>
      <c r="AB24" s="355">
        <v>4223400</v>
      </c>
      <c r="AC24" s="356">
        <v>4891806</v>
      </c>
      <c r="AD24" s="353">
        <v>3110300</v>
      </c>
      <c r="AE24" s="357">
        <v>1755000</v>
      </c>
      <c r="AF24" s="357">
        <v>8484000</v>
      </c>
      <c r="AG24" s="357"/>
      <c r="AH24" s="357">
        <v>4028400</v>
      </c>
    </row>
    <row r="25" spans="1:34" ht="15" x14ac:dyDescent="0.25">
      <c r="A25" s="772" t="s">
        <v>524</v>
      </c>
      <c r="B25" s="773"/>
      <c r="C25" s="773"/>
      <c r="D25" s="773"/>
      <c r="E25" s="773"/>
      <c r="F25" s="773"/>
      <c r="G25" s="773"/>
      <c r="H25" s="773"/>
      <c r="I25" s="773"/>
      <c r="J25" s="773"/>
      <c r="K25" s="773"/>
      <c r="L25" s="773"/>
      <c r="M25" s="773"/>
      <c r="N25" s="773"/>
      <c r="O25" s="773"/>
      <c r="P25" s="773"/>
      <c r="Q25" s="773"/>
      <c r="R25" s="773"/>
      <c r="S25" s="774"/>
      <c r="T25" s="797" t="s">
        <v>271</v>
      </c>
      <c r="U25" s="770"/>
      <c r="V25" s="771"/>
      <c r="W25" s="607" t="s">
        <v>525</v>
      </c>
      <c r="X25" s="608"/>
      <c r="Y25" s="352">
        <v>1075000</v>
      </c>
      <c r="Z25" s="356"/>
      <c r="AA25" s="358">
        <v>775000</v>
      </c>
      <c r="AB25" s="355">
        <v>100000</v>
      </c>
      <c r="AC25" s="353"/>
      <c r="AD25" s="353">
        <v>200000</v>
      </c>
      <c r="AE25" s="359"/>
      <c r="AF25" s="359"/>
      <c r="AG25" s="359" t="e">
        <f>[7]bér_jár_Cofogszerint!V27</f>
        <v>#REF!</v>
      </c>
      <c r="AH25" s="359"/>
    </row>
    <row r="26" spans="1:34" ht="15" x14ac:dyDescent="0.25">
      <c r="A26" s="772" t="s">
        <v>526</v>
      </c>
      <c r="B26" s="773"/>
      <c r="C26" s="773"/>
      <c r="D26" s="773"/>
      <c r="E26" s="773"/>
      <c r="F26" s="773"/>
      <c r="G26" s="773"/>
      <c r="H26" s="773"/>
      <c r="I26" s="773"/>
      <c r="J26" s="773"/>
      <c r="K26" s="773"/>
      <c r="L26" s="773"/>
      <c r="M26" s="773"/>
      <c r="N26" s="773"/>
      <c r="O26" s="773"/>
      <c r="P26" s="773"/>
      <c r="Q26" s="773"/>
      <c r="R26" s="773"/>
      <c r="S26" s="774"/>
      <c r="T26" s="797" t="s">
        <v>275</v>
      </c>
      <c r="U26" s="770"/>
      <c r="V26" s="771"/>
      <c r="W26" s="607" t="s">
        <v>527</v>
      </c>
      <c r="X26" s="608"/>
      <c r="Y26" s="352">
        <f t="shared" ref="Y25:Y36" si="4">Z26+AA26+AB26+AC26+AD26+AF26+AG26+AH26+AE26</f>
        <v>1084699</v>
      </c>
      <c r="Z26" s="356">
        <v>148699</v>
      </c>
      <c r="AA26" s="356">
        <v>648000</v>
      </c>
      <c r="AB26" s="355">
        <v>96000</v>
      </c>
      <c r="AC26" s="353"/>
      <c r="AD26" s="353">
        <v>192000</v>
      </c>
      <c r="AE26" s="359"/>
      <c r="AF26" s="359"/>
      <c r="AG26" s="359"/>
      <c r="AH26" s="359"/>
    </row>
    <row r="27" spans="1:34" ht="15" x14ac:dyDescent="0.25">
      <c r="A27" s="772" t="s">
        <v>528</v>
      </c>
      <c r="B27" s="773"/>
      <c r="C27" s="773"/>
      <c r="D27" s="773"/>
      <c r="E27" s="773"/>
      <c r="F27" s="773"/>
      <c r="G27" s="773"/>
      <c r="H27" s="773"/>
      <c r="I27" s="773"/>
      <c r="J27" s="773"/>
      <c r="K27" s="773"/>
      <c r="L27" s="773"/>
      <c r="M27" s="773"/>
      <c r="N27" s="773"/>
      <c r="O27" s="773"/>
      <c r="P27" s="773"/>
      <c r="Q27" s="773"/>
      <c r="R27" s="773"/>
      <c r="S27" s="774"/>
      <c r="T27" s="797" t="s">
        <v>279</v>
      </c>
      <c r="U27" s="770"/>
      <c r="V27" s="771"/>
      <c r="W27" s="607" t="s">
        <v>529</v>
      </c>
      <c r="X27" s="608"/>
      <c r="Y27" s="352">
        <v>1212000</v>
      </c>
      <c r="Z27" s="356">
        <v>900000</v>
      </c>
      <c r="AA27" s="356">
        <v>312000</v>
      </c>
      <c r="AB27" s="355"/>
      <c r="AC27" s="353"/>
      <c r="AD27" s="353"/>
      <c r="AE27" s="359"/>
      <c r="AF27" s="359"/>
      <c r="AG27" s="359" t="e">
        <f>[7]bér_jár_Cofogszerint!T27</f>
        <v>#REF!</v>
      </c>
      <c r="AH27" s="359"/>
    </row>
    <row r="28" spans="1:34" ht="15" x14ac:dyDescent="0.25">
      <c r="A28" s="772" t="s">
        <v>530</v>
      </c>
      <c r="B28" s="773"/>
      <c r="C28" s="773"/>
      <c r="D28" s="773"/>
      <c r="E28" s="773"/>
      <c r="F28" s="773"/>
      <c r="G28" s="773"/>
      <c r="H28" s="773"/>
      <c r="I28" s="773"/>
      <c r="J28" s="773"/>
      <c r="K28" s="773"/>
      <c r="L28" s="773"/>
      <c r="M28" s="773"/>
      <c r="N28" s="773"/>
      <c r="O28" s="773"/>
      <c r="P28" s="773"/>
      <c r="Q28" s="773"/>
      <c r="R28" s="773"/>
      <c r="S28" s="775"/>
      <c r="T28" s="797" t="s">
        <v>282</v>
      </c>
      <c r="U28" s="770"/>
      <c r="V28" s="771"/>
      <c r="W28" s="607" t="s">
        <v>531</v>
      </c>
      <c r="X28" s="608"/>
      <c r="Y28" s="352">
        <f t="shared" si="4"/>
        <v>390000</v>
      </c>
      <c r="Z28" s="356">
        <v>50000</v>
      </c>
      <c r="AA28" s="356">
        <v>160000</v>
      </c>
      <c r="AB28" s="355">
        <v>30000</v>
      </c>
      <c r="AC28" s="353">
        <v>50000</v>
      </c>
      <c r="AD28" s="353">
        <v>80000</v>
      </c>
      <c r="AE28" s="359">
        <v>20000</v>
      </c>
      <c r="AF28" s="359"/>
      <c r="AG28" s="359"/>
      <c r="AH28" s="359"/>
    </row>
    <row r="29" spans="1:34" ht="15" x14ac:dyDescent="0.25">
      <c r="A29" s="772" t="s">
        <v>532</v>
      </c>
      <c r="B29" s="773"/>
      <c r="C29" s="773"/>
      <c r="D29" s="773"/>
      <c r="E29" s="773"/>
      <c r="F29" s="773"/>
      <c r="G29" s="773"/>
      <c r="H29" s="773"/>
      <c r="I29" s="773"/>
      <c r="J29" s="773"/>
      <c r="K29" s="773"/>
      <c r="L29" s="773"/>
      <c r="M29" s="773"/>
      <c r="N29" s="773"/>
      <c r="O29" s="773"/>
      <c r="P29" s="773"/>
      <c r="Q29" s="773"/>
      <c r="R29" s="773"/>
      <c r="S29" s="774"/>
      <c r="T29" s="797" t="s">
        <v>285</v>
      </c>
      <c r="U29" s="770"/>
      <c r="V29" s="771"/>
      <c r="W29" s="607" t="s">
        <v>533</v>
      </c>
      <c r="X29" s="608"/>
      <c r="Y29" s="352">
        <f t="shared" si="4"/>
        <v>9138220</v>
      </c>
      <c r="Z29" s="356">
        <v>9138220</v>
      </c>
      <c r="AA29" s="356"/>
      <c r="AB29" s="355"/>
      <c r="AC29" s="353"/>
      <c r="AD29" s="353"/>
      <c r="AE29" s="359"/>
      <c r="AF29" s="359"/>
      <c r="AG29" s="359"/>
      <c r="AH29" s="359"/>
    </row>
    <row r="30" spans="1:34" ht="15" x14ac:dyDescent="0.25">
      <c r="A30" s="772" t="s">
        <v>534</v>
      </c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  <c r="M30" s="773"/>
      <c r="N30" s="773"/>
      <c r="O30" s="773"/>
      <c r="P30" s="773"/>
      <c r="Q30" s="773"/>
      <c r="R30" s="773"/>
      <c r="S30" s="774"/>
      <c r="T30" s="797" t="s">
        <v>288</v>
      </c>
      <c r="U30" s="770"/>
      <c r="V30" s="771"/>
      <c r="W30" s="607" t="s">
        <v>535</v>
      </c>
      <c r="X30" s="608"/>
      <c r="Y30" s="352">
        <f t="shared" si="4"/>
        <v>15419500</v>
      </c>
      <c r="Z30" s="356"/>
      <c r="AA30" s="356"/>
      <c r="AB30" s="355"/>
      <c r="AC30" s="353"/>
      <c r="AD30" s="353"/>
      <c r="AE30" s="359">
        <f>[8]éves_bér_és_jár!S71</f>
        <v>0</v>
      </c>
      <c r="AF30" s="359">
        <v>12684000</v>
      </c>
      <c r="AG30" s="359">
        <v>252000</v>
      </c>
      <c r="AH30" s="359">
        <v>2483500</v>
      </c>
    </row>
    <row r="31" spans="1:34" ht="15" x14ac:dyDescent="0.25">
      <c r="A31" s="772" t="s">
        <v>536</v>
      </c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73"/>
      <c r="R31" s="773"/>
      <c r="S31" s="774"/>
      <c r="T31" s="797" t="s">
        <v>290</v>
      </c>
      <c r="U31" s="770"/>
      <c r="V31" s="771"/>
      <c r="W31" s="607" t="s">
        <v>537</v>
      </c>
      <c r="X31" s="608"/>
      <c r="Y31" s="352">
        <f t="shared" si="4"/>
        <v>500000</v>
      </c>
      <c r="Z31" s="356">
        <v>500000</v>
      </c>
      <c r="AA31" s="356"/>
      <c r="AB31" s="355">
        <f>[8]éves_bér_és_jár!K64</f>
        <v>0</v>
      </c>
      <c r="AC31" s="353"/>
      <c r="AD31" s="353"/>
      <c r="AE31" s="359"/>
      <c r="AF31" s="359"/>
      <c r="AG31" s="359"/>
      <c r="AH31" s="359"/>
    </row>
    <row r="32" spans="1:34" ht="15.75" x14ac:dyDescent="0.25">
      <c r="A32" s="776" t="s">
        <v>538</v>
      </c>
      <c r="B32" s="737"/>
      <c r="C32" s="737"/>
      <c r="D32" s="737"/>
      <c r="E32" s="737"/>
      <c r="F32" s="737"/>
      <c r="G32" s="737"/>
      <c r="H32" s="737"/>
      <c r="I32" s="737"/>
      <c r="J32" s="737"/>
      <c r="K32" s="737"/>
      <c r="L32" s="737"/>
      <c r="M32" s="737"/>
      <c r="N32" s="737"/>
      <c r="O32" s="737"/>
      <c r="P32" s="737"/>
      <c r="Q32" s="737"/>
      <c r="R32" s="737"/>
      <c r="S32" s="777"/>
      <c r="T32" s="798" t="s">
        <v>293</v>
      </c>
      <c r="U32" s="778"/>
      <c r="V32" s="779"/>
      <c r="W32" s="613"/>
      <c r="X32" s="614"/>
      <c r="Y32" s="360">
        <v>71038925</v>
      </c>
      <c r="Z32" s="361">
        <f>Z24+Z25+Z26+Z27+Z28+Z29+Z30+Z31</f>
        <v>10736919</v>
      </c>
      <c r="AA32" s="361">
        <f>AA24+AA25+AA26+AA27+AA28+AA29+AA30+AA31</f>
        <v>17621600</v>
      </c>
      <c r="AB32" s="361">
        <f t="shared" ref="AB32:AH32" si="5">AB24+AB25+AB26+AB27+AB28+AB29+AB30+AB31</f>
        <v>4449400</v>
      </c>
      <c r="AC32" s="361">
        <f t="shared" si="5"/>
        <v>4941806</v>
      </c>
      <c r="AD32" s="361">
        <f t="shared" si="5"/>
        <v>3582300</v>
      </c>
      <c r="AE32" s="361">
        <f t="shared" si="5"/>
        <v>1775000</v>
      </c>
      <c r="AF32" s="361">
        <f t="shared" si="5"/>
        <v>21168000</v>
      </c>
      <c r="AG32" s="361" t="e">
        <f t="shared" si="5"/>
        <v>#REF!</v>
      </c>
      <c r="AH32" s="362">
        <f t="shared" si="5"/>
        <v>6511900</v>
      </c>
    </row>
    <row r="33" spans="1:34" ht="15.75" x14ac:dyDescent="0.25">
      <c r="A33" s="772" t="s">
        <v>539</v>
      </c>
      <c r="B33" s="773"/>
      <c r="C33" s="773"/>
      <c r="D33" s="773"/>
      <c r="E33" s="773"/>
      <c r="F33" s="773"/>
      <c r="G33" s="773"/>
      <c r="H33" s="773"/>
      <c r="I33" s="773"/>
      <c r="J33" s="773"/>
      <c r="K33" s="773"/>
      <c r="L33" s="773"/>
      <c r="M33" s="773"/>
      <c r="N33" s="773"/>
      <c r="O33" s="773"/>
      <c r="P33" s="773"/>
      <c r="Q33" s="773"/>
      <c r="R33" s="773"/>
      <c r="S33" s="774"/>
      <c r="T33" s="797" t="s">
        <v>297</v>
      </c>
      <c r="U33" s="770"/>
      <c r="V33" s="771"/>
      <c r="W33" s="615" t="s">
        <v>540</v>
      </c>
      <c r="X33" s="616"/>
      <c r="Y33" s="352">
        <f t="shared" si="4"/>
        <v>13852591</v>
      </c>
      <c r="Z33" s="356">
        <v>2093699</v>
      </c>
      <c r="AA33" s="356">
        <v>3436212</v>
      </c>
      <c r="AB33" s="356">
        <v>867633</v>
      </c>
      <c r="AC33" s="353">
        <v>963652</v>
      </c>
      <c r="AD33" s="353">
        <v>698549</v>
      </c>
      <c r="AE33" s="799">
        <v>346125</v>
      </c>
      <c r="AF33" s="359">
        <v>4127760</v>
      </c>
      <c r="AG33" s="359">
        <v>49140</v>
      </c>
      <c r="AH33" s="359">
        <v>1269821</v>
      </c>
    </row>
    <row r="34" spans="1:34" ht="15.75" thickBot="1" x14ac:dyDescent="0.3">
      <c r="A34" s="800" t="s">
        <v>541</v>
      </c>
      <c r="B34" s="801"/>
      <c r="C34" s="801"/>
      <c r="D34" s="801"/>
      <c r="E34" s="801"/>
      <c r="F34" s="801"/>
      <c r="G34" s="801"/>
      <c r="H34" s="801"/>
      <c r="I34" s="801"/>
      <c r="J34" s="801"/>
      <c r="K34" s="801"/>
      <c r="L34" s="801"/>
      <c r="M34" s="801"/>
      <c r="N34" s="801"/>
      <c r="O34" s="801"/>
      <c r="P34" s="801"/>
      <c r="Q34" s="801"/>
      <c r="R34" s="801"/>
      <c r="S34" s="802"/>
      <c r="T34" s="803" t="s">
        <v>300</v>
      </c>
      <c r="U34" s="804"/>
      <c r="V34" s="805"/>
      <c r="W34" s="806" t="s">
        <v>540</v>
      </c>
      <c r="X34" s="807"/>
      <c r="Y34" s="352">
        <f t="shared" si="4"/>
        <v>268755</v>
      </c>
      <c r="Z34" s="363">
        <v>128355</v>
      </c>
      <c r="AA34" s="363">
        <v>97200</v>
      </c>
      <c r="AB34" s="363">
        <v>14400</v>
      </c>
      <c r="AC34" s="364"/>
      <c r="AD34" s="364">
        <v>28800</v>
      </c>
      <c r="AE34" s="365"/>
      <c r="AF34" s="365"/>
      <c r="AG34" s="365"/>
      <c r="AH34" s="365"/>
    </row>
    <row r="35" spans="1:34" ht="16.5" thickBot="1" x14ac:dyDescent="0.3">
      <c r="A35" s="808" t="s">
        <v>542</v>
      </c>
      <c r="B35" s="809"/>
      <c r="C35" s="809"/>
      <c r="D35" s="809"/>
      <c r="E35" s="809"/>
      <c r="F35" s="809"/>
      <c r="G35" s="809"/>
      <c r="H35" s="809"/>
      <c r="I35" s="809"/>
      <c r="J35" s="809"/>
      <c r="K35" s="809"/>
      <c r="L35" s="809"/>
      <c r="M35" s="809"/>
      <c r="N35" s="809"/>
      <c r="O35" s="809"/>
      <c r="P35" s="809"/>
      <c r="Q35" s="809"/>
      <c r="R35" s="809"/>
      <c r="S35" s="810"/>
      <c r="T35" s="811" t="s">
        <v>303</v>
      </c>
      <c r="U35" s="788"/>
      <c r="V35" s="789"/>
      <c r="W35" s="621"/>
      <c r="X35" s="622"/>
      <c r="Y35" s="360">
        <f t="shared" si="4"/>
        <v>14121346</v>
      </c>
      <c r="Z35" s="366">
        <f>Z33+Z34</f>
        <v>2222054</v>
      </c>
      <c r="AA35" s="367">
        <f>AA33+AA34</f>
        <v>3533412</v>
      </c>
      <c r="AB35" s="367">
        <f t="shared" ref="AB35:AH35" si="6">AB33+AB34</f>
        <v>882033</v>
      </c>
      <c r="AC35" s="367">
        <f t="shared" si="6"/>
        <v>963652</v>
      </c>
      <c r="AD35" s="367">
        <f t="shared" si="6"/>
        <v>727349</v>
      </c>
      <c r="AE35" s="367">
        <f t="shared" si="6"/>
        <v>346125</v>
      </c>
      <c r="AF35" s="367">
        <f t="shared" si="6"/>
        <v>4127760</v>
      </c>
      <c r="AG35" s="367">
        <f t="shared" si="6"/>
        <v>49140</v>
      </c>
      <c r="AH35" s="368">
        <f t="shared" si="6"/>
        <v>1269821</v>
      </c>
    </row>
    <row r="36" spans="1:34" ht="16.5" thickBot="1" x14ac:dyDescent="0.3">
      <c r="A36" s="812" t="s">
        <v>543</v>
      </c>
      <c r="B36" s="813"/>
      <c r="C36" s="813"/>
      <c r="D36" s="813"/>
      <c r="E36" s="813"/>
      <c r="F36" s="813"/>
      <c r="G36" s="813"/>
      <c r="H36" s="813"/>
      <c r="I36" s="813"/>
      <c r="J36" s="813"/>
      <c r="K36" s="813"/>
      <c r="L36" s="813"/>
      <c r="M36" s="813"/>
      <c r="N36" s="813"/>
      <c r="O36" s="813"/>
      <c r="P36" s="813"/>
      <c r="Q36" s="813"/>
      <c r="R36" s="813"/>
      <c r="S36" s="814"/>
      <c r="T36" s="811" t="s">
        <v>306</v>
      </c>
      <c r="U36" s="788"/>
      <c r="V36" s="789"/>
      <c r="W36" s="621"/>
      <c r="X36" s="622"/>
      <c r="Y36" s="360">
        <v>85160271</v>
      </c>
      <c r="Z36" s="369">
        <f>Z32+Z35</f>
        <v>12958973</v>
      </c>
      <c r="AA36" s="369">
        <f>AA35+AA32</f>
        <v>21155012</v>
      </c>
      <c r="AB36" s="369">
        <f t="shared" ref="AB36:AH36" si="7">AB35+AB32</f>
        <v>5331433</v>
      </c>
      <c r="AC36" s="369">
        <f t="shared" si="7"/>
        <v>5905458</v>
      </c>
      <c r="AD36" s="369">
        <f t="shared" si="7"/>
        <v>4309649</v>
      </c>
      <c r="AE36" s="369">
        <f t="shared" si="7"/>
        <v>2121125</v>
      </c>
      <c r="AF36" s="369">
        <f t="shared" si="7"/>
        <v>25295760</v>
      </c>
      <c r="AG36" s="369" t="e">
        <f t="shared" si="7"/>
        <v>#REF!</v>
      </c>
      <c r="AH36" s="370">
        <f t="shared" si="7"/>
        <v>7781721</v>
      </c>
    </row>
  </sheetData>
  <mergeCells count="105">
    <mergeCell ref="A36:S36"/>
    <mergeCell ref="T36:V36"/>
    <mergeCell ref="W36:X36"/>
    <mergeCell ref="A34:S34"/>
    <mergeCell ref="T34:V34"/>
    <mergeCell ref="W34:X34"/>
    <mergeCell ref="A35:S35"/>
    <mergeCell ref="T35:V35"/>
    <mergeCell ref="W35:X35"/>
    <mergeCell ref="A32:S32"/>
    <mergeCell ref="T32:V32"/>
    <mergeCell ref="W32:X32"/>
    <mergeCell ref="A33:S33"/>
    <mergeCell ref="T33:V33"/>
    <mergeCell ref="W33:X33"/>
    <mergeCell ref="A30:S30"/>
    <mergeCell ref="T30:V30"/>
    <mergeCell ref="W30:X30"/>
    <mergeCell ref="A31:S31"/>
    <mergeCell ref="T31:V31"/>
    <mergeCell ref="W31:X31"/>
    <mergeCell ref="A28:R28"/>
    <mergeCell ref="T28:V28"/>
    <mergeCell ref="W28:X28"/>
    <mergeCell ref="A29:S29"/>
    <mergeCell ref="T29:V29"/>
    <mergeCell ref="W29:X29"/>
    <mergeCell ref="A26:S26"/>
    <mergeCell ref="T26:V26"/>
    <mergeCell ref="W26:X26"/>
    <mergeCell ref="A27:S27"/>
    <mergeCell ref="T27:V27"/>
    <mergeCell ref="W27:X27"/>
    <mergeCell ref="A24:S24"/>
    <mergeCell ref="T24:V24"/>
    <mergeCell ref="W24:X24"/>
    <mergeCell ref="A25:S25"/>
    <mergeCell ref="T25:V25"/>
    <mergeCell ref="W25:X25"/>
    <mergeCell ref="Y4:AG4"/>
    <mergeCell ref="Y21:AH21"/>
    <mergeCell ref="A22:S23"/>
    <mergeCell ref="T22:V23"/>
    <mergeCell ref="Y22:Y23"/>
    <mergeCell ref="AA22:AA23"/>
    <mergeCell ref="AC22:AC23"/>
    <mergeCell ref="AD22:AD23"/>
    <mergeCell ref="AE22:AE23"/>
    <mergeCell ref="AF22:AF23"/>
    <mergeCell ref="AG22:AG23"/>
    <mergeCell ref="AH22:AH23"/>
    <mergeCell ref="W23:X23"/>
    <mergeCell ref="T19:V19"/>
    <mergeCell ref="W19:X19"/>
    <mergeCell ref="T17:V17"/>
    <mergeCell ref="W17:X17"/>
    <mergeCell ref="A18:S18"/>
    <mergeCell ref="T18:V18"/>
    <mergeCell ref="W18:X18"/>
    <mergeCell ref="A19:S19"/>
    <mergeCell ref="A15:S15"/>
    <mergeCell ref="T15:V15"/>
    <mergeCell ref="W15:X15"/>
    <mergeCell ref="A16:S16"/>
    <mergeCell ref="T16:V16"/>
    <mergeCell ref="W16:X16"/>
    <mergeCell ref="A13:S13"/>
    <mergeCell ref="T13:V13"/>
    <mergeCell ref="W13:X13"/>
    <mergeCell ref="A14:S14"/>
    <mergeCell ref="T14:V14"/>
    <mergeCell ref="W14:X14"/>
    <mergeCell ref="A11:R11"/>
    <mergeCell ref="T11:V11"/>
    <mergeCell ref="W11:X11"/>
    <mergeCell ref="A12:S12"/>
    <mergeCell ref="T12:V12"/>
    <mergeCell ref="W12:X12"/>
    <mergeCell ref="A9:S9"/>
    <mergeCell ref="T9:V9"/>
    <mergeCell ref="W9:X9"/>
    <mergeCell ref="A10:S10"/>
    <mergeCell ref="T10:V10"/>
    <mergeCell ref="W10:X10"/>
    <mergeCell ref="AD5:AD6"/>
    <mergeCell ref="AE5:AE6"/>
    <mergeCell ref="AF5:AF6"/>
    <mergeCell ref="AG5:AG6"/>
    <mergeCell ref="AH5:AH6"/>
    <mergeCell ref="A1:AB1"/>
    <mergeCell ref="A2:AC2"/>
    <mergeCell ref="A3:AC3"/>
    <mergeCell ref="A5:S6"/>
    <mergeCell ref="A17:S17"/>
    <mergeCell ref="T5:V6"/>
    <mergeCell ref="Y5:Y6"/>
    <mergeCell ref="AA5:AA6"/>
    <mergeCell ref="AC5:AC6"/>
    <mergeCell ref="W6:X6"/>
    <mergeCell ref="A7:S7"/>
    <mergeCell ref="T7:V7"/>
    <mergeCell ref="W7:X7"/>
    <mergeCell ref="A8:S8"/>
    <mergeCell ref="T8:V8"/>
    <mergeCell ref="W8:X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54"/>
  <sheetViews>
    <sheetView workbookViewId="0">
      <selection activeCell="F19" sqref="F19"/>
    </sheetView>
  </sheetViews>
  <sheetFormatPr defaultRowHeight="15" x14ac:dyDescent="0.25"/>
  <cols>
    <col min="1" max="1" width="95.85546875" bestFit="1" customWidth="1"/>
    <col min="2" max="2" width="22.28515625" style="130" bestFit="1" customWidth="1"/>
    <col min="3" max="3" width="22" bestFit="1" customWidth="1"/>
    <col min="5" max="5" width="18.42578125" bestFit="1" customWidth="1"/>
    <col min="7" max="7" width="18.42578125" style="286" bestFit="1" customWidth="1"/>
  </cols>
  <sheetData>
    <row r="1" spans="1:34" ht="15.75" thickBot="1" x14ac:dyDescent="0.3">
      <c r="A1" s="626" t="s">
        <v>638</v>
      </c>
      <c r="B1" s="626"/>
      <c r="C1" s="626"/>
      <c r="D1" s="626"/>
      <c r="E1" s="626"/>
      <c r="F1" s="626"/>
    </row>
    <row r="2" spans="1:34" ht="15.75" thickBot="1" x14ac:dyDescent="0.3">
      <c r="B2" s="815" t="s">
        <v>571</v>
      </c>
      <c r="C2" s="342" t="s">
        <v>592</v>
      </c>
    </row>
    <row r="3" spans="1:34" x14ac:dyDescent="0.25">
      <c r="A3" t="s">
        <v>372</v>
      </c>
      <c r="B3" s="404" t="s">
        <v>544</v>
      </c>
      <c r="D3" t="s">
        <v>373</v>
      </c>
    </row>
    <row r="4" spans="1:34" x14ac:dyDescent="0.25">
      <c r="A4" t="s">
        <v>374</v>
      </c>
      <c r="B4" s="404" t="s">
        <v>545</v>
      </c>
      <c r="D4" t="s">
        <v>375</v>
      </c>
    </row>
    <row r="5" spans="1:34" x14ac:dyDescent="0.25">
      <c r="A5" t="s">
        <v>376</v>
      </c>
      <c r="B5" s="404" t="s">
        <v>546</v>
      </c>
      <c r="D5" t="s">
        <v>377</v>
      </c>
    </row>
    <row r="6" spans="1:34" x14ac:dyDescent="0.25">
      <c r="A6" t="s">
        <v>378</v>
      </c>
      <c r="B6" s="404" t="s">
        <v>547</v>
      </c>
      <c r="D6" t="s">
        <v>379</v>
      </c>
    </row>
    <row r="7" spans="1:34" x14ac:dyDescent="0.25">
      <c r="B7" s="404"/>
    </row>
    <row r="8" spans="1:34" x14ac:dyDescent="0.25">
      <c r="B8" s="404"/>
    </row>
    <row r="9" spans="1:34" x14ac:dyDescent="0.25">
      <c r="B9" s="404"/>
    </row>
    <row r="10" spans="1:34" x14ac:dyDescent="0.25">
      <c r="A10" t="s">
        <v>380</v>
      </c>
    </row>
    <row r="11" spans="1:34" s="256" customFormat="1" x14ac:dyDescent="0.25">
      <c r="A11" s="816" t="s">
        <v>381</v>
      </c>
      <c r="B11" s="255">
        <f>(24000*1.27)+(264000*1.22)</f>
        <v>352560</v>
      </c>
      <c r="C11" s="255">
        <f>(24000*1.27)+(264000*1.22)</f>
        <v>352560</v>
      </c>
      <c r="D11" s="270" t="s">
        <v>382</v>
      </c>
      <c r="E11" s="270"/>
      <c r="F11" s="270"/>
      <c r="G11" s="287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</row>
    <row r="12" spans="1:34" s="256" customFormat="1" x14ac:dyDescent="0.25">
      <c r="A12" s="816" t="s">
        <v>383</v>
      </c>
      <c r="B12" s="255">
        <v>5744000</v>
      </c>
      <c r="C12" s="255">
        <v>5744000</v>
      </c>
      <c r="D12" s="270" t="s">
        <v>382</v>
      </c>
      <c r="E12" s="270"/>
      <c r="F12" s="270"/>
      <c r="G12" s="287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</row>
    <row r="13" spans="1:34" s="256" customFormat="1" x14ac:dyDescent="0.25">
      <c r="A13" s="816" t="s">
        <v>384</v>
      </c>
      <c r="B13" s="255">
        <f>39418*11*1.22+8500*1.27</f>
        <v>539784.55999999994</v>
      </c>
      <c r="C13" s="255">
        <f>39418*11*1.22+8500*1.27</f>
        <v>539784.55999999994</v>
      </c>
      <c r="D13" s="270" t="s">
        <v>382</v>
      </c>
      <c r="E13" s="270"/>
      <c r="F13" s="270"/>
      <c r="G13" s="287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</row>
    <row r="14" spans="1:34" ht="16.5" thickBot="1" x14ac:dyDescent="0.3">
      <c r="B14" s="265">
        <f>SUM(B11:B13)</f>
        <v>6636344.5599999996</v>
      </c>
      <c r="C14" s="265">
        <f>SUM(C11:C13)</f>
        <v>6636344.5599999996</v>
      </c>
    </row>
    <row r="15" spans="1:34" s="375" customFormat="1" ht="18.75" thickBot="1" x14ac:dyDescent="0.3">
      <c r="A15" s="373" t="s">
        <v>548</v>
      </c>
      <c r="B15" s="374">
        <v>152161604</v>
      </c>
      <c r="C15" s="374">
        <v>152161604</v>
      </c>
      <c r="G15" s="376"/>
    </row>
    <row r="16" spans="1:34" x14ac:dyDescent="0.25">
      <c r="A16" t="s">
        <v>385</v>
      </c>
      <c r="B16" s="257">
        <f>270000*4</f>
        <v>1080000</v>
      </c>
      <c r="C16" s="257">
        <f>270000*4</f>
        <v>1080000</v>
      </c>
      <c r="D16" s="258" t="s">
        <v>386</v>
      </c>
    </row>
    <row r="17" spans="1:4" x14ac:dyDescent="0.25">
      <c r="A17" t="s">
        <v>549</v>
      </c>
      <c r="B17" s="257">
        <v>5043623</v>
      </c>
      <c r="C17" s="257">
        <v>5043623</v>
      </c>
      <c r="D17" s="258" t="s">
        <v>387</v>
      </c>
    </row>
    <row r="18" spans="1:4" x14ac:dyDescent="0.25">
      <c r="A18" t="s">
        <v>550</v>
      </c>
      <c r="B18" s="130">
        <f>8400*12+407200*12</f>
        <v>4987200</v>
      </c>
      <c r="C18" s="130">
        <f>8400*12+407200*12</f>
        <v>4987200</v>
      </c>
      <c r="D18" s="258" t="s">
        <v>388</v>
      </c>
    </row>
    <row r="19" spans="1:4" x14ac:dyDescent="0.25">
      <c r="A19" t="s">
        <v>551</v>
      </c>
      <c r="B19" s="130">
        <v>1398150</v>
      </c>
      <c r="C19" s="130">
        <v>1398150</v>
      </c>
      <c r="D19" s="258"/>
    </row>
    <row r="20" spans="1:4" x14ac:dyDescent="0.25">
      <c r="A20" t="s">
        <v>389</v>
      </c>
      <c r="B20" s="257">
        <v>974400</v>
      </c>
      <c r="C20" s="257">
        <v>974400</v>
      </c>
      <c r="D20" t="s">
        <v>390</v>
      </c>
    </row>
    <row r="21" spans="1:4" ht="15.75" thickBot="1" x14ac:dyDescent="0.3">
      <c r="A21" t="s">
        <v>634</v>
      </c>
      <c r="B21" s="257"/>
      <c r="C21">
        <v>787342</v>
      </c>
    </row>
    <row r="22" spans="1:4" ht="16.5" thickBot="1" x14ac:dyDescent="0.3">
      <c r="A22" s="817" t="s">
        <v>635</v>
      </c>
      <c r="B22" s="818">
        <f>SUM(B16:B21)</f>
        <v>13483373</v>
      </c>
      <c r="C22" s="819">
        <f>SUM(C16:C21)</f>
        <v>14270715</v>
      </c>
      <c r="D22" s="259"/>
    </row>
    <row r="23" spans="1:4" ht="15.75" x14ac:dyDescent="0.25">
      <c r="A23" s="219"/>
      <c r="B23" s="265"/>
      <c r="C23" s="265"/>
      <c r="D23" s="259"/>
    </row>
    <row r="24" spans="1:4" ht="16.5" thickBot="1" x14ac:dyDescent="0.3">
      <c r="A24" t="s">
        <v>636</v>
      </c>
      <c r="B24" s="265">
        <v>0</v>
      </c>
      <c r="C24" s="265">
        <v>3000000</v>
      </c>
      <c r="D24" s="259"/>
    </row>
    <row r="25" spans="1:4" ht="16.5" thickBot="1" x14ac:dyDescent="0.3">
      <c r="A25" s="817" t="s">
        <v>637</v>
      </c>
      <c r="B25" s="818"/>
      <c r="C25" s="269">
        <f>C24</f>
        <v>3000000</v>
      </c>
      <c r="D25" s="259"/>
    </row>
    <row r="26" spans="1:4" ht="15.75" x14ac:dyDescent="0.25">
      <c r="A26" s="219"/>
      <c r="B26" s="265"/>
      <c r="C26" s="265"/>
      <c r="D26" s="259"/>
    </row>
    <row r="27" spans="1:4" ht="15.75" x14ac:dyDescent="0.25">
      <c r="B27" s="820"/>
    </row>
    <row r="28" spans="1:4" x14ac:dyDescent="0.25">
      <c r="A28" s="260" t="s">
        <v>391</v>
      </c>
      <c r="B28" s="261"/>
    </row>
    <row r="29" spans="1:4" x14ac:dyDescent="0.25">
      <c r="A29" s="262" t="s">
        <v>368</v>
      </c>
      <c r="B29" s="213">
        <f>49406217-21796860</f>
        <v>27609357</v>
      </c>
      <c r="C29" s="213">
        <f>49406217-21796860</f>
        <v>27609357</v>
      </c>
      <c r="D29" t="s">
        <v>552</v>
      </c>
    </row>
    <row r="30" spans="1:4" x14ac:dyDescent="0.25">
      <c r="A30" s="263" t="s">
        <v>369</v>
      </c>
      <c r="B30" s="213">
        <v>70638414</v>
      </c>
      <c r="C30" s="213">
        <v>70638414</v>
      </c>
      <c r="D30" t="s">
        <v>415</v>
      </c>
    </row>
    <row r="31" spans="1:4" x14ac:dyDescent="0.25">
      <c r="A31" t="s">
        <v>553</v>
      </c>
      <c r="B31" s="213">
        <v>5000000</v>
      </c>
      <c r="C31" s="213">
        <v>5000000</v>
      </c>
      <c r="D31" t="s">
        <v>415</v>
      </c>
    </row>
    <row r="32" spans="1:4" x14ac:dyDescent="0.25">
      <c r="A32" s="266" t="s">
        <v>370</v>
      </c>
      <c r="B32" s="213">
        <v>13766800</v>
      </c>
      <c r="C32" s="213">
        <v>13766800</v>
      </c>
      <c r="D32" t="s">
        <v>415</v>
      </c>
    </row>
    <row r="33" spans="1:7" ht="15.75" thickBot="1" x14ac:dyDescent="0.3">
      <c r="A33" t="s">
        <v>554</v>
      </c>
      <c r="B33" s="213">
        <v>152463696</v>
      </c>
      <c r="C33" s="213">
        <v>152463696</v>
      </c>
      <c r="D33" t="s">
        <v>555</v>
      </c>
    </row>
    <row r="34" spans="1:7" s="264" customFormat="1" ht="16.5" thickBot="1" x14ac:dyDescent="0.3">
      <c r="A34" s="267" t="s">
        <v>392</v>
      </c>
      <c r="B34" s="269">
        <f>B29+B30+B31+B32+B33</f>
        <v>269478267</v>
      </c>
      <c r="C34" s="269">
        <f>C29+C30+C31+C32+C33</f>
        <v>269478267</v>
      </c>
      <c r="D34" s="269"/>
      <c r="G34" s="289"/>
    </row>
    <row r="35" spans="1:7" ht="18" x14ac:dyDescent="0.25">
      <c r="B35" s="268"/>
      <c r="G35" s="288"/>
    </row>
    <row r="36" spans="1:7" ht="15.75" thickBot="1" x14ac:dyDescent="0.3"/>
    <row r="37" spans="1:7" ht="18.75" thickBot="1" x14ac:dyDescent="0.3">
      <c r="A37" t="s">
        <v>556</v>
      </c>
      <c r="B37" s="377">
        <f>B34+B22+B15</f>
        <v>435123244</v>
      </c>
      <c r="C37" s="377">
        <f>C34+C22+C15+C25</f>
        <v>438910586</v>
      </c>
    </row>
    <row r="41" spans="1:7" x14ac:dyDescent="0.25">
      <c r="C41" s="130"/>
    </row>
    <row r="42" spans="1:7" x14ac:dyDescent="0.25">
      <c r="C42" s="130"/>
    </row>
    <row r="43" spans="1:7" x14ac:dyDescent="0.25">
      <c r="B43" s="261"/>
      <c r="C43" s="261"/>
    </row>
    <row r="44" spans="1:7" x14ac:dyDescent="0.25">
      <c r="B44" s="261"/>
      <c r="C44" s="261"/>
    </row>
    <row r="45" spans="1:7" x14ac:dyDescent="0.25">
      <c r="C45" s="130"/>
    </row>
    <row r="46" spans="1:7" x14ac:dyDescent="0.25">
      <c r="C46" s="130"/>
    </row>
    <row r="47" spans="1:7" x14ac:dyDescent="0.25">
      <c r="C47" s="130"/>
    </row>
    <row r="48" spans="1:7" x14ac:dyDescent="0.25">
      <c r="C48" s="130"/>
    </row>
    <row r="49" spans="2:3" x14ac:dyDescent="0.25">
      <c r="B49" s="261"/>
      <c r="C49" s="261"/>
    </row>
    <row r="50" spans="2:3" x14ac:dyDescent="0.25">
      <c r="B50" s="261"/>
      <c r="C50" s="261"/>
    </row>
    <row r="51" spans="2:3" x14ac:dyDescent="0.25">
      <c r="C51" s="130"/>
    </row>
    <row r="52" spans="2:3" x14ac:dyDescent="0.25">
      <c r="C52" s="130"/>
    </row>
    <row r="53" spans="2:3" x14ac:dyDescent="0.25">
      <c r="B53" s="261"/>
      <c r="C53" s="261"/>
    </row>
    <row r="54" spans="2:3" x14ac:dyDescent="0.25">
      <c r="C54" s="130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0"/>
  <sheetViews>
    <sheetView workbookViewId="0">
      <selection activeCell="K34" sqref="K34"/>
    </sheetView>
  </sheetViews>
  <sheetFormatPr defaultColWidth="52.5703125" defaultRowHeight="15" x14ac:dyDescent="0.25"/>
  <cols>
    <col min="1" max="1" width="3.7109375" customWidth="1"/>
    <col min="2" max="2" width="45.7109375" customWidth="1"/>
    <col min="3" max="3" width="8.140625" customWidth="1"/>
    <col min="4" max="5" width="19.42578125" customWidth="1"/>
    <col min="6" max="6" width="3.85546875" bestFit="1" customWidth="1"/>
    <col min="8" max="8" width="16.85546875" customWidth="1"/>
    <col min="9" max="9" width="19.140625" bestFit="1" customWidth="1"/>
    <col min="10" max="10" width="20.7109375" customWidth="1"/>
  </cols>
  <sheetData>
    <row r="1" spans="1:10" ht="18.75" x14ac:dyDescent="0.3">
      <c r="B1" s="446" t="s">
        <v>567</v>
      </c>
      <c r="C1" s="446"/>
      <c r="D1" s="446"/>
      <c r="E1" s="446"/>
      <c r="F1" s="446"/>
      <c r="G1" s="446"/>
      <c r="H1" s="446"/>
      <c r="I1" s="446"/>
    </row>
    <row r="2" spans="1:10" ht="15.75" x14ac:dyDescent="0.25">
      <c r="B2" s="448" t="s">
        <v>1</v>
      </c>
      <c r="C2" s="448"/>
      <c r="D2" s="448"/>
      <c r="E2" s="448"/>
      <c r="F2" s="448"/>
      <c r="G2" s="448"/>
      <c r="H2" s="448"/>
      <c r="I2" s="448"/>
    </row>
    <row r="3" spans="1:10" ht="15.75" x14ac:dyDescent="0.25">
      <c r="B3" s="448" t="s">
        <v>642</v>
      </c>
      <c r="C3" s="448"/>
      <c r="D3" s="448"/>
      <c r="E3" s="448"/>
      <c r="F3" s="448"/>
      <c r="G3" s="448"/>
      <c r="H3" s="448"/>
      <c r="I3" s="448"/>
    </row>
    <row r="4" spans="1:10" ht="15.75" x14ac:dyDescent="0.25">
      <c r="B4" s="449" t="s">
        <v>124</v>
      </c>
      <c r="C4" s="449"/>
      <c r="D4" s="449"/>
      <c r="E4" s="449"/>
      <c r="F4" s="449"/>
      <c r="G4" s="449"/>
      <c r="H4" s="449"/>
      <c r="I4" s="449"/>
    </row>
    <row r="5" spans="1:10" ht="16.5" thickBot="1" x14ac:dyDescent="0.3">
      <c r="A5" s="80"/>
      <c r="B5" s="81"/>
      <c r="C5" s="81"/>
      <c r="D5" s="81"/>
      <c r="E5" s="387"/>
      <c r="F5" s="81"/>
      <c r="G5" s="81"/>
      <c r="H5" s="81"/>
      <c r="I5" s="81"/>
    </row>
    <row r="6" spans="1:10" ht="28.5" x14ac:dyDescent="0.25">
      <c r="A6" s="82"/>
      <c r="B6" s="502" t="s">
        <v>4</v>
      </c>
      <c r="C6" s="504" t="s">
        <v>5</v>
      </c>
      <c r="D6" s="83" t="s">
        <v>125</v>
      </c>
      <c r="E6" s="388" t="s">
        <v>125</v>
      </c>
      <c r="F6" s="83"/>
      <c r="G6" s="453" t="s">
        <v>5</v>
      </c>
      <c r="H6" s="507"/>
      <c r="I6" s="500" t="s">
        <v>125</v>
      </c>
      <c r="J6" s="500" t="s">
        <v>125</v>
      </c>
    </row>
    <row r="7" spans="1:10" x14ac:dyDescent="0.25">
      <c r="A7" s="84"/>
      <c r="B7" s="503"/>
      <c r="C7" s="505"/>
      <c r="D7" s="85" t="s">
        <v>568</v>
      </c>
      <c r="E7" s="389" t="s">
        <v>570</v>
      </c>
      <c r="F7" s="85"/>
      <c r="G7" s="454"/>
      <c r="H7" s="499"/>
      <c r="I7" s="501"/>
      <c r="J7" s="501"/>
    </row>
    <row r="8" spans="1:10" ht="12.75" customHeight="1" x14ac:dyDescent="0.25">
      <c r="A8" s="84"/>
      <c r="B8" s="503"/>
      <c r="C8" s="506"/>
      <c r="D8" s="85" t="s">
        <v>569</v>
      </c>
      <c r="E8" s="389" t="s">
        <v>569</v>
      </c>
      <c r="F8" s="85"/>
      <c r="G8" s="454"/>
      <c r="H8" s="499"/>
      <c r="I8" s="231" t="s">
        <v>571</v>
      </c>
      <c r="J8" s="390" t="s">
        <v>572</v>
      </c>
    </row>
    <row r="9" spans="1:10" ht="15.75" x14ac:dyDescent="0.25">
      <c r="A9" s="84"/>
      <c r="B9" s="498" t="s">
        <v>40</v>
      </c>
      <c r="C9" s="498"/>
      <c r="D9" s="11"/>
      <c r="E9" s="11"/>
      <c r="F9" s="85"/>
      <c r="G9" s="454" t="s">
        <v>10</v>
      </c>
      <c r="H9" s="499"/>
      <c r="I9" s="232"/>
      <c r="J9" s="232"/>
    </row>
    <row r="10" spans="1:10" ht="15.75" x14ac:dyDescent="0.25">
      <c r="A10" s="84" t="s">
        <v>41</v>
      </c>
      <c r="B10" s="421" t="s">
        <v>126</v>
      </c>
      <c r="C10" s="421"/>
      <c r="D10" s="11">
        <v>14451020</v>
      </c>
      <c r="E10" s="11">
        <v>14715010</v>
      </c>
      <c r="F10" s="86" t="s">
        <v>41</v>
      </c>
      <c r="G10" s="427" t="s">
        <v>11</v>
      </c>
      <c r="H10" s="474"/>
      <c r="I10" s="233">
        <v>136778464</v>
      </c>
      <c r="J10" s="233">
        <v>139104682</v>
      </c>
    </row>
    <row r="11" spans="1:10" ht="15.75" x14ac:dyDescent="0.25">
      <c r="A11" s="84" t="s">
        <v>43</v>
      </c>
      <c r="B11" s="421" t="s">
        <v>44</v>
      </c>
      <c r="C11" s="421"/>
      <c r="D11" s="11">
        <v>40830000</v>
      </c>
      <c r="E11" s="11">
        <v>40891200</v>
      </c>
      <c r="F11" s="86" t="s">
        <v>43</v>
      </c>
      <c r="G11" s="427" t="s">
        <v>12</v>
      </c>
      <c r="H11" s="474"/>
      <c r="I11" s="233">
        <v>27499244</v>
      </c>
      <c r="J11" s="233">
        <v>27932507</v>
      </c>
    </row>
    <row r="12" spans="1:10" ht="15.75" x14ac:dyDescent="0.25">
      <c r="A12" s="84" t="s">
        <v>51</v>
      </c>
      <c r="B12" s="421" t="s">
        <v>52</v>
      </c>
      <c r="C12" s="421"/>
      <c r="D12" s="11">
        <v>152161604</v>
      </c>
      <c r="E12" s="11">
        <v>151269259</v>
      </c>
      <c r="F12" s="86" t="s">
        <v>51</v>
      </c>
      <c r="G12" s="427" t="s">
        <v>13</v>
      </c>
      <c r="H12" s="474"/>
      <c r="I12" s="233">
        <v>152267444</v>
      </c>
      <c r="J12" s="233">
        <v>158338762</v>
      </c>
    </row>
    <row r="13" spans="1:10" ht="15.75" x14ac:dyDescent="0.25">
      <c r="A13" s="84" t="s">
        <v>14</v>
      </c>
      <c r="B13" s="421" t="s">
        <v>59</v>
      </c>
      <c r="C13" s="421"/>
      <c r="D13" s="11">
        <v>14483373</v>
      </c>
      <c r="E13" s="11">
        <v>39991321</v>
      </c>
      <c r="F13" s="86" t="s">
        <v>14</v>
      </c>
      <c r="G13" s="433" t="s">
        <v>17</v>
      </c>
      <c r="H13" s="497"/>
      <c r="I13" s="234">
        <f>SUM(I14:I18)-I16</f>
        <v>18280262</v>
      </c>
      <c r="J13" s="234">
        <f>SUM(J14:J18)-J16</f>
        <v>16611942</v>
      </c>
    </row>
    <row r="14" spans="1:10" ht="15.75" x14ac:dyDescent="0.25">
      <c r="A14" s="87"/>
      <c r="B14" s="491"/>
      <c r="C14" s="491"/>
      <c r="D14" s="88"/>
      <c r="E14" s="88"/>
      <c r="F14" s="86" t="s">
        <v>18</v>
      </c>
      <c r="G14" s="434" t="s">
        <v>127</v>
      </c>
      <c r="H14" s="492"/>
      <c r="I14" s="234"/>
      <c r="J14" s="234"/>
    </row>
    <row r="15" spans="1:10" ht="15.75" x14ac:dyDescent="0.25">
      <c r="A15" s="87"/>
      <c r="B15" s="491"/>
      <c r="C15" s="491"/>
      <c r="D15" s="88"/>
      <c r="E15" s="88"/>
      <c r="F15" s="86" t="s">
        <v>19</v>
      </c>
      <c r="G15" s="434" t="s">
        <v>128</v>
      </c>
      <c r="H15" s="492"/>
      <c r="I15" s="233">
        <v>8161962</v>
      </c>
      <c r="J15" s="233">
        <v>6493642</v>
      </c>
    </row>
    <row r="16" spans="1:10" ht="15.75" customHeight="1" x14ac:dyDescent="0.25">
      <c r="A16" s="87"/>
      <c r="B16" s="491"/>
      <c r="C16" s="491"/>
      <c r="D16" s="88"/>
      <c r="E16" s="88"/>
      <c r="F16" s="86" t="s">
        <v>21</v>
      </c>
      <c r="G16" s="437"/>
      <c r="H16" s="493"/>
      <c r="I16" s="234"/>
      <c r="J16" s="234"/>
    </row>
    <row r="17" spans="1:10" ht="16.5" x14ac:dyDescent="0.25">
      <c r="A17" s="89"/>
      <c r="B17" s="494"/>
      <c r="C17" s="494"/>
      <c r="D17" s="90"/>
      <c r="E17" s="90"/>
      <c r="F17" s="91" t="s">
        <v>23</v>
      </c>
      <c r="G17" s="495" t="s">
        <v>130</v>
      </c>
      <c r="H17" s="496"/>
      <c r="I17" s="235"/>
      <c r="J17" s="235"/>
    </row>
    <row r="18" spans="1:10" ht="15.75" x14ac:dyDescent="0.25">
      <c r="A18" s="92"/>
      <c r="B18" s="93"/>
      <c r="C18" s="93"/>
      <c r="D18" s="94"/>
      <c r="E18" s="94"/>
      <c r="F18" s="95" t="s">
        <v>16</v>
      </c>
      <c r="G18" s="437" t="s">
        <v>22</v>
      </c>
      <c r="H18" s="486"/>
      <c r="I18" s="235">
        <v>10118300</v>
      </c>
      <c r="J18" s="235">
        <v>10118300</v>
      </c>
    </row>
    <row r="19" spans="1:10" ht="16.5" customHeight="1" thickBot="1" x14ac:dyDescent="0.3">
      <c r="A19" s="92"/>
      <c r="B19" s="93"/>
      <c r="C19" s="93"/>
      <c r="D19" s="94"/>
      <c r="E19" s="94"/>
      <c r="F19" s="96"/>
      <c r="G19" s="487" t="s">
        <v>24</v>
      </c>
      <c r="H19" s="488"/>
      <c r="I19" s="236">
        <v>30175954</v>
      </c>
      <c r="J19" s="236">
        <v>28673242</v>
      </c>
    </row>
    <row r="20" spans="1:10" s="101" customFormat="1" ht="15.75" thickBot="1" x14ac:dyDescent="0.3">
      <c r="A20" s="97" t="s">
        <v>38</v>
      </c>
      <c r="B20" s="478" t="s">
        <v>131</v>
      </c>
      <c r="C20" s="478"/>
      <c r="D20" s="98">
        <f>SUM(D10:D18)</f>
        <v>221925997</v>
      </c>
      <c r="E20" s="98">
        <f>SUM(E10:E18)</f>
        <v>246866790</v>
      </c>
      <c r="F20" s="99" t="s">
        <v>38</v>
      </c>
      <c r="G20" s="100" t="s">
        <v>26</v>
      </c>
      <c r="H20" s="228"/>
      <c r="I20" s="237">
        <f>+I10+I11+I12+I13+I19</f>
        <v>365001368</v>
      </c>
      <c r="J20" s="237">
        <f>+J10+J11+J12+J13+J19</f>
        <v>370661135</v>
      </c>
    </row>
    <row r="21" spans="1:10" s="101" customFormat="1" x14ac:dyDescent="0.25">
      <c r="A21" s="102" t="s">
        <v>0</v>
      </c>
      <c r="B21" s="481" t="s">
        <v>132</v>
      </c>
      <c r="C21" s="482"/>
      <c r="D21" s="103">
        <f>D20-I20</f>
        <v>-143075371</v>
      </c>
      <c r="E21" s="103">
        <f>E20-J20</f>
        <v>-123794345</v>
      </c>
      <c r="F21" s="104"/>
      <c r="G21" s="105"/>
      <c r="H21" s="229"/>
      <c r="I21" s="238"/>
      <c r="J21" s="238"/>
    </row>
    <row r="22" spans="1:10" ht="15.75" x14ac:dyDescent="0.25">
      <c r="A22" s="106" t="s">
        <v>16</v>
      </c>
      <c r="B22" s="483" t="s">
        <v>69</v>
      </c>
      <c r="C22" s="483"/>
      <c r="D22" s="107">
        <v>7867898</v>
      </c>
      <c r="E22" s="107">
        <v>7867898</v>
      </c>
      <c r="F22" s="108" t="s">
        <v>27</v>
      </c>
      <c r="G22" s="489" t="s">
        <v>133</v>
      </c>
      <c r="H22" s="490"/>
      <c r="I22" s="239">
        <v>399314520</v>
      </c>
      <c r="J22" s="239">
        <v>396045863</v>
      </c>
    </row>
    <row r="23" spans="1:10" ht="15.75" x14ac:dyDescent="0.25">
      <c r="A23" s="84" t="s">
        <v>27</v>
      </c>
      <c r="B23" s="421" t="s">
        <v>74</v>
      </c>
      <c r="C23" s="421"/>
      <c r="D23" s="11"/>
      <c r="E23" s="11">
        <v>8939663</v>
      </c>
      <c r="F23" s="86" t="s">
        <v>29</v>
      </c>
      <c r="G23" s="427" t="s">
        <v>30</v>
      </c>
      <c r="H23" s="474"/>
      <c r="I23" s="234">
        <v>850000</v>
      </c>
      <c r="J23" s="234">
        <v>11413019</v>
      </c>
    </row>
    <row r="24" spans="1:10" ht="16.5" thickBot="1" x14ac:dyDescent="0.3">
      <c r="A24" s="109" t="s">
        <v>29</v>
      </c>
      <c r="B24" s="475" t="s">
        <v>79</v>
      </c>
      <c r="C24" s="475"/>
      <c r="D24" s="110">
        <v>269478267</v>
      </c>
      <c r="E24" s="110">
        <v>240286425</v>
      </c>
      <c r="F24" s="91" t="s">
        <v>31</v>
      </c>
      <c r="G24" s="476" t="s">
        <v>134</v>
      </c>
      <c r="H24" s="477"/>
      <c r="I24" s="235"/>
      <c r="J24" s="235"/>
    </row>
    <row r="25" spans="1:10" s="101" customFormat="1" ht="15.75" thickBot="1" x14ac:dyDescent="0.3">
      <c r="A25" s="97" t="s">
        <v>89</v>
      </c>
      <c r="B25" s="478" t="s">
        <v>86</v>
      </c>
      <c r="C25" s="478"/>
      <c r="D25" s="98">
        <f>SUM(D22:D24)</f>
        <v>277346165</v>
      </c>
      <c r="E25" s="98">
        <f>SUM(E22:E24)</f>
        <v>257093986</v>
      </c>
      <c r="F25" s="99" t="s">
        <v>89</v>
      </c>
      <c r="G25" s="479" t="s">
        <v>135</v>
      </c>
      <c r="H25" s="480"/>
      <c r="I25" s="240">
        <f>SUM(I22:I24)</f>
        <v>400164520</v>
      </c>
      <c r="J25" s="240">
        <f>SUM(J22:J24)</f>
        <v>407458882</v>
      </c>
    </row>
    <row r="26" spans="1:10" s="101" customFormat="1" x14ac:dyDescent="0.25">
      <c r="A26" s="102" t="s">
        <v>33</v>
      </c>
      <c r="B26" s="481" t="s">
        <v>136</v>
      </c>
      <c r="C26" s="482"/>
      <c r="D26" s="103">
        <f>+D25-I25</f>
        <v>-122818355</v>
      </c>
      <c r="E26" s="103">
        <f>+E25-J25</f>
        <v>-150364896</v>
      </c>
      <c r="F26" s="104"/>
      <c r="G26" s="111" t="s">
        <v>418</v>
      </c>
      <c r="H26" s="230"/>
      <c r="I26" s="241">
        <v>1136830</v>
      </c>
      <c r="J26" s="241">
        <v>3682999</v>
      </c>
    </row>
    <row r="27" spans="1:10" ht="15.75" x14ac:dyDescent="0.25">
      <c r="A27" s="106" t="s">
        <v>31</v>
      </c>
      <c r="B27" s="483" t="s">
        <v>87</v>
      </c>
      <c r="C27" s="483"/>
      <c r="D27" s="107"/>
      <c r="E27" s="107"/>
      <c r="F27" s="112"/>
      <c r="G27" s="473"/>
      <c r="H27" s="466"/>
      <c r="I27" s="242"/>
      <c r="J27" s="242"/>
    </row>
    <row r="28" spans="1:10" ht="15.75" x14ac:dyDescent="0.25">
      <c r="A28" s="84" t="s">
        <v>137</v>
      </c>
      <c r="B28" s="421" t="s">
        <v>93</v>
      </c>
      <c r="C28" s="421"/>
      <c r="D28" s="11">
        <v>267030556</v>
      </c>
      <c r="E28" s="11">
        <v>277842240</v>
      </c>
      <c r="F28" s="113"/>
      <c r="G28" s="484"/>
      <c r="H28" s="485"/>
      <c r="I28" s="242"/>
      <c r="J28" s="242"/>
    </row>
    <row r="29" spans="1:10" ht="15.75" x14ac:dyDescent="0.25">
      <c r="A29" s="84" t="s">
        <v>138</v>
      </c>
      <c r="B29" s="421" t="s">
        <v>99</v>
      </c>
      <c r="C29" s="421"/>
      <c r="D29" s="11"/>
      <c r="E29" s="11"/>
      <c r="F29" s="112"/>
      <c r="G29" s="473"/>
      <c r="H29" s="466"/>
      <c r="I29" s="242"/>
      <c r="J29" s="242"/>
    </row>
    <row r="30" spans="1:10" ht="15.75" x14ac:dyDescent="0.25">
      <c r="A30" s="84" t="s">
        <v>139</v>
      </c>
      <c r="B30" s="421" t="s">
        <v>140</v>
      </c>
      <c r="C30" s="421"/>
      <c r="D30" s="11"/>
      <c r="E30" s="11"/>
      <c r="F30" s="112"/>
      <c r="G30" s="466"/>
      <c r="H30" s="467"/>
      <c r="I30" s="242"/>
      <c r="J30" s="242"/>
    </row>
    <row r="31" spans="1:10" ht="15.75" x14ac:dyDescent="0.25">
      <c r="A31" s="114" t="s">
        <v>96</v>
      </c>
      <c r="B31" s="468" t="s">
        <v>141</v>
      </c>
      <c r="C31" s="468"/>
      <c r="D31" s="115">
        <f>SUM(D27:D30)</f>
        <v>267030556</v>
      </c>
      <c r="E31" s="115">
        <f>SUM(E27:E30)</f>
        <v>277842240</v>
      </c>
      <c r="F31" s="116" t="s">
        <v>106</v>
      </c>
      <c r="G31" s="469" t="s">
        <v>142</v>
      </c>
      <c r="H31" s="470"/>
      <c r="I31" s="243"/>
      <c r="J31" s="243"/>
    </row>
    <row r="32" spans="1:10" ht="18.75" x14ac:dyDescent="0.3">
      <c r="A32" s="84"/>
      <c r="B32" s="421" t="s">
        <v>111</v>
      </c>
      <c r="C32" s="421"/>
      <c r="D32" s="64"/>
      <c r="E32" s="64"/>
      <c r="F32" s="113"/>
      <c r="G32" s="471"/>
      <c r="H32" s="472"/>
      <c r="I32" s="244"/>
      <c r="J32" s="244"/>
    </row>
    <row r="33" spans="1:10" ht="18.75" x14ac:dyDescent="0.3">
      <c r="A33" s="114" t="s">
        <v>106</v>
      </c>
      <c r="B33" s="418" t="s">
        <v>143</v>
      </c>
      <c r="C33" s="418"/>
      <c r="D33" s="64">
        <f>+D20+D25+D31+D32</f>
        <v>766302718</v>
      </c>
      <c r="E33" s="64">
        <f>+E20+E25+E31+E32</f>
        <v>781803016</v>
      </c>
      <c r="F33" s="118" t="s">
        <v>108</v>
      </c>
      <c r="G33" s="423" t="s">
        <v>144</v>
      </c>
      <c r="H33" s="462"/>
      <c r="I33" s="245">
        <f>+I20+I25+I29+I31+I27+I26</f>
        <v>766302718</v>
      </c>
      <c r="J33" s="245">
        <f>+J20+J25+J29+J31+J27+J26</f>
        <v>781803016</v>
      </c>
    </row>
    <row r="34" spans="1:10" ht="19.5" thickBot="1" x14ac:dyDescent="0.35">
      <c r="A34" s="119"/>
      <c r="B34" s="463" t="s">
        <v>145</v>
      </c>
      <c r="C34" s="463"/>
      <c r="D34" s="120">
        <f>I33-D33</f>
        <v>0</v>
      </c>
      <c r="E34" s="120">
        <f>J33-E33</f>
        <v>0</v>
      </c>
      <c r="F34" s="121"/>
      <c r="G34" s="464"/>
      <c r="H34" s="465"/>
      <c r="I34" s="120"/>
      <c r="J34" s="246"/>
    </row>
    <row r="35" spans="1:10" ht="15.75" x14ac:dyDescent="0.25">
      <c r="B35" s="122"/>
      <c r="C35" s="122"/>
      <c r="D35" s="122"/>
      <c r="E35" s="122"/>
      <c r="F35" s="122"/>
      <c r="G35" s="461"/>
      <c r="H35" s="461"/>
      <c r="I35" s="123"/>
    </row>
    <row r="36" spans="1:10" ht="15.75" x14ac:dyDescent="0.25">
      <c r="B36" s="122"/>
      <c r="C36" s="122"/>
      <c r="D36" s="124"/>
      <c r="E36" s="124"/>
      <c r="F36" s="122"/>
      <c r="G36" s="461"/>
      <c r="H36" s="461"/>
      <c r="I36" s="123"/>
    </row>
    <row r="37" spans="1:10" ht="15.75" x14ac:dyDescent="0.25">
      <c r="B37" s="122"/>
      <c r="C37" s="122"/>
      <c r="D37" s="122"/>
      <c r="E37" s="122"/>
      <c r="F37" s="122"/>
      <c r="G37" s="461"/>
      <c r="H37" s="461"/>
      <c r="I37" s="123"/>
    </row>
    <row r="38" spans="1:10" ht="15.75" x14ac:dyDescent="0.25">
      <c r="B38" s="122"/>
      <c r="C38" s="122"/>
      <c r="D38" s="122"/>
      <c r="E38" s="122"/>
      <c r="F38" s="122"/>
      <c r="G38" s="461"/>
      <c r="H38" s="461"/>
      <c r="I38" s="123"/>
    </row>
    <row r="39" spans="1:10" ht="15.75" x14ac:dyDescent="0.25">
      <c r="B39" s="122"/>
      <c r="C39" s="122"/>
      <c r="D39" s="122"/>
      <c r="E39" s="122"/>
      <c r="F39" s="122"/>
      <c r="G39" s="461"/>
      <c r="H39" s="461"/>
      <c r="I39" s="123"/>
    </row>
    <row r="40" spans="1:10" ht="15.75" x14ac:dyDescent="0.25">
      <c r="B40" s="122"/>
      <c r="C40" s="122"/>
      <c r="D40" s="122"/>
      <c r="E40" s="122"/>
      <c r="F40" s="122"/>
      <c r="G40" s="461"/>
      <c r="H40" s="461"/>
      <c r="I40" s="123"/>
    </row>
    <row r="41" spans="1:10" ht="15.75" x14ac:dyDescent="0.25">
      <c r="B41" s="122"/>
      <c r="C41" s="122"/>
      <c r="D41" s="122"/>
      <c r="E41" s="122"/>
      <c r="F41" s="122"/>
      <c r="G41" s="461"/>
      <c r="H41" s="461"/>
      <c r="I41" s="123"/>
    </row>
    <row r="42" spans="1:10" ht="15.75" x14ac:dyDescent="0.25">
      <c r="B42" s="122"/>
      <c r="C42" s="122"/>
      <c r="D42" s="122"/>
      <c r="E42" s="122"/>
      <c r="F42" s="122"/>
      <c r="G42" s="461"/>
      <c r="H42" s="461"/>
      <c r="I42" s="123"/>
    </row>
    <row r="43" spans="1:10" ht="15.75" x14ac:dyDescent="0.25">
      <c r="B43" s="122"/>
      <c r="C43" s="122"/>
      <c r="D43" s="122"/>
      <c r="E43" s="122"/>
      <c r="F43" s="122"/>
      <c r="G43" s="461"/>
      <c r="H43" s="461"/>
      <c r="I43" s="123"/>
    </row>
    <row r="44" spans="1:10" ht="15.75" x14ac:dyDescent="0.25">
      <c r="B44" s="122"/>
      <c r="C44" s="122"/>
      <c r="D44" s="122"/>
      <c r="E44" s="122"/>
      <c r="F44" s="122"/>
      <c r="G44" s="461"/>
      <c r="H44" s="461"/>
      <c r="I44" s="123"/>
    </row>
    <row r="45" spans="1:10" ht="15.75" x14ac:dyDescent="0.25">
      <c r="B45" s="122"/>
      <c r="C45" s="122"/>
      <c r="D45" s="122"/>
      <c r="E45" s="122"/>
      <c r="F45" s="122"/>
      <c r="G45" s="461"/>
      <c r="H45" s="461"/>
      <c r="I45" s="123"/>
    </row>
    <row r="46" spans="1:10" ht="15.75" x14ac:dyDescent="0.25">
      <c r="B46" s="122"/>
      <c r="C46" s="122"/>
      <c r="D46" s="122"/>
      <c r="E46" s="122"/>
      <c r="F46" s="122"/>
      <c r="G46" s="461"/>
      <c r="H46" s="461"/>
      <c r="I46" s="123"/>
    </row>
    <row r="47" spans="1:10" ht="15.75" x14ac:dyDescent="0.25">
      <c r="B47" s="122"/>
      <c r="C47" s="122"/>
      <c r="D47" s="122"/>
      <c r="E47" s="122"/>
      <c r="F47" s="122"/>
      <c r="G47" s="461"/>
      <c r="H47" s="461"/>
      <c r="I47" s="123"/>
    </row>
    <row r="48" spans="1:10" ht="18.75" x14ac:dyDescent="0.3">
      <c r="B48" s="122"/>
      <c r="C48" s="122"/>
      <c r="D48" s="122"/>
      <c r="E48" s="122"/>
      <c r="F48" s="122"/>
      <c r="G48" s="461"/>
      <c r="H48" s="461"/>
      <c r="I48" s="125"/>
    </row>
    <row r="49" spans="2:9" ht="18.75" x14ac:dyDescent="0.3">
      <c r="B49" s="126"/>
      <c r="C49" s="126"/>
      <c r="D49" s="126"/>
      <c r="E49" s="126"/>
      <c r="F49" s="126"/>
      <c r="G49" s="460"/>
      <c r="H49" s="460"/>
      <c r="I49" s="125"/>
    </row>
    <row r="50" spans="2:9" ht="18.75" x14ac:dyDescent="0.3">
      <c r="B50" s="122"/>
      <c r="C50" s="122"/>
      <c r="D50" s="122"/>
      <c r="E50" s="122"/>
      <c r="F50" s="122"/>
      <c r="G50" s="460"/>
      <c r="H50" s="460"/>
      <c r="I50" s="127"/>
    </row>
  </sheetData>
  <mergeCells count="72">
    <mergeCell ref="J6:J7"/>
    <mergeCell ref="B1:I1"/>
    <mergeCell ref="B2:I2"/>
    <mergeCell ref="B3:I3"/>
    <mergeCell ref="B4:I4"/>
    <mergeCell ref="B6:B8"/>
    <mergeCell ref="C6:C8"/>
    <mergeCell ref="G6:H8"/>
    <mergeCell ref="I6:I7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G18:H18"/>
    <mergeCell ref="G19:H19"/>
    <mergeCell ref="B20:C20"/>
    <mergeCell ref="B21:C21"/>
    <mergeCell ref="B22:C22"/>
    <mergeCell ref="G22:H22"/>
    <mergeCell ref="B29:C29"/>
    <mergeCell ref="G29:H29"/>
    <mergeCell ref="B23:C23"/>
    <mergeCell ref="G23:H23"/>
    <mergeCell ref="B24:C24"/>
    <mergeCell ref="G24:H24"/>
    <mergeCell ref="B25:C25"/>
    <mergeCell ref="G25:H25"/>
    <mergeCell ref="B26:C26"/>
    <mergeCell ref="B27:C27"/>
    <mergeCell ref="G27:H27"/>
    <mergeCell ref="B28:C28"/>
    <mergeCell ref="G28:H28"/>
    <mergeCell ref="B30:C30"/>
    <mergeCell ref="G30:H30"/>
    <mergeCell ref="B31:C31"/>
    <mergeCell ref="G31:H31"/>
    <mergeCell ref="B32:C32"/>
    <mergeCell ref="G32:H32"/>
    <mergeCell ref="G42:H42"/>
    <mergeCell ref="B33:C33"/>
    <mergeCell ref="G33:H33"/>
    <mergeCell ref="B34:C34"/>
    <mergeCell ref="G34:H34"/>
    <mergeCell ref="G35:H35"/>
    <mergeCell ref="G36:H36"/>
    <mergeCell ref="G37:H37"/>
    <mergeCell ref="G38:H38"/>
    <mergeCell ref="G39:H39"/>
    <mergeCell ref="G40:H40"/>
    <mergeCell ref="G41:H41"/>
    <mergeCell ref="G49:H49"/>
    <mergeCell ref="G50:H50"/>
    <mergeCell ref="G43:H43"/>
    <mergeCell ref="G44:H44"/>
    <mergeCell ref="G45:H45"/>
    <mergeCell ref="G46:H46"/>
    <mergeCell ref="G47:H47"/>
    <mergeCell ref="G48:H4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2"/>
  <sheetViews>
    <sheetView topLeftCell="A73" workbookViewId="0">
      <selection activeCell="E62" sqref="E62"/>
    </sheetView>
  </sheetViews>
  <sheetFormatPr defaultRowHeight="15" x14ac:dyDescent="0.25"/>
  <cols>
    <col min="1" max="1" width="61.28515625" style="179" bestFit="1" customWidth="1"/>
    <col min="2" max="2" width="22.28515625" style="129" bestFit="1" customWidth="1"/>
    <col min="3" max="3" width="14" style="129" customWidth="1"/>
    <col min="4" max="4" width="15.42578125" style="129" customWidth="1"/>
    <col min="5" max="5" width="22.28515625" style="129" bestFit="1" customWidth="1"/>
    <col min="6" max="6" width="11.5703125" style="129" bestFit="1" customWidth="1"/>
    <col min="7" max="7" width="18.42578125" style="130" bestFit="1" customWidth="1"/>
    <col min="8" max="8" width="10.28515625" style="130" bestFit="1" customWidth="1"/>
    <col min="9" max="9" width="15.7109375" style="130" bestFit="1" customWidth="1"/>
    <col min="10" max="10" width="18.42578125" bestFit="1" customWidth="1"/>
    <col min="11" max="11" width="14.28515625" customWidth="1"/>
  </cols>
  <sheetData>
    <row r="1" spans="1:11" ht="18.75" x14ac:dyDescent="0.25">
      <c r="A1" s="508" t="s">
        <v>575</v>
      </c>
      <c r="B1" s="508"/>
      <c r="C1" s="508"/>
      <c r="D1" s="508"/>
      <c r="E1" s="508"/>
    </row>
    <row r="2" spans="1:11" ht="18.75" x14ac:dyDescent="0.25">
      <c r="A2" s="508" t="s">
        <v>1</v>
      </c>
      <c r="B2" s="509"/>
      <c r="C2" s="509"/>
      <c r="D2" s="509"/>
      <c r="E2" s="509"/>
      <c r="F2" s="129" t="s">
        <v>146</v>
      </c>
    </row>
    <row r="3" spans="1:11" ht="18.75" x14ac:dyDescent="0.25">
      <c r="A3" s="508" t="s">
        <v>147</v>
      </c>
      <c r="B3" s="509"/>
      <c r="C3" s="509"/>
      <c r="D3" s="509"/>
      <c r="E3" s="509"/>
      <c r="F3" s="131" t="s">
        <v>148</v>
      </c>
    </row>
    <row r="4" spans="1:11" ht="19.5" thickBot="1" x14ac:dyDescent="0.3">
      <c r="A4" s="284"/>
      <c r="B4" s="285"/>
      <c r="C4" s="285"/>
      <c r="D4" s="285"/>
      <c r="E4" s="285"/>
      <c r="F4" s="131"/>
    </row>
    <row r="5" spans="1:11" ht="48.75" thickBot="1" x14ac:dyDescent="0.3">
      <c r="A5" s="132" t="s">
        <v>149</v>
      </c>
      <c r="B5" s="133" t="s">
        <v>573</v>
      </c>
      <c r="C5" s="133" t="s">
        <v>151</v>
      </c>
      <c r="D5" s="133" t="s">
        <v>419</v>
      </c>
      <c r="E5" s="133" t="s">
        <v>420</v>
      </c>
      <c r="F5" s="134" t="s">
        <v>421</v>
      </c>
      <c r="G5" s="133" t="s">
        <v>579</v>
      </c>
      <c r="H5" s="133" t="s">
        <v>151</v>
      </c>
      <c r="I5" s="133" t="s">
        <v>419</v>
      </c>
      <c r="J5" s="133" t="s">
        <v>574</v>
      </c>
      <c r="K5" s="134" t="s">
        <v>421</v>
      </c>
    </row>
    <row r="6" spans="1:11" ht="15.75" thickBot="1" x14ac:dyDescent="0.3">
      <c r="A6" s="135">
        <v>1</v>
      </c>
      <c r="B6" s="136">
        <v>2</v>
      </c>
      <c r="C6" s="136">
        <v>3</v>
      </c>
      <c r="D6" s="136">
        <v>4</v>
      </c>
      <c r="E6" s="136">
        <v>5</v>
      </c>
      <c r="F6" s="137">
        <v>7</v>
      </c>
      <c r="G6" s="136">
        <v>2</v>
      </c>
      <c r="H6" s="136">
        <v>3</v>
      </c>
      <c r="I6" s="136">
        <v>4</v>
      </c>
      <c r="J6" s="136">
        <v>5</v>
      </c>
      <c r="K6" s="137">
        <v>7</v>
      </c>
    </row>
    <row r="7" spans="1:11" s="141" customFormat="1" ht="20.25" customHeight="1" thickBot="1" x14ac:dyDescent="0.3">
      <c r="A7" s="138" t="s">
        <v>152</v>
      </c>
      <c r="B7" s="139">
        <f>B8+B9</f>
        <v>850000</v>
      </c>
      <c r="C7" s="139"/>
      <c r="D7" s="139">
        <f t="shared" ref="D7:E7" si="0">D8+D9</f>
        <v>0</v>
      </c>
      <c r="E7" s="139">
        <f t="shared" si="0"/>
        <v>850000</v>
      </c>
      <c r="F7" s="140"/>
      <c r="G7" s="139">
        <f>G8+G9+G10+G12+G11</f>
        <v>11413019</v>
      </c>
      <c r="H7" s="139"/>
      <c r="I7" s="139">
        <f t="shared" ref="I7" si="1">I8+I9</f>
        <v>0</v>
      </c>
      <c r="J7" s="139">
        <f>J8+J9+J10+J11+J12</f>
        <v>11413019</v>
      </c>
      <c r="K7" s="140"/>
    </row>
    <row r="8" spans="1:11" ht="20.25" customHeight="1" x14ac:dyDescent="0.25">
      <c r="A8" s="254" t="s">
        <v>422</v>
      </c>
      <c r="B8" s="142">
        <v>700000</v>
      </c>
      <c r="C8" s="143">
        <v>2019</v>
      </c>
      <c r="D8" s="142"/>
      <c r="E8" s="142">
        <v>700000</v>
      </c>
      <c r="F8" s="144"/>
      <c r="G8" s="142">
        <v>594586</v>
      </c>
      <c r="H8" s="143">
        <v>2019</v>
      </c>
      <c r="I8" s="142"/>
      <c r="J8" s="142">
        <v>642104</v>
      </c>
      <c r="K8" s="144"/>
    </row>
    <row r="9" spans="1:11" ht="20.25" customHeight="1" thickBot="1" x14ac:dyDescent="0.3">
      <c r="A9" s="281" t="s">
        <v>423</v>
      </c>
      <c r="B9" s="146">
        <v>150000</v>
      </c>
      <c r="C9" s="147">
        <v>2019</v>
      </c>
      <c r="D9" s="146"/>
      <c r="E9" s="146">
        <v>150000</v>
      </c>
      <c r="F9" s="148"/>
      <c r="G9" s="146">
        <v>150000</v>
      </c>
      <c r="H9" s="147">
        <v>2019</v>
      </c>
      <c r="I9" s="146"/>
      <c r="J9" s="146">
        <v>150000</v>
      </c>
      <c r="K9" s="148"/>
    </row>
    <row r="10" spans="1:11" ht="20.25" customHeight="1" thickBot="1" x14ac:dyDescent="0.3">
      <c r="A10" s="281" t="s">
        <v>576</v>
      </c>
      <c r="B10" s="398"/>
      <c r="C10" s="399"/>
      <c r="D10" s="398"/>
      <c r="E10" s="398"/>
      <c r="F10" s="400"/>
      <c r="G10" s="398">
        <v>7931259</v>
      </c>
      <c r="H10" s="399">
        <v>2019</v>
      </c>
      <c r="I10" s="398"/>
      <c r="J10" s="146">
        <v>7883741</v>
      </c>
      <c r="K10" s="400"/>
    </row>
    <row r="11" spans="1:11" ht="20.25" customHeight="1" thickBot="1" x14ac:dyDescent="0.3">
      <c r="A11" s="281" t="s">
        <v>577</v>
      </c>
      <c r="B11" s="398"/>
      <c r="C11" s="399"/>
      <c r="D11" s="398"/>
      <c r="E11" s="398"/>
      <c r="F11" s="400"/>
      <c r="G11" s="398">
        <v>650227</v>
      </c>
      <c r="H11" s="399">
        <v>2019</v>
      </c>
      <c r="I11" s="398"/>
      <c r="J11" s="146">
        <v>650227</v>
      </c>
      <c r="K11" s="400"/>
    </row>
    <row r="12" spans="1:11" ht="33" customHeight="1" thickBot="1" x14ac:dyDescent="0.3">
      <c r="A12" s="401" t="s">
        <v>578</v>
      </c>
      <c r="B12" s="398"/>
      <c r="C12" s="399"/>
      <c r="D12" s="398"/>
      <c r="E12" s="398"/>
      <c r="F12" s="400"/>
      <c r="G12" s="398">
        <v>2086947</v>
      </c>
      <c r="H12" s="399">
        <v>2019</v>
      </c>
      <c r="I12" s="398"/>
      <c r="J12" s="146">
        <v>2086947</v>
      </c>
      <c r="K12" s="400"/>
    </row>
    <row r="13" spans="1:11" ht="20.25" customHeight="1" thickBot="1" x14ac:dyDescent="0.3">
      <c r="A13" s="149" t="s">
        <v>153</v>
      </c>
      <c r="B13" s="150">
        <f>B25+B30+B46+B53+B59+B75</f>
        <v>399314520</v>
      </c>
      <c r="C13" s="150">
        <f>C25+C30+C46+C53+C59+C75</f>
        <v>0</v>
      </c>
      <c r="D13" s="150">
        <f>D25+D30+D46+D53+D59+D75</f>
        <v>0</v>
      </c>
      <c r="E13" s="150">
        <f>E25+E30+E46+E53+E59+E75</f>
        <v>399314520</v>
      </c>
      <c r="F13" s="151"/>
      <c r="G13" s="150">
        <f>G25+G30+G46+G53+G59+G75</f>
        <v>396045863</v>
      </c>
      <c r="H13" s="150">
        <f>H25+H30+H46+H53+H59+H75</f>
        <v>0</v>
      </c>
      <c r="I13" s="150">
        <f>I25+I30+I46+I53+I59+I75</f>
        <v>0</v>
      </c>
      <c r="J13" s="150" t="e">
        <f>J25+J30+J46+J53+J59+J75</f>
        <v>#REF!</v>
      </c>
      <c r="K13" s="151"/>
    </row>
    <row r="14" spans="1:11" ht="20.25" customHeight="1" thickBot="1" x14ac:dyDescent="0.3">
      <c r="A14" s="152" t="s">
        <v>154</v>
      </c>
      <c r="B14" s="153">
        <v>52500</v>
      </c>
      <c r="C14" s="147">
        <v>2019</v>
      </c>
      <c r="D14" s="154"/>
      <c r="E14" s="153">
        <v>52500</v>
      </c>
      <c r="F14" s="155"/>
      <c r="G14" s="153">
        <v>52500</v>
      </c>
      <c r="H14" s="147">
        <v>2019</v>
      </c>
      <c r="I14" s="154"/>
      <c r="J14" s="153">
        <v>52500</v>
      </c>
      <c r="K14" s="155"/>
    </row>
    <row r="15" spans="1:11" ht="20.25" customHeight="1" thickBot="1" x14ac:dyDescent="0.3">
      <c r="A15" s="152" t="s">
        <v>424</v>
      </c>
      <c r="B15" s="156">
        <v>101600</v>
      </c>
      <c r="C15" s="147">
        <v>2019</v>
      </c>
      <c r="D15" s="158"/>
      <c r="E15" s="156">
        <v>101600</v>
      </c>
      <c r="F15" s="144"/>
      <c r="G15" s="156">
        <v>101600</v>
      </c>
      <c r="H15" s="147">
        <v>2019</v>
      </c>
      <c r="I15" s="158"/>
      <c r="J15" s="156">
        <v>101600</v>
      </c>
      <c r="K15" s="144"/>
    </row>
    <row r="16" spans="1:11" ht="20.25" customHeight="1" thickBot="1" x14ac:dyDescent="0.3">
      <c r="A16" s="152" t="s">
        <v>155</v>
      </c>
      <c r="B16" s="156">
        <v>25400</v>
      </c>
      <c r="C16" s="147">
        <v>2019</v>
      </c>
      <c r="D16" s="158"/>
      <c r="E16" s="156">
        <v>25400</v>
      </c>
      <c r="F16" s="144"/>
      <c r="G16" s="156">
        <v>25400</v>
      </c>
      <c r="H16" s="147">
        <v>2019</v>
      </c>
      <c r="I16" s="158"/>
      <c r="J16" s="156">
        <v>25400</v>
      </c>
      <c r="K16" s="144"/>
    </row>
    <row r="17" spans="1:11" ht="20.25" customHeight="1" thickBot="1" x14ac:dyDescent="0.3">
      <c r="A17" s="152" t="s">
        <v>156</v>
      </c>
      <c r="B17" s="156">
        <v>19050</v>
      </c>
      <c r="C17" s="147">
        <v>2019</v>
      </c>
      <c r="D17" s="158"/>
      <c r="E17" s="156">
        <v>19050</v>
      </c>
      <c r="F17" s="144"/>
      <c r="G17" s="156">
        <v>19050</v>
      </c>
      <c r="H17" s="147">
        <v>2019</v>
      </c>
      <c r="I17" s="158"/>
      <c r="J17" s="156">
        <v>19050</v>
      </c>
      <c r="K17" s="144"/>
    </row>
    <row r="18" spans="1:11" ht="20.25" customHeight="1" thickBot="1" x14ac:dyDescent="0.3">
      <c r="A18" s="152" t="s">
        <v>157</v>
      </c>
      <c r="B18" s="156">
        <v>50800</v>
      </c>
      <c r="C18" s="147">
        <v>2019</v>
      </c>
      <c r="D18" s="158"/>
      <c r="E18" s="156">
        <v>50800</v>
      </c>
      <c r="F18" s="144"/>
      <c r="G18" s="156">
        <v>50800</v>
      </c>
      <c r="H18" s="147">
        <v>2019</v>
      </c>
      <c r="I18" s="158"/>
      <c r="J18" s="156">
        <v>50800</v>
      </c>
      <c r="K18" s="144"/>
    </row>
    <row r="19" spans="1:11" ht="20.25" customHeight="1" thickBot="1" x14ac:dyDescent="0.3">
      <c r="A19" s="152" t="s">
        <v>425</v>
      </c>
      <c r="B19" s="156">
        <v>127000</v>
      </c>
      <c r="C19" s="147">
        <v>2019</v>
      </c>
      <c r="D19" s="158"/>
      <c r="E19" s="156">
        <v>127000</v>
      </c>
      <c r="F19" s="144"/>
      <c r="G19" s="156">
        <v>127000</v>
      </c>
      <c r="H19" s="147">
        <v>2019</v>
      </c>
      <c r="I19" s="158"/>
      <c r="J19" s="156">
        <v>127000</v>
      </c>
      <c r="K19" s="144"/>
    </row>
    <row r="20" spans="1:11" ht="20.25" customHeight="1" thickBot="1" x14ac:dyDescent="0.3">
      <c r="A20" s="152" t="s">
        <v>158</v>
      </c>
      <c r="B20" s="156">
        <v>31750</v>
      </c>
      <c r="C20" s="147">
        <v>2019</v>
      </c>
      <c r="D20" s="158"/>
      <c r="E20" s="156">
        <v>31750</v>
      </c>
      <c r="F20" s="144"/>
      <c r="G20" s="156">
        <v>31750</v>
      </c>
      <c r="H20" s="147">
        <v>2019</v>
      </c>
      <c r="I20" s="158"/>
      <c r="J20" s="156">
        <v>31750</v>
      </c>
      <c r="K20" s="144"/>
    </row>
    <row r="21" spans="1:11" ht="20.25" customHeight="1" thickBot="1" x14ac:dyDescent="0.3">
      <c r="A21" s="152" t="s">
        <v>159</v>
      </c>
      <c r="B21" s="156">
        <v>38100</v>
      </c>
      <c r="C21" s="147">
        <v>2019</v>
      </c>
      <c r="D21" s="158"/>
      <c r="E21" s="156">
        <v>38100</v>
      </c>
      <c r="F21" s="144"/>
      <c r="G21" s="156">
        <v>38100</v>
      </c>
      <c r="H21" s="147">
        <v>2019</v>
      </c>
      <c r="I21" s="158"/>
      <c r="J21" s="156">
        <v>38100</v>
      </c>
      <c r="K21" s="144"/>
    </row>
    <row r="22" spans="1:11" ht="20.25" customHeight="1" thickBot="1" x14ac:dyDescent="0.3">
      <c r="A22" s="152" t="s">
        <v>160</v>
      </c>
      <c r="B22" s="156">
        <v>114300</v>
      </c>
      <c r="C22" s="147">
        <v>2019</v>
      </c>
      <c r="D22" s="158"/>
      <c r="E22" s="156">
        <v>114300</v>
      </c>
      <c r="F22" s="144"/>
      <c r="G22" s="156">
        <v>114300</v>
      </c>
      <c r="H22" s="147">
        <v>2019</v>
      </c>
      <c r="I22" s="158"/>
      <c r="J22" s="156">
        <v>114300</v>
      </c>
      <c r="K22" s="144"/>
    </row>
    <row r="23" spans="1:11" ht="20.25" customHeight="1" thickBot="1" x14ac:dyDescent="0.3">
      <c r="A23" s="152" t="s">
        <v>161</v>
      </c>
      <c r="B23" s="156">
        <v>177800</v>
      </c>
      <c r="C23" s="147">
        <v>2019</v>
      </c>
      <c r="D23" s="158"/>
      <c r="E23" s="156">
        <v>177800</v>
      </c>
      <c r="F23" s="144"/>
      <c r="G23" s="156">
        <v>177800</v>
      </c>
      <c r="H23" s="147">
        <v>2019</v>
      </c>
      <c r="I23" s="158"/>
      <c r="J23" s="156">
        <v>177800</v>
      </c>
      <c r="K23" s="144"/>
    </row>
    <row r="24" spans="1:11" ht="20.25" customHeight="1" thickBot="1" x14ac:dyDescent="0.3">
      <c r="A24" s="159" t="s">
        <v>162</v>
      </c>
      <c r="B24" s="160">
        <v>152400</v>
      </c>
      <c r="C24" s="147">
        <v>2019</v>
      </c>
      <c r="D24" s="162"/>
      <c r="E24" s="160">
        <v>152400</v>
      </c>
      <c r="F24" s="148"/>
      <c r="G24" s="160">
        <v>152400</v>
      </c>
      <c r="H24" s="147">
        <v>2019</v>
      </c>
      <c r="I24" s="162"/>
      <c r="J24" s="160">
        <v>152400</v>
      </c>
      <c r="K24" s="148"/>
    </row>
    <row r="25" spans="1:11" ht="20.25" customHeight="1" thickBot="1" x14ac:dyDescent="0.3">
      <c r="A25" s="163" t="s">
        <v>163</v>
      </c>
      <c r="B25" s="164">
        <f>B14+B15+B16+B17+B19+B18+B20+B21+B22+B23+B24</f>
        <v>890700</v>
      </c>
      <c r="C25" s="164"/>
      <c r="D25" s="164">
        <f t="shared" ref="D25:E25" si="2">D14+D15+D16+D17+D19+D18+D20+D21+D22+D23+D24</f>
        <v>0</v>
      </c>
      <c r="E25" s="164">
        <f t="shared" si="2"/>
        <v>890700</v>
      </c>
      <c r="F25" s="151"/>
      <c r="G25" s="164">
        <f>G14+G15+G16+G17+G19+G18+G20+G21+G22+G23+G24</f>
        <v>890700</v>
      </c>
      <c r="H25" s="164"/>
      <c r="I25" s="164">
        <f t="shared" ref="I25:J25" si="3">I14+I15+I16+I17+I19+I18+I20+I21+I22+I23+I24</f>
        <v>0</v>
      </c>
      <c r="J25" s="164">
        <f t="shared" si="3"/>
        <v>890700</v>
      </c>
      <c r="K25" s="151"/>
    </row>
    <row r="26" spans="1:11" ht="20.25" customHeight="1" thickBot="1" x14ac:dyDescent="0.3">
      <c r="A26" s="165" t="s">
        <v>164</v>
      </c>
      <c r="B26" s="154">
        <v>63500</v>
      </c>
      <c r="C26" s="147">
        <v>2019</v>
      </c>
      <c r="D26" s="166"/>
      <c r="E26" s="167">
        <v>63500</v>
      </c>
      <c r="F26" s="155"/>
      <c r="G26" s="154">
        <v>63500</v>
      </c>
      <c r="H26" s="147">
        <v>2019</v>
      </c>
      <c r="I26" s="166"/>
      <c r="J26" s="167">
        <v>63500</v>
      </c>
      <c r="K26" s="155"/>
    </row>
    <row r="27" spans="1:11" ht="20.25" customHeight="1" thickBot="1" x14ac:dyDescent="0.3">
      <c r="A27" s="152" t="s">
        <v>165</v>
      </c>
      <c r="B27" s="158">
        <v>25400</v>
      </c>
      <c r="C27" s="147">
        <v>2019</v>
      </c>
      <c r="D27" s="168"/>
      <c r="E27" s="169">
        <v>25400</v>
      </c>
      <c r="F27" s="144"/>
      <c r="G27" s="158">
        <v>25400</v>
      </c>
      <c r="H27" s="147">
        <v>2019</v>
      </c>
      <c r="I27" s="168"/>
      <c r="J27" s="169">
        <v>25400</v>
      </c>
      <c r="K27" s="144"/>
    </row>
    <row r="28" spans="1:11" ht="20.25" customHeight="1" thickBot="1" x14ac:dyDescent="0.3">
      <c r="A28" s="152" t="s">
        <v>155</v>
      </c>
      <c r="B28" s="158">
        <v>15240</v>
      </c>
      <c r="C28" s="147">
        <v>2019</v>
      </c>
      <c r="D28" s="168"/>
      <c r="E28" s="169">
        <v>15240</v>
      </c>
      <c r="F28" s="144"/>
      <c r="G28" s="158">
        <v>15240</v>
      </c>
      <c r="H28" s="147">
        <v>2019</v>
      </c>
      <c r="I28" s="168"/>
      <c r="J28" s="169">
        <v>15240</v>
      </c>
      <c r="K28" s="144"/>
    </row>
    <row r="29" spans="1:11" ht="20.25" customHeight="1" thickBot="1" x14ac:dyDescent="0.3">
      <c r="A29" s="152" t="s">
        <v>166</v>
      </c>
      <c r="B29" s="158">
        <v>63500</v>
      </c>
      <c r="C29" s="147">
        <v>2019</v>
      </c>
      <c r="D29" s="168"/>
      <c r="E29" s="169">
        <v>63500</v>
      </c>
      <c r="F29" s="144"/>
      <c r="G29" s="158">
        <v>63500</v>
      </c>
      <c r="H29" s="147">
        <v>2019</v>
      </c>
      <c r="I29" s="168"/>
      <c r="J29" s="169">
        <v>63500</v>
      </c>
      <c r="K29" s="144"/>
    </row>
    <row r="30" spans="1:11" ht="20.25" customHeight="1" thickBot="1" x14ac:dyDescent="0.3">
      <c r="A30" s="163" t="s">
        <v>167</v>
      </c>
      <c r="B30" s="164">
        <f>B26+B27+B28+B29</f>
        <v>167640</v>
      </c>
      <c r="C30" s="164"/>
      <c r="D30" s="164">
        <f t="shared" ref="D30:E30" si="4">D26+D27+D28+D29</f>
        <v>0</v>
      </c>
      <c r="E30" s="164">
        <f t="shared" si="4"/>
        <v>167640</v>
      </c>
      <c r="F30" s="151"/>
      <c r="G30" s="164">
        <f>G26+G27+G28+G29</f>
        <v>167640</v>
      </c>
      <c r="H30" s="164"/>
      <c r="I30" s="164">
        <f t="shared" ref="I30:J30" si="5">I26+I27+I28+I29</f>
        <v>0</v>
      </c>
      <c r="J30" s="164">
        <f t="shared" si="5"/>
        <v>167640</v>
      </c>
      <c r="K30" s="151"/>
    </row>
    <row r="31" spans="1:11" ht="20.25" customHeight="1" x14ac:dyDescent="0.25">
      <c r="A31" s="290"/>
      <c r="B31" s="291"/>
      <c r="C31" s="291"/>
      <c r="D31" s="291"/>
      <c r="E31" s="291"/>
      <c r="F31" s="292"/>
      <c r="K31" s="145"/>
    </row>
    <row r="32" spans="1:11" ht="20.25" customHeight="1" x14ac:dyDescent="0.25">
      <c r="A32" s="508" t="s">
        <v>575</v>
      </c>
      <c r="B32" s="508"/>
      <c r="C32" s="508"/>
      <c r="D32" s="508"/>
      <c r="E32" s="508"/>
      <c r="K32" s="145"/>
    </row>
    <row r="33" spans="1:11" ht="20.25" customHeight="1" x14ac:dyDescent="0.25">
      <c r="A33" s="508" t="s">
        <v>1</v>
      </c>
      <c r="B33" s="509"/>
      <c r="C33" s="509"/>
      <c r="D33" s="509"/>
      <c r="E33" s="509"/>
      <c r="F33" s="129" t="s">
        <v>146</v>
      </c>
      <c r="K33" s="145"/>
    </row>
    <row r="34" spans="1:11" ht="20.25" customHeight="1" thickBot="1" x14ac:dyDescent="0.3">
      <c r="A34" s="508" t="s">
        <v>147</v>
      </c>
      <c r="B34" s="509"/>
      <c r="C34" s="509"/>
      <c r="D34" s="509"/>
      <c r="E34" s="509"/>
      <c r="F34" s="131" t="s">
        <v>148</v>
      </c>
      <c r="K34" s="145"/>
    </row>
    <row r="35" spans="1:11" ht="48.75" thickBot="1" x14ac:dyDescent="0.3">
      <c r="A35" s="132" t="s">
        <v>149</v>
      </c>
      <c r="B35" s="133" t="s">
        <v>150</v>
      </c>
      <c r="C35" s="133" t="s">
        <v>151</v>
      </c>
      <c r="D35" s="133" t="s">
        <v>419</v>
      </c>
      <c r="E35" s="305" t="s">
        <v>420</v>
      </c>
      <c r="F35" s="311" t="s">
        <v>421</v>
      </c>
      <c r="G35" s="133" t="s">
        <v>579</v>
      </c>
      <c r="H35" s="133" t="s">
        <v>151</v>
      </c>
      <c r="I35" s="133" t="s">
        <v>419</v>
      </c>
      <c r="J35" s="305" t="s">
        <v>574</v>
      </c>
      <c r="K35" s="311" t="s">
        <v>421</v>
      </c>
    </row>
    <row r="36" spans="1:11" ht="15.75" customHeight="1" thickBot="1" x14ac:dyDescent="0.3">
      <c r="A36" s="152" t="s">
        <v>168</v>
      </c>
      <c r="B36" s="158">
        <v>355600</v>
      </c>
      <c r="C36" s="157">
        <v>2019</v>
      </c>
      <c r="D36" s="168"/>
      <c r="E36" s="307">
        <v>355600</v>
      </c>
      <c r="F36" s="313">
        <v>0</v>
      </c>
      <c r="G36" s="158">
        <v>355600</v>
      </c>
      <c r="H36" s="157">
        <v>2019</v>
      </c>
      <c r="I36" s="168"/>
      <c r="J36" s="307">
        <v>355600</v>
      </c>
      <c r="K36" s="313">
        <v>0</v>
      </c>
    </row>
    <row r="37" spans="1:11" ht="20.25" customHeight="1" thickBot="1" x14ac:dyDescent="0.3">
      <c r="A37" s="165" t="s">
        <v>426</v>
      </c>
      <c r="B37" s="154">
        <v>19050</v>
      </c>
      <c r="C37" s="157">
        <v>2019</v>
      </c>
      <c r="D37" s="166"/>
      <c r="E37" s="308">
        <v>19050</v>
      </c>
      <c r="F37" s="314"/>
      <c r="G37" s="154">
        <v>19050</v>
      </c>
      <c r="H37" s="157">
        <v>2019</v>
      </c>
      <c r="I37" s="166"/>
      <c r="J37" s="308">
        <v>19050</v>
      </c>
      <c r="K37" s="314"/>
    </row>
    <row r="38" spans="1:11" ht="20.25" customHeight="1" thickBot="1" x14ac:dyDescent="0.3">
      <c r="A38" s="152" t="s">
        <v>427</v>
      </c>
      <c r="B38" s="158">
        <v>38100</v>
      </c>
      <c r="C38" s="157">
        <v>2019</v>
      </c>
      <c r="D38" s="168"/>
      <c r="E38" s="307">
        <v>38100</v>
      </c>
      <c r="F38" s="315"/>
      <c r="G38" s="158">
        <v>38100</v>
      </c>
      <c r="H38" s="157">
        <v>2019</v>
      </c>
      <c r="I38" s="168"/>
      <c r="J38" s="307">
        <v>38100</v>
      </c>
      <c r="K38" s="315"/>
    </row>
    <row r="39" spans="1:11" ht="20.25" customHeight="1" thickBot="1" x14ac:dyDescent="0.3">
      <c r="A39" s="152" t="s">
        <v>428</v>
      </c>
      <c r="B39" s="158">
        <v>12700</v>
      </c>
      <c r="C39" s="157">
        <v>2019</v>
      </c>
      <c r="D39" s="168"/>
      <c r="E39" s="307">
        <v>12700</v>
      </c>
      <c r="F39" s="315"/>
      <c r="G39" s="158">
        <v>12700</v>
      </c>
      <c r="H39" s="157">
        <v>2019</v>
      </c>
      <c r="I39" s="168"/>
      <c r="J39" s="307">
        <v>12700</v>
      </c>
      <c r="K39" s="315"/>
    </row>
    <row r="40" spans="1:11" ht="20.25" customHeight="1" thickBot="1" x14ac:dyDescent="0.3">
      <c r="A40" s="152" t="s">
        <v>429</v>
      </c>
      <c r="B40" s="158">
        <v>38100</v>
      </c>
      <c r="C40" s="157">
        <v>2019</v>
      </c>
      <c r="D40" s="168"/>
      <c r="E40" s="307">
        <v>38100</v>
      </c>
      <c r="F40" s="315"/>
      <c r="G40" s="158">
        <v>38100</v>
      </c>
      <c r="H40" s="157">
        <v>2019</v>
      </c>
      <c r="I40" s="168"/>
      <c r="J40" s="307">
        <v>38100</v>
      </c>
      <c r="K40" s="315"/>
    </row>
    <row r="41" spans="1:11" ht="20.25" customHeight="1" thickBot="1" x14ac:dyDescent="0.3">
      <c r="A41" s="152" t="s">
        <v>430</v>
      </c>
      <c r="B41" s="158">
        <v>254000</v>
      </c>
      <c r="C41" s="157">
        <v>2019</v>
      </c>
      <c r="D41" s="168"/>
      <c r="E41" s="307">
        <v>254000</v>
      </c>
      <c r="F41" s="315"/>
      <c r="G41" s="158">
        <v>254000</v>
      </c>
      <c r="H41" s="157">
        <v>2019</v>
      </c>
      <c r="I41" s="168"/>
      <c r="J41" s="307">
        <v>254000</v>
      </c>
      <c r="K41" s="315"/>
    </row>
    <row r="42" spans="1:11" ht="20.25" customHeight="1" thickBot="1" x14ac:dyDescent="0.3">
      <c r="A42" s="152" t="s">
        <v>431</v>
      </c>
      <c r="B42" s="158">
        <v>38100</v>
      </c>
      <c r="C42" s="157">
        <v>2019</v>
      </c>
      <c r="D42" s="168"/>
      <c r="E42" s="307">
        <v>38100</v>
      </c>
      <c r="F42" s="315"/>
      <c r="G42" s="158">
        <v>38100</v>
      </c>
      <c r="H42" s="157">
        <v>2019</v>
      </c>
      <c r="I42" s="168"/>
      <c r="J42" s="307">
        <v>38100</v>
      </c>
      <c r="K42" s="315"/>
    </row>
    <row r="43" spans="1:11" ht="20.25" customHeight="1" thickBot="1" x14ac:dyDescent="0.3">
      <c r="A43" s="152" t="s">
        <v>432</v>
      </c>
      <c r="B43" s="158">
        <v>127000</v>
      </c>
      <c r="C43" s="157">
        <v>2019</v>
      </c>
      <c r="D43" s="168"/>
      <c r="E43" s="307">
        <v>127000</v>
      </c>
      <c r="F43" s="320"/>
      <c r="G43" s="158">
        <v>61990</v>
      </c>
      <c r="H43" s="157">
        <v>2019</v>
      </c>
      <c r="I43" s="168"/>
      <c r="J43" s="307">
        <v>61990</v>
      </c>
      <c r="K43" s="320"/>
    </row>
    <row r="44" spans="1:11" ht="20.25" customHeight="1" thickBot="1" x14ac:dyDescent="0.3">
      <c r="A44" s="152" t="s">
        <v>581</v>
      </c>
      <c r="B44" s="158"/>
      <c r="C44" s="157"/>
      <c r="D44" s="168"/>
      <c r="E44" s="307"/>
      <c r="F44" s="320"/>
      <c r="G44" s="158">
        <v>28900</v>
      </c>
      <c r="H44" s="157">
        <v>2019</v>
      </c>
      <c r="I44" s="168"/>
      <c r="J44" s="307">
        <v>28900</v>
      </c>
      <c r="K44" s="320"/>
    </row>
    <row r="45" spans="1:11" ht="20.25" customHeight="1" thickBot="1" x14ac:dyDescent="0.3">
      <c r="A45" s="152" t="s">
        <v>580</v>
      </c>
      <c r="B45" s="158"/>
      <c r="C45" s="157"/>
      <c r="D45" s="168"/>
      <c r="E45" s="307"/>
      <c r="F45" s="320"/>
      <c r="G45" s="158">
        <v>15980</v>
      </c>
      <c r="H45" s="157">
        <v>2019</v>
      </c>
      <c r="I45" s="168"/>
      <c r="J45" s="307">
        <v>15980</v>
      </c>
      <c r="K45" s="320"/>
    </row>
    <row r="46" spans="1:11" s="304" customFormat="1" ht="20.25" customHeight="1" thickBot="1" x14ac:dyDescent="0.3">
      <c r="A46" s="175" t="s">
        <v>169</v>
      </c>
      <c r="B46" s="303">
        <f>SUM(B36:B45)</f>
        <v>882650</v>
      </c>
      <c r="C46" s="303"/>
      <c r="D46" s="303">
        <f>SUM(D36:D45)</f>
        <v>0</v>
      </c>
      <c r="E46" s="309">
        <f>SUM(E36:E45)</f>
        <v>882650</v>
      </c>
      <c r="F46" s="322"/>
      <c r="G46" s="303">
        <f>SUM(G36:G45)</f>
        <v>862520</v>
      </c>
      <c r="H46" s="303"/>
      <c r="I46" s="303">
        <f>SUM(I36:I45)</f>
        <v>0</v>
      </c>
      <c r="J46" s="309">
        <f>SUM(J36:J45)</f>
        <v>862520</v>
      </c>
      <c r="K46" s="322"/>
    </row>
    <row r="47" spans="1:11" ht="57" customHeight="1" x14ac:dyDescent="0.25">
      <c r="A47" s="323" t="s">
        <v>170</v>
      </c>
      <c r="B47" s="172">
        <v>198182422</v>
      </c>
      <c r="C47" s="324">
        <v>2019</v>
      </c>
      <c r="D47" s="190"/>
      <c r="E47" s="174">
        <v>198182422</v>
      </c>
      <c r="F47" s="314"/>
      <c r="G47" s="172">
        <v>198182422</v>
      </c>
      <c r="H47" s="324">
        <v>2019</v>
      </c>
      <c r="I47" s="190"/>
      <c r="J47" s="174">
        <v>198182422</v>
      </c>
      <c r="K47" s="314"/>
    </row>
    <row r="48" spans="1:11" ht="20.25" customHeight="1" thickBot="1" x14ac:dyDescent="0.3">
      <c r="A48" s="247" t="s">
        <v>436</v>
      </c>
      <c r="B48" s="248">
        <v>6636471</v>
      </c>
      <c r="C48" s="173">
        <v>2019</v>
      </c>
      <c r="D48" s="142"/>
      <c r="E48" s="252">
        <v>6636471</v>
      </c>
      <c r="F48" s="315"/>
      <c r="G48" s="248">
        <v>6636471</v>
      </c>
      <c r="H48" s="173">
        <v>2019</v>
      </c>
      <c r="I48" s="142"/>
      <c r="J48" s="252">
        <v>6636471</v>
      </c>
      <c r="K48" s="315"/>
    </row>
    <row r="49" spans="1:11" ht="19.5" customHeight="1" thickBot="1" x14ac:dyDescent="0.3">
      <c r="A49" s="301" t="s">
        <v>437</v>
      </c>
      <c r="B49" s="250">
        <v>152463696</v>
      </c>
      <c r="C49" s="173">
        <v>2019</v>
      </c>
      <c r="D49" s="249"/>
      <c r="E49" s="298">
        <v>152463696</v>
      </c>
      <c r="F49" s="315"/>
      <c r="G49" s="250">
        <v>152463696</v>
      </c>
      <c r="H49" s="173">
        <v>2019</v>
      </c>
      <c r="I49" s="249"/>
      <c r="J49" s="298">
        <v>152463696</v>
      </c>
      <c r="K49" s="315"/>
    </row>
    <row r="50" spans="1:11" ht="19.5" customHeight="1" thickBot="1" x14ac:dyDescent="0.3">
      <c r="A50" s="302" t="s">
        <v>438</v>
      </c>
      <c r="B50" s="250">
        <v>1763471</v>
      </c>
      <c r="C50" s="173">
        <v>2019</v>
      </c>
      <c r="D50" s="293"/>
      <c r="E50" s="298">
        <v>1763471</v>
      </c>
      <c r="F50" s="315"/>
      <c r="G50" s="250">
        <v>1763471</v>
      </c>
      <c r="H50" s="173">
        <v>2019</v>
      </c>
      <c r="I50" s="293"/>
      <c r="J50" s="298">
        <v>1763471</v>
      </c>
      <c r="K50" s="315"/>
    </row>
    <row r="51" spans="1:11" ht="19.5" customHeight="1" thickBot="1" x14ac:dyDescent="0.3">
      <c r="A51" s="302" t="s">
        <v>439</v>
      </c>
      <c r="B51" s="250">
        <v>37709870</v>
      </c>
      <c r="C51" s="325">
        <v>2019</v>
      </c>
      <c r="D51" s="293"/>
      <c r="E51" s="298">
        <v>37709870</v>
      </c>
      <c r="F51" s="320"/>
      <c r="G51" s="250">
        <v>34103250</v>
      </c>
      <c r="H51" s="325">
        <v>2019</v>
      </c>
      <c r="I51" s="293"/>
      <c r="J51" s="298">
        <v>34103250</v>
      </c>
      <c r="K51" s="320"/>
    </row>
    <row r="52" spans="1:11" ht="19.5" customHeight="1" thickBot="1" x14ac:dyDescent="0.3">
      <c r="A52" s="302" t="s">
        <v>582</v>
      </c>
      <c r="B52" s="250"/>
      <c r="C52" s="402"/>
      <c r="D52" s="293"/>
      <c r="E52" s="298"/>
      <c r="F52" s="403"/>
      <c r="G52" s="250">
        <v>14803</v>
      </c>
      <c r="H52" s="402">
        <v>2019</v>
      </c>
      <c r="I52" s="293"/>
      <c r="J52" s="298">
        <v>14803</v>
      </c>
      <c r="K52" s="403"/>
    </row>
    <row r="53" spans="1:11" ht="19.5" customHeight="1" thickBot="1" x14ac:dyDescent="0.3">
      <c r="A53" s="294" t="s">
        <v>440</v>
      </c>
      <c r="B53" s="295">
        <f>B47+B48+B49+B50+B51</f>
        <v>396755930</v>
      </c>
      <c r="C53" s="295"/>
      <c r="D53" s="295">
        <f>D47+D48+D49+D50+D51</f>
        <v>0</v>
      </c>
      <c r="E53" s="310">
        <f>E47+E48+E49+E50+E51</f>
        <v>396755930</v>
      </c>
      <c r="F53" s="313"/>
      <c r="G53" s="295">
        <f>G47+G48+G49+G50+G51+G52</f>
        <v>393164113</v>
      </c>
      <c r="H53" s="295"/>
      <c r="I53" s="295">
        <f>I47+I48+I49+I50+I51</f>
        <v>0</v>
      </c>
      <c r="J53" s="310" t="e">
        <f>J47+J48+J49+J50+J51+J52+#REF!</f>
        <v>#REF!</v>
      </c>
      <c r="K53" s="313"/>
    </row>
    <row r="54" spans="1:11" ht="19.5" customHeight="1" thickBot="1" x14ac:dyDescent="0.3">
      <c r="A54" s="302" t="s">
        <v>441</v>
      </c>
      <c r="B54" s="297">
        <v>50000</v>
      </c>
      <c r="C54" s="300">
        <v>2019</v>
      </c>
      <c r="D54" s="293"/>
      <c r="E54" s="297">
        <v>50000</v>
      </c>
      <c r="F54" s="314"/>
      <c r="G54" s="297">
        <v>50000</v>
      </c>
      <c r="H54" s="300">
        <v>2019</v>
      </c>
      <c r="I54" s="293"/>
      <c r="J54" s="297">
        <v>50000</v>
      </c>
      <c r="K54" s="314"/>
    </row>
    <row r="55" spans="1:11" ht="19.5" customHeight="1" thickBot="1" x14ac:dyDescent="0.3">
      <c r="A55" s="302" t="s">
        <v>442</v>
      </c>
      <c r="B55" s="298">
        <v>26000</v>
      </c>
      <c r="C55" s="299">
        <v>2019</v>
      </c>
      <c r="D55" s="293"/>
      <c r="E55" s="298">
        <v>26000</v>
      </c>
      <c r="F55" s="315"/>
      <c r="G55" s="298">
        <v>26000</v>
      </c>
      <c r="H55" s="299">
        <v>2019</v>
      </c>
      <c r="I55" s="293"/>
      <c r="J55" s="298">
        <v>26000</v>
      </c>
      <c r="K55" s="315"/>
    </row>
    <row r="56" spans="1:11" ht="19.5" customHeight="1" thickBot="1" x14ac:dyDescent="0.3">
      <c r="A56" s="302" t="s">
        <v>443</v>
      </c>
      <c r="B56" s="298">
        <v>20000</v>
      </c>
      <c r="C56" s="299">
        <v>2019</v>
      </c>
      <c r="D56" s="293"/>
      <c r="E56" s="298">
        <v>20000</v>
      </c>
      <c r="F56" s="315"/>
      <c r="G56" s="298">
        <v>20000</v>
      </c>
      <c r="H56" s="299">
        <v>2019</v>
      </c>
      <c r="I56" s="293"/>
      <c r="J56" s="298">
        <v>20000</v>
      </c>
      <c r="K56" s="315"/>
    </row>
    <row r="57" spans="1:11" ht="19.5" customHeight="1" thickBot="1" x14ac:dyDescent="0.3">
      <c r="A57" s="302" t="s">
        <v>444</v>
      </c>
      <c r="B57" s="298">
        <v>100000</v>
      </c>
      <c r="C57" s="299">
        <v>2019</v>
      </c>
      <c r="D57" s="293"/>
      <c r="E57" s="298">
        <v>100000</v>
      </c>
      <c r="F57" s="315"/>
      <c r="G57" s="298">
        <v>100000</v>
      </c>
      <c r="H57" s="299">
        <v>2019</v>
      </c>
      <c r="I57" s="293"/>
      <c r="J57" s="298">
        <v>100000</v>
      </c>
      <c r="K57" s="315"/>
    </row>
    <row r="58" spans="1:11" ht="19.5" customHeight="1" thickBot="1" x14ac:dyDescent="0.3">
      <c r="A58" s="302" t="s">
        <v>445</v>
      </c>
      <c r="B58" s="298">
        <v>45000</v>
      </c>
      <c r="C58" s="299">
        <v>2019</v>
      </c>
      <c r="D58" s="293"/>
      <c r="E58" s="298">
        <v>45000</v>
      </c>
      <c r="F58" s="320"/>
      <c r="G58" s="298">
        <v>45000</v>
      </c>
      <c r="H58" s="299">
        <v>2019</v>
      </c>
      <c r="I58" s="293"/>
      <c r="J58" s="298">
        <v>45000</v>
      </c>
      <c r="K58" s="320"/>
    </row>
    <row r="59" spans="1:11" ht="19.5" customHeight="1" thickBot="1" x14ac:dyDescent="0.3">
      <c r="A59" s="294" t="s">
        <v>446</v>
      </c>
      <c r="B59" s="295">
        <f>B54+B55+B56+B57+B58</f>
        <v>241000</v>
      </c>
      <c r="C59" s="296"/>
      <c r="D59" s="296"/>
      <c r="E59" s="310">
        <f>E54+E55+E56+E57+E58</f>
        <v>241000</v>
      </c>
      <c r="F59" s="313"/>
      <c r="G59" s="295">
        <f>G54+G55+G56+G57+G58</f>
        <v>241000</v>
      </c>
      <c r="H59" s="296"/>
      <c r="I59" s="296"/>
      <c r="J59" s="310">
        <f>J54+J55+J56+J57+J58</f>
        <v>241000</v>
      </c>
      <c r="K59" s="313"/>
    </row>
    <row r="60" spans="1:11" ht="19.5" customHeight="1" x14ac:dyDescent="0.25">
      <c r="A60" s="316"/>
      <c r="B60" s="317"/>
      <c r="C60" s="318"/>
      <c r="D60" s="318"/>
      <c r="E60" s="317"/>
      <c r="F60" s="292"/>
      <c r="K60" s="145"/>
    </row>
    <row r="61" spans="1:11" ht="19.5" customHeight="1" x14ac:dyDescent="0.25">
      <c r="A61" s="316"/>
      <c r="B61" s="317"/>
      <c r="C61" s="318"/>
      <c r="D61" s="318"/>
      <c r="E61" s="317"/>
      <c r="F61" s="292"/>
      <c r="K61" s="145"/>
    </row>
    <row r="62" spans="1:11" ht="19.5" customHeight="1" x14ac:dyDescent="0.25">
      <c r="A62" s="316"/>
      <c r="B62" s="317"/>
      <c r="C62" s="318"/>
      <c r="D62" s="318"/>
      <c r="E62" s="317"/>
      <c r="F62" s="292"/>
      <c r="K62" s="145"/>
    </row>
    <row r="63" spans="1:11" ht="18.75" x14ac:dyDescent="0.25">
      <c r="A63" s="508" t="s">
        <v>575</v>
      </c>
      <c r="B63" s="508"/>
      <c r="C63" s="508"/>
      <c r="D63" s="508"/>
      <c r="E63" s="508"/>
    </row>
    <row r="64" spans="1:11" ht="18.75" x14ac:dyDescent="0.25">
      <c r="A64" s="508" t="s">
        <v>1</v>
      </c>
      <c r="B64" s="509"/>
      <c r="C64" s="509"/>
      <c r="D64" s="509"/>
      <c r="E64" s="509"/>
      <c r="F64" s="129" t="s">
        <v>146</v>
      </c>
    </row>
    <row r="65" spans="1:11" ht="18.75" x14ac:dyDescent="0.25">
      <c r="A65" s="508" t="s">
        <v>147</v>
      </c>
      <c r="B65" s="509"/>
      <c r="C65" s="509"/>
      <c r="D65" s="509"/>
      <c r="E65" s="509"/>
      <c r="F65" s="131" t="s">
        <v>148</v>
      </c>
    </row>
    <row r="66" spans="1:11" ht="19.5" thickBot="1" x14ac:dyDescent="0.3">
      <c r="A66" s="284"/>
      <c r="B66" s="285"/>
      <c r="C66" s="285"/>
      <c r="D66" s="285"/>
      <c r="E66" s="285"/>
      <c r="F66" s="131"/>
    </row>
    <row r="67" spans="1:11" ht="48.75" thickBot="1" x14ac:dyDescent="0.3">
      <c r="A67" s="132" t="s">
        <v>149</v>
      </c>
      <c r="B67" s="133" t="s">
        <v>150</v>
      </c>
      <c r="C67" s="133" t="s">
        <v>151</v>
      </c>
      <c r="D67" s="133" t="s">
        <v>419</v>
      </c>
      <c r="E67" s="305" t="s">
        <v>420</v>
      </c>
      <c r="F67" s="311" t="s">
        <v>421</v>
      </c>
      <c r="G67" s="133" t="s">
        <v>579</v>
      </c>
      <c r="H67" s="133" t="s">
        <v>151</v>
      </c>
      <c r="I67" s="133" t="s">
        <v>419</v>
      </c>
      <c r="J67" s="305" t="s">
        <v>574</v>
      </c>
      <c r="K67" s="311" t="s">
        <v>421</v>
      </c>
    </row>
    <row r="68" spans="1:11" ht="15.75" thickBot="1" x14ac:dyDescent="0.3">
      <c r="A68" s="135">
        <v>1</v>
      </c>
      <c r="B68" s="136">
        <v>2</v>
      </c>
      <c r="C68" s="136">
        <v>3</v>
      </c>
      <c r="D68" s="136">
        <v>4</v>
      </c>
      <c r="E68" s="306">
        <v>5</v>
      </c>
      <c r="F68" s="312">
        <v>7</v>
      </c>
      <c r="G68" s="136">
        <v>2</v>
      </c>
      <c r="H68" s="136">
        <v>3</v>
      </c>
      <c r="I68" s="136">
        <v>4</v>
      </c>
      <c r="J68" s="306">
        <v>5</v>
      </c>
      <c r="K68" s="312">
        <v>7</v>
      </c>
    </row>
    <row r="69" spans="1:11" ht="20.25" customHeight="1" thickBot="1" x14ac:dyDescent="0.3">
      <c r="A69" s="152" t="s">
        <v>433</v>
      </c>
      <c r="B69" s="158">
        <v>85600</v>
      </c>
      <c r="C69" s="157">
        <v>2019</v>
      </c>
      <c r="D69" s="168"/>
      <c r="E69" s="307">
        <v>85600</v>
      </c>
      <c r="F69" s="315"/>
      <c r="G69" s="168">
        <v>85600</v>
      </c>
      <c r="H69" s="157">
        <v>2019</v>
      </c>
      <c r="I69" s="168"/>
      <c r="J69" s="307">
        <v>85600</v>
      </c>
      <c r="K69" s="315"/>
    </row>
    <row r="70" spans="1:11" ht="20.25" customHeight="1" thickBot="1" x14ac:dyDescent="0.3">
      <c r="A70" s="159" t="s">
        <v>434</v>
      </c>
      <c r="B70" s="162">
        <v>291000</v>
      </c>
      <c r="C70" s="161">
        <v>2019</v>
      </c>
      <c r="D70" s="170"/>
      <c r="E70" s="326">
        <v>291000</v>
      </c>
      <c r="F70" s="320"/>
      <c r="G70" s="168">
        <v>291000</v>
      </c>
      <c r="H70" s="161">
        <v>2019</v>
      </c>
      <c r="I70" s="170"/>
      <c r="J70" s="326">
        <v>291000</v>
      </c>
      <c r="K70" s="320"/>
    </row>
    <row r="71" spans="1:11" ht="20.25" customHeight="1" thickBot="1" x14ac:dyDescent="0.3">
      <c r="A71" s="159" t="s">
        <v>583</v>
      </c>
      <c r="B71" s="170"/>
      <c r="C71" s="161"/>
      <c r="D71" s="170"/>
      <c r="E71" s="161"/>
      <c r="F71" s="403"/>
      <c r="G71" s="217">
        <v>7990</v>
      </c>
      <c r="H71" s="161"/>
      <c r="I71" s="170"/>
      <c r="J71" s="217">
        <v>7990</v>
      </c>
      <c r="K71" s="403"/>
    </row>
    <row r="72" spans="1:11" ht="20.25" customHeight="1" thickBot="1" x14ac:dyDescent="0.3">
      <c r="A72" s="159" t="s">
        <v>584</v>
      </c>
      <c r="B72" s="170"/>
      <c r="C72" s="161"/>
      <c r="D72" s="170"/>
      <c r="E72" s="161"/>
      <c r="F72" s="403"/>
      <c r="G72" s="217">
        <v>195000</v>
      </c>
      <c r="H72" s="161"/>
      <c r="I72" s="170"/>
      <c r="J72" s="217">
        <v>195000</v>
      </c>
      <c r="K72" s="403"/>
    </row>
    <row r="73" spans="1:11" ht="20.25" customHeight="1" thickBot="1" x14ac:dyDescent="0.3">
      <c r="A73" s="159" t="s">
        <v>585</v>
      </c>
      <c r="B73" s="170"/>
      <c r="C73" s="161"/>
      <c r="D73" s="170"/>
      <c r="E73" s="161"/>
      <c r="F73" s="403"/>
      <c r="G73" s="217">
        <v>88300</v>
      </c>
      <c r="H73" s="161"/>
      <c r="I73" s="170"/>
      <c r="J73" s="217">
        <v>88300</v>
      </c>
      <c r="K73" s="403"/>
    </row>
    <row r="74" spans="1:11" ht="20.25" customHeight="1" thickBot="1" x14ac:dyDescent="0.3">
      <c r="A74" s="159" t="s">
        <v>586</v>
      </c>
      <c r="B74" s="168"/>
      <c r="C74" s="161"/>
      <c r="D74" s="170"/>
      <c r="E74" s="161"/>
      <c r="F74" s="403"/>
      <c r="G74" s="217">
        <v>52000</v>
      </c>
      <c r="H74" s="161"/>
      <c r="I74" s="170"/>
      <c r="J74" s="217">
        <v>52000</v>
      </c>
      <c r="K74" s="403"/>
    </row>
    <row r="75" spans="1:11" ht="20.25" customHeight="1" thickBot="1" x14ac:dyDescent="0.3">
      <c r="A75" s="163" t="s">
        <v>435</v>
      </c>
      <c r="B75" s="171">
        <f>B69+B70</f>
        <v>376600</v>
      </c>
      <c r="C75" s="171"/>
      <c r="D75" s="171">
        <f t="shared" ref="D75:E75" si="6">D69+D70</f>
        <v>0</v>
      </c>
      <c r="E75" s="251">
        <f t="shared" si="6"/>
        <v>376600</v>
      </c>
      <c r="F75" s="313"/>
      <c r="G75" s="251">
        <f>G69+G70+G71+G72+G73+G74</f>
        <v>719890</v>
      </c>
      <c r="H75" s="171"/>
      <c r="I75" s="171">
        <f t="shared" ref="I75" si="7">I69+I70</f>
        <v>0</v>
      </c>
      <c r="J75" s="251">
        <f>J69+J70+J71+J72+J73+J74</f>
        <v>719890</v>
      </c>
      <c r="K75" s="313"/>
    </row>
    <row r="76" spans="1:11" s="177" customFormat="1" ht="20.25" customHeight="1" thickBot="1" x14ac:dyDescent="0.3">
      <c r="A76" s="175" t="s">
        <v>171</v>
      </c>
      <c r="B76" s="176">
        <f>B75+B59+B53+B46+B30+B25</f>
        <v>399314520</v>
      </c>
      <c r="C76" s="176">
        <f>C75+C59+C53+C46+C30+C25</f>
        <v>0</v>
      </c>
      <c r="D76" s="176">
        <f>D75+D59+D53+D46+D30+D25</f>
        <v>0</v>
      </c>
      <c r="E76" s="319">
        <f>E75+E59+E53+E46+E30+E25</f>
        <v>399314520</v>
      </c>
      <c r="F76" s="303">
        <f>F49+F69+F70+F75</f>
        <v>0</v>
      </c>
      <c r="G76" s="176">
        <f>G75+G59+G53+G46+G30+G25</f>
        <v>396045863</v>
      </c>
      <c r="H76" s="176">
        <f>H75+H59+H53+H46+H30+H25</f>
        <v>0</v>
      </c>
      <c r="I76" s="176">
        <f>I75+I59+I53+I46+I30+I25</f>
        <v>0</v>
      </c>
      <c r="J76" s="319" t="e">
        <f>J75+J59+J53+J46+J30+J25</f>
        <v>#REF!</v>
      </c>
      <c r="K76" s="303">
        <f>K49+K69+K70+K75</f>
        <v>0</v>
      </c>
    </row>
    <row r="77" spans="1:11" s="178" customFormat="1" ht="21" thickBot="1" x14ac:dyDescent="0.35">
      <c r="A77" s="327" t="s">
        <v>172</v>
      </c>
      <c r="B77" s="328">
        <f>B7+B13</f>
        <v>400164520</v>
      </c>
      <c r="C77" s="328">
        <f>C7+C13</f>
        <v>0</v>
      </c>
      <c r="D77" s="328">
        <f>D7+D13</f>
        <v>0</v>
      </c>
      <c r="E77" s="329">
        <f>E7+E13</f>
        <v>400164520</v>
      </c>
      <c r="F77" s="321">
        <f>SUM(F7:F36)</f>
        <v>0</v>
      </c>
      <c r="G77" s="328">
        <f>G7+G13</f>
        <v>407458882</v>
      </c>
      <c r="H77" s="328">
        <f>H7+H13</f>
        <v>0</v>
      </c>
      <c r="I77" s="328">
        <f>I7+I13</f>
        <v>0</v>
      </c>
      <c r="J77" s="329" t="e">
        <f>J7+J13</f>
        <v>#REF!</v>
      </c>
      <c r="K77" s="321">
        <f>SUM(K7:K36)</f>
        <v>0</v>
      </c>
    </row>
    <row r="84" spans="1:4" x14ac:dyDescent="0.25">
      <c r="B84" s="180"/>
      <c r="C84" s="180"/>
      <c r="D84" s="180"/>
    </row>
    <row r="85" spans="1:4" ht="15.75" x14ac:dyDescent="0.25">
      <c r="A85" s="181"/>
      <c r="B85" s="182"/>
      <c r="C85" s="183"/>
      <c r="D85" s="184"/>
    </row>
    <row r="86" spans="1:4" ht="15.75" x14ac:dyDescent="0.25">
      <c r="A86" s="181"/>
      <c r="B86" s="185"/>
      <c r="C86" s="186"/>
      <c r="D86" s="184"/>
    </row>
    <row r="87" spans="1:4" ht="15.75" x14ac:dyDescent="0.25">
      <c r="A87" s="187"/>
      <c r="B87" s="185"/>
      <c r="C87" s="186"/>
      <c r="D87" s="184"/>
    </row>
    <row r="88" spans="1:4" ht="15.75" x14ac:dyDescent="0.25">
      <c r="A88" s="181"/>
      <c r="B88" s="185"/>
      <c r="C88" s="186"/>
    </row>
    <row r="89" spans="1:4" x14ac:dyDescent="0.25">
      <c r="A89" s="188"/>
      <c r="B89" s="185"/>
      <c r="C89" s="189"/>
    </row>
    <row r="90" spans="1:4" ht="15.75" x14ac:dyDescent="0.25">
      <c r="A90" s="128"/>
      <c r="B90" s="185"/>
      <c r="C90" s="186"/>
      <c r="D90" s="184"/>
    </row>
    <row r="91" spans="1:4" ht="15.75" x14ac:dyDescent="0.25">
      <c r="A91" s="128"/>
      <c r="C91" s="184"/>
      <c r="D91" s="184"/>
    </row>
    <row r="92" spans="1:4" ht="15.75" x14ac:dyDescent="0.25">
      <c r="A92" s="128"/>
      <c r="C92" s="184"/>
      <c r="D92" s="184"/>
    </row>
  </sheetData>
  <mergeCells count="9">
    <mergeCell ref="A63:E63"/>
    <mergeCell ref="A64:E64"/>
    <mergeCell ref="A65:E65"/>
    <mergeCell ref="A34:E34"/>
    <mergeCell ref="A1:E1"/>
    <mergeCell ref="A2:E2"/>
    <mergeCell ref="A3:E3"/>
    <mergeCell ref="A32:E32"/>
    <mergeCell ref="A33:E3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82"/>
  <sheetViews>
    <sheetView topLeftCell="A7" workbookViewId="0">
      <selection activeCell="T35" sqref="T35"/>
    </sheetView>
  </sheetViews>
  <sheetFormatPr defaultRowHeight="12.75" x14ac:dyDescent="0.2"/>
  <cols>
    <col min="1" max="1" width="5.28515625" style="330" customWidth="1"/>
    <col min="2" max="7" width="3.28515625" style="330" customWidth="1"/>
    <col min="8" max="8" width="5.140625" style="330" customWidth="1"/>
    <col min="9" max="12" width="3.28515625" style="330" customWidth="1"/>
    <col min="13" max="13" width="4.28515625" style="330" customWidth="1"/>
    <col min="14" max="15" width="3.28515625" style="330" customWidth="1"/>
    <col min="16" max="16" width="4.42578125" style="330" customWidth="1"/>
    <col min="17" max="19" width="3.28515625" style="330" customWidth="1"/>
    <col min="20" max="20" width="6.28515625" style="330" customWidth="1"/>
    <col min="21" max="24" width="3.28515625" style="330" customWidth="1"/>
    <col min="25" max="25" width="6.42578125" style="330" customWidth="1"/>
    <col min="26" max="26" width="3.42578125" style="330" customWidth="1"/>
    <col min="27" max="27" width="5.140625" style="330" customWidth="1"/>
    <col min="28" max="28" width="4.42578125" style="330" customWidth="1"/>
    <col min="29" max="29" width="4.7109375" style="330" customWidth="1"/>
    <col min="30" max="30" width="4" style="330" customWidth="1"/>
    <col min="31" max="31" width="5.140625" style="330" customWidth="1"/>
    <col min="32" max="32" width="2.42578125" style="330" customWidth="1"/>
    <col min="33" max="33" width="2.85546875" style="330" customWidth="1"/>
    <col min="34" max="34" width="4.140625" style="330" customWidth="1"/>
    <col min="35" max="36" width="9.140625" style="330"/>
    <col min="37" max="37" width="8.28515625" style="330" customWidth="1"/>
    <col min="38" max="40" width="9.140625" style="330" hidden="1" customWidth="1"/>
    <col min="41" max="16384" width="9.140625" style="330"/>
  </cols>
  <sheetData>
    <row r="1" spans="1:40" ht="12.75" customHeight="1" x14ac:dyDescent="0.2">
      <c r="B1" s="529" t="s">
        <v>563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</row>
    <row r="2" spans="1:40" ht="12.75" customHeight="1" x14ac:dyDescent="0.2"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</row>
    <row r="3" spans="1:40" s="331" customFormat="1" ht="15.75" x14ac:dyDescent="0.25">
      <c r="B3" s="529" t="s">
        <v>590</v>
      </c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</row>
    <row r="4" spans="1:40" s="331" customFormat="1" ht="15.75" x14ac:dyDescent="0.25"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  <c r="AE4" s="529"/>
      <c r="AF4" s="529"/>
      <c r="AG4" s="529"/>
      <c r="AH4" s="529"/>
    </row>
    <row r="5" spans="1:40" s="331" customFormat="1" ht="15.75" x14ac:dyDescent="0.25">
      <c r="B5" s="384"/>
      <c r="C5" s="384"/>
      <c r="D5" s="384"/>
      <c r="E5" s="384"/>
      <c r="F5" s="384"/>
      <c r="G5" s="529" t="s">
        <v>1</v>
      </c>
      <c r="H5" s="530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</row>
    <row r="6" spans="1:40" ht="15.75" x14ac:dyDescent="0.2">
      <c r="B6" s="531" t="s">
        <v>174</v>
      </c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1"/>
      <c r="AG6" s="531"/>
      <c r="AH6" s="531"/>
    </row>
    <row r="7" spans="1:40" ht="16.5" thickBot="1" x14ac:dyDescent="0.25"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5"/>
      <c r="AH7" s="385"/>
    </row>
    <row r="8" spans="1:40" ht="15.75" customHeight="1" thickBot="1" x14ac:dyDescent="0.25">
      <c r="V8" s="532" t="s">
        <v>447</v>
      </c>
      <c r="W8" s="533"/>
      <c r="X8" s="533"/>
      <c r="Y8" s="533"/>
      <c r="Z8" s="533"/>
      <c r="AA8" s="533"/>
      <c r="AB8" s="533"/>
      <c r="AC8" s="533"/>
      <c r="AD8" s="534"/>
      <c r="AE8" s="532" t="s">
        <v>175</v>
      </c>
      <c r="AF8" s="533"/>
      <c r="AG8" s="533"/>
      <c r="AH8" s="533"/>
      <c r="AI8" s="533"/>
      <c r="AJ8" s="532"/>
      <c r="AK8" s="534"/>
      <c r="AL8" s="657"/>
      <c r="AM8" s="657"/>
      <c r="AN8" s="658"/>
    </row>
    <row r="9" spans="1:40" ht="12.75" customHeight="1" x14ac:dyDescent="0.2">
      <c r="A9" s="513"/>
      <c r="B9" s="535" t="s">
        <v>5</v>
      </c>
      <c r="C9" s="535"/>
      <c r="D9" s="535"/>
      <c r="E9" s="535"/>
      <c r="F9" s="535"/>
      <c r="G9" s="535"/>
      <c r="H9" s="535"/>
      <c r="I9" s="535"/>
      <c r="J9" s="535"/>
      <c r="K9" s="535"/>
      <c r="L9" s="535"/>
      <c r="M9" s="535"/>
      <c r="N9" s="535"/>
      <c r="O9" s="535"/>
      <c r="P9" s="535"/>
      <c r="Q9" s="535"/>
      <c r="R9" s="535"/>
      <c r="S9" s="535"/>
      <c r="T9" s="535"/>
      <c r="U9" s="535" t="s">
        <v>176</v>
      </c>
      <c r="V9" s="536"/>
      <c r="W9" s="536"/>
      <c r="X9" s="536"/>
      <c r="Y9" s="536"/>
      <c r="Z9" s="536" t="s">
        <v>177</v>
      </c>
      <c r="AA9" s="536"/>
      <c r="AB9" s="536"/>
      <c r="AC9" s="536"/>
      <c r="AD9" s="628"/>
      <c r="AE9" s="632" t="s">
        <v>587</v>
      </c>
      <c r="AF9" s="633"/>
      <c r="AG9" s="633"/>
      <c r="AH9" s="633"/>
      <c r="AI9" s="652"/>
      <c r="AJ9" s="632" t="s">
        <v>177</v>
      </c>
      <c r="AK9" s="633"/>
      <c r="AL9" s="633"/>
      <c r="AM9" s="633"/>
      <c r="AN9" s="634"/>
    </row>
    <row r="10" spans="1:40" ht="12.75" customHeight="1" x14ac:dyDescent="0.2">
      <c r="A10" s="513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535"/>
      <c r="V10" s="535"/>
      <c r="W10" s="535"/>
      <c r="X10" s="535"/>
      <c r="Y10" s="535"/>
      <c r="Z10" s="535"/>
      <c r="AA10" s="535"/>
      <c r="AB10" s="535"/>
      <c r="AC10" s="535"/>
      <c r="AD10" s="630"/>
      <c r="AE10" s="635"/>
      <c r="AF10" s="535"/>
      <c r="AG10" s="535"/>
      <c r="AH10" s="535"/>
      <c r="AI10" s="630"/>
      <c r="AJ10" s="635"/>
      <c r="AK10" s="535"/>
      <c r="AL10" s="535"/>
      <c r="AM10" s="535"/>
      <c r="AN10" s="636"/>
    </row>
    <row r="11" spans="1:40" ht="12.75" customHeight="1" x14ac:dyDescent="0.2">
      <c r="A11" s="333"/>
      <c r="B11" s="522" t="s">
        <v>178</v>
      </c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512"/>
      <c r="V11" s="512"/>
      <c r="W11" s="512"/>
      <c r="X11" s="512"/>
      <c r="Y11" s="512"/>
      <c r="Z11" s="513"/>
      <c r="AA11" s="513"/>
      <c r="AB11" s="513"/>
      <c r="AC11" s="513"/>
      <c r="AD11" s="627"/>
      <c r="AE11" s="637"/>
      <c r="AF11" s="512"/>
      <c r="AG11" s="512"/>
      <c r="AH11" s="512"/>
      <c r="AI11" s="653"/>
      <c r="AJ11" s="659"/>
      <c r="AK11" s="513"/>
      <c r="AL11" s="513"/>
      <c r="AM11" s="513"/>
      <c r="AN11" s="638"/>
    </row>
    <row r="12" spans="1:40" ht="12.75" customHeight="1" x14ac:dyDescent="0.2">
      <c r="A12" s="333"/>
      <c r="B12" s="516" t="s">
        <v>179</v>
      </c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8">
        <f>12*2500*12</f>
        <v>360000</v>
      </c>
      <c r="V12" s="518"/>
      <c r="W12" s="518"/>
      <c r="X12" s="518"/>
      <c r="Y12" s="518"/>
      <c r="Z12" s="513" t="s">
        <v>180</v>
      </c>
      <c r="AA12" s="513"/>
      <c r="AB12" s="513"/>
      <c r="AC12" s="513"/>
      <c r="AD12" s="627"/>
      <c r="AE12" s="639">
        <f>12*2500*12</f>
        <v>360000</v>
      </c>
      <c r="AF12" s="518"/>
      <c r="AG12" s="518"/>
      <c r="AH12" s="518"/>
      <c r="AI12" s="654"/>
      <c r="AJ12" s="659" t="s">
        <v>180</v>
      </c>
      <c r="AK12" s="513"/>
      <c r="AL12" s="513"/>
      <c r="AM12" s="513"/>
      <c r="AN12" s="638"/>
    </row>
    <row r="13" spans="1:40" ht="29.25" customHeight="1" x14ac:dyDescent="0.2">
      <c r="A13" s="333"/>
      <c r="B13" s="511" t="s">
        <v>562</v>
      </c>
      <c r="C13" s="511"/>
      <c r="D13" s="511"/>
      <c r="E13" s="511"/>
      <c r="F13" s="511"/>
      <c r="G13" s="511"/>
      <c r="H13" s="511"/>
      <c r="I13" s="51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510">
        <v>2580723</v>
      </c>
      <c r="V13" s="510"/>
      <c r="W13" s="510"/>
      <c r="X13" s="510"/>
      <c r="Y13" s="510"/>
      <c r="Z13" s="513" t="s">
        <v>181</v>
      </c>
      <c r="AA13" s="513"/>
      <c r="AB13" s="513"/>
      <c r="AC13" s="513"/>
      <c r="AD13" s="627"/>
      <c r="AE13" s="640">
        <v>2580723</v>
      </c>
      <c r="AF13" s="510"/>
      <c r="AG13" s="510"/>
      <c r="AH13" s="510"/>
      <c r="AI13" s="526"/>
      <c r="AJ13" s="659" t="s">
        <v>181</v>
      </c>
      <c r="AK13" s="513"/>
      <c r="AL13" s="513"/>
      <c r="AM13" s="513"/>
      <c r="AN13" s="638"/>
    </row>
    <row r="14" spans="1:40" x14ac:dyDescent="0.2">
      <c r="A14" s="333"/>
      <c r="B14" s="517" t="s">
        <v>448</v>
      </c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7"/>
      <c r="S14" s="517"/>
      <c r="T14" s="517"/>
      <c r="U14" s="518">
        <f>25*1842</f>
        <v>46050</v>
      </c>
      <c r="V14" s="518"/>
      <c r="W14" s="518"/>
      <c r="X14" s="518"/>
      <c r="Y14" s="518"/>
      <c r="Z14" s="513" t="s">
        <v>182</v>
      </c>
      <c r="AA14" s="513"/>
      <c r="AB14" s="513"/>
      <c r="AC14" s="513"/>
      <c r="AD14" s="627"/>
      <c r="AE14" s="639">
        <f>25*1842</f>
        <v>46050</v>
      </c>
      <c r="AF14" s="518"/>
      <c r="AG14" s="518"/>
      <c r="AH14" s="518"/>
      <c r="AI14" s="654"/>
      <c r="AJ14" s="659" t="s">
        <v>182</v>
      </c>
      <c r="AK14" s="513"/>
      <c r="AL14" s="513"/>
      <c r="AM14" s="513"/>
      <c r="AN14" s="638"/>
    </row>
    <row r="15" spans="1:40" ht="12.75" customHeight="1" x14ac:dyDescent="0.2">
      <c r="A15" s="333"/>
      <c r="B15" s="511" t="s">
        <v>449</v>
      </c>
      <c r="C15" s="511"/>
      <c r="D15" s="511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8">
        <v>150000</v>
      </c>
      <c r="V15" s="518"/>
      <c r="W15" s="518"/>
      <c r="X15" s="518"/>
      <c r="Y15" s="518"/>
      <c r="Z15" s="513" t="s">
        <v>181</v>
      </c>
      <c r="AA15" s="513"/>
      <c r="AB15" s="513"/>
      <c r="AC15" s="513"/>
      <c r="AD15" s="627"/>
      <c r="AE15" s="639">
        <v>150000</v>
      </c>
      <c r="AF15" s="518"/>
      <c r="AG15" s="518"/>
      <c r="AH15" s="518"/>
      <c r="AI15" s="654"/>
      <c r="AJ15" s="659" t="s">
        <v>181</v>
      </c>
      <c r="AK15" s="513"/>
      <c r="AL15" s="513"/>
      <c r="AM15" s="513"/>
      <c r="AN15" s="638"/>
    </row>
    <row r="16" spans="1:40" ht="12.75" customHeight="1" x14ac:dyDescent="0.2">
      <c r="A16" s="333"/>
      <c r="B16" s="511" t="s">
        <v>450</v>
      </c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0">
        <f>200*1842</f>
        <v>368400</v>
      </c>
      <c r="V16" s="510"/>
      <c r="W16" s="510"/>
      <c r="X16" s="510"/>
      <c r="Y16" s="510"/>
      <c r="Z16" s="513" t="s">
        <v>181</v>
      </c>
      <c r="AA16" s="513"/>
      <c r="AB16" s="513"/>
      <c r="AC16" s="513"/>
      <c r="AD16" s="627"/>
      <c r="AE16" s="640">
        <f>200*1842</f>
        <v>368400</v>
      </c>
      <c r="AF16" s="510"/>
      <c r="AG16" s="510"/>
      <c r="AH16" s="510"/>
      <c r="AI16" s="526"/>
      <c r="AJ16" s="659" t="s">
        <v>181</v>
      </c>
      <c r="AK16" s="513"/>
      <c r="AL16" s="513"/>
      <c r="AM16" s="513"/>
      <c r="AN16" s="638"/>
    </row>
    <row r="17" spans="1:40" ht="12.75" customHeight="1" x14ac:dyDescent="0.2">
      <c r="A17" s="333"/>
      <c r="B17" s="523" t="s">
        <v>451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4"/>
      <c r="Q17" s="524"/>
      <c r="R17" s="524"/>
      <c r="S17" s="524"/>
      <c r="T17" s="525"/>
      <c r="U17" s="526">
        <f>1842*80*12</f>
        <v>1768320</v>
      </c>
      <c r="V17" s="527"/>
      <c r="W17" s="527"/>
      <c r="X17" s="527"/>
      <c r="Y17" s="528"/>
      <c r="Z17" s="386"/>
      <c r="AA17" s="386"/>
      <c r="AB17" s="386"/>
      <c r="AC17" s="386"/>
      <c r="AD17" s="629"/>
      <c r="AE17" s="641">
        <v>0</v>
      </c>
      <c r="AF17" s="527"/>
      <c r="AG17" s="527"/>
      <c r="AH17" s="527"/>
      <c r="AI17" s="527"/>
      <c r="AJ17" s="660"/>
      <c r="AK17" s="405"/>
      <c r="AL17" s="405"/>
      <c r="AM17" s="405"/>
      <c r="AN17" s="642"/>
    </row>
    <row r="18" spans="1:40" ht="23.25" customHeight="1" x14ac:dyDescent="0.2">
      <c r="A18" s="333"/>
      <c r="B18" s="511" t="s">
        <v>452</v>
      </c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0">
        <f>60*1842</f>
        <v>110520</v>
      </c>
      <c r="V18" s="510"/>
      <c r="W18" s="510"/>
      <c r="X18" s="510"/>
      <c r="Y18" s="510"/>
      <c r="Z18" s="513" t="s">
        <v>181</v>
      </c>
      <c r="AA18" s="513"/>
      <c r="AB18" s="513"/>
      <c r="AC18" s="513"/>
      <c r="AD18" s="627"/>
      <c r="AE18" s="640">
        <f>60*1842</f>
        <v>110520</v>
      </c>
      <c r="AF18" s="510"/>
      <c r="AG18" s="510"/>
      <c r="AH18" s="510"/>
      <c r="AI18" s="526"/>
      <c r="AJ18" s="659" t="s">
        <v>181</v>
      </c>
      <c r="AK18" s="513"/>
      <c r="AL18" s="513"/>
      <c r="AM18" s="513"/>
      <c r="AN18" s="638"/>
    </row>
    <row r="19" spans="1:40" ht="23.25" customHeight="1" x14ac:dyDescent="0.2">
      <c r="A19" s="333"/>
      <c r="B19" s="516" t="s">
        <v>453</v>
      </c>
      <c r="C19" s="516"/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6"/>
      <c r="S19" s="516"/>
      <c r="T19" s="516"/>
      <c r="U19" s="510">
        <v>397149</v>
      </c>
      <c r="V19" s="510"/>
      <c r="W19" s="510"/>
      <c r="X19" s="510"/>
      <c r="Y19" s="510"/>
      <c r="Z19" s="513" t="s">
        <v>181</v>
      </c>
      <c r="AA19" s="513"/>
      <c r="AB19" s="513"/>
      <c r="AC19" s="513"/>
      <c r="AD19" s="627"/>
      <c r="AE19" s="640">
        <v>397149</v>
      </c>
      <c r="AF19" s="510"/>
      <c r="AG19" s="510"/>
      <c r="AH19" s="510"/>
      <c r="AI19" s="526"/>
      <c r="AJ19" s="659" t="s">
        <v>181</v>
      </c>
      <c r="AK19" s="513"/>
      <c r="AL19" s="513"/>
      <c r="AM19" s="513"/>
      <c r="AN19" s="638"/>
    </row>
    <row r="20" spans="1:40" ht="19.5" customHeight="1" x14ac:dyDescent="0.2">
      <c r="A20" s="333"/>
      <c r="B20" s="515" t="s">
        <v>183</v>
      </c>
      <c r="C20" s="515"/>
      <c r="D20" s="515"/>
      <c r="E20" s="515"/>
      <c r="F20" s="515"/>
      <c r="G20" s="515"/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4">
        <f>SUM(U12:Y19)</f>
        <v>5781162</v>
      </c>
      <c r="V20" s="514"/>
      <c r="W20" s="514"/>
      <c r="X20" s="514"/>
      <c r="Y20" s="514"/>
      <c r="Z20" s="513"/>
      <c r="AA20" s="513"/>
      <c r="AB20" s="513"/>
      <c r="AC20" s="513"/>
      <c r="AD20" s="627"/>
      <c r="AE20" s="643">
        <f>SUM(AE12:AI19)</f>
        <v>4012842</v>
      </c>
      <c r="AF20" s="514"/>
      <c r="AG20" s="514"/>
      <c r="AH20" s="514"/>
      <c r="AI20" s="655"/>
      <c r="AJ20" s="659"/>
      <c r="AK20" s="513"/>
      <c r="AL20" s="513"/>
      <c r="AM20" s="513"/>
      <c r="AN20" s="638"/>
    </row>
    <row r="21" spans="1:40" ht="19.5" customHeight="1" x14ac:dyDescent="0.2">
      <c r="A21" s="333"/>
      <c r="B21" s="520"/>
      <c r="C21" s="520"/>
      <c r="D21" s="520"/>
      <c r="E21" s="520"/>
      <c r="F21" s="520"/>
      <c r="G21" s="520"/>
      <c r="H21" s="520"/>
      <c r="I21" s="520"/>
      <c r="J21" s="520"/>
      <c r="K21" s="520"/>
      <c r="L21" s="520"/>
      <c r="M21" s="520"/>
      <c r="N21" s="520"/>
      <c r="O21" s="520"/>
      <c r="P21" s="520"/>
      <c r="Q21" s="520"/>
      <c r="R21" s="520"/>
      <c r="S21" s="520"/>
      <c r="T21" s="520"/>
      <c r="U21" s="521"/>
      <c r="V21" s="521"/>
      <c r="W21" s="521"/>
      <c r="X21" s="521"/>
      <c r="Y21" s="521"/>
      <c r="Z21" s="521"/>
      <c r="AA21" s="521"/>
      <c r="AB21" s="521"/>
      <c r="AC21" s="521"/>
      <c r="AD21" s="631"/>
      <c r="AE21" s="644"/>
      <c r="AF21" s="521"/>
      <c r="AG21" s="521"/>
      <c r="AH21" s="521"/>
      <c r="AI21" s="631"/>
      <c r="AJ21" s="644"/>
      <c r="AK21" s="521"/>
      <c r="AL21" s="521"/>
      <c r="AM21" s="521"/>
      <c r="AN21" s="645"/>
    </row>
    <row r="22" spans="1:40" ht="19.5" customHeight="1" x14ac:dyDescent="0.2">
      <c r="A22" s="333"/>
      <c r="B22" s="522" t="s">
        <v>184</v>
      </c>
      <c r="C22" s="522"/>
      <c r="D22" s="522"/>
      <c r="E22" s="522"/>
      <c r="F22" s="522"/>
      <c r="G22" s="522"/>
      <c r="H22" s="522"/>
      <c r="I22" s="522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12"/>
      <c r="V22" s="512"/>
      <c r="W22" s="512"/>
      <c r="X22" s="512"/>
      <c r="Y22" s="512"/>
      <c r="Z22" s="513"/>
      <c r="AA22" s="513"/>
      <c r="AB22" s="513"/>
      <c r="AC22" s="513"/>
      <c r="AD22" s="627"/>
      <c r="AE22" s="637"/>
      <c r="AF22" s="512"/>
      <c r="AG22" s="512"/>
      <c r="AH22" s="512"/>
      <c r="AI22" s="653"/>
      <c r="AJ22" s="659"/>
      <c r="AK22" s="513"/>
      <c r="AL22" s="513"/>
      <c r="AM22" s="513"/>
      <c r="AN22" s="638"/>
    </row>
    <row r="23" spans="1:40" ht="19.5" customHeight="1" x14ac:dyDescent="0.2">
      <c r="A23" s="333"/>
      <c r="B23" s="517" t="s">
        <v>185</v>
      </c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  <c r="S23" s="519"/>
      <c r="T23" s="519"/>
      <c r="U23" s="510">
        <v>500000</v>
      </c>
      <c r="V23" s="510"/>
      <c r="W23" s="510"/>
      <c r="X23" s="510"/>
      <c r="Y23" s="510"/>
      <c r="Z23" s="513"/>
      <c r="AA23" s="513"/>
      <c r="AB23" s="513"/>
      <c r="AC23" s="513"/>
      <c r="AD23" s="627"/>
      <c r="AE23" s="640">
        <v>500000</v>
      </c>
      <c r="AF23" s="510"/>
      <c r="AG23" s="510"/>
      <c r="AH23" s="510"/>
      <c r="AI23" s="526"/>
      <c r="AJ23" s="659"/>
      <c r="AK23" s="513"/>
      <c r="AL23" s="513"/>
      <c r="AM23" s="513"/>
      <c r="AN23" s="638"/>
    </row>
    <row r="24" spans="1:40" ht="19.5" customHeight="1" x14ac:dyDescent="0.2">
      <c r="A24" s="333"/>
      <c r="B24" s="517" t="s">
        <v>186</v>
      </c>
      <c r="C24" s="517"/>
      <c r="D24" s="517"/>
      <c r="E24" s="517"/>
      <c r="F24" s="517"/>
      <c r="G24" s="517"/>
      <c r="H24" s="517"/>
      <c r="I24" s="517"/>
      <c r="J24" s="517"/>
      <c r="K24" s="517"/>
      <c r="L24" s="517"/>
      <c r="M24" s="517"/>
      <c r="N24" s="517"/>
      <c r="O24" s="517"/>
      <c r="P24" s="517"/>
      <c r="Q24" s="517"/>
      <c r="R24" s="517"/>
      <c r="S24" s="517"/>
      <c r="T24" s="517"/>
      <c r="U24" s="512">
        <v>1700000</v>
      </c>
      <c r="V24" s="512"/>
      <c r="W24" s="512"/>
      <c r="X24" s="512"/>
      <c r="Y24" s="512"/>
      <c r="Z24" s="513" t="s">
        <v>187</v>
      </c>
      <c r="AA24" s="513"/>
      <c r="AB24" s="513"/>
      <c r="AC24" s="513"/>
      <c r="AD24" s="627"/>
      <c r="AE24" s="637">
        <v>1700000</v>
      </c>
      <c r="AF24" s="512"/>
      <c r="AG24" s="512"/>
      <c r="AH24" s="512"/>
      <c r="AI24" s="653"/>
      <c r="AJ24" s="659" t="s">
        <v>187</v>
      </c>
      <c r="AK24" s="513"/>
      <c r="AL24" s="513"/>
      <c r="AM24" s="513"/>
      <c r="AN24" s="638"/>
    </row>
    <row r="25" spans="1:40" ht="19.5" customHeight="1" x14ac:dyDescent="0.2">
      <c r="A25" s="333"/>
      <c r="B25" s="517" t="s">
        <v>454</v>
      </c>
      <c r="C25" s="517"/>
      <c r="D25" s="517"/>
      <c r="E25" s="517"/>
      <c r="F25" s="517"/>
      <c r="G25" s="517"/>
      <c r="H25" s="517"/>
      <c r="I25" s="517"/>
      <c r="J25" s="517"/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2">
        <v>50000</v>
      </c>
      <c r="V25" s="512"/>
      <c r="W25" s="512"/>
      <c r="X25" s="512"/>
      <c r="Y25" s="512"/>
      <c r="Z25" s="513" t="s">
        <v>188</v>
      </c>
      <c r="AA25" s="513"/>
      <c r="AB25" s="513"/>
      <c r="AC25" s="513"/>
      <c r="AD25" s="627"/>
      <c r="AE25" s="637">
        <v>50000</v>
      </c>
      <c r="AF25" s="512"/>
      <c r="AG25" s="512"/>
      <c r="AH25" s="512"/>
      <c r="AI25" s="653"/>
      <c r="AJ25" s="659" t="s">
        <v>188</v>
      </c>
      <c r="AK25" s="513"/>
      <c r="AL25" s="513"/>
      <c r="AM25" s="513"/>
      <c r="AN25" s="638"/>
    </row>
    <row r="26" spans="1:40" ht="19.5" customHeight="1" x14ac:dyDescent="0.2">
      <c r="A26" s="333"/>
      <c r="B26" s="517" t="s">
        <v>189</v>
      </c>
      <c r="C26" s="517"/>
      <c r="D26" s="517"/>
      <c r="E26" s="517"/>
      <c r="F26" s="517"/>
      <c r="G26" s="517"/>
      <c r="H26" s="517"/>
      <c r="I26" s="517"/>
      <c r="J26" s="517"/>
      <c r="K26" s="517"/>
      <c r="L26" s="517"/>
      <c r="M26" s="517"/>
      <c r="N26" s="517"/>
      <c r="O26" s="517"/>
      <c r="P26" s="517"/>
      <c r="Q26" s="517"/>
      <c r="R26" s="517"/>
      <c r="S26" s="517"/>
      <c r="T26" s="517"/>
      <c r="U26" s="512">
        <v>30000</v>
      </c>
      <c r="V26" s="512"/>
      <c r="W26" s="512"/>
      <c r="X26" s="512"/>
      <c r="Y26" s="512"/>
      <c r="Z26" s="513" t="s">
        <v>188</v>
      </c>
      <c r="AA26" s="513"/>
      <c r="AB26" s="513"/>
      <c r="AC26" s="513"/>
      <c r="AD26" s="627"/>
      <c r="AE26" s="637">
        <v>30000</v>
      </c>
      <c r="AF26" s="512"/>
      <c r="AG26" s="512"/>
      <c r="AH26" s="512"/>
      <c r="AI26" s="653"/>
      <c r="AJ26" s="659" t="s">
        <v>188</v>
      </c>
      <c r="AK26" s="513"/>
      <c r="AL26" s="513"/>
      <c r="AM26" s="513"/>
      <c r="AN26" s="638"/>
    </row>
    <row r="27" spans="1:40" ht="19.5" customHeight="1" x14ac:dyDescent="0.2">
      <c r="A27" s="333"/>
      <c r="B27" s="517" t="s">
        <v>588</v>
      </c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  <c r="P27" s="517"/>
      <c r="Q27" s="517"/>
      <c r="R27" s="517"/>
      <c r="S27" s="517"/>
      <c r="T27" s="650"/>
      <c r="U27" s="512"/>
      <c r="V27" s="512"/>
      <c r="W27" s="512"/>
      <c r="X27" s="512"/>
      <c r="Y27" s="512"/>
      <c r="Z27" s="513"/>
      <c r="AA27" s="513"/>
      <c r="AB27" s="513"/>
      <c r="AC27" s="513"/>
      <c r="AD27" s="627"/>
      <c r="AE27" s="637">
        <v>50000</v>
      </c>
      <c r="AF27" s="512"/>
      <c r="AG27" s="512"/>
      <c r="AH27" s="512"/>
      <c r="AI27" s="653"/>
      <c r="AJ27" s="659" t="s">
        <v>188</v>
      </c>
      <c r="AK27" s="513"/>
      <c r="AL27" s="513"/>
      <c r="AM27" s="513"/>
      <c r="AN27" s="638"/>
    </row>
    <row r="28" spans="1:40" ht="19.5" customHeight="1" x14ac:dyDescent="0.2">
      <c r="A28" s="333"/>
      <c r="B28" s="517" t="s">
        <v>455</v>
      </c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M28" s="517"/>
      <c r="N28" s="517"/>
      <c r="O28" s="517"/>
      <c r="P28" s="517"/>
      <c r="Q28" s="517"/>
      <c r="R28" s="517"/>
      <c r="S28" s="517"/>
      <c r="T28" s="517"/>
      <c r="U28" s="518">
        <f>8400*12</f>
        <v>100800</v>
      </c>
      <c r="V28" s="518"/>
      <c r="W28" s="518"/>
      <c r="X28" s="518"/>
      <c r="Y28" s="518"/>
      <c r="Z28" s="513" t="s">
        <v>190</v>
      </c>
      <c r="AA28" s="513"/>
      <c r="AB28" s="513"/>
      <c r="AC28" s="513"/>
      <c r="AD28" s="627"/>
      <c r="AE28" s="639">
        <f>8400*12</f>
        <v>100800</v>
      </c>
      <c r="AF28" s="518"/>
      <c r="AG28" s="518"/>
      <c r="AH28" s="518"/>
      <c r="AI28" s="654"/>
      <c r="AJ28" s="659" t="s">
        <v>190</v>
      </c>
      <c r="AK28" s="513"/>
      <c r="AL28" s="513"/>
      <c r="AM28" s="513"/>
      <c r="AN28" s="638"/>
    </row>
    <row r="29" spans="1:40" ht="19.5" customHeight="1" x14ac:dyDescent="0.2">
      <c r="A29" s="333"/>
      <c r="B29" s="511" t="s">
        <v>589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651"/>
      <c r="U29" s="512"/>
      <c r="V29" s="512"/>
      <c r="W29" s="512"/>
      <c r="X29" s="512"/>
      <c r="Y29" s="512"/>
      <c r="Z29" s="513"/>
      <c r="AA29" s="513"/>
      <c r="AB29" s="513"/>
      <c r="AC29" s="513"/>
      <c r="AD29" s="627"/>
      <c r="AE29" s="637">
        <v>50000</v>
      </c>
      <c r="AF29" s="512"/>
      <c r="AG29" s="512"/>
      <c r="AH29" s="512"/>
      <c r="AI29" s="653"/>
      <c r="AJ29" s="659" t="s">
        <v>188</v>
      </c>
      <c r="AK29" s="513"/>
      <c r="AL29" s="513"/>
      <c r="AM29" s="513"/>
      <c r="AN29" s="638"/>
    </row>
    <row r="30" spans="1:40" ht="19.5" customHeight="1" x14ac:dyDescent="0.2">
      <c r="A30" s="333"/>
      <c r="B30" s="515" t="s">
        <v>191</v>
      </c>
      <c r="C30" s="515"/>
      <c r="D30" s="515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4">
        <f>SUM(U23:Y29)</f>
        <v>2380800</v>
      </c>
      <c r="V30" s="514"/>
      <c r="W30" s="514"/>
      <c r="X30" s="514"/>
      <c r="Y30" s="514"/>
      <c r="Z30" s="513"/>
      <c r="AA30" s="513"/>
      <c r="AB30" s="513"/>
      <c r="AC30" s="513"/>
      <c r="AD30" s="627"/>
      <c r="AE30" s="643">
        <f>SUM(AE23:AI29)</f>
        <v>2480800</v>
      </c>
      <c r="AF30" s="514"/>
      <c r="AG30" s="514"/>
      <c r="AH30" s="514"/>
      <c r="AI30" s="655"/>
      <c r="AJ30" s="659"/>
      <c r="AK30" s="513"/>
      <c r="AL30" s="513"/>
      <c r="AM30" s="513"/>
      <c r="AN30" s="638"/>
    </row>
    <row r="31" spans="1:40" ht="19.5" customHeight="1" x14ac:dyDescent="0.2">
      <c r="A31" s="333"/>
      <c r="B31" s="515" t="s">
        <v>192</v>
      </c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4">
        <f>+U30+U20</f>
        <v>8161962</v>
      </c>
      <c r="V31" s="514"/>
      <c r="W31" s="514"/>
      <c r="X31" s="514"/>
      <c r="Y31" s="514"/>
      <c r="Z31" s="513"/>
      <c r="AA31" s="513"/>
      <c r="AB31" s="513"/>
      <c r="AC31" s="513"/>
      <c r="AD31" s="627"/>
      <c r="AE31" s="643">
        <f>+AE30+AE20</f>
        <v>6493642</v>
      </c>
      <c r="AF31" s="514"/>
      <c r="AG31" s="514"/>
      <c r="AH31" s="514"/>
      <c r="AI31" s="655"/>
      <c r="AJ31" s="659"/>
      <c r="AK31" s="513"/>
      <c r="AL31" s="513"/>
      <c r="AM31" s="513"/>
      <c r="AN31" s="638"/>
    </row>
    <row r="32" spans="1:40" ht="19.5" customHeight="1" x14ac:dyDescent="0.2">
      <c r="A32" s="333"/>
      <c r="B32" s="511"/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2"/>
      <c r="V32" s="512"/>
      <c r="W32" s="512"/>
      <c r="X32" s="512"/>
      <c r="Y32" s="512"/>
      <c r="Z32" s="513" t="s">
        <v>193</v>
      </c>
      <c r="AA32" s="513"/>
      <c r="AB32" s="513"/>
      <c r="AC32" s="513"/>
      <c r="AD32" s="627"/>
      <c r="AE32" s="637"/>
      <c r="AF32" s="512"/>
      <c r="AG32" s="512"/>
      <c r="AH32" s="512"/>
      <c r="AI32" s="653"/>
      <c r="AJ32" s="659" t="s">
        <v>193</v>
      </c>
      <c r="AK32" s="513"/>
      <c r="AL32" s="513"/>
      <c r="AM32" s="513"/>
      <c r="AN32" s="638"/>
    </row>
    <row r="33" spans="1:40" ht="19.5" customHeight="1" x14ac:dyDescent="0.2">
      <c r="A33" s="333"/>
      <c r="B33" s="511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2"/>
      <c r="V33" s="512"/>
      <c r="W33" s="512"/>
      <c r="X33" s="512"/>
      <c r="Y33" s="512"/>
      <c r="Z33" s="513" t="s">
        <v>194</v>
      </c>
      <c r="AA33" s="513"/>
      <c r="AB33" s="513"/>
      <c r="AC33" s="513"/>
      <c r="AD33" s="627"/>
      <c r="AE33" s="637"/>
      <c r="AF33" s="512"/>
      <c r="AG33" s="512"/>
      <c r="AH33" s="512"/>
      <c r="AI33" s="653"/>
      <c r="AJ33" s="659" t="s">
        <v>194</v>
      </c>
      <c r="AK33" s="513"/>
      <c r="AL33" s="513"/>
      <c r="AM33" s="513"/>
      <c r="AN33" s="638"/>
    </row>
    <row r="34" spans="1:40" ht="19.5" customHeight="1" thickBot="1" x14ac:dyDescent="0.25">
      <c r="A34" s="333"/>
      <c r="B34" s="515" t="s">
        <v>195</v>
      </c>
      <c r="C34" s="515"/>
      <c r="D34" s="515"/>
      <c r="E34" s="515"/>
      <c r="F34" s="515"/>
      <c r="G34" s="515"/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4">
        <f>+U32+U33</f>
        <v>0</v>
      </c>
      <c r="V34" s="514"/>
      <c r="W34" s="514"/>
      <c r="X34" s="514"/>
      <c r="Y34" s="514"/>
      <c r="Z34" s="513"/>
      <c r="AA34" s="513"/>
      <c r="AB34" s="513"/>
      <c r="AC34" s="513"/>
      <c r="AD34" s="627"/>
      <c r="AE34" s="646">
        <f>+AE32+AE33</f>
        <v>0</v>
      </c>
      <c r="AF34" s="647"/>
      <c r="AG34" s="647"/>
      <c r="AH34" s="647"/>
      <c r="AI34" s="656"/>
      <c r="AJ34" s="661"/>
      <c r="AK34" s="648"/>
      <c r="AL34" s="648"/>
      <c r="AM34" s="648"/>
      <c r="AN34" s="649"/>
    </row>
    <row r="35" spans="1:40" ht="21.95" customHeight="1" x14ac:dyDescent="0.2">
      <c r="AK35" s="334"/>
    </row>
    <row r="36" spans="1:40" ht="21.95" customHeight="1" x14ac:dyDescent="0.2"/>
    <row r="37" spans="1:40" ht="21.95" customHeight="1" x14ac:dyDescent="0.2"/>
    <row r="38" spans="1:40" ht="21.95" customHeight="1" x14ac:dyDescent="0.2"/>
    <row r="39" spans="1:40" ht="21.95" customHeight="1" x14ac:dyDescent="0.2"/>
    <row r="40" spans="1:40" ht="21.95" customHeight="1" x14ac:dyDescent="0.2"/>
    <row r="41" spans="1:40" ht="21.95" customHeight="1" x14ac:dyDescent="0.2"/>
    <row r="42" spans="1:40" ht="21.95" customHeight="1" x14ac:dyDescent="0.2"/>
    <row r="43" spans="1:40" ht="21.95" customHeight="1" x14ac:dyDescent="0.2"/>
    <row r="44" spans="1:40" ht="21.95" customHeight="1" x14ac:dyDescent="0.2"/>
    <row r="45" spans="1:40" ht="21.95" customHeight="1" x14ac:dyDescent="0.2"/>
    <row r="46" spans="1:40" ht="21.95" customHeight="1" x14ac:dyDescent="0.2"/>
    <row r="47" spans="1:40" ht="21.95" customHeight="1" x14ac:dyDescent="0.2"/>
    <row r="48" spans="1:40" ht="21.95" customHeight="1" x14ac:dyDescent="0.2"/>
    <row r="100" spans="2:5" x14ac:dyDescent="0.2">
      <c r="B100" s="335"/>
      <c r="C100" s="335"/>
      <c r="D100" s="335"/>
      <c r="E100" s="335"/>
    </row>
    <row r="101" spans="2:5" x14ac:dyDescent="0.2">
      <c r="B101" s="335"/>
      <c r="C101" s="335"/>
      <c r="D101" s="335"/>
      <c r="E101" s="335"/>
    </row>
    <row r="102" spans="2:5" x14ac:dyDescent="0.2">
      <c r="B102" s="335"/>
      <c r="C102" s="335"/>
      <c r="D102" s="335"/>
      <c r="E102" s="335"/>
    </row>
    <row r="103" spans="2:5" x14ac:dyDescent="0.2">
      <c r="B103" s="335"/>
      <c r="C103" s="335"/>
      <c r="D103" s="335"/>
      <c r="E103" s="335"/>
    </row>
    <row r="104" spans="2:5" x14ac:dyDescent="0.2">
      <c r="B104" s="335"/>
      <c r="C104" s="335"/>
      <c r="D104" s="335"/>
      <c r="E104" s="335"/>
    </row>
    <row r="105" spans="2:5" x14ac:dyDescent="0.2">
      <c r="B105" s="335"/>
      <c r="C105" s="335"/>
      <c r="D105" s="335"/>
      <c r="E105" s="335"/>
    </row>
    <row r="106" spans="2:5" x14ac:dyDescent="0.2">
      <c r="B106" s="335"/>
      <c r="C106" s="335"/>
      <c r="D106" s="335"/>
      <c r="E106" s="335"/>
    </row>
    <row r="107" spans="2:5" x14ac:dyDescent="0.2">
      <c r="B107" s="335"/>
      <c r="C107" s="335"/>
      <c r="D107" s="335"/>
      <c r="E107" s="335"/>
    </row>
    <row r="108" spans="2:5" x14ac:dyDescent="0.2">
      <c r="B108" s="335"/>
      <c r="C108" s="335"/>
      <c r="D108" s="335"/>
      <c r="E108" s="335"/>
    </row>
    <row r="109" spans="2:5" x14ac:dyDescent="0.2">
      <c r="B109" s="335"/>
      <c r="C109" s="335"/>
      <c r="D109" s="335"/>
      <c r="E109" s="335"/>
    </row>
    <row r="110" spans="2:5" x14ac:dyDescent="0.2">
      <c r="B110" s="335"/>
      <c r="C110" s="335"/>
      <c r="D110" s="335"/>
      <c r="E110" s="335"/>
    </row>
    <row r="111" spans="2:5" x14ac:dyDescent="0.2">
      <c r="B111" s="335"/>
      <c r="C111" s="335"/>
      <c r="D111" s="335"/>
      <c r="E111" s="335"/>
    </row>
    <row r="112" spans="2:5" x14ac:dyDescent="0.2">
      <c r="B112" s="335"/>
      <c r="C112" s="335"/>
      <c r="D112" s="335"/>
      <c r="E112" s="335"/>
    </row>
    <row r="113" spans="2:5" x14ac:dyDescent="0.2">
      <c r="B113" s="335"/>
      <c r="C113" s="335"/>
      <c r="D113" s="335"/>
      <c r="E113" s="335"/>
    </row>
    <row r="114" spans="2:5" x14ac:dyDescent="0.2">
      <c r="B114" s="335"/>
      <c r="C114" s="335"/>
      <c r="D114" s="335"/>
      <c r="E114" s="335"/>
    </row>
    <row r="115" spans="2:5" x14ac:dyDescent="0.2">
      <c r="B115" s="335"/>
      <c r="C115" s="335"/>
      <c r="D115" s="335"/>
      <c r="E115" s="335"/>
    </row>
    <row r="116" spans="2:5" x14ac:dyDescent="0.2">
      <c r="B116" s="335"/>
      <c r="C116" s="335"/>
      <c r="D116" s="335"/>
      <c r="E116" s="335"/>
    </row>
    <row r="117" spans="2:5" x14ac:dyDescent="0.2">
      <c r="B117" s="335"/>
      <c r="C117" s="335"/>
      <c r="D117" s="335"/>
      <c r="E117" s="335"/>
    </row>
    <row r="118" spans="2:5" x14ac:dyDescent="0.2">
      <c r="B118" s="335"/>
      <c r="C118" s="335"/>
      <c r="D118" s="335"/>
      <c r="E118" s="335"/>
    </row>
    <row r="119" spans="2:5" x14ac:dyDescent="0.2">
      <c r="B119" s="335"/>
      <c r="C119" s="335"/>
      <c r="D119" s="335"/>
      <c r="E119" s="335"/>
    </row>
    <row r="120" spans="2:5" x14ac:dyDescent="0.2">
      <c r="B120" s="335"/>
      <c r="C120" s="335"/>
      <c r="D120" s="335"/>
      <c r="E120" s="335"/>
    </row>
    <row r="121" spans="2:5" x14ac:dyDescent="0.2">
      <c r="B121" s="335"/>
      <c r="C121" s="335"/>
      <c r="D121" s="335"/>
      <c r="E121" s="335"/>
    </row>
    <row r="122" spans="2:5" x14ac:dyDescent="0.2">
      <c r="B122" s="335"/>
      <c r="C122" s="335"/>
      <c r="D122" s="335"/>
      <c r="E122" s="335"/>
    </row>
    <row r="123" spans="2:5" x14ac:dyDescent="0.2">
      <c r="B123" s="335"/>
      <c r="C123" s="335"/>
      <c r="D123" s="335"/>
      <c r="E123" s="335"/>
    </row>
    <row r="124" spans="2:5" x14ac:dyDescent="0.2">
      <c r="B124" s="335"/>
      <c r="C124" s="335"/>
      <c r="D124" s="335"/>
      <c r="E124" s="335"/>
    </row>
    <row r="125" spans="2:5" x14ac:dyDescent="0.2">
      <c r="B125" s="335"/>
      <c r="C125" s="335"/>
      <c r="D125" s="335"/>
      <c r="E125" s="335"/>
    </row>
    <row r="126" spans="2:5" x14ac:dyDescent="0.2">
      <c r="B126" s="335"/>
      <c r="C126" s="335"/>
      <c r="D126" s="335"/>
      <c r="E126" s="335"/>
    </row>
    <row r="127" spans="2:5" x14ac:dyDescent="0.2">
      <c r="B127" s="335"/>
      <c r="C127" s="335"/>
      <c r="D127" s="335"/>
      <c r="E127" s="335"/>
    </row>
    <row r="128" spans="2:5" x14ac:dyDescent="0.2">
      <c r="B128" s="335"/>
      <c r="C128" s="335"/>
      <c r="D128" s="335"/>
      <c r="E128" s="335"/>
    </row>
    <row r="129" spans="2:5" x14ac:dyDescent="0.2">
      <c r="B129" s="335"/>
      <c r="C129" s="335"/>
      <c r="D129" s="335"/>
      <c r="E129" s="335"/>
    </row>
    <row r="130" spans="2:5" x14ac:dyDescent="0.2">
      <c r="B130" s="335"/>
      <c r="C130" s="335"/>
      <c r="D130" s="335"/>
      <c r="E130" s="335"/>
    </row>
    <row r="131" spans="2:5" x14ac:dyDescent="0.2">
      <c r="B131" s="335"/>
      <c r="C131" s="335"/>
      <c r="D131" s="335"/>
      <c r="E131" s="335"/>
    </row>
    <row r="132" spans="2:5" x14ac:dyDescent="0.2">
      <c r="B132" s="335"/>
      <c r="C132" s="335"/>
      <c r="D132" s="335"/>
      <c r="E132" s="335"/>
    </row>
    <row r="133" spans="2:5" x14ac:dyDescent="0.2">
      <c r="B133" s="335"/>
      <c r="C133" s="335"/>
      <c r="D133" s="335"/>
      <c r="E133" s="335"/>
    </row>
    <row r="134" spans="2:5" x14ac:dyDescent="0.2">
      <c r="B134" s="335"/>
      <c r="C134" s="335"/>
      <c r="D134" s="335"/>
      <c r="E134" s="335"/>
    </row>
    <row r="135" spans="2:5" x14ac:dyDescent="0.2">
      <c r="B135" s="335"/>
      <c r="C135" s="335"/>
      <c r="D135" s="335"/>
      <c r="E135" s="335"/>
    </row>
    <row r="136" spans="2:5" x14ac:dyDescent="0.2">
      <c r="B136" s="335"/>
      <c r="C136" s="335"/>
      <c r="D136" s="335"/>
      <c r="E136" s="335"/>
    </row>
    <row r="137" spans="2:5" x14ac:dyDescent="0.2">
      <c r="B137" s="335"/>
      <c r="C137" s="335"/>
      <c r="D137" s="335"/>
      <c r="E137" s="335"/>
    </row>
    <row r="138" spans="2:5" x14ac:dyDescent="0.2">
      <c r="B138" s="335"/>
      <c r="C138" s="335"/>
      <c r="D138" s="335"/>
      <c r="E138" s="335"/>
    </row>
    <row r="139" spans="2:5" x14ac:dyDescent="0.2">
      <c r="B139" s="335"/>
      <c r="C139" s="335"/>
      <c r="D139" s="335"/>
      <c r="E139" s="335"/>
    </row>
    <row r="140" spans="2:5" x14ac:dyDescent="0.2">
      <c r="B140" s="335"/>
      <c r="C140" s="335"/>
      <c r="D140" s="335"/>
      <c r="E140" s="335"/>
    </row>
    <row r="141" spans="2:5" x14ac:dyDescent="0.2">
      <c r="B141" s="335"/>
      <c r="C141" s="335"/>
      <c r="D141" s="335"/>
      <c r="E141" s="335"/>
    </row>
    <row r="142" spans="2:5" x14ac:dyDescent="0.2">
      <c r="B142" s="335"/>
      <c r="C142" s="335"/>
      <c r="D142" s="335"/>
      <c r="E142" s="335"/>
    </row>
    <row r="143" spans="2:5" x14ac:dyDescent="0.2">
      <c r="B143" s="335"/>
      <c r="C143" s="335"/>
      <c r="D143" s="335"/>
      <c r="E143" s="335"/>
    </row>
    <row r="144" spans="2:5" x14ac:dyDescent="0.2">
      <c r="B144" s="335"/>
      <c r="C144" s="335"/>
      <c r="D144" s="335"/>
      <c r="E144" s="335"/>
    </row>
    <row r="145" spans="2:5" x14ac:dyDescent="0.2">
      <c r="B145" s="335"/>
      <c r="C145" s="335"/>
      <c r="D145" s="335"/>
      <c r="E145" s="335"/>
    </row>
    <row r="146" spans="2:5" x14ac:dyDescent="0.2">
      <c r="B146" s="335"/>
      <c r="C146" s="335"/>
      <c r="D146" s="335"/>
      <c r="E146" s="335"/>
    </row>
    <row r="147" spans="2:5" x14ac:dyDescent="0.2">
      <c r="B147" s="335"/>
      <c r="C147" s="335"/>
      <c r="D147" s="335"/>
      <c r="E147" s="335"/>
    </row>
    <row r="148" spans="2:5" x14ac:dyDescent="0.2">
      <c r="B148" s="335"/>
      <c r="C148" s="335"/>
      <c r="D148" s="335"/>
      <c r="E148" s="335"/>
    </row>
    <row r="149" spans="2:5" x14ac:dyDescent="0.2">
      <c r="B149" s="335"/>
      <c r="C149" s="335"/>
      <c r="D149" s="335"/>
      <c r="E149" s="335"/>
    </row>
    <row r="150" spans="2:5" x14ac:dyDescent="0.2">
      <c r="B150" s="335"/>
      <c r="C150" s="335"/>
      <c r="D150" s="335"/>
      <c r="E150" s="335"/>
    </row>
    <row r="151" spans="2:5" x14ac:dyDescent="0.2">
      <c r="B151" s="335"/>
      <c r="C151" s="335"/>
      <c r="D151" s="335"/>
      <c r="E151" s="335"/>
    </row>
    <row r="152" spans="2:5" x14ac:dyDescent="0.2">
      <c r="B152" s="335"/>
      <c r="C152" s="335"/>
      <c r="D152" s="335"/>
      <c r="E152" s="335"/>
    </row>
    <row r="153" spans="2:5" x14ac:dyDescent="0.2">
      <c r="B153" s="335"/>
      <c r="C153" s="335"/>
      <c r="D153" s="335"/>
      <c r="E153" s="335"/>
    </row>
    <row r="154" spans="2:5" x14ac:dyDescent="0.2">
      <c r="B154" s="335"/>
      <c r="C154" s="335"/>
      <c r="D154" s="335"/>
      <c r="E154" s="335"/>
    </row>
    <row r="155" spans="2:5" x14ac:dyDescent="0.2">
      <c r="B155" s="335"/>
      <c r="C155" s="335"/>
      <c r="D155" s="335"/>
      <c r="E155" s="335"/>
    </row>
    <row r="156" spans="2:5" x14ac:dyDescent="0.2">
      <c r="B156" s="335"/>
      <c r="C156" s="335"/>
      <c r="D156" s="335"/>
      <c r="E156" s="335"/>
    </row>
    <row r="157" spans="2:5" x14ac:dyDescent="0.2">
      <c r="B157" s="335"/>
      <c r="C157" s="335"/>
      <c r="D157" s="335"/>
      <c r="E157" s="335"/>
    </row>
    <row r="158" spans="2:5" x14ac:dyDescent="0.2">
      <c r="B158" s="335"/>
      <c r="C158" s="335"/>
      <c r="D158" s="335"/>
      <c r="E158" s="335"/>
    </row>
    <row r="159" spans="2:5" x14ac:dyDescent="0.2">
      <c r="B159" s="335"/>
      <c r="C159" s="335"/>
      <c r="D159" s="335"/>
      <c r="E159" s="335"/>
    </row>
    <row r="160" spans="2:5" x14ac:dyDescent="0.2">
      <c r="B160" s="335"/>
      <c r="C160" s="335"/>
      <c r="D160" s="335"/>
      <c r="E160" s="335"/>
    </row>
    <row r="161" spans="2:5" x14ac:dyDescent="0.2">
      <c r="B161" s="335"/>
      <c r="C161" s="335"/>
      <c r="D161" s="335"/>
      <c r="E161" s="335"/>
    </row>
    <row r="162" spans="2:5" x14ac:dyDescent="0.2">
      <c r="B162" s="335"/>
      <c r="C162" s="335"/>
      <c r="D162" s="335"/>
      <c r="E162" s="335"/>
    </row>
    <row r="163" spans="2:5" x14ac:dyDescent="0.2">
      <c r="B163" s="335"/>
      <c r="C163" s="335"/>
      <c r="D163" s="335"/>
      <c r="E163" s="335"/>
    </row>
    <row r="164" spans="2:5" x14ac:dyDescent="0.2">
      <c r="B164" s="335"/>
      <c r="C164" s="335"/>
      <c r="D164" s="335"/>
      <c r="E164" s="335"/>
    </row>
    <row r="165" spans="2:5" x14ac:dyDescent="0.2">
      <c r="B165" s="335"/>
      <c r="C165" s="335"/>
      <c r="D165" s="335"/>
      <c r="E165" s="335"/>
    </row>
    <row r="166" spans="2:5" x14ac:dyDescent="0.2">
      <c r="B166" s="335"/>
      <c r="C166" s="335"/>
      <c r="D166" s="335"/>
      <c r="E166" s="335"/>
    </row>
    <row r="167" spans="2:5" x14ac:dyDescent="0.2">
      <c r="B167" s="335"/>
      <c r="C167" s="335"/>
      <c r="D167" s="335"/>
      <c r="E167" s="335"/>
    </row>
    <row r="168" spans="2:5" x14ac:dyDescent="0.2">
      <c r="B168" s="335"/>
      <c r="C168" s="335"/>
      <c r="D168" s="335"/>
      <c r="E168" s="335"/>
    </row>
    <row r="169" spans="2:5" x14ac:dyDescent="0.2">
      <c r="B169" s="335"/>
      <c r="C169" s="335"/>
      <c r="D169" s="335"/>
      <c r="E169" s="335"/>
    </row>
    <row r="170" spans="2:5" x14ac:dyDescent="0.2">
      <c r="B170" s="335"/>
      <c r="C170" s="335"/>
      <c r="D170" s="335"/>
      <c r="E170" s="335"/>
    </row>
    <row r="171" spans="2:5" x14ac:dyDescent="0.2">
      <c r="B171" s="335"/>
      <c r="C171" s="335"/>
      <c r="D171" s="335"/>
      <c r="E171" s="335"/>
    </row>
    <row r="172" spans="2:5" x14ac:dyDescent="0.2">
      <c r="B172" s="335"/>
      <c r="C172" s="335"/>
      <c r="D172" s="335"/>
      <c r="E172" s="335"/>
    </row>
    <row r="173" spans="2:5" x14ac:dyDescent="0.2">
      <c r="B173" s="335"/>
      <c r="C173" s="335"/>
      <c r="D173" s="335"/>
      <c r="E173" s="335"/>
    </row>
    <row r="174" spans="2:5" x14ac:dyDescent="0.2">
      <c r="B174" s="335"/>
      <c r="C174" s="335"/>
      <c r="D174" s="335"/>
      <c r="E174" s="335"/>
    </row>
    <row r="175" spans="2:5" x14ac:dyDescent="0.2">
      <c r="B175" s="335"/>
      <c r="C175" s="335"/>
      <c r="D175" s="335"/>
      <c r="E175" s="335"/>
    </row>
    <row r="176" spans="2:5" x14ac:dyDescent="0.2">
      <c r="B176" s="335"/>
      <c r="C176" s="335"/>
      <c r="D176" s="335"/>
      <c r="E176" s="335"/>
    </row>
    <row r="177" spans="2:5" x14ac:dyDescent="0.2">
      <c r="B177" s="335"/>
      <c r="C177" s="335"/>
      <c r="D177" s="335"/>
      <c r="E177" s="335"/>
    </row>
    <row r="178" spans="2:5" x14ac:dyDescent="0.2">
      <c r="B178" s="335"/>
      <c r="C178" s="335"/>
      <c r="D178" s="335"/>
      <c r="E178" s="335"/>
    </row>
    <row r="179" spans="2:5" x14ac:dyDescent="0.2">
      <c r="B179" s="335"/>
      <c r="C179" s="335"/>
      <c r="D179" s="335"/>
      <c r="E179" s="335"/>
    </row>
    <row r="180" spans="2:5" x14ac:dyDescent="0.2">
      <c r="B180" s="335"/>
      <c r="C180" s="335"/>
      <c r="D180" s="335"/>
      <c r="E180" s="335"/>
    </row>
    <row r="181" spans="2:5" x14ac:dyDescent="0.2">
      <c r="B181" s="335"/>
      <c r="C181" s="335"/>
      <c r="D181" s="335"/>
      <c r="E181" s="335"/>
    </row>
    <row r="182" spans="2:5" x14ac:dyDescent="0.2">
      <c r="B182" s="335"/>
      <c r="C182" s="335"/>
      <c r="D182" s="335"/>
      <c r="E182" s="335"/>
    </row>
  </sheetData>
  <mergeCells count="132">
    <mergeCell ref="AJ31:AN31"/>
    <mergeCell ref="AE32:AI32"/>
    <mergeCell ref="AJ32:AN32"/>
    <mergeCell ref="AE33:AI33"/>
    <mergeCell ref="AJ33:AN33"/>
    <mergeCell ref="AE34:AI34"/>
    <mergeCell ref="AJ34:AN34"/>
    <mergeCell ref="AE8:AI8"/>
    <mergeCell ref="AJ8:AK8"/>
    <mergeCell ref="AJ26:AN26"/>
    <mergeCell ref="AE27:AI27"/>
    <mergeCell ref="AJ27:AN27"/>
    <mergeCell ref="AE28:AI28"/>
    <mergeCell ref="AJ28:AN28"/>
    <mergeCell ref="AE29:AI29"/>
    <mergeCell ref="AJ29:AN29"/>
    <mergeCell ref="AE30:AI30"/>
    <mergeCell ref="AJ30:AN30"/>
    <mergeCell ref="AJ21:AN21"/>
    <mergeCell ref="AE22:AI22"/>
    <mergeCell ref="AJ22:AN22"/>
    <mergeCell ref="AE23:AI23"/>
    <mergeCell ref="AJ23:AN23"/>
    <mergeCell ref="AE24:AI24"/>
    <mergeCell ref="AJ24:AN24"/>
    <mergeCell ref="AE25:AI25"/>
    <mergeCell ref="AJ25:AN25"/>
    <mergeCell ref="AJ15:AN15"/>
    <mergeCell ref="AE16:AI16"/>
    <mergeCell ref="AJ16:AN16"/>
    <mergeCell ref="AE17:AI17"/>
    <mergeCell ref="AE18:AI18"/>
    <mergeCell ref="AJ18:AN18"/>
    <mergeCell ref="AE19:AI19"/>
    <mergeCell ref="AJ19:AN19"/>
    <mergeCell ref="AE20:AI20"/>
    <mergeCell ref="AJ20:AN20"/>
    <mergeCell ref="AJ9:AN10"/>
    <mergeCell ref="AE11:AI11"/>
    <mergeCell ref="AJ11:AN11"/>
    <mergeCell ref="AE12:AI12"/>
    <mergeCell ref="AJ12:AN12"/>
    <mergeCell ref="AE13:AI13"/>
    <mergeCell ref="AJ13:AN13"/>
    <mergeCell ref="AE14:AI14"/>
    <mergeCell ref="AJ14:AN14"/>
    <mergeCell ref="B1:AH2"/>
    <mergeCell ref="B3:AH3"/>
    <mergeCell ref="B4:AH4"/>
    <mergeCell ref="G5:U5"/>
    <mergeCell ref="B6:AH6"/>
    <mergeCell ref="V8:AD8"/>
    <mergeCell ref="A9:A10"/>
    <mergeCell ref="B9:T9"/>
    <mergeCell ref="U9:Y10"/>
    <mergeCell ref="Z9:AD10"/>
    <mergeCell ref="AE9:AI10"/>
    <mergeCell ref="B13:T13"/>
    <mergeCell ref="U13:Y13"/>
    <mergeCell ref="Z13:AD13"/>
    <mergeCell ref="B11:T11"/>
    <mergeCell ref="U11:Y11"/>
    <mergeCell ref="Z11:AD11"/>
    <mergeCell ref="B14:T14"/>
    <mergeCell ref="U14:Y14"/>
    <mergeCell ref="Z14:AD14"/>
    <mergeCell ref="B12:T12"/>
    <mergeCell ref="U12:Y12"/>
    <mergeCell ref="Z12:AD12"/>
    <mergeCell ref="B17:T17"/>
    <mergeCell ref="U17:Y17"/>
    <mergeCell ref="B18:T18"/>
    <mergeCell ref="U18:Y18"/>
    <mergeCell ref="Z18:AD18"/>
    <mergeCell ref="B15:T15"/>
    <mergeCell ref="U15:Y15"/>
    <mergeCell ref="Z15:AD15"/>
    <mergeCell ref="B16:T16"/>
    <mergeCell ref="U16:Y16"/>
    <mergeCell ref="Z16:AD16"/>
    <mergeCell ref="AE15:AI15"/>
    <mergeCell ref="B21:T21"/>
    <mergeCell ref="U21:Y21"/>
    <mergeCell ref="Z21:AD21"/>
    <mergeCell ref="B22:T22"/>
    <mergeCell ref="U22:Y22"/>
    <mergeCell ref="Z22:AD22"/>
    <mergeCell ref="B19:T19"/>
    <mergeCell ref="U19:Y19"/>
    <mergeCell ref="Z19:AD19"/>
    <mergeCell ref="B20:T20"/>
    <mergeCell ref="U20:Y20"/>
    <mergeCell ref="Z20:AD20"/>
    <mergeCell ref="AE21:AI21"/>
    <mergeCell ref="B25:T25"/>
    <mergeCell ref="U25:Y25"/>
    <mergeCell ref="Z25:AD25"/>
    <mergeCell ref="B26:T26"/>
    <mergeCell ref="U26:Y26"/>
    <mergeCell ref="Z26:AD26"/>
    <mergeCell ref="B23:T23"/>
    <mergeCell ref="U23:Y23"/>
    <mergeCell ref="Z23:AD23"/>
    <mergeCell ref="B24:T24"/>
    <mergeCell ref="U24:Y24"/>
    <mergeCell ref="Z24:AD24"/>
    <mergeCell ref="AE26:AI26"/>
    <mergeCell ref="B29:T29"/>
    <mergeCell ref="U29:Y29"/>
    <mergeCell ref="Z29:AD29"/>
    <mergeCell ref="B30:T30"/>
    <mergeCell ref="U30:Y30"/>
    <mergeCell ref="Z30:AD30"/>
    <mergeCell ref="B27:T27"/>
    <mergeCell ref="U27:Y27"/>
    <mergeCell ref="Z27:AD27"/>
    <mergeCell ref="B28:T28"/>
    <mergeCell ref="U28:Y28"/>
    <mergeCell ref="Z28:AD28"/>
    <mergeCell ref="B33:T33"/>
    <mergeCell ref="U33:Y33"/>
    <mergeCell ref="Z33:AD33"/>
    <mergeCell ref="U34:Y34"/>
    <mergeCell ref="B31:T31"/>
    <mergeCell ref="U31:Y31"/>
    <mergeCell ref="Z31:AD31"/>
    <mergeCell ref="B32:T32"/>
    <mergeCell ref="U32:Y32"/>
    <mergeCell ref="Z32:AD32"/>
    <mergeCell ref="B34:T34"/>
    <mergeCell ref="Z34:AD34"/>
    <mergeCell ref="AE31:AI3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5"/>
  <sheetViews>
    <sheetView tabSelected="1" workbookViewId="0">
      <selection activeCell="A3" sqref="A3:G3"/>
    </sheetView>
  </sheetViews>
  <sheetFormatPr defaultRowHeight="15.75" x14ac:dyDescent="0.25"/>
  <cols>
    <col min="1" max="1" width="6" style="2" customWidth="1"/>
    <col min="2" max="2" width="5.140625" style="1" customWidth="1"/>
    <col min="3" max="3" width="68.42578125" style="1" customWidth="1"/>
    <col min="4" max="4" width="14.42578125" style="2" customWidth="1"/>
    <col min="5" max="5" width="14.5703125" style="2" customWidth="1"/>
    <col min="6" max="6" width="13.5703125" style="2" customWidth="1"/>
    <col min="7" max="7" width="11.7109375" style="4" customWidth="1"/>
    <col min="8" max="8" width="16.7109375" style="4" bestFit="1" customWidth="1"/>
    <col min="9" max="9" width="14.85546875" style="4" bestFit="1" customWidth="1"/>
    <col min="10" max="16384" width="9.140625" style="4"/>
  </cols>
  <sheetData>
    <row r="1" spans="1:11" ht="20.100000000000001" customHeight="1" x14ac:dyDescent="0.3">
      <c r="A1" s="446" t="s">
        <v>567</v>
      </c>
      <c r="B1" s="447"/>
      <c r="C1" s="447"/>
      <c r="D1" s="447"/>
      <c r="E1" s="447"/>
      <c r="F1" s="447"/>
    </row>
    <row r="2" spans="1:11" ht="20.100000000000001" customHeight="1" x14ac:dyDescent="0.25">
      <c r="A2" s="415"/>
      <c r="B2" s="415"/>
      <c r="C2" s="415"/>
      <c r="D2" s="415"/>
      <c r="E2" s="415"/>
      <c r="F2" s="415"/>
    </row>
    <row r="3" spans="1:11" ht="20.100000000000001" customHeight="1" x14ac:dyDescent="0.25">
      <c r="A3" s="448" t="s">
        <v>199</v>
      </c>
      <c r="B3" s="448"/>
      <c r="C3" s="448"/>
      <c r="D3" s="448"/>
      <c r="E3" s="448"/>
      <c r="F3" s="448"/>
      <c r="G3" s="448"/>
    </row>
    <row r="4" spans="1:11" ht="20.100000000000001" customHeight="1" x14ac:dyDescent="0.25">
      <c r="A4" s="415" t="s">
        <v>2</v>
      </c>
      <c r="B4" s="415"/>
      <c r="C4" s="415"/>
      <c r="D4" s="415"/>
      <c r="E4" s="415"/>
      <c r="F4" s="415"/>
    </row>
    <row r="5" spans="1:11" ht="39" customHeight="1" thickBot="1" x14ac:dyDescent="0.3">
      <c r="A5" s="449" t="s">
        <v>558</v>
      </c>
      <c r="B5" s="449"/>
      <c r="C5" s="449"/>
      <c r="D5" s="449"/>
      <c r="E5" s="449"/>
      <c r="F5" s="449"/>
    </row>
    <row r="6" spans="1:11" ht="20.100000000000001" customHeight="1" x14ac:dyDescent="0.25">
      <c r="A6" s="450" t="s">
        <v>4</v>
      </c>
      <c r="B6" s="453" t="s">
        <v>5</v>
      </c>
      <c r="C6" s="453"/>
      <c r="D6" s="456" t="s">
        <v>456</v>
      </c>
      <c r="E6" s="458" t="s">
        <v>7</v>
      </c>
      <c r="F6" s="458" t="s">
        <v>8</v>
      </c>
      <c r="G6" s="442" t="s">
        <v>9</v>
      </c>
      <c r="H6" s="456" t="s">
        <v>456</v>
      </c>
      <c r="I6" s="458" t="s">
        <v>7</v>
      </c>
      <c r="J6" s="458" t="s">
        <v>8</v>
      </c>
      <c r="K6" s="442" t="s">
        <v>9</v>
      </c>
    </row>
    <row r="7" spans="1:11" ht="38.25" customHeight="1" x14ac:dyDescent="0.25">
      <c r="A7" s="451"/>
      <c r="B7" s="454"/>
      <c r="C7" s="454"/>
      <c r="D7" s="457"/>
      <c r="E7" s="459"/>
      <c r="F7" s="459"/>
      <c r="G7" s="443"/>
      <c r="H7" s="457"/>
      <c r="I7" s="459"/>
      <c r="J7" s="459"/>
      <c r="K7" s="443"/>
    </row>
    <row r="8" spans="1:11" ht="22.5" customHeight="1" thickBot="1" x14ac:dyDescent="0.3">
      <c r="A8" s="540"/>
      <c r="B8" s="541"/>
      <c r="C8" s="541"/>
      <c r="D8" s="538" t="s">
        <v>457</v>
      </c>
      <c r="E8" s="457"/>
      <c r="F8" s="457"/>
      <c r="G8" s="191"/>
      <c r="H8" s="538" t="s">
        <v>639</v>
      </c>
      <c r="I8" s="457"/>
      <c r="J8" s="457"/>
      <c r="K8" s="191"/>
    </row>
    <row r="9" spans="1:11" ht="15.95" customHeight="1" x14ac:dyDescent="0.25">
      <c r="A9" s="338"/>
      <c r="B9" s="453" t="s">
        <v>10</v>
      </c>
      <c r="C9" s="453"/>
      <c r="D9" s="192"/>
      <c r="E9" s="193"/>
      <c r="F9" s="194"/>
      <c r="G9" s="194"/>
      <c r="H9" s="192"/>
      <c r="I9" s="193"/>
      <c r="J9" s="194"/>
      <c r="K9" s="194"/>
    </row>
    <row r="10" spans="1:11" ht="15.95" customHeight="1" x14ac:dyDescent="0.25">
      <c r="A10" s="3">
        <v>1</v>
      </c>
      <c r="B10" s="427" t="s">
        <v>11</v>
      </c>
      <c r="C10" s="427"/>
      <c r="D10" s="10">
        <v>31150</v>
      </c>
      <c r="E10" s="10">
        <v>31150</v>
      </c>
      <c r="F10" s="11"/>
      <c r="G10" s="12"/>
      <c r="H10" s="10">
        <v>31930</v>
      </c>
      <c r="I10" s="10">
        <v>31930</v>
      </c>
      <c r="J10" s="11"/>
      <c r="K10" s="12"/>
    </row>
    <row r="11" spans="1:11" ht="15.95" customHeight="1" x14ac:dyDescent="0.25">
      <c r="A11" s="3">
        <v>2</v>
      </c>
      <c r="B11" s="427" t="s">
        <v>12</v>
      </c>
      <c r="C11" s="427"/>
      <c r="D11" s="10">
        <v>6406</v>
      </c>
      <c r="E11" s="10">
        <v>6406</v>
      </c>
      <c r="F11" s="11"/>
      <c r="G11" s="12"/>
      <c r="H11" s="10">
        <v>6559</v>
      </c>
      <c r="I11" s="10">
        <v>6559</v>
      </c>
      <c r="J11" s="11"/>
      <c r="K11" s="12"/>
    </row>
    <row r="12" spans="1:11" ht="15.95" customHeight="1" x14ac:dyDescent="0.25">
      <c r="A12" s="3">
        <v>3</v>
      </c>
      <c r="B12" s="427" t="s">
        <v>13</v>
      </c>
      <c r="C12" s="427"/>
      <c r="D12" s="10">
        <v>14977</v>
      </c>
      <c r="E12" s="10">
        <v>14977</v>
      </c>
      <c r="F12" s="11"/>
      <c r="G12" s="13"/>
      <c r="H12" s="10">
        <v>16469</v>
      </c>
      <c r="I12" s="10">
        <v>16469</v>
      </c>
      <c r="J12" s="11"/>
      <c r="K12" s="13"/>
    </row>
    <row r="13" spans="1:11" ht="15.95" customHeight="1" x14ac:dyDescent="0.25">
      <c r="A13" s="3" t="s">
        <v>14</v>
      </c>
      <c r="B13" s="427" t="s">
        <v>15</v>
      </c>
      <c r="C13" s="427"/>
      <c r="D13" s="195"/>
      <c r="E13" s="195"/>
      <c r="F13" s="11"/>
      <c r="G13" s="12"/>
      <c r="H13" s="195"/>
      <c r="I13" s="195"/>
      <c r="J13" s="11"/>
      <c r="K13" s="12"/>
    </row>
    <row r="14" spans="1:11" ht="15.95" customHeight="1" x14ac:dyDescent="0.25">
      <c r="A14" s="3" t="s">
        <v>16</v>
      </c>
      <c r="B14" s="433" t="s">
        <v>17</v>
      </c>
      <c r="C14" s="433"/>
      <c r="D14" s="195">
        <f>+D15+D16+D17+D18+D19</f>
        <v>0</v>
      </c>
      <c r="E14" s="195">
        <f>+E15+E16+E17+E18+E19</f>
        <v>0</v>
      </c>
      <c r="F14" s="16"/>
      <c r="G14" s="16"/>
      <c r="H14" s="195">
        <f>+H15+H16+H17+H18+H19</f>
        <v>0</v>
      </c>
      <c r="I14" s="195">
        <f>+I15+I16+I17+I18+I19</f>
        <v>0</v>
      </c>
      <c r="J14" s="16"/>
      <c r="K14" s="16"/>
    </row>
    <row r="15" spans="1:11" ht="15.95" customHeight="1" x14ac:dyDescent="0.25">
      <c r="A15" s="3" t="s">
        <v>18</v>
      </c>
      <c r="B15" s="434" t="s">
        <v>127</v>
      </c>
      <c r="C15" s="434"/>
      <c r="D15" s="195"/>
      <c r="E15" s="195"/>
      <c r="F15" s="11"/>
      <c r="G15" s="12"/>
      <c r="H15" s="195"/>
      <c r="I15" s="195"/>
      <c r="J15" s="11"/>
      <c r="K15" s="12"/>
    </row>
    <row r="16" spans="1:11" ht="15.95" customHeight="1" x14ac:dyDescent="0.25">
      <c r="A16" s="3" t="s">
        <v>19</v>
      </c>
      <c r="B16" s="434" t="s">
        <v>20</v>
      </c>
      <c r="C16" s="434"/>
      <c r="D16" s="195"/>
      <c r="E16" s="195"/>
      <c r="F16" s="11"/>
      <c r="G16" s="12"/>
      <c r="H16" s="195"/>
      <c r="I16" s="195"/>
      <c r="J16" s="11"/>
      <c r="K16" s="12"/>
    </row>
    <row r="17" spans="1:11" ht="15.95" customHeight="1" x14ac:dyDescent="0.25">
      <c r="A17" s="3"/>
      <c r="B17" s="539" t="s">
        <v>130</v>
      </c>
      <c r="C17" s="539"/>
      <c r="D17" s="195"/>
      <c r="E17" s="195"/>
      <c r="F17" s="11"/>
      <c r="G17" s="12"/>
      <c r="H17" s="195"/>
      <c r="I17" s="195"/>
      <c r="J17" s="11"/>
      <c r="K17" s="12"/>
    </row>
    <row r="18" spans="1:11" ht="15.95" customHeight="1" x14ac:dyDescent="0.25">
      <c r="A18" s="3" t="s">
        <v>21</v>
      </c>
      <c r="B18" s="437" t="s">
        <v>22</v>
      </c>
      <c r="C18" s="437"/>
      <c r="D18" s="195"/>
      <c r="E18" s="195"/>
      <c r="F18" s="11"/>
      <c r="G18" s="12"/>
      <c r="H18" s="195"/>
      <c r="I18" s="195"/>
      <c r="J18" s="11"/>
      <c r="K18" s="12"/>
    </row>
    <row r="19" spans="1:11" ht="15.95" customHeight="1" x14ac:dyDescent="0.25">
      <c r="A19" s="3" t="s">
        <v>23</v>
      </c>
      <c r="B19" s="437" t="s">
        <v>200</v>
      </c>
      <c r="C19" s="537"/>
      <c r="D19" s="195"/>
      <c r="E19" s="195"/>
      <c r="F19" s="11"/>
      <c r="G19" s="12"/>
      <c r="H19" s="195"/>
      <c r="I19" s="195"/>
      <c r="J19" s="11"/>
      <c r="K19" s="12"/>
    </row>
    <row r="20" spans="1:11" ht="15.95" customHeight="1" x14ac:dyDescent="0.25">
      <c r="A20" s="3"/>
      <c r="B20" s="427" t="s">
        <v>24</v>
      </c>
      <c r="C20" s="427"/>
      <c r="D20" s="196"/>
      <c r="E20" s="196"/>
      <c r="F20" s="197"/>
      <c r="G20" s="198"/>
      <c r="H20" s="196"/>
      <c r="I20" s="196"/>
      <c r="J20" s="197"/>
      <c r="K20" s="198"/>
    </row>
    <row r="21" spans="1:11" ht="15.95" customHeight="1" x14ac:dyDescent="0.25">
      <c r="A21" s="3" t="s">
        <v>0</v>
      </c>
      <c r="B21" s="337" t="s">
        <v>26</v>
      </c>
      <c r="C21" s="199"/>
      <c r="D21" s="195">
        <f>+D10+D11+D12+D13+D14+D20</f>
        <v>52533</v>
      </c>
      <c r="E21" s="195">
        <f>+E10+E11+E12+E13+E14+E20</f>
        <v>52533</v>
      </c>
      <c r="F21" s="16">
        <f>+F10+F11+F12+F13+F14+F20+F16</f>
        <v>0</v>
      </c>
      <c r="G21" s="10"/>
      <c r="H21" s="195">
        <f>+H10+H11+H12+H13+H14+H20</f>
        <v>54958</v>
      </c>
      <c r="I21" s="195">
        <f>+I10+I11+I12+I13+I14+I20</f>
        <v>54958</v>
      </c>
      <c r="J21" s="16">
        <f>+J10+J11+J12+J13+J14+J20+J16</f>
        <v>0</v>
      </c>
      <c r="K21" s="10"/>
    </row>
    <row r="22" spans="1:11" ht="15.95" customHeight="1" x14ac:dyDescent="0.25">
      <c r="A22" s="3" t="s">
        <v>27</v>
      </c>
      <c r="B22" s="427" t="s">
        <v>28</v>
      </c>
      <c r="C22" s="427"/>
      <c r="D22" s="196">
        <v>1941</v>
      </c>
      <c r="E22" s="196">
        <v>1941</v>
      </c>
      <c r="F22" s="107"/>
      <c r="G22" s="12"/>
      <c r="H22" s="196">
        <v>1899</v>
      </c>
      <c r="I22" s="196">
        <v>1899</v>
      </c>
      <c r="J22" s="107"/>
      <c r="K22" s="12"/>
    </row>
    <row r="23" spans="1:11" ht="15.95" customHeight="1" x14ac:dyDescent="0.25">
      <c r="A23" s="3" t="s">
        <v>29</v>
      </c>
      <c r="B23" s="427" t="s">
        <v>30</v>
      </c>
      <c r="C23" s="427"/>
      <c r="D23" s="196"/>
      <c r="E23" s="196"/>
      <c r="F23" s="11"/>
      <c r="G23" s="12"/>
      <c r="H23" s="196"/>
      <c r="I23" s="196"/>
      <c r="J23" s="11"/>
      <c r="K23" s="12"/>
    </row>
    <row r="24" spans="1:11" ht="15.95" customHeight="1" x14ac:dyDescent="0.25">
      <c r="A24" s="3" t="s">
        <v>31</v>
      </c>
      <c r="B24" s="427" t="s">
        <v>134</v>
      </c>
      <c r="C24" s="427"/>
      <c r="D24" s="196"/>
      <c r="E24" s="196"/>
      <c r="F24" s="11"/>
      <c r="G24" s="12"/>
      <c r="H24" s="196"/>
      <c r="I24" s="196"/>
      <c r="J24" s="11"/>
      <c r="K24" s="12"/>
    </row>
    <row r="25" spans="1:11" ht="15.95" customHeight="1" x14ac:dyDescent="0.25">
      <c r="A25" s="3" t="s">
        <v>33</v>
      </c>
      <c r="B25" s="427" t="s">
        <v>34</v>
      </c>
      <c r="C25" s="427"/>
      <c r="D25" s="196">
        <f>+D22+D23+D24</f>
        <v>1941</v>
      </c>
      <c r="E25" s="196">
        <f>+E22+E23+E24</f>
        <v>1941</v>
      </c>
      <c r="F25" s="11">
        <f>SUM(F22:F24)</f>
        <v>0</v>
      </c>
      <c r="G25" s="12"/>
      <c r="H25" s="196">
        <f>+H22+H23+H24</f>
        <v>1899</v>
      </c>
      <c r="I25" s="196">
        <f>+I22+I23+I24</f>
        <v>1899</v>
      </c>
      <c r="J25" s="11">
        <f>SUM(J22:J24)</f>
        <v>0</v>
      </c>
      <c r="K25" s="12"/>
    </row>
    <row r="26" spans="1:11" ht="15.95" customHeight="1" x14ac:dyDescent="0.25">
      <c r="A26" s="3" t="s">
        <v>35</v>
      </c>
      <c r="B26" s="427"/>
      <c r="C26" s="427"/>
      <c r="D26" s="196"/>
      <c r="E26" s="196"/>
      <c r="F26" s="11"/>
      <c r="G26" s="12"/>
      <c r="H26" s="196"/>
      <c r="I26" s="196"/>
      <c r="J26" s="11"/>
      <c r="K26" s="12"/>
    </row>
    <row r="27" spans="1:11" ht="15.95" customHeight="1" x14ac:dyDescent="0.25">
      <c r="A27" s="3" t="s">
        <v>36</v>
      </c>
      <c r="B27" s="429"/>
      <c r="C27" s="429"/>
      <c r="D27" s="200"/>
      <c r="E27" s="200"/>
      <c r="F27" s="11">
        <f>+D27+E27</f>
        <v>0</v>
      </c>
      <c r="G27" s="12"/>
      <c r="H27" s="200"/>
      <c r="I27" s="200"/>
      <c r="J27" s="11">
        <f>+H27+I27</f>
        <v>0</v>
      </c>
      <c r="K27" s="12"/>
    </row>
    <row r="28" spans="1:11" ht="15.95" customHeight="1" x14ac:dyDescent="0.25">
      <c r="A28" s="3" t="s">
        <v>37</v>
      </c>
      <c r="B28" s="429"/>
      <c r="C28" s="429"/>
      <c r="D28" s="200"/>
      <c r="E28" s="200"/>
      <c r="F28" s="11">
        <f>+D28+E28</f>
        <v>0</v>
      </c>
      <c r="G28" s="12"/>
      <c r="H28" s="200"/>
      <c r="I28" s="200"/>
      <c r="J28" s="11">
        <f>+H28+I28</f>
        <v>0</v>
      </c>
      <c r="K28" s="12"/>
    </row>
    <row r="29" spans="1:11" ht="15.95" customHeight="1" x14ac:dyDescent="0.3">
      <c r="A29" s="29" t="s">
        <v>38</v>
      </c>
      <c r="B29" s="423" t="s">
        <v>201</v>
      </c>
      <c r="C29" s="423"/>
      <c r="D29" s="202">
        <f>+D21+D25+D26+D27+D28</f>
        <v>54474</v>
      </c>
      <c r="E29" s="202">
        <f>+E21+E25+E26+E27+E28</f>
        <v>54474</v>
      </c>
      <c r="F29" s="59">
        <f>+F21+F25+F26+F27+F28</f>
        <v>0</v>
      </c>
      <c r="G29" s="60">
        <f>+G21+G25+G26+G27+G28</f>
        <v>0</v>
      </c>
      <c r="H29" s="202">
        <f>+H21+H25+H26+H27+H28</f>
        <v>56857</v>
      </c>
      <c r="I29" s="202">
        <f>+I21+I25+I26+I27+I28</f>
        <v>56857</v>
      </c>
      <c r="J29" s="59">
        <f>+J21+J25+J26+J27+J28</f>
        <v>0</v>
      </c>
      <c r="K29" s="60">
        <f>+K21+K25+K26+K27+K28</f>
        <v>0</v>
      </c>
    </row>
    <row r="30" spans="1:11" ht="15.95" customHeight="1" x14ac:dyDescent="0.25">
      <c r="A30" s="33"/>
      <c r="B30" s="471"/>
      <c r="C30" s="471"/>
      <c r="D30" s="117"/>
      <c r="E30" s="117"/>
      <c r="F30" s="88"/>
      <c r="G30" s="88"/>
      <c r="H30" s="117"/>
      <c r="I30" s="117"/>
      <c r="J30" s="88"/>
      <c r="K30" s="88"/>
    </row>
    <row r="31" spans="1:11" ht="15.95" customHeight="1" x14ac:dyDescent="0.25">
      <c r="A31" s="3"/>
      <c r="B31" s="498" t="s">
        <v>40</v>
      </c>
      <c r="C31" s="498"/>
      <c r="D31" s="196"/>
      <c r="E31" s="196"/>
      <c r="F31" s="11"/>
      <c r="G31" s="12"/>
      <c r="H31" s="196"/>
      <c r="I31" s="196"/>
      <c r="J31" s="11"/>
      <c r="K31" s="12"/>
    </row>
    <row r="32" spans="1:11" ht="15.95" customHeight="1" x14ac:dyDescent="0.25">
      <c r="A32" s="3" t="s">
        <v>41</v>
      </c>
      <c r="B32" s="421" t="s">
        <v>42</v>
      </c>
      <c r="C32" s="421"/>
      <c r="D32" s="196">
        <v>1362</v>
      </c>
      <c r="E32" s="196">
        <v>1362</v>
      </c>
      <c r="F32" s="11"/>
      <c r="G32" s="12">
        <v>0</v>
      </c>
      <c r="H32" s="196">
        <v>1362</v>
      </c>
      <c r="I32" s="196">
        <v>1362</v>
      </c>
      <c r="J32" s="11"/>
      <c r="K32" s="12">
        <v>0</v>
      </c>
    </row>
    <row r="33" spans="1:11" ht="15.95" customHeight="1" x14ac:dyDescent="0.25">
      <c r="A33" s="3" t="s">
        <v>43</v>
      </c>
      <c r="B33" s="421" t="s">
        <v>44</v>
      </c>
      <c r="C33" s="421"/>
      <c r="D33" s="196">
        <f>SUM(D34:D36)</f>
        <v>0</v>
      </c>
      <c r="E33" s="196">
        <f>SUM(E34:E36)</f>
        <v>0</v>
      </c>
      <c r="F33" s="25">
        <f>SUM(F34:F36)</f>
        <v>0</v>
      </c>
      <c r="G33" s="12"/>
      <c r="H33" s="196">
        <f>SUM(H34:H36)</f>
        <v>0</v>
      </c>
      <c r="I33" s="196">
        <f>SUM(I34:I36)</f>
        <v>0</v>
      </c>
      <c r="J33" s="25">
        <f>SUM(J34:J36)</f>
        <v>0</v>
      </c>
      <c r="K33" s="12"/>
    </row>
    <row r="34" spans="1:11" ht="15.95" customHeight="1" x14ac:dyDescent="0.25">
      <c r="A34" s="3"/>
      <c r="B34" s="44" t="s">
        <v>45</v>
      </c>
      <c r="C34" s="45" t="s">
        <v>46</v>
      </c>
      <c r="D34" s="196"/>
      <c r="E34" s="196"/>
      <c r="F34" s="11"/>
      <c r="G34" s="12"/>
      <c r="H34" s="196"/>
      <c r="I34" s="196"/>
      <c r="J34" s="11"/>
      <c r="K34" s="12"/>
    </row>
    <row r="35" spans="1:11" ht="15.95" customHeight="1" x14ac:dyDescent="0.25">
      <c r="A35" s="3"/>
      <c r="B35" s="44" t="s">
        <v>47</v>
      </c>
      <c r="C35" s="45" t="s">
        <v>48</v>
      </c>
      <c r="D35" s="196"/>
      <c r="E35" s="196"/>
      <c r="F35" s="11"/>
      <c r="G35" s="12"/>
      <c r="H35" s="196"/>
      <c r="I35" s="196"/>
      <c r="J35" s="11"/>
      <c r="K35" s="12"/>
    </row>
    <row r="36" spans="1:11" ht="15.95" customHeight="1" x14ac:dyDescent="0.25">
      <c r="A36" s="3"/>
      <c r="B36" s="44" t="s">
        <v>49</v>
      </c>
      <c r="C36" s="45" t="s">
        <v>50</v>
      </c>
      <c r="D36" s="196"/>
      <c r="E36" s="196"/>
      <c r="F36" s="11"/>
      <c r="G36" s="12"/>
      <c r="H36" s="196"/>
      <c r="I36" s="196"/>
      <c r="J36" s="11"/>
      <c r="K36" s="12"/>
    </row>
    <row r="37" spans="1:11" ht="15.95" customHeight="1" x14ac:dyDescent="0.25">
      <c r="A37" s="3" t="s">
        <v>51</v>
      </c>
      <c r="B37" s="421" t="s">
        <v>52</v>
      </c>
      <c r="C37" s="421"/>
      <c r="D37" s="196">
        <f>SUM(D38:D40)</f>
        <v>0</v>
      </c>
      <c r="E37" s="196">
        <f>SUM(E38:E40)</f>
        <v>0</v>
      </c>
      <c r="F37" s="11">
        <f>SUM(F38:F40)</f>
        <v>0</v>
      </c>
      <c r="G37" s="12"/>
      <c r="H37" s="196">
        <f>SUM(H38:H40)</f>
        <v>0</v>
      </c>
      <c r="I37" s="196">
        <f>SUM(I38:I40)</f>
        <v>0</v>
      </c>
      <c r="J37" s="11">
        <f>SUM(J38:J40)</f>
        <v>0</v>
      </c>
      <c r="K37" s="12"/>
    </row>
    <row r="38" spans="1:11" ht="15.95" customHeight="1" x14ac:dyDescent="0.25">
      <c r="A38" s="3"/>
      <c r="B38" s="48" t="s">
        <v>53</v>
      </c>
      <c r="C38" s="336" t="s">
        <v>54</v>
      </c>
      <c r="D38" s="196"/>
      <c r="E38" s="196"/>
      <c r="F38" s="11"/>
      <c r="G38" s="12"/>
      <c r="H38" s="196"/>
      <c r="I38" s="196"/>
      <c r="J38" s="11"/>
      <c r="K38" s="12"/>
    </row>
    <row r="39" spans="1:11" ht="15.95" customHeight="1" x14ac:dyDescent="0.25">
      <c r="A39" s="3"/>
      <c r="B39" s="48" t="s">
        <v>55</v>
      </c>
      <c r="C39" s="336" t="s">
        <v>56</v>
      </c>
      <c r="D39" s="196"/>
      <c r="E39" s="196"/>
      <c r="F39" s="11">
        <f t="shared" ref="F39:F45" si="0">SUM(D39:D39)</f>
        <v>0</v>
      </c>
      <c r="G39" s="12"/>
      <c r="H39" s="196"/>
      <c r="I39" s="196"/>
      <c r="J39" s="11">
        <f t="shared" ref="J39:J45" si="1">SUM(H39:H39)</f>
        <v>0</v>
      </c>
      <c r="K39" s="12"/>
    </row>
    <row r="40" spans="1:11" ht="15.95" customHeight="1" x14ac:dyDescent="0.25">
      <c r="A40" s="3"/>
      <c r="B40" s="48" t="s">
        <v>57</v>
      </c>
      <c r="C40" s="336" t="s">
        <v>58</v>
      </c>
      <c r="D40" s="196"/>
      <c r="E40" s="196"/>
      <c r="F40" s="11"/>
      <c r="G40" s="12"/>
      <c r="H40" s="196"/>
      <c r="I40" s="196"/>
      <c r="J40" s="11"/>
      <c r="K40" s="12"/>
    </row>
    <row r="41" spans="1:11" ht="15.95" customHeight="1" x14ac:dyDescent="0.25">
      <c r="A41" s="3" t="s">
        <v>14</v>
      </c>
      <c r="B41" s="421" t="s">
        <v>59</v>
      </c>
      <c r="C41" s="421"/>
      <c r="D41" s="196">
        <f>+F41</f>
        <v>0</v>
      </c>
      <c r="E41" s="196">
        <f>+G41</f>
        <v>0</v>
      </c>
      <c r="F41" s="25">
        <f>SUM(F42:F45)</f>
        <v>0</v>
      </c>
      <c r="G41" s="12"/>
      <c r="H41" s="196">
        <f>+J41</f>
        <v>0</v>
      </c>
      <c r="I41" s="196">
        <f>+K41</f>
        <v>0</v>
      </c>
      <c r="J41" s="25">
        <f>SUM(J42:J45)</f>
        <v>0</v>
      </c>
      <c r="K41" s="12"/>
    </row>
    <row r="42" spans="1:11" ht="15.95" customHeight="1" x14ac:dyDescent="0.25">
      <c r="A42" s="3"/>
      <c r="B42" s="48" t="s">
        <v>60</v>
      </c>
      <c r="C42" s="336" t="s">
        <v>61</v>
      </c>
      <c r="D42" s="196">
        <f>+F42</f>
        <v>0</v>
      </c>
      <c r="E42" s="196">
        <f>+G42</f>
        <v>0</v>
      </c>
      <c r="F42" s="11"/>
      <c r="G42" s="12"/>
      <c r="H42" s="196">
        <f>+J42</f>
        <v>0</v>
      </c>
      <c r="I42" s="196">
        <f>+K42</f>
        <v>0</v>
      </c>
      <c r="J42" s="11"/>
      <c r="K42" s="12"/>
    </row>
    <row r="43" spans="1:11" ht="15.95" customHeight="1" x14ac:dyDescent="0.25">
      <c r="A43" s="3"/>
      <c r="B43" s="48" t="s">
        <v>62</v>
      </c>
      <c r="C43" s="336" t="s">
        <v>63</v>
      </c>
      <c r="D43" s="196"/>
      <c r="E43" s="196"/>
      <c r="F43" s="11">
        <f t="shared" si="0"/>
        <v>0</v>
      </c>
      <c r="G43" s="12"/>
      <c r="H43" s="196"/>
      <c r="I43" s="196"/>
      <c r="J43" s="11">
        <f t="shared" ref="J43:J49" si="2">SUM(H43:H43)</f>
        <v>0</v>
      </c>
      <c r="K43" s="12"/>
    </row>
    <row r="44" spans="1:11" ht="15.95" customHeight="1" x14ac:dyDescent="0.25">
      <c r="A44" s="3"/>
      <c r="B44" s="48" t="s">
        <v>64</v>
      </c>
      <c r="C44" s="336" t="s">
        <v>202</v>
      </c>
      <c r="D44" s="196"/>
      <c r="E44" s="196"/>
      <c r="F44" s="11">
        <f t="shared" si="0"/>
        <v>0</v>
      </c>
      <c r="G44" s="12"/>
      <c r="H44" s="196"/>
      <c r="I44" s="196"/>
      <c r="J44" s="11">
        <f t="shared" si="2"/>
        <v>0</v>
      </c>
      <c r="K44" s="12"/>
    </row>
    <row r="45" spans="1:11" ht="15.95" customHeight="1" x14ac:dyDescent="0.25">
      <c r="A45" s="3"/>
      <c r="B45" s="48" t="s">
        <v>66</v>
      </c>
      <c r="C45" s="336" t="s">
        <v>67</v>
      </c>
      <c r="D45" s="196"/>
      <c r="E45" s="196"/>
      <c r="F45" s="11">
        <f t="shared" si="0"/>
        <v>0</v>
      </c>
      <c r="G45" s="12"/>
      <c r="H45" s="196"/>
      <c r="I45" s="196"/>
      <c r="J45" s="11">
        <f t="shared" si="2"/>
        <v>0</v>
      </c>
      <c r="K45" s="12"/>
    </row>
    <row r="46" spans="1:11" s="224" customFormat="1" ht="15.95" customHeight="1" x14ac:dyDescent="0.25">
      <c r="A46" s="19" t="s">
        <v>0</v>
      </c>
      <c r="B46" s="425" t="s">
        <v>68</v>
      </c>
      <c r="C46" s="425"/>
      <c r="D46" s="196">
        <f>+D32+D33+D37+D41</f>
        <v>1362</v>
      </c>
      <c r="E46" s="196">
        <f>+E32+E33+E37+E41</f>
        <v>1362</v>
      </c>
      <c r="F46" s="196">
        <f>+F32+F33+F37+F41</f>
        <v>0</v>
      </c>
      <c r="G46" s="196">
        <f>+G32+G33+G37+G41</f>
        <v>0</v>
      </c>
      <c r="H46" s="196">
        <f>+H32+H33+H37+H41</f>
        <v>1362</v>
      </c>
      <c r="I46" s="196">
        <f>+I32+I33+I37+I41</f>
        <v>1362</v>
      </c>
      <c r="J46" s="196">
        <f>+J32+J33+J37+J41</f>
        <v>0</v>
      </c>
      <c r="K46" s="196">
        <f>+K32+K33+K37+K41</f>
        <v>0</v>
      </c>
    </row>
    <row r="47" spans="1:11" ht="15.95" customHeight="1" x14ac:dyDescent="0.25">
      <c r="A47" s="3" t="s">
        <v>16</v>
      </c>
      <c r="B47" s="421" t="s">
        <v>69</v>
      </c>
      <c r="C47" s="421"/>
      <c r="D47" s="196">
        <f>SUM(D48:D49)</f>
        <v>0</v>
      </c>
      <c r="E47" s="196">
        <f>SUM(E48:E49)</f>
        <v>0</v>
      </c>
      <c r="F47" s="25">
        <f>SUM(F48:F49)</f>
        <v>0</v>
      </c>
      <c r="G47" s="12"/>
      <c r="H47" s="196">
        <f>SUM(H48:H49)</f>
        <v>0</v>
      </c>
      <c r="I47" s="196">
        <f>SUM(I48:I49)</f>
        <v>0</v>
      </c>
      <c r="J47" s="25">
        <f>SUM(J48:J49)</f>
        <v>0</v>
      </c>
      <c r="K47" s="12"/>
    </row>
    <row r="48" spans="1:11" ht="15.95" customHeight="1" x14ac:dyDescent="0.25">
      <c r="A48" s="3"/>
      <c r="B48" s="48" t="s">
        <v>70</v>
      </c>
      <c r="C48" s="336" t="s">
        <v>71</v>
      </c>
      <c r="D48" s="196"/>
      <c r="E48" s="196"/>
      <c r="F48" s="11">
        <f t="shared" ref="F48:F56" si="3">SUM(D48:D48)</f>
        <v>0</v>
      </c>
      <c r="G48" s="12"/>
      <c r="H48" s="196"/>
      <c r="I48" s="196"/>
      <c r="J48" s="11">
        <f t="shared" ref="J48:J56" si="4">SUM(H48:H48)</f>
        <v>0</v>
      </c>
      <c r="K48" s="12"/>
    </row>
    <row r="49" spans="1:11" ht="15.95" customHeight="1" x14ac:dyDescent="0.25">
      <c r="A49" s="3"/>
      <c r="B49" s="48" t="s">
        <v>72</v>
      </c>
      <c r="C49" s="336" t="s">
        <v>73</v>
      </c>
      <c r="D49" s="196"/>
      <c r="E49" s="196"/>
      <c r="F49" s="11"/>
      <c r="G49" s="12"/>
      <c r="H49" s="196"/>
      <c r="I49" s="196"/>
      <c r="J49" s="11"/>
      <c r="K49" s="12"/>
    </row>
    <row r="50" spans="1:11" ht="15.95" customHeight="1" x14ac:dyDescent="0.25">
      <c r="A50" s="3" t="s">
        <v>27</v>
      </c>
      <c r="B50" s="421" t="s">
        <v>74</v>
      </c>
      <c r="C50" s="421"/>
      <c r="D50" s="196">
        <f>SUM(D51:D52)</f>
        <v>0</v>
      </c>
      <c r="E50" s="196">
        <f>SUM(E51:E52)</f>
        <v>0</v>
      </c>
      <c r="F50" s="11">
        <f t="shared" si="3"/>
        <v>0</v>
      </c>
      <c r="G50" s="12"/>
      <c r="H50" s="196">
        <f>SUM(H51:H52)</f>
        <v>0</v>
      </c>
      <c r="I50" s="196">
        <f>SUM(I51:I52)</f>
        <v>0</v>
      </c>
      <c r="J50" s="11">
        <f t="shared" ref="J50:J58" si="5">SUM(H50:H50)</f>
        <v>0</v>
      </c>
      <c r="K50" s="12"/>
    </row>
    <row r="51" spans="1:11" ht="15.95" customHeight="1" x14ac:dyDescent="0.25">
      <c r="A51" s="3"/>
      <c r="B51" s="48" t="s">
        <v>75</v>
      </c>
      <c r="C51" s="336" t="s">
        <v>76</v>
      </c>
      <c r="D51" s="196"/>
      <c r="E51" s="196"/>
      <c r="F51" s="11">
        <f t="shared" si="3"/>
        <v>0</v>
      </c>
      <c r="G51" s="12"/>
      <c r="H51" s="196"/>
      <c r="I51" s="196"/>
      <c r="J51" s="11">
        <f t="shared" si="5"/>
        <v>0</v>
      </c>
      <c r="K51" s="12"/>
    </row>
    <row r="52" spans="1:11" ht="15.95" customHeight="1" x14ac:dyDescent="0.25">
      <c r="A52" s="3"/>
      <c r="B52" s="48" t="s">
        <v>77</v>
      </c>
      <c r="C52" s="336" t="s">
        <v>78</v>
      </c>
      <c r="D52" s="196">
        <v>0</v>
      </c>
      <c r="E52" s="196">
        <v>0</v>
      </c>
      <c r="F52" s="11">
        <f t="shared" si="3"/>
        <v>0</v>
      </c>
      <c r="G52" s="12"/>
      <c r="H52" s="196">
        <v>0</v>
      </c>
      <c r="I52" s="196">
        <v>0</v>
      </c>
      <c r="J52" s="11">
        <f t="shared" si="5"/>
        <v>0</v>
      </c>
      <c r="K52" s="12"/>
    </row>
    <row r="53" spans="1:11" ht="15.95" customHeight="1" x14ac:dyDescent="0.25">
      <c r="A53" s="3" t="s">
        <v>29</v>
      </c>
      <c r="B53" s="421" t="s">
        <v>79</v>
      </c>
      <c r="C53" s="421"/>
      <c r="D53" s="196">
        <f>SUM(D54:D56)</f>
        <v>0</v>
      </c>
      <c r="E53" s="196">
        <f>SUM(E54:E56)</f>
        <v>0</v>
      </c>
      <c r="F53" s="11">
        <f>SUM(F54:F56)</f>
        <v>0</v>
      </c>
      <c r="G53" s="12"/>
      <c r="H53" s="196">
        <f>SUM(H54:H56)</f>
        <v>0</v>
      </c>
      <c r="I53" s="196">
        <f>SUM(I54:I56)</f>
        <v>0</v>
      </c>
      <c r="J53" s="11">
        <f>SUM(J54:J56)</f>
        <v>0</v>
      </c>
      <c r="K53" s="12"/>
    </row>
    <row r="54" spans="1:11" ht="15.95" customHeight="1" x14ac:dyDescent="0.25">
      <c r="A54" s="3"/>
      <c r="B54" s="48" t="s">
        <v>80</v>
      </c>
      <c r="C54" s="336" t="s">
        <v>81</v>
      </c>
      <c r="D54" s="196"/>
      <c r="E54" s="196"/>
      <c r="F54" s="11"/>
      <c r="G54" s="12"/>
      <c r="H54" s="196"/>
      <c r="I54" s="196"/>
      <c r="J54" s="11"/>
      <c r="K54" s="12"/>
    </row>
    <row r="55" spans="1:11" ht="15.95" customHeight="1" x14ac:dyDescent="0.25">
      <c r="A55" s="3"/>
      <c r="B55" s="48" t="s">
        <v>82</v>
      </c>
      <c r="C55" s="336" t="s">
        <v>83</v>
      </c>
      <c r="D55" s="196"/>
      <c r="E55" s="196"/>
      <c r="F55" s="11">
        <f t="shared" si="3"/>
        <v>0</v>
      </c>
      <c r="G55" s="12"/>
      <c r="H55" s="196"/>
      <c r="I55" s="196"/>
      <c r="J55" s="11">
        <f t="shared" ref="J55:J63" si="6">SUM(H55:H55)</f>
        <v>0</v>
      </c>
      <c r="K55" s="12"/>
    </row>
    <row r="56" spans="1:11" ht="15.95" customHeight="1" x14ac:dyDescent="0.25">
      <c r="A56" s="3"/>
      <c r="B56" s="48" t="s">
        <v>84</v>
      </c>
      <c r="C56" s="336" t="s">
        <v>85</v>
      </c>
      <c r="D56" s="196"/>
      <c r="E56" s="196"/>
      <c r="F56" s="11">
        <f t="shared" si="3"/>
        <v>0</v>
      </c>
      <c r="G56" s="12"/>
      <c r="H56" s="196"/>
      <c r="I56" s="196"/>
      <c r="J56" s="11">
        <f t="shared" si="6"/>
        <v>0</v>
      </c>
      <c r="K56" s="12"/>
    </row>
    <row r="57" spans="1:11" s="224" customFormat="1" ht="15.95" customHeight="1" x14ac:dyDescent="0.25">
      <c r="A57" s="19" t="s">
        <v>33</v>
      </c>
      <c r="B57" s="425" t="s">
        <v>86</v>
      </c>
      <c r="C57" s="425"/>
      <c r="D57" s="200">
        <f>+D47+D50+D53</f>
        <v>0</v>
      </c>
      <c r="E57" s="200">
        <f>+E47+E50+E53</f>
        <v>0</v>
      </c>
      <c r="F57" s="26">
        <f>+F47+F50+F53</f>
        <v>0</v>
      </c>
      <c r="G57" s="205">
        <f>+G47+G50+G53</f>
        <v>0</v>
      </c>
      <c r="H57" s="200">
        <f>+H47+H50+H53</f>
        <v>0</v>
      </c>
      <c r="I57" s="200">
        <f>+I47+I50+I53</f>
        <v>0</v>
      </c>
      <c r="J57" s="26">
        <f>+J47+J50+J53</f>
        <v>0</v>
      </c>
      <c r="K57" s="205">
        <f>+K47+K50+K53</f>
        <v>0</v>
      </c>
    </row>
    <row r="58" spans="1:11" s="224" customFormat="1" ht="15.95" customHeight="1" x14ac:dyDescent="0.25">
      <c r="A58" s="19" t="s">
        <v>35</v>
      </c>
      <c r="B58" s="425" t="s">
        <v>87</v>
      </c>
      <c r="C58" s="425"/>
      <c r="D58" s="200"/>
      <c r="E58" s="200"/>
      <c r="F58" s="206"/>
      <c r="G58" s="207"/>
      <c r="H58" s="200"/>
      <c r="I58" s="200"/>
      <c r="J58" s="206"/>
      <c r="K58" s="207"/>
    </row>
    <row r="59" spans="1:11" s="224" customFormat="1" ht="15.95" customHeight="1" x14ac:dyDescent="0.25">
      <c r="A59" s="19" t="s">
        <v>36</v>
      </c>
      <c r="B59" s="425" t="s">
        <v>88</v>
      </c>
      <c r="C59" s="425"/>
      <c r="D59" s="200"/>
      <c r="E59" s="200"/>
      <c r="F59" s="206"/>
      <c r="G59" s="207"/>
      <c r="H59" s="200"/>
      <c r="I59" s="200"/>
      <c r="J59" s="206"/>
      <c r="K59" s="207"/>
    </row>
    <row r="60" spans="1:11" s="226" customFormat="1" ht="15.95" customHeight="1" x14ac:dyDescent="0.3">
      <c r="A60" s="29" t="s">
        <v>89</v>
      </c>
      <c r="B60" s="418" t="s">
        <v>90</v>
      </c>
      <c r="C60" s="418"/>
      <c r="D60" s="202">
        <f>+D46+D57+D58+D59</f>
        <v>1362</v>
      </c>
      <c r="E60" s="202">
        <f>+E46+E57+E58+E59</f>
        <v>1362</v>
      </c>
      <c r="F60" s="59">
        <f>+F46+F57+F58+F59</f>
        <v>0</v>
      </c>
      <c r="G60" s="60">
        <f>+G46+G57+G58+G59</f>
        <v>0</v>
      </c>
      <c r="H60" s="202">
        <f>+H46+H57+H58+H59</f>
        <v>1362</v>
      </c>
      <c r="I60" s="202">
        <f>+I46+I57+I58+I59</f>
        <v>1362</v>
      </c>
      <c r="J60" s="59">
        <f>+J46+J57+J58+J59</f>
        <v>0</v>
      </c>
      <c r="K60" s="60">
        <f>+K46+K57+K58+K59</f>
        <v>0</v>
      </c>
    </row>
    <row r="61" spans="1:11" s="226" customFormat="1" ht="15.95" customHeight="1" x14ac:dyDescent="0.3">
      <c r="A61" s="29"/>
      <c r="B61" s="418" t="s">
        <v>91</v>
      </c>
      <c r="C61" s="418"/>
      <c r="D61" s="202">
        <f>+D29-D60</f>
        <v>53112</v>
      </c>
      <c r="E61" s="202">
        <f>+E29-E60</f>
        <v>53112</v>
      </c>
      <c r="F61" s="59">
        <f>+F29-F60</f>
        <v>0</v>
      </c>
      <c r="G61" s="60">
        <f>+G29-G60</f>
        <v>0</v>
      </c>
      <c r="H61" s="202">
        <f>+H29-H60</f>
        <v>55495</v>
      </c>
      <c r="I61" s="202">
        <f>+I29-I60</f>
        <v>55495</v>
      </c>
      <c r="J61" s="59">
        <f>+J29-J60</f>
        <v>0</v>
      </c>
      <c r="K61" s="60">
        <f>+K29-K60</f>
        <v>0</v>
      </c>
    </row>
    <row r="62" spans="1:11" s="226" customFormat="1" ht="15.95" customHeight="1" x14ac:dyDescent="0.3">
      <c r="A62" s="29"/>
      <c r="B62" s="425" t="s">
        <v>92</v>
      </c>
      <c r="C62" s="425"/>
      <c r="D62" s="202">
        <v>51662</v>
      </c>
      <c r="E62" s="202">
        <v>51662</v>
      </c>
      <c r="F62" s="59"/>
      <c r="G62" s="60"/>
      <c r="H62" s="202">
        <v>54219</v>
      </c>
      <c r="I62" s="202">
        <v>54219</v>
      </c>
      <c r="J62" s="59"/>
      <c r="K62" s="60"/>
    </row>
    <row r="63" spans="1:11" ht="15.95" customHeight="1" x14ac:dyDescent="0.25">
      <c r="A63" s="19" t="s">
        <v>37</v>
      </c>
      <c r="B63" s="425" t="s">
        <v>93</v>
      </c>
      <c r="C63" s="425"/>
      <c r="D63" s="196">
        <f>D64+D65</f>
        <v>1450</v>
      </c>
      <c r="E63" s="196">
        <f>E64+E65</f>
        <v>1450</v>
      </c>
      <c r="F63" s="11"/>
      <c r="G63" s="14"/>
      <c r="H63" s="196">
        <f>H64+H65</f>
        <v>1276</v>
      </c>
      <c r="I63" s="196">
        <f>I64+I65</f>
        <v>1276</v>
      </c>
      <c r="J63" s="11"/>
      <c r="K63" s="14"/>
    </row>
    <row r="64" spans="1:11" s="226" customFormat="1" ht="15.95" customHeight="1" x14ac:dyDescent="0.3">
      <c r="A64" s="29"/>
      <c r="B64" s="61" t="s">
        <v>41</v>
      </c>
      <c r="C64" s="336" t="s">
        <v>94</v>
      </c>
      <c r="D64" s="196">
        <v>1450</v>
      </c>
      <c r="E64" s="196">
        <v>1450</v>
      </c>
      <c r="F64" s="68"/>
      <c r="G64" s="62"/>
      <c r="H64" s="196">
        <v>1276</v>
      </c>
      <c r="I64" s="196">
        <v>1276</v>
      </c>
      <c r="J64" s="68"/>
      <c r="K64" s="62"/>
    </row>
    <row r="65" spans="1:11" s="226" customFormat="1" ht="15.95" customHeight="1" x14ac:dyDescent="0.3">
      <c r="A65" s="29"/>
      <c r="B65" s="61" t="s">
        <v>43</v>
      </c>
      <c r="C65" s="336" t="s">
        <v>95</v>
      </c>
      <c r="D65" s="208"/>
      <c r="E65" s="208"/>
      <c r="F65" s="11"/>
      <c r="G65" s="62"/>
      <c r="H65" s="208"/>
      <c r="I65" s="208"/>
      <c r="J65" s="11"/>
      <c r="K65" s="62"/>
    </row>
    <row r="66" spans="1:11" s="226" customFormat="1" ht="39.75" customHeight="1" x14ac:dyDescent="0.3">
      <c r="A66" s="29" t="s">
        <v>96</v>
      </c>
      <c r="B66" s="423" t="s">
        <v>97</v>
      </c>
      <c r="C66" s="423"/>
      <c r="D66" s="202">
        <f>+D63</f>
        <v>1450</v>
      </c>
      <c r="E66" s="202">
        <f>+E63</f>
        <v>1450</v>
      </c>
      <c r="F66" s="59">
        <f>+F63</f>
        <v>0</v>
      </c>
      <c r="G66" s="62"/>
      <c r="H66" s="202">
        <f>+H63</f>
        <v>1276</v>
      </c>
      <c r="I66" s="202">
        <f>+I63</f>
        <v>1276</v>
      </c>
      <c r="J66" s="59">
        <f>+J63</f>
        <v>0</v>
      </c>
      <c r="K66" s="62"/>
    </row>
    <row r="67" spans="1:11" s="226" customFormat="1" ht="15.95" customHeight="1" x14ac:dyDescent="0.3">
      <c r="A67" s="3" t="s">
        <v>98</v>
      </c>
      <c r="B67" s="421" t="s">
        <v>99</v>
      </c>
      <c r="C67" s="421"/>
      <c r="D67" s="202"/>
      <c r="E67" s="202"/>
      <c r="F67" s="64">
        <f t="shared" ref="F67:F80" si="7">SUM(D67:E67)</f>
        <v>0</v>
      </c>
      <c r="G67" s="65"/>
      <c r="H67" s="202"/>
      <c r="I67" s="202"/>
      <c r="J67" s="64">
        <f t="shared" ref="J67:J80" si="8">SUM(H67:I67)</f>
        <v>0</v>
      </c>
      <c r="K67" s="65"/>
    </row>
    <row r="68" spans="1:11" s="226" customFormat="1" ht="15.95" customHeight="1" x14ac:dyDescent="0.3">
      <c r="A68" s="3" t="s">
        <v>100</v>
      </c>
      <c r="B68" s="421" t="s">
        <v>101</v>
      </c>
      <c r="C68" s="421"/>
      <c r="D68" s="202">
        <f>SUM(D69:D72)</f>
        <v>0</v>
      </c>
      <c r="E68" s="202">
        <f>SUM(E69:E72)</f>
        <v>0</v>
      </c>
      <c r="F68" s="64">
        <f t="shared" si="7"/>
        <v>0</v>
      </c>
      <c r="G68" s="65"/>
      <c r="H68" s="202">
        <f>SUM(H69:H72)</f>
        <v>0</v>
      </c>
      <c r="I68" s="202">
        <f>SUM(I69:I72)</f>
        <v>0</v>
      </c>
      <c r="J68" s="64">
        <f t="shared" si="8"/>
        <v>0</v>
      </c>
      <c r="K68" s="65"/>
    </row>
    <row r="69" spans="1:11" s="226" customFormat="1" ht="15.95" customHeight="1" x14ac:dyDescent="0.3">
      <c r="A69" s="3"/>
      <c r="B69" s="48" t="s">
        <v>41</v>
      </c>
      <c r="C69" s="336" t="s">
        <v>203</v>
      </c>
      <c r="D69" s="208"/>
      <c r="E69" s="208"/>
      <c r="F69" s="68">
        <f t="shared" si="7"/>
        <v>0</v>
      </c>
      <c r="G69" s="65"/>
      <c r="H69" s="208"/>
      <c r="I69" s="208"/>
      <c r="J69" s="68">
        <f t="shared" si="8"/>
        <v>0</v>
      </c>
      <c r="K69" s="65"/>
    </row>
    <row r="70" spans="1:11" s="226" customFormat="1" ht="15.95" customHeight="1" x14ac:dyDescent="0.3">
      <c r="A70" s="3"/>
      <c r="B70" s="48" t="s">
        <v>43</v>
      </c>
      <c r="C70" s="336" t="s">
        <v>103</v>
      </c>
      <c r="D70" s="202"/>
      <c r="E70" s="202"/>
      <c r="F70" s="64">
        <f t="shared" si="7"/>
        <v>0</v>
      </c>
      <c r="G70" s="65"/>
      <c r="H70" s="202"/>
      <c r="I70" s="202"/>
      <c r="J70" s="64">
        <f t="shared" si="8"/>
        <v>0</v>
      </c>
      <c r="K70" s="65"/>
    </row>
    <row r="71" spans="1:11" s="226" customFormat="1" ht="15.95" customHeight="1" x14ac:dyDescent="0.3">
      <c r="A71" s="3"/>
      <c r="B71" s="48" t="s">
        <v>51</v>
      </c>
      <c r="C71" s="336" t="s">
        <v>104</v>
      </c>
      <c r="D71" s="208"/>
      <c r="E71" s="208"/>
      <c r="F71" s="64"/>
      <c r="G71" s="65"/>
      <c r="H71" s="208"/>
      <c r="I71" s="208"/>
      <c r="J71" s="64"/>
      <c r="K71" s="65"/>
    </row>
    <row r="72" spans="1:11" s="226" customFormat="1" ht="15.95" customHeight="1" x14ac:dyDescent="0.3">
      <c r="A72" s="3"/>
      <c r="B72" s="48" t="s">
        <v>14</v>
      </c>
      <c r="C72" s="336" t="s">
        <v>105</v>
      </c>
      <c r="D72" s="208"/>
      <c r="E72" s="208"/>
      <c r="F72" s="64"/>
      <c r="G72" s="65"/>
      <c r="H72" s="208"/>
      <c r="I72" s="208"/>
      <c r="J72" s="64"/>
      <c r="K72" s="65"/>
    </row>
    <row r="73" spans="1:11" s="226" customFormat="1" ht="33" customHeight="1" x14ac:dyDescent="0.3">
      <c r="A73" s="29" t="s">
        <v>106</v>
      </c>
      <c r="B73" s="422" t="s">
        <v>107</v>
      </c>
      <c r="C73" s="422"/>
      <c r="D73" s="202">
        <f>+D67+D68</f>
        <v>0</v>
      </c>
      <c r="E73" s="202">
        <f>+E67+E68</f>
        <v>0</v>
      </c>
      <c r="F73" s="64">
        <f t="shared" si="7"/>
        <v>0</v>
      </c>
      <c r="G73" s="65"/>
      <c r="H73" s="202">
        <f>+H67+H68</f>
        <v>0</v>
      </c>
      <c r="I73" s="202">
        <f>+I67+I68</f>
        <v>0</v>
      </c>
      <c r="J73" s="64">
        <f t="shared" ref="J73:J82" si="9">SUM(H73:I73)</f>
        <v>0</v>
      </c>
      <c r="K73" s="65"/>
    </row>
    <row r="74" spans="1:11" s="226" customFormat="1" ht="15.95" customHeight="1" x14ac:dyDescent="0.3">
      <c r="A74" s="29" t="s">
        <v>108</v>
      </c>
      <c r="B74" s="418" t="s">
        <v>109</v>
      </c>
      <c r="C74" s="418"/>
      <c r="D74" s="63">
        <f>+D66+D73+D62</f>
        <v>53112</v>
      </c>
      <c r="E74" s="63">
        <f>+E66+E73+E62</f>
        <v>53112</v>
      </c>
      <c r="F74" s="63">
        <f>+F66+F73+F62</f>
        <v>0</v>
      </c>
      <c r="G74" s="65"/>
      <c r="H74" s="63">
        <f>+H66+H73+H62</f>
        <v>55495</v>
      </c>
      <c r="I74" s="63">
        <f>+I66+I73+I62</f>
        <v>55495</v>
      </c>
      <c r="J74" s="63">
        <f>+J66+J73+J62</f>
        <v>0</v>
      </c>
      <c r="K74" s="65"/>
    </row>
    <row r="75" spans="1:11" s="226" customFormat="1" ht="15.95" customHeight="1" x14ac:dyDescent="0.3">
      <c r="A75" s="3" t="s">
        <v>110</v>
      </c>
      <c r="B75" s="421" t="s">
        <v>204</v>
      </c>
      <c r="C75" s="421"/>
      <c r="D75" s="202"/>
      <c r="E75" s="202"/>
      <c r="F75" s="64">
        <f t="shared" si="7"/>
        <v>0</v>
      </c>
      <c r="G75" s="65"/>
      <c r="H75" s="202"/>
      <c r="I75" s="202"/>
      <c r="J75" s="64">
        <f t="shared" ref="J75:J82" si="10">SUM(H75:I75)</f>
        <v>0</v>
      </c>
      <c r="K75" s="65"/>
    </row>
    <row r="76" spans="1:11" s="226" customFormat="1" ht="15.95" customHeight="1" x14ac:dyDescent="0.3">
      <c r="A76" s="3" t="s">
        <v>112</v>
      </c>
      <c r="B76" s="421" t="s">
        <v>113</v>
      </c>
      <c r="C76" s="421"/>
      <c r="D76" s="208">
        <f>SUM(D77:D79)</f>
        <v>0</v>
      </c>
      <c r="E76" s="208">
        <f>SUM(E77:E79)</f>
        <v>0</v>
      </c>
      <c r="F76" s="68">
        <f t="shared" si="7"/>
        <v>0</v>
      </c>
      <c r="G76" s="65"/>
      <c r="H76" s="208">
        <f>SUM(H77:H79)</f>
        <v>0</v>
      </c>
      <c r="I76" s="208">
        <f>SUM(I77:I79)</f>
        <v>0</v>
      </c>
      <c r="J76" s="68">
        <f t="shared" si="10"/>
        <v>0</v>
      </c>
      <c r="K76" s="65"/>
    </row>
    <row r="77" spans="1:11" s="226" customFormat="1" ht="15.95" customHeight="1" x14ac:dyDescent="0.3">
      <c r="A77" s="3"/>
      <c r="B77" s="48" t="s">
        <v>41</v>
      </c>
      <c r="C77" s="336" t="s">
        <v>205</v>
      </c>
      <c r="D77" s="208"/>
      <c r="E77" s="208"/>
      <c r="F77" s="68">
        <f t="shared" si="7"/>
        <v>0</v>
      </c>
      <c r="G77" s="65"/>
      <c r="H77" s="208"/>
      <c r="I77" s="208"/>
      <c r="J77" s="68">
        <f t="shared" si="10"/>
        <v>0</v>
      </c>
      <c r="K77" s="65"/>
    </row>
    <row r="78" spans="1:11" s="226" customFormat="1" ht="15.95" customHeight="1" x14ac:dyDescent="0.3">
      <c r="A78" s="3"/>
      <c r="B78" s="48" t="s">
        <v>43</v>
      </c>
      <c r="C78" s="336" t="s">
        <v>206</v>
      </c>
      <c r="D78" s="208"/>
      <c r="E78" s="208"/>
      <c r="F78" s="68">
        <f t="shared" si="7"/>
        <v>0</v>
      </c>
      <c r="G78" s="65"/>
      <c r="H78" s="208"/>
      <c r="I78" s="208"/>
      <c r="J78" s="68">
        <f t="shared" si="10"/>
        <v>0</v>
      </c>
      <c r="K78" s="65"/>
    </row>
    <row r="79" spans="1:11" s="226" customFormat="1" ht="15.95" customHeight="1" x14ac:dyDescent="0.3">
      <c r="A79" s="3"/>
      <c r="B79" s="48" t="s">
        <v>51</v>
      </c>
      <c r="C79" s="336" t="s">
        <v>116</v>
      </c>
      <c r="D79" s="208"/>
      <c r="E79" s="208"/>
      <c r="F79" s="68">
        <f t="shared" si="7"/>
        <v>0</v>
      </c>
      <c r="G79" s="65"/>
      <c r="H79" s="208"/>
      <c r="I79" s="208"/>
      <c r="J79" s="68">
        <f t="shared" si="10"/>
        <v>0</v>
      </c>
      <c r="K79" s="65"/>
    </row>
    <row r="80" spans="1:11" s="226" customFormat="1" ht="15.95" customHeight="1" x14ac:dyDescent="0.3">
      <c r="A80" s="29" t="s">
        <v>118</v>
      </c>
      <c r="B80" s="418" t="s">
        <v>207</v>
      </c>
      <c r="C80" s="418"/>
      <c r="D80" s="202">
        <f>+D75+D76</f>
        <v>0</v>
      </c>
      <c r="E80" s="202">
        <f>+E75+E76</f>
        <v>0</v>
      </c>
      <c r="F80" s="64">
        <f t="shared" si="7"/>
        <v>0</v>
      </c>
      <c r="G80" s="65"/>
      <c r="H80" s="202">
        <f>+H75+H76</f>
        <v>0</v>
      </c>
      <c r="I80" s="202">
        <f>+I75+I76</f>
        <v>0</v>
      </c>
      <c r="J80" s="64">
        <f t="shared" si="10"/>
        <v>0</v>
      </c>
      <c r="K80" s="65"/>
    </row>
    <row r="81" spans="1:11" s="226" customFormat="1" ht="15.95" customHeight="1" x14ac:dyDescent="0.3">
      <c r="A81" s="29" t="s">
        <v>120</v>
      </c>
      <c r="B81" s="418" t="s">
        <v>121</v>
      </c>
      <c r="C81" s="418"/>
      <c r="D81" s="209">
        <f>+D29+D80</f>
        <v>54474</v>
      </c>
      <c r="E81" s="209">
        <f>+E29+E80</f>
        <v>54474</v>
      </c>
      <c r="F81" s="209">
        <f>+F29+F80</f>
        <v>0</v>
      </c>
      <c r="G81" s="209">
        <f>+G29+G80</f>
        <v>0</v>
      </c>
      <c r="H81" s="209">
        <f>+H29+H80</f>
        <v>56857</v>
      </c>
      <c r="I81" s="209">
        <f>+I29+I80</f>
        <v>56857</v>
      </c>
      <c r="J81" s="209">
        <f>+J29+J80</f>
        <v>0</v>
      </c>
      <c r="K81" s="209">
        <f>+K29+K80</f>
        <v>0</v>
      </c>
    </row>
    <row r="82" spans="1:11" s="226" customFormat="1" ht="15.95" customHeight="1" thickBot="1" x14ac:dyDescent="0.35">
      <c r="A82" s="210" t="s">
        <v>122</v>
      </c>
      <c r="B82" s="211" t="s">
        <v>123</v>
      </c>
      <c r="C82" s="211"/>
      <c r="D82" s="212">
        <f>+D60+D74</f>
        <v>54474</v>
      </c>
      <c r="E82" s="212">
        <f>+E60+E74</f>
        <v>54474</v>
      </c>
      <c r="F82" s="212">
        <f>+F60+F74</f>
        <v>0</v>
      </c>
      <c r="G82" s="212">
        <f>+G60+G74</f>
        <v>0</v>
      </c>
      <c r="H82" s="212">
        <f>+H60+H74</f>
        <v>56857</v>
      </c>
      <c r="I82" s="212">
        <f>+I60+I74</f>
        <v>56857</v>
      </c>
      <c r="J82" s="212">
        <f>+J60+J74</f>
        <v>0</v>
      </c>
      <c r="K82" s="212">
        <f>+K60+K74</f>
        <v>0</v>
      </c>
    </row>
    <row r="83" spans="1:11" ht="20.100000000000001" customHeight="1" x14ac:dyDescent="0.25">
      <c r="B83" s="77"/>
      <c r="C83" s="77"/>
      <c r="D83" s="78"/>
      <c r="E83" s="78"/>
      <c r="F83" s="78"/>
    </row>
    <row r="84" spans="1:11" ht="20.100000000000001" customHeight="1" x14ac:dyDescent="0.25">
      <c r="B84" s="77"/>
      <c r="C84" s="77"/>
      <c r="D84" s="79">
        <f>+D82-D81</f>
        <v>0</v>
      </c>
      <c r="E84" s="79">
        <f>+E82-E81</f>
        <v>0</v>
      </c>
      <c r="F84" s="79">
        <f>+F82-F81</f>
        <v>0</v>
      </c>
      <c r="G84" s="79">
        <f>+G82-G81</f>
        <v>0</v>
      </c>
      <c r="H84" s="339">
        <f>SUM(E84:G84)</f>
        <v>0</v>
      </c>
    </row>
    <row r="85" spans="1:11" ht="20.100000000000001" customHeight="1" x14ac:dyDescent="0.25">
      <c r="B85" s="77"/>
      <c r="C85" s="77"/>
      <c r="D85" s="78"/>
      <c r="E85" s="78"/>
      <c r="F85" s="78"/>
    </row>
    <row r="86" spans="1:11" ht="20.100000000000001" customHeight="1" x14ac:dyDescent="0.25">
      <c r="B86" s="77"/>
      <c r="C86" s="77"/>
      <c r="D86" s="78"/>
      <c r="E86" s="78"/>
      <c r="F86" s="78"/>
    </row>
    <row r="87" spans="1:11" ht="20.100000000000001" customHeight="1" x14ac:dyDescent="0.25">
      <c r="B87" s="77"/>
      <c r="C87" s="77"/>
      <c r="D87" s="78"/>
      <c r="E87" s="78"/>
      <c r="F87" s="78"/>
    </row>
    <row r="88" spans="1:11" ht="20.100000000000001" customHeight="1" x14ac:dyDescent="0.25">
      <c r="B88" s="77"/>
      <c r="C88" s="77"/>
      <c r="D88" s="78"/>
      <c r="E88" s="78"/>
      <c r="F88" s="78"/>
    </row>
    <row r="89" spans="1:11" ht="20.100000000000001" customHeight="1" x14ac:dyDescent="0.25">
      <c r="B89" s="77"/>
      <c r="C89" s="77"/>
      <c r="D89" s="78"/>
      <c r="E89" s="78"/>
      <c r="F89" s="78"/>
    </row>
    <row r="90" spans="1:11" ht="20.100000000000001" customHeight="1" x14ac:dyDescent="0.25">
      <c r="B90" s="77"/>
      <c r="C90" s="77"/>
      <c r="D90" s="78"/>
      <c r="E90" s="78"/>
      <c r="F90" s="78"/>
    </row>
    <row r="91" spans="1:11" ht="20.100000000000001" customHeight="1" x14ac:dyDescent="0.25">
      <c r="B91" s="77"/>
      <c r="C91" s="77"/>
      <c r="D91" s="78"/>
      <c r="E91" s="78"/>
      <c r="F91" s="78"/>
    </row>
    <row r="92" spans="1:11" ht="20.100000000000001" customHeight="1" x14ac:dyDescent="0.25">
      <c r="B92" s="77"/>
      <c r="C92" s="77"/>
      <c r="D92" s="78"/>
      <c r="E92" s="78"/>
      <c r="F92" s="78"/>
    </row>
    <row r="93" spans="1:11" ht="20.100000000000001" customHeight="1" x14ac:dyDescent="0.25">
      <c r="B93" s="77"/>
      <c r="C93" s="77"/>
      <c r="D93" s="78"/>
      <c r="E93" s="78"/>
      <c r="F93" s="78"/>
    </row>
    <row r="94" spans="1:11" ht="20.100000000000001" customHeight="1" x14ac:dyDescent="0.25">
      <c r="B94" s="77"/>
      <c r="C94" s="77"/>
      <c r="D94" s="78"/>
      <c r="E94" s="78"/>
      <c r="F94" s="78"/>
    </row>
    <row r="95" spans="1:11" ht="20.100000000000001" customHeight="1" x14ac:dyDescent="0.25">
      <c r="B95" s="77"/>
      <c r="C95" s="77"/>
      <c r="D95" s="78"/>
      <c r="E95" s="78"/>
      <c r="F95" s="78"/>
    </row>
    <row r="96" spans="1:11" ht="20.100000000000001" customHeight="1" x14ac:dyDescent="0.25">
      <c r="B96" s="77"/>
      <c r="C96" s="77"/>
      <c r="D96" s="78"/>
      <c r="E96" s="78"/>
      <c r="F96" s="78"/>
    </row>
    <row r="97" spans="2:6" ht="20.100000000000001" customHeight="1" x14ac:dyDescent="0.25">
      <c r="B97" s="77"/>
      <c r="C97" s="77"/>
      <c r="D97" s="78"/>
      <c r="E97" s="78"/>
      <c r="F97" s="78"/>
    </row>
    <row r="98" spans="2:6" ht="20.100000000000001" customHeight="1" x14ac:dyDescent="0.25">
      <c r="B98" s="77"/>
      <c r="C98" s="77"/>
      <c r="D98" s="78"/>
      <c r="E98" s="78"/>
      <c r="F98" s="78"/>
    </row>
    <row r="99" spans="2:6" ht="20.100000000000001" customHeight="1" x14ac:dyDescent="0.25">
      <c r="B99" s="77"/>
      <c r="C99" s="77"/>
      <c r="D99" s="78"/>
      <c r="E99" s="78"/>
      <c r="F99" s="78"/>
    </row>
    <row r="100" spans="2:6" ht="20.100000000000001" customHeight="1" x14ac:dyDescent="0.25">
      <c r="B100" s="77"/>
      <c r="C100" s="77"/>
      <c r="D100" s="78"/>
      <c r="E100" s="78"/>
      <c r="F100" s="78"/>
    </row>
    <row r="101" spans="2:6" ht="20.100000000000001" customHeight="1" x14ac:dyDescent="0.25">
      <c r="B101" s="77"/>
      <c r="C101" s="77"/>
      <c r="D101" s="78"/>
      <c r="E101" s="78"/>
      <c r="F101" s="78"/>
    </row>
    <row r="102" spans="2:6" ht="20.100000000000001" customHeight="1" x14ac:dyDescent="0.25">
      <c r="B102" s="77"/>
      <c r="C102" s="77"/>
      <c r="D102" s="78"/>
      <c r="E102" s="78"/>
      <c r="F102" s="78"/>
    </row>
    <row r="103" spans="2:6" ht="20.100000000000001" customHeight="1" x14ac:dyDescent="0.25">
      <c r="B103" s="77"/>
      <c r="C103" s="77"/>
      <c r="D103" s="78"/>
      <c r="E103" s="78"/>
      <c r="F103" s="78"/>
    </row>
    <row r="104" spans="2:6" ht="20.100000000000001" customHeight="1" x14ac:dyDescent="0.25">
      <c r="B104" s="77"/>
      <c r="C104" s="77"/>
      <c r="D104" s="78"/>
      <c r="E104" s="78"/>
      <c r="F104" s="78"/>
    </row>
    <row r="105" spans="2:6" ht="20.100000000000001" customHeight="1" x14ac:dyDescent="0.25"/>
  </sheetData>
  <mergeCells count="63">
    <mergeCell ref="J6:J7"/>
    <mergeCell ref="K6:K7"/>
    <mergeCell ref="H8:J8"/>
    <mergeCell ref="A6:A8"/>
    <mergeCell ref="B6:C8"/>
    <mergeCell ref="D6:D7"/>
    <mergeCell ref="E6:E7"/>
    <mergeCell ref="F6:F7"/>
    <mergeCell ref="A1:F1"/>
    <mergeCell ref="A2:F2"/>
    <mergeCell ref="A3:G3"/>
    <mergeCell ref="A4:F4"/>
    <mergeCell ref="A5:F5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0:C50"/>
    <mergeCell ref="B53:C53"/>
    <mergeCell ref="B57:C57"/>
    <mergeCell ref="B58:C58"/>
    <mergeCell ref="B59:C59"/>
    <mergeCell ref="B33:C33"/>
    <mergeCell ref="B37:C37"/>
    <mergeCell ref="B41:C41"/>
    <mergeCell ref="B46:C46"/>
    <mergeCell ref="B47:C47"/>
    <mergeCell ref="H6:H7"/>
    <mergeCell ref="I6:I7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B60:C60"/>
    <mergeCell ref="B32:C3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19"/>
  <sheetViews>
    <sheetView topLeftCell="A91" workbookViewId="0">
      <selection activeCell="O108" sqref="O108"/>
    </sheetView>
  </sheetViews>
  <sheetFormatPr defaultRowHeight="15" x14ac:dyDescent="0.25"/>
  <cols>
    <col min="5" max="5" width="20" customWidth="1"/>
    <col min="6" max="6" width="14.42578125" style="213" customWidth="1"/>
    <col min="7" max="7" width="12.28515625" style="213" customWidth="1"/>
    <col min="8" max="8" width="15.85546875" bestFit="1" customWidth="1"/>
    <col min="9" max="9" width="13.85546875" bestFit="1" customWidth="1"/>
    <col min="10" max="10" width="12.42578125" bestFit="1" customWidth="1"/>
    <col min="11" max="11" width="13.85546875" bestFit="1" customWidth="1"/>
    <col min="259" max="259" width="16.5703125" customWidth="1"/>
    <col min="260" max="260" width="14.42578125" customWidth="1"/>
    <col min="261" max="261" width="10.42578125" bestFit="1" customWidth="1"/>
    <col min="262" max="262" width="15.85546875" bestFit="1" customWidth="1"/>
    <col min="263" max="263" width="14" bestFit="1" customWidth="1"/>
    <col min="515" max="515" width="16.5703125" customWidth="1"/>
    <col min="516" max="516" width="14.42578125" customWidth="1"/>
    <col min="517" max="517" width="10.42578125" bestFit="1" customWidth="1"/>
    <col min="518" max="518" width="15.85546875" bestFit="1" customWidth="1"/>
    <col min="519" max="519" width="14" bestFit="1" customWidth="1"/>
    <col min="771" max="771" width="16.5703125" customWidth="1"/>
    <col min="772" max="772" width="14.42578125" customWidth="1"/>
    <col min="773" max="773" width="10.42578125" bestFit="1" customWidth="1"/>
    <col min="774" max="774" width="15.85546875" bestFit="1" customWidth="1"/>
    <col min="775" max="775" width="14" bestFit="1" customWidth="1"/>
    <col min="1027" max="1027" width="16.5703125" customWidth="1"/>
    <col min="1028" max="1028" width="14.42578125" customWidth="1"/>
    <col min="1029" max="1029" width="10.42578125" bestFit="1" customWidth="1"/>
    <col min="1030" max="1030" width="15.85546875" bestFit="1" customWidth="1"/>
    <col min="1031" max="1031" width="14" bestFit="1" customWidth="1"/>
    <col min="1283" max="1283" width="16.5703125" customWidth="1"/>
    <col min="1284" max="1284" width="14.42578125" customWidth="1"/>
    <col min="1285" max="1285" width="10.42578125" bestFit="1" customWidth="1"/>
    <col min="1286" max="1286" width="15.85546875" bestFit="1" customWidth="1"/>
    <col min="1287" max="1287" width="14" bestFit="1" customWidth="1"/>
    <col min="1539" max="1539" width="16.5703125" customWidth="1"/>
    <col min="1540" max="1540" width="14.42578125" customWidth="1"/>
    <col min="1541" max="1541" width="10.42578125" bestFit="1" customWidth="1"/>
    <col min="1542" max="1542" width="15.85546875" bestFit="1" customWidth="1"/>
    <col min="1543" max="1543" width="14" bestFit="1" customWidth="1"/>
    <col min="1795" max="1795" width="16.5703125" customWidth="1"/>
    <col min="1796" max="1796" width="14.42578125" customWidth="1"/>
    <col min="1797" max="1797" width="10.42578125" bestFit="1" customWidth="1"/>
    <col min="1798" max="1798" width="15.85546875" bestFit="1" customWidth="1"/>
    <col min="1799" max="1799" width="14" bestFit="1" customWidth="1"/>
    <col min="2051" max="2051" width="16.5703125" customWidth="1"/>
    <col min="2052" max="2052" width="14.42578125" customWidth="1"/>
    <col min="2053" max="2053" width="10.42578125" bestFit="1" customWidth="1"/>
    <col min="2054" max="2054" width="15.85546875" bestFit="1" customWidth="1"/>
    <col min="2055" max="2055" width="14" bestFit="1" customWidth="1"/>
    <col min="2307" max="2307" width="16.5703125" customWidth="1"/>
    <col min="2308" max="2308" width="14.42578125" customWidth="1"/>
    <col min="2309" max="2309" width="10.42578125" bestFit="1" customWidth="1"/>
    <col min="2310" max="2310" width="15.85546875" bestFit="1" customWidth="1"/>
    <col min="2311" max="2311" width="14" bestFit="1" customWidth="1"/>
    <col min="2563" max="2563" width="16.5703125" customWidth="1"/>
    <col min="2564" max="2564" width="14.42578125" customWidth="1"/>
    <col min="2565" max="2565" width="10.42578125" bestFit="1" customWidth="1"/>
    <col min="2566" max="2566" width="15.85546875" bestFit="1" customWidth="1"/>
    <col min="2567" max="2567" width="14" bestFit="1" customWidth="1"/>
    <col min="2819" max="2819" width="16.5703125" customWidth="1"/>
    <col min="2820" max="2820" width="14.42578125" customWidth="1"/>
    <col min="2821" max="2821" width="10.42578125" bestFit="1" customWidth="1"/>
    <col min="2822" max="2822" width="15.85546875" bestFit="1" customWidth="1"/>
    <col min="2823" max="2823" width="14" bestFit="1" customWidth="1"/>
    <col min="3075" max="3075" width="16.5703125" customWidth="1"/>
    <col min="3076" max="3076" width="14.42578125" customWidth="1"/>
    <col min="3077" max="3077" width="10.42578125" bestFit="1" customWidth="1"/>
    <col min="3078" max="3078" width="15.85546875" bestFit="1" customWidth="1"/>
    <col min="3079" max="3079" width="14" bestFit="1" customWidth="1"/>
    <col min="3331" max="3331" width="16.5703125" customWidth="1"/>
    <col min="3332" max="3332" width="14.42578125" customWidth="1"/>
    <col min="3333" max="3333" width="10.42578125" bestFit="1" customWidth="1"/>
    <col min="3334" max="3334" width="15.85546875" bestFit="1" customWidth="1"/>
    <col min="3335" max="3335" width="14" bestFit="1" customWidth="1"/>
    <col min="3587" max="3587" width="16.5703125" customWidth="1"/>
    <col min="3588" max="3588" width="14.42578125" customWidth="1"/>
    <col min="3589" max="3589" width="10.42578125" bestFit="1" customWidth="1"/>
    <col min="3590" max="3590" width="15.85546875" bestFit="1" customWidth="1"/>
    <col min="3591" max="3591" width="14" bestFit="1" customWidth="1"/>
    <col min="3843" max="3843" width="16.5703125" customWidth="1"/>
    <col min="3844" max="3844" width="14.42578125" customWidth="1"/>
    <col min="3845" max="3845" width="10.42578125" bestFit="1" customWidth="1"/>
    <col min="3846" max="3846" width="15.85546875" bestFit="1" customWidth="1"/>
    <col min="3847" max="3847" width="14" bestFit="1" customWidth="1"/>
    <col min="4099" max="4099" width="16.5703125" customWidth="1"/>
    <col min="4100" max="4100" width="14.42578125" customWidth="1"/>
    <col min="4101" max="4101" width="10.42578125" bestFit="1" customWidth="1"/>
    <col min="4102" max="4102" width="15.85546875" bestFit="1" customWidth="1"/>
    <col min="4103" max="4103" width="14" bestFit="1" customWidth="1"/>
    <col min="4355" max="4355" width="16.5703125" customWidth="1"/>
    <col min="4356" max="4356" width="14.42578125" customWidth="1"/>
    <col min="4357" max="4357" width="10.42578125" bestFit="1" customWidth="1"/>
    <col min="4358" max="4358" width="15.85546875" bestFit="1" customWidth="1"/>
    <col min="4359" max="4359" width="14" bestFit="1" customWidth="1"/>
    <col min="4611" max="4611" width="16.5703125" customWidth="1"/>
    <col min="4612" max="4612" width="14.42578125" customWidth="1"/>
    <col min="4613" max="4613" width="10.42578125" bestFit="1" customWidth="1"/>
    <col min="4614" max="4614" width="15.85546875" bestFit="1" customWidth="1"/>
    <col min="4615" max="4615" width="14" bestFit="1" customWidth="1"/>
    <col min="4867" max="4867" width="16.5703125" customWidth="1"/>
    <col min="4868" max="4868" width="14.42578125" customWidth="1"/>
    <col min="4869" max="4869" width="10.42578125" bestFit="1" customWidth="1"/>
    <col min="4870" max="4870" width="15.85546875" bestFit="1" customWidth="1"/>
    <col min="4871" max="4871" width="14" bestFit="1" customWidth="1"/>
    <col min="5123" max="5123" width="16.5703125" customWidth="1"/>
    <col min="5124" max="5124" width="14.42578125" customWidth="1"/>
    <col min="5125" max="5125" width="10.42578125" bestFit="1" customWidth="1"/>
    <col min="5126" max="5126" width="15.85546875" bestFit="1" customWidth="1"/>
    <col min="5127" max="5127" width="14" bestFit="1" customWidth="1"/>
    <col min="5379" max="5379" width="16.5703125" customWidth="1"/>
    <col min="5380" max="5380" width="14.42578125" customWidth="1"/>
    <col min="5381" max="5381" width="10.42578125" bestFit="1" customWidth="1"/>
    <col min="5382" max="5382" width="15.85546875" bestFit="1" customWidth="1"/>
    <col min="5383" max="5383" width="14" bestFit="1" customWidth="1"/>
    <col min="5635" max="5635" width="16.5703125" customWidth="1"/>
    <col min="5636" max="5636" width="14.42578125" customWidth="1"/>
    <col min="5637" max="5637" width="10.42578125" bestFit="1" customWidth="1"/>
    <col min="5638" max="5638" width="15.85546875" bestFit="1" customWidth="1"/>
    <col min="5639" max="5639" width="14" bestFit="1" customWidth="1"/>
    <col min="5891" max="5891" width="16.5703125" customWidth="1"/>
    <col min="5892" max="5892" width="14.42578125" customWidth="1"/>
    <col min="5893" max="5893" width="10.42578125" bestFit="1" customWidth="1"/>
    <col min="5894" max="5894" width="15.85546875" bestFit="1" customWidth="1"/>
    <col min="5895" max="5895" width="14" bestFit="1" customWidth="1"/>
    <col min="6147" max="6147" width="16.5703125" customWidth="1"/>
    <col min="6148" max="6148" width="14.42578125" customWidth="1"/>
    <col min="6149" max="6149" width="10.42578125" bestFit="1" customWidth="1"/>
    <col min="6150" max="6150" width="15.85546875" bestFit="1" customWidth="1"/>
    <col min="6151" max="6151" width="14" bestFit="1" customWidth="1"/>
    <col min="6403" max="6403" width="16.5703125" customWidth="1"/>
    <col min="6404" max="6404" width="14.42578125" customWidth="1"/>
    <col min="6405" max="6405" width="10.42578125" bestFit="1" customWidth="1"/>
    <col min="6406" max="6406" width="15.85546875" bestFit="1" customWidth="1"/>
    <col min="6407" max="6407" width="14" bestFit="1" customWidth="1"/>
    <col min="6659" max="6659" width="16.5703125" customWidth="1"/>
    <col min="6660" max="6660" width="14.42578125" customWidth="1"/>
    <col min="6661" max="6661" width="10.42578125" bestFit="1" customWidth="1"/>
    <col min="6662" max="6662" width="15.85546875" bestFit="1" customWidth="1"/>
    <col min="6663" max="6663" width="14" bestFit="1" customWidth="1"/>
    <col min="6915" max="6915" width="16.5703125" customWidth="1"/>
    <col min="6916" max="6916" width="14.42578125" customWidth="1"/>
    <col min="6917" max="6917" width="10.42578125" bestFit="1" customWidth="1"/>
    <col min="6918" max="6918" width="15.85546875" bestFit="1" customWidth="1"/>
    <col min="6919" max="6919" width="14" bestFit="1" customWidth="1"/>
    <col min="7171" max="7171" width="16.5703125" customWidth="1"/>
    <col min="7172" max="7172" width="14.42578125" customWidth="1"/>
    <col min="7173" max="7173" width="10.42578125" bestFit="1" customWidth="1"/>
    <col min="7174" max="7174" width="15.85546875" bestFit="1" customWidth="1"/>
    <col min="7175" max="7175" width="14" bestFit="1" customWidth="1"/>
    <col min="7427" max="7427" width="16.5703125" customWidth="1"/>
    <col min="7428" max="7428" width="14.42578125" customWidth="1"/>
    <col min="7429" max="7429" width="10.42578125" bestFit="1" customWidth="1"/>
    <col min="7430" max="7430" width="15.85546875" bestFit="1" customWidth="1"/>
    <col min="7431" max="7431" width="14" bestFit="1" customWidth="1"/>
    <col min="7683" max="7683" width="16.5703125" customWidth="1"/>
    <col min="7684" max="7684" width="14.42578125" customWidth="1"/>
    <col min="7685" max="7685" width="10.42578125" bestFit="1" customWidth="1"/>
    <col min="7686" max="7686" width="15.85546875" bestFit="1" customWidth="1"/>
    <col min="7687" max="7687" width="14" bestFit="1" customWidth="1"/>
    <col min="7939" max="7939" width="16.5703125" customWidth="1"/>
    <col min="7940" max="7940" width="14.42578125" customWidth="1"/>
    <col min="7941" max="7941" width="10.42578125" bestFit="1" customWidth="1"/>
    <col min="7942" max="7942" width="15.85546875" bestFit="1" customWidth="1"/>
    <col min="7943" max="7943" width="14" bestFit="1" customWidth="1"/>
    <col min="8195" max="8195" width="16.5703125" customWidth="1"/>
    <col min="8196" max="8196" width="14.42578125" customWidth="1"/>
    <col min="8197" max="8197" width="10.42578125" bestFit="1" customWidth="1"/>
    <col min="8198" max="8198" width="15.85546875" bestFit="1" customWidth="1"/>
    <col min="8199" max="8199" width="14" bestFit="1" customWidth="1"/>
    <col min="8451" max="8451" width="16.5703125" customWidth="1"/>
    <col min="8452" max="8452" width="14.42578125" customWidth="1"/>
    <col min="8453" max="8453" width="10.42578125" bestFit="1" customWidth="1"/>
    <col min="8454" max="8454" width="15.85546875" bestFit="1" customWidth="1"/>
    <col min="8455" max="8455" width="14" bestFit="1" customWidth="1"/>
    <col min="8707" max="8707" width="16.5703125" customWidth="1"/>
    <col min="8708" max="8708" width="14.42578125" customWidth="1"/>
    <col min="8709" max="8709" width="10.42578125" bestFit="1" customWidth="1"/>
    <col min="8710" max="8710" width="15.85546875" bestFit="1" customWidth="1"/>
    <col min="8711" max="8711" width="14" bestFit="1" customWidth="1"/>
    <col min="8963" max="8963" width="16.5703125" customWidth="1"/>
    <col min="8964" max="8964" width="14.42578125" customWidth="1"/>
    <col min="8965" max="8965" width="10.42578125" bestFit="1" customWidth="1"/>
    <col min="8966" max="8966" width="15.85546875" bestFit="1" customWidth="1"/>
    <col min="8967" max="8967" width="14" bestFit="1" customWidth="1"/>
    <col min="9219" max="9219" width="16.5703125" customWidth="1"/>
    <col min="9220" max="9220" width="14.42578125" customWidth="1"/>
    <col min="9221" max="9221" width="10.42578125" bestFit="1" customWidth="1"/>
    <col min="9222" max="9222" width="15.85546875" bestFit="1" customWidth="1"/>
    <col min="9223" max="9223" width="14" bestFit="1" customWidth="1"/>
    <col min="9475" max="9475" width="16.5703125" customWidth="1"/>
    <col min="9476" max="9476" width="14.42578125" customWidth="1"/>
    <col min="9477" max="9477" width="10.42578125" bestFit="1" customWidth="1"/>
    <col min="9478" max="9478" width="15.85546875" bestFit="1" customWidth="1"/>
    <col min="9479" max="9479" width="14" bestFit="1" customWidth="1"/>
    <col min="9731" max="9731" width="16.5703125" customWidth="1"/>
    <col min="9732" max="9732" width="14.42578125" customWidth="1"/>
    <col min="9733" max="9733" width="10.42578125" bestFit="1" customWidth="1"/>
    <col min="9734" max="9734" width="15.85546875" bestFit="1" customWidth="1"/>
    <col min="9735" max="9735" width="14" bestFit="1" customWidth="1"/>
    <col min="9987" max="9987" width="16.5703125" customWidth="1"/>
    <col min="9988" max="9988" width="14.42578125" customWidth="1"/>
    <col min="9989" max="9989" width="10.42578125" bestFit="1" customWidth="1"/>
    <col min="9990" max="9990" width="15.85546875" bestFit="1" customWidth="1"/>
    <col min="9991" max="9991" width="14" bestFit="1" customWidth="1"/>
    <col min="10243" max="10243" width="16.5703125" customWidth="1"/>
    <col min="10244" max="10244" width="14.42578125" customWidth="1"/>
    <col min="10245" max="10245" width="10.42578125" bestFit="1" customWidth="1"/>
    <col min="10246" max="10246" width="15.85546875" bestFit="1" customWidth="1"/>
    <col min="10247" max="10247" width="14" bestFit="1" customWidth="1"/>
    <col min="10499" max="10499" width="16.5703125" customWidth="1"/>
    <col min="10500" max="10500" width="14.42578125" customWidth="1"/>
    <col min="10501" max="10501" width="10.42578125" bestFit="1" customWidth="1"/>
    <col min="10502" max="10502" width="15.85546875" bestFit="1" customWidth="1"/>
    <col min="10503" max="10503" width="14" bestFit="1" customWidth="1"/>
    <col min="10755" max="10755" width="16.5703125" customWidth="1"/>
    <col min="10756" max="10756" width="14.42578125" customWidth="1"/>
    <col min="10757" max="10757" width="10.42578125" bestFit="1" customWidth="1"/>
    <col min="10758" max="10758" width="15.85546875" bestFit="1" customWidth="1"/>
    <col min="10759" max="10759" width="14" bestFit="1" customWidth="1"/>
    <col min="11011" max="11011" width="16.5703125" customWidth="1"/>
    <col min="11012" max="11012" width="14.42578125" customWidth="1"/>
    <col min="11013" max="11013" width="10.42578125" bestFit="1" customWidth="1"/>
    <col min="11014" max="11014" width="15.85546875" bestFit="1" customWidth="1"/>
    <col min="11015" max="11015" width="14" bestFit="1" customWidth="1"/>
    <col min="11267" max="11267" width="16.5703125" customWidth="1"/>
    <col min="11268" max="11268" width="14.42578125" customWidth="1"/>
    <col min="11269" max="11269" width="10.42578125" bestFit="1" customWidth="1"/>
    <col min="11270" max="11270" width="15.85546875" bestFit="1" customWidth="1"/>
    <col min="11271" max="11271" width="14" bestFit="1" customWidth="1"/>
    <col min="11523" max="11523" width="16.5703125" customWidth="1"/>
    <col min="11524" max="11524" width="14.42578125" customWidth="1"/>
    <col min="11525" max="11525" width="10.42578125" bestFit="1" customWidth="1"/>
    <col min="11526" max="11526" width="15.85546875" bestFit="1" customWidth="1"/>
    <col min="11527" max="11527" width="14" bestFit="1" customWidth="1"/>
    <col min="11779" max="11779" width="16.5703125" customWidth="1"/>
    <col min="11780" max="11780" width="14.42578125" customWidth="1"/>
    <col min="11781" max="11781" width="10.42578125" bestFit="1" customWidth="1"/>
    <col min="11782" max="11782" width="15.85546875" bestFit="1" customWidth="1"/>
    <col min="11783" max="11783" width="14" bestFit="1" customWidth="1"/>
    <col min="12035" max="12035" width="16.5703125" customWidth="1"/>
    <col min="12036" max="12036" width="14.42578125" customWidth="1"/>
    <col min="12037" max="12037" width="10.42578125" bestFit="1" customWidth="1"/>
    <col min="12038" max="12038" width="15.85546875" bestFit="1" customWidth="1"/>
    <col min="12039" max="12039" width="14" bestFit="1" customWidth="1"/>
    <col min="12291" max="12291" width="16.5703125" customWidth="1"/>
    <col min="12292" max="12292" width="14.42578125" customWidth="1"/>
    <col min="12293" max="12293" width="10.42578125" bestFit="1" customWidth="1"/>
    <col min="12294" max="12294" width="15.85546875" bestFit="1" customWidth="1"/>
    <col min="12295" max="12295" width="14" bestFit="1" customWidth="1"/>
    <col min="12547" max="12547" width="16.5703125" customWidth="1"/>
    <col min="12548" max="12548" width="14.42578125" customWidth="1"/>
    <col min="12549" max="12549" width="10.42578125" bestFit="1" customWidth="1"/>
    <col min="12550" max="12550" width="15.85546875" bestFit="1" customWidth="1"/>
    <col min="12551" max="12551" width="14" bestFit="1" customWidth="1"/>
    <col min="12803" max="12803" width="16.5703125" customWidth="1"/>
    <col min="12804" max="12804" width="14.42578125" customWidth="1"/>
    <col min="12805" max="12805" width="10.42578125" bestFit="1" customWidth="1"/>
    <col min="12806" max="12806" width="15.85546875" bestFit="1" customWidth="1"/>
    <col min="12807" max="12807" width="14" bestFit="1" customWidth="1"/>
    <col min="13059" max="13059" width="16.5703125" customWidth="1"/>
    <col min="13060" max="13060" width="14.42578125" customWidth="1"/>
    <col min="13061" max="13061" width="10.42578125" bestFit="1" customWidth="1"/>
    <col min="13062" max="13062" width="15.85546875" bestFit="1" customWidth="1"/>
    <col min="13063" max="13063" width="14" bestFit="1" customWidth="1"/>
    <col min="13315" max="13315" width="16.5703125" customWidth="1"/>
    <col min="13316" max="13316" width="14.42578125" customWidth="1"/>
    <col min="13317" max="13317" width="10.42578125" bestFit="1" customWidth="1"/>
    <col min="13318" max="13318" width="15.85546875" bestFit="1" customWidth="1"/>
    <col min="13319" max="13319" width="14" bestFit="1" customWidth="1"/>
    <col min="13571" max="13571" width="16.5703125" customWidth="1"/>
    <col min="13572" max="13572" width="14.42578125" customWidth="1"/>
    <col min="13573" max="13573" width="10.42578125" bestFit="1" customWidth="1"/>
    <col min="13574" max="13574" width="15.85546875" bestFit="1" customWidth="1"/>
    <col min="13575" max="13575" width="14" bestFit="1" customWidth="1"/>
    <col min="13827" max="13827" width="16.5703125" customWidth="1"/>
    <col min="13828" max="13828" width="14.42578125" customWidth="1"/>
    <col min="13829" max="13829" width="10.42578125" bestFit="1" customWidth="1"/>
    <col min="13830" max="13830" width="15.85546875" bestFit="1" customWidth="1"/>
    <col min="13831" max="13831" width="14" bestFit="1" customWidth="1"/>
    <col min="14083" max="14083" width="16.5703125" customWidth="1"/>
    <col min="14084" max="14084" width="14.42578125" customWidth="1"/>
    <col min="14085" max="14085" width="10.42578125" bestFit="1" customWidth="1"/>
    <col min="14086" max="14086" width="15.85546875" bestFit="1" customWidth="1"/>
    <col min="14087" max="14087" width="14" bestFit="1" customWidth="1"/>
    <col min="14339" max="14339" width="16.5703125" customWidth="1"/>
    <col min="14340" max="14340" width="14.42578125" customWidth="1"/>
    <col min="14341" max="14341" width="10.42578125" bestFit="1" customWidth="1"/>
    <col min="14342" max="14342" width="15.85546875" bestFit="1" customWidth="1"/>
    <col min="14343" max="14343" width="14" bestFit="1" customWidth="1"/>
    <col min="14595" max="14595" width="16.5703125" customWidth="1"/>
    <col min="14596" max="14596" width="14.42578125" customWidth="1"/>
    <col min="14597" max="14597" width="10.42578125" bestFit="1" customWidth="1"/>
    <col min="14598" max="14598" width="15.85546875" bestFit="1" customWidth="1"/>
    <col min="14599" max="14599" width="14" bestFit="1" customWidth="1"/>
    <col min="14851" max="14851" width="16.5703125" customWidth="1"/>
    <col min="14852" max="14852" width="14.42578125" customWidth="1"/>
    <col min="14853" max="14853" width="10.42578125" bestFit="1" customWidth="1"/>
    <col min="14854" max="14854" width="15.85546875" bestFit="1" customWidth="1"/>
    <col min="14855" max="14855" width="14" bestFit="1" customWidth="1"/>
    <col min="15107" max="15107" width="16.5703125" customWidth="1"/>
    <col min="15108" max="15108" width="14.42578125" customWidth="1"/>
    <col min="15109" max="15109" width="10.42578125" bestFit="1" customWidth="1"/>
    <col min="15110" max="15110" width="15.85546875" bestFit="1" customWidth="1"/>
    <col min="15111" max="15111" width="14" bestFit="1" customWidth="1"/>
    <col min="15363" max="15363" width="16.5703125" customWidth="1"/>
    <col min="15364" max="15364" width="14.42578125" customWidth="1"/>
    <col min="15365" max="15365" width="10.42578125" bestFit="1" customWidth="1"/>
    <col min="15366" max="15366" width="15.85546875" bestFit="1" customWidth="1"/>
    <col min="15367" max="15367" width="14" bestFit="1" customWidth="1"/>
    <col min="15619" max="15619" width="16.5703125" customWidth="1"/>
    <col min="15620" max="15620" width="14.42578125" customWidth="1"/>
    <col min="15621" max="15621" width="10.42578125" bestFit="1" customWidth="1"/>
    <col min="15622" max="15622" width="15.85546875" bestFit="1" customWidth="1"/>
    <col min="15623" max="15623" width="14" bestFit="1" customWidth="1"/>
    <col min="15875" max="15875" width="16.5703125" customWidth="1"/>
    <col min="15876" max="15876" width="14.42578125" customWidth="1"/>
    <col min="15877" max="15877" width="10.42578125" bestFit="1" customWidth="1"/>
    <col min="15878" max="15878" width="15.85546875" bestFit="1" customWidth="1"/>
    <col min="15879" max="15879" width="14" bestFit="1" customWidth="1"/>
    <col min="16131" max="16131" width="16.5703125" customWidth="1"/>
    <col min="16132" max="16132" width="14.42578125" customWidth="1"/>
    <col min="16133" max="16133" width="10.42578125" bestFit="1" customWidth="1"/>
    <col min="16134" max="16134" width="15.85546875" bestFit="1" customWidth="1"/>
    <col min="16135" max="16135" width="14" bestFit="1" customWidth="1"/>
  </cols>
  <sheetData>
    <row r="1" spans="1:11" ht="18.75" x14ac:dyDescent="0.3">
      <c r="D1" s="542" t="s">
        <v>613</v>
      </c>
      <c r="E1" s="542"/>
      <c r="F1" s="542"/>
      <c r="G1" s="542"/>
      <c r="H1" s="542"/>
      <c r="K1" s="253" t="s">
        <v>612</v>
      </c>
    </row>
    <row r="2" spans="1:11" ht="19.5" thickBot="1" x14ac:dyDescent="0.35">
      <c r="D2" s="411"/>
      <c r="E2" s="411"/>
      <c r="F2" s="411"/>
      <c r="G2" s="411"/>
      <c r="H2" s="411"/>
    </row>
    <row r="3" spans="1:11" s="219" customFormat="1" ht="16.5" thickBot="1" x14ac:dyDescent="0.3">
      <c r="F3" s="662" t="s">
        <v>591</v>
      </c>
      <c r="G3" s="663"/>
      <c r="H3" s="664"/>
      <c r="I3" s="662" t="s">
        <v>592</v>
      </c>
      <c r="J3" s="663"/>
      <c r="K3" s="664"/>
    </row>
    <row r="4" spans="1:11" ht="15.75" thickBot="1" x14ac:dyDescent="0.3">
      <c r="A4" s="543" t="s">
        <v>5</v>
      </c>
      <c r="B4" s="544"/>
      <c r="C4" s="544"/>
      <c r="D4" s="544"/>
      <c r="E4" s="545"/>
      <c r="F4" s="215" t="s">
        <v>208</v>
      </c>
      <c r="G4" s="215" t="s">
        <v>209</v>
      </c>
      <c r="H4" s="216" t="s">
        <v>173</v>
      </c>
      <c r="I4" s="215" t="s">
        <v>208</v>
      </c>
      <c r="J4" s="215" t="s">
        <v>209</v>
      </c>
      <c r="K4" s="216" t="s">
        <v>173</v>
      </c>
    </row>
    <row r="5" spans="1:11" ht="15.75" thickBot="1" x14ac:dyDescent="0.3">
      <c r="A5" s="561" t="s">
        <v>210</v>
      </c>
      <c r="B5" s="562"/>
      <c r="C5" s="562"/>
      <c r="D5" s="562"/>
      <c r="E5" s="563"/>
      <c r="F5" s="217">
        <f>2145000+136400+[4]bölcsőde_és_óvoda!F6</f>
        <v>27045207</v>
      </c>
      <c r="G5" s="217">
        <v>0</v>
      </c>
      <c r="H5" s="217">
        <f>G5+F5</f>
        <v>27045207</v>
      </c>
      <c r="I5" s="217">
        <f>2145000+136400+[4]bölcsőde_és_óvoda!I6</f>
        <v>26745207</v>
      </c>
      <c r="J5" s="217">
        <v>0</v>
      </c>
      <c r="K5" s="217">
        <f>2145000+136400+[4]bölcsőde_és_óvoda!K6</f>
        <v>26745207</v>
      </c>
    </row>
    <row r="6" spans="1:11" ht="15.75" thickBot="1" x14ac:dyDescent="0.3">
      <c r="A6" s="665" t="s">
        <v>593</v>
      </c>
      <c r="B6" s="666"/>
      <c r="C6" s="666"/>
      <c r="D6" s="666"/>
      <c r="E6" s="667"/>
      <c r="F6" s="217"/>
      <c r="G6" s="217"/>
      <c r="H6" s="217"/>
      <c r="I6" s="217">
        <v>780000</v>
      </c>
      <c r="J6" s="217">
        <v>0</v>
      </c>
      <c r="K6" s="217">
        <v>780000</v>
      </c>
    </row>
    <row r="7" spans="1:11" ht="15.75" thickBot="1" x14ac:dyDescent="0.3">
      <c r="A7" s="561" t="s">
        <v>211</v>
      </c>
      <c r="B7" s="562"/>
      <c r="C7" s="562"/>
      <c r="D7" s="562"/>
      <c r="E7" s="563"/>
      <c r="F7" s="217">
        <f>[4]közművelődés!F7+[4]bölcsőde_és_óvoda!F8</f>
        <v>1000000</v>
      </c>
      <c r="G7" s="217">
        <v>0</v>
      </c>
      <c r="H7" s="217">
        <f>G7+F7</f>
        <v>1000000</v>
      </c>
      <c r="I7" s="217">
        <f>[4]közművelődés!I7+[4]bölcsőde_és_óvoda!I8</f>
        <v>1000000</v>
      </c>
      <c r="J7" s="217">
        <v>0</v>
      </c>
      <c r="K7" s="217">
        <f>[4]közművelődés!K7+[4]bölcsőde_és_óvoda!K8</f>
        <v>1000000</v>
      </c>
    </row>
    <row r="8" spans="1:11" ht="15.75" thickBot="1" x14ac:dyDescent="0.3">
      <c r="A8" s="561" t="s">
        <v>212</v>
      </c>
      <c r="B8" s="562"/>
      <c r="C8" s="562"/>
      <c r="D8" s="562"/>
      <c r="E8" s="563"/>
      <c r="F8" s="217">
        <f>96000+[4]bölcsőde_és_óvoda!F9</f>
        <v>960000</v>
      </c>
      <c r="G8" s="217">
        <v>0</v>
      </c>
      <c r="H8" s="217">
        <f>G8+F8</f>
        <v>960000</v>
      </c>
      <c r="I8" s="217">
        <f>96000+[4]bölcsőde_és_óvoda!I9</f>
        <v>960000</v>
      </c>
      <c r="J8" s="217">
        <v>0</v>
      </c>
      <c r="K8" s="217">
        <f>96000+[4]bölcsőde_és_óvoda!K9</f>
        <v>960000</v>
      </c>
    </row>
    <row r="9" spans="1:11" ht="15.75" thickBot="1" x14ac:dyDescent="0.3">
      <c r="A9" s="561" t="s">
        <v>213</v>
      </c>
      <c r="B9" s="562"/>
      <c r="C9" s="562"/>
      <c r="D9" s="562"/>
      <c r="E9" s="563"/>
      <c r="F9" s="217">
        <f>[4]bölcsőde!F9+[4]óvoda!F10</f>
        <v>279180</v>
      </c>
      <c r="G9" s="217">
        <v>0</v>
      </c>
      <c r="H9" s="217">
        <f>G9+F9</f>
        <v>279180</v>
      </c>
      <c r="I9" s="217">
        <f>[4]bölcsőde!I9+[4]óvoda!I10</f>
        <v>279180</v>
      </c>
      <c r="J9" s="217">
        <v>0</v>
      </c>
      <c r="K9" s="217">
        <f>[4]bölcsőde!K9+[4]óvoda!K10</f>
        <v>279180</v>
      </c>
    </row>
    <row r="10" spans="1:11" s="341" customFormat="1" ht="15.75" thickBot="1" x14ac:dyDescent="0.3">
      <c r="A10" s="573" t="s">
        <v>458</v>
      </c>
      <c r="B10" s="574"/>
      <c r="C10" s="574"/>
      <c r="D10" s="574"/>
      <c r="E10" s="575"/>
      <c r="F10" s="340">
        <f>50000+[4]bölcsőde_és_óvoda!F11</f>
        <v>230000</v>
      </c>
      <c r="G10" s="340">
        <v>0</v>
      </c>
      <c r="H10" s="340">
        <f t="shared" ref="H10:H16" si="0">F10+G10</f>
        <v>230000</v>
      </c>
      <c r="I10" s="340">
        <f>50000+[4]bölcsőde_és_óvoda!I11</f>
        <v>230000</v>
      </c>
      <c r="J10" s="340">
        <v>0</v>
      </c>
      <c r="K10" s="340">
        <f>50000+[4]bölcsőde_és_óvoda!K11</f>
        <v>230000</v>
      </c>
    </row>
    <row r="11" spans="1:11" s="341" customFormat="1" ht="15.75" thickBot="1" x14ac:dyDescent="0.3">
      <c r="A11" s="573" t="s">
        <v>594</v>
      </c>
      <c r="B11" s="574"/>
      <c r="C11" s="574"/>
      <c r="D11" s="574"/>
      <c r="E11" s="575"/>
      <c r="F11" s="217">
        <v>0</v>
      </c>
      <c r="G11" s="217">
        <v>0</v>
      </c>
      <c r="H11" s="217">
        <f>G11+F11</f>
        <v>0</v>
      </c>
      <c r="I11" s="217">
        <v>300000</v>
      </c>
      <c r="J11" s="217">
        <v>0</v>
      </c>
      <c r="K11" s="217">
        <v>300000</v>
      </c>
    </row>
    <row r="12" spans="1:11" s="341" customFormat="1" ht="15.75" thickBot="1" x14ac:dyDescent="0.3">
      <c r="A12" s="552" t="s">
        <v>459</v>
      </c>
      <c r="B12" s="553"/>
      <c r="C12" s="553"/>
      <c r="D12" s="553"/>
      <c r="E12" s="554"/>
      <c r="F12" s="340">
        <v>180500</v>
      </c>
      <c r="G12" s="340"/>
      <c r="H12" s="340">
        <f t="shared" si="0"/>
        <v>180500</v>
      </c>
      <c r="I12" s="340">
        <v>180500</v>
      </c>
      <c r="J12" s="340"/>
      <c r="K12" s="340">
        <v>180500</v>
      </c>
    </row>
    <row r="13" spans="1:11" ht="15.75" thickBot="1" x14ac:dyDescent="0.3">
      <c r="A13" s="552" t="s">
        <v>215</v>
      </c>
      <c r="B13" s="553"/>
      <c r="C13" s="553"/>
      <c r="D13" s="553"/>
      <c r="E13" s="554"/>
      <c r="F13" s="217">
        <v>80000</v>
      </c>
      <c r="G13" s="217">
        <v>0</v>
      </c>
      <c r="H13" s="217">
        <f t="shared" si="0"/>
        <v>80000</v>
      </c>
      <c r="I13" s="217">
        <v>80000</v>
      </c>
      <c r="J13" s="217">
        <v>0</v>
      </c>
      <c r="K13" s="217">
        <v>80000</v>
      </c>
    </row>
    <row r="14" spans="1:11" ht="15.75" thickBot="1" x14ac:dyDescent="0.3">
      <c r="A14" s="552" t="s">
        <v>216</v>
      </c>
      <c r="B14" s="553"/>
      <c r="C14" s="553"/>
      <c r="D14" s="553"/>
      <c r="E14" s="554"/>
      <c r="F14" s="217">
        <v>60000</v>
      </c>
      <c r="G14" s="217">
        <v>0</v>
      </c>
      <c r="H14" s="217">
        <f t="shared" si="0"/>
        <v>60000</v>
      </c>
      <c r="I14" s="217">
        <v>60000</v>
      </c>
      <c r="J14" s="217">
        <v>0</v>
      </c>
      <c r="K14" s="217">
        <v>60000</v>
      </c>
    </row>
    <row r="15" spans="1:11" ht="15.75" thickBot="1" x14ac:dyDescent="0.3">
      <c r="A15" s="552" t="s">
        <v>217</v>
      </c>
      <c r="B15" s="553"/>
      <c r="C15" s="553"/>
      <c r="D15" s="553"/>
      <c r="E15" s="554"/>
      <c r="F15" s="217">
        <v>60000</v>
      </c>
      <c r="G15" s="217">
        <v>0</v>
      </c>
      <c r="H15" s="217">
        <f t="shared" si="0"/>
        <v>60000</v>
      </c>
      <c r="I15" s="217">
        <v>60000</v>
      </c>
      <c r="J15" s="217">
        <v>0</v>
      </c>
      <c r="K15" s="217">
        <v>60000</v>
      </c>
    </row>
    <row r="16" spans="1:11" ht="15.75" thickBot="1" x14ac:dyDescent="0.3">
      <c r="A16" s="552" t="s">
        <v>364</v>
      </c>
      <c r="B16" s="553"/>
      <c r="C16" s="553"/>
      <c r="D16" s="553"/>
      <c r="E16" s="554"/>
      <c r="F16" s="217">
        <v>1255000</v>
      </c>
      <c r="G16" s="217">
        <v>0</v>
      </c>
      <c r="H16" s="217">
        <f t="shared" si="0"/>
        <v>1255000</v>
      </c>
      <c r="I16" s="217">
        <v>1255000</v>
      </c>
      <c r="J16" s="217">
        <v>0</v>
      </c>
      <c r="K16" s="217">
        <v>1255000</v>
      </c>
    </row>
    <row r="17" spans="1:11" s="214" customFormat="1" ht="15.75" thickBot="1" x14ac:dyDescent="0.3">
      <c r="A17" s="543" t="s">
        <v>218</v>
      </c>
      <c r="B17" s="544"/>
      <c r="C17" s="544"/>
      <c r="D17" s="544"/>
      <c r="E17" s="545"/>
      <c r="F17" s="216">
        <f>F12+F13+F14+F15+F16</f>
        <v>1635500</v>
      </c>
      <c r="G17" s="216">
        <f t="shared" ref="G17:H17" si="1">G12+G13+G14+G15+G16</f>
        <v>0</v>
      </c>
      <c r="H17" s="216">
        <f t="shared" si="1"/>
        <v>1635500</v>
      </c>
      <c r="I17" s="216">
        <f>I12+I13+I14+I15+I16</f>
        <v>1635500</v>
      </c>
      <c r="J17" s="216">
        <f t="shared" ref="J17" si="2">J12+J13+J14+J15+J16</f>
        <v>0</v>
      </c>
      <c r="K17" s="216">
        <f>K12+K13+K14+K15+K16</f>
        <v>1635500</v>
      </c>
    </row>
    <row r="18" spans="1:11" s="219" customFormat="1" ht="16.5" thickBot="1" x14ac:dyDescent="0.3">
      <c r="A18" s="564" t="s">
        <v>219</v>
      </c>
      <c r="B18" s="565"/>
      <c r="C18" s="565"/>
      <c r="D18" s="565"/>
      <c r="E18" s="566"/>
      <c r="F18" s="218">
        <f>F5+F7+F8+F9+F10+F17</f>
        <v>31149887</v>
      </c>
      <c r="G18" s="218">
        <f t="shared" ref="G18:H18" si="3">G5+G7+G8+G9+G10+G17</f>
        <v>0</v>
      </c>
      <c r="H18" s="218">
        <f t="shared" si="3"/>
        <v>31149887</v>
      </c>
      <c r="I18" s="218">
        <f>I5+I7+I8+I9+I10+I17+I6+I11</f>
        <v>31929887</v>
      </c>
      <c r="J18" s="218">
        <f t="shared" ref="J18" si="4">J5+J7+J8+J9+J10+J17</f>
        <v>0</v>
      </c>
      <c r="K18" s="218">
        <f>K5+K7+K8+K9+K10+K17+K6+K11</f>
        <v>31929887</v>
      </c>
    </row>
    <row r="19" spans="1:11" s="219" customFormat="1" ht="30" customHeight="1" thickBot="1" x14ac:dyDescent="0.3">
      <c r="A19" s="567" t="s">
        <v>220</v>
      </c>
      <c r="B19" s="568"/>
      <c r="C19" s="568"/>
      <c r="D19" s="568"/>
      <c r="E19" s="569"/>
      <c r="F19" s="218">
        <f>811766+202650+[4]bölcsőde_és_óvoda!F14</f>
        <v>6406478</v>
      </c>
      <c r="G19" s="218"/>
      <c r="H19" s="218">
        <f>811766+202650+[4]bölcsőde_és_óvoda!H14</f>
        <v>6406478</v>
      </c>
      <c r="I19" s="218">
        <f>811766+202650+[4]bölcsőde_és_óvoda!I14</f>
        <v>6558578</v>
      </c>
      <c r="J19" s="218"/>
      <c r="K19" s="218">
        <f>811766+202650+[4]bölcsőde_és_óvoda!K14</f>
        <v>6558578</v>
      </c>
    </row>
    <row r="20" spans="1:11" s="219" customFormat="1" ht="35.25" customHeight="1" thickBot="1" x14ac:dyDescent="0.3">
      <c r="A20" s="567" t="s">
        <v>460</v>
      </c>
      <c r="B20" s="568"/>
      <c r="C20" s="568"/>
      <c r="D20" s="568"/>
      <c r="E20" s="569"/>
      <c r="F20" s="218">
        <f>F18+F19</f>
        <v>37556365</v>
      </c>
      <c r="G20" s="218">
        <f t="shared" ref="G20:H20" si="5">G18+G19</f>
        <v>0</v>
      </c>
      <c r="H20" s="218">
        <f t="shared" si="5"/>
        <v>37556365</v>
      </c>
      <c r="I20" s="218">
        <f>I18+I19</f>
        <v>38488465</v>
      </c>
      <c r="J20" s="218">
        <f t="shared" ref="J20:K20" si="6">J18+J19</f>
        <v>0</v>
      </c>
      <c r="K20" s="218">
        <f t="shared" si="6"/>
        <v>38488465</v>
      </c>
    </row>
    <row r="21" spans="1:11" ht="37.5" customHeight="1" thickBot="1" x14ac:dyDescent="0.3">
      <c r="A21" s="668" t="s">
        <v>461</v>
      </c>
      <c r="B21" s="669"/>
      <c r="C21" s="669"/>
      <c r="D21" s="669"/>
      <c r="E21" s="670"/>
      <c r="F21" s="217">
        <f>170000+[4]bölcsőde_és_óvoda!F16</f>
        <v>309000</v>
      </c>
      <c r="G21" s="217">
        <f>[4]közművelődés!G19+[4]bölcsőde_és_óvoda!G16</f>
        <v>15450</v>
      </c>
      <c r="H21" s="217">
        <f>F21+G21</f>
        <v>324450</v>
      </c>
      <c r="I21" s="217">
        <f>170000+[4]bölcsőde_és_óvoda!I16</f>
        <v>309000</v>
      </c>
      <c r="J21" s="217">
        <f>[4]közművelődés!J19+[4]bölcsőde_és_óvoda!J16</f>
        <v>15450</v>
      </c>
      <c r="K21" s="217">
        <f>I21+J21</f>
        <v>324450</v>
      </c>
    </row>
    <row r="22" spans="1:11" ht="15.75" thickBot="1" x14ac:dyDescent="0.3">
      <c r="A22" s="561" t="s">
        <v>462</v>
      </c>
      <c r="B22" s="562"/>
      <c r="C22" s="562"/>
      <c r="D22" s="562"/>
      <c r="E22" s="563"/>
      <c r="F22" s="217">
        <f>190000+[4]bölcsőde_és_óvoda!F17</f>
        <v>1101700</v>
      </c>
      <c r="G22" s="217">
        <f>[4]közművelődés!G20+[4]bölcsőde_és_óvoda!G17</f>
        <v>297459</v>
      </c>
      <c r="H22" s="217">
        <f>F22+G22</f>
        <v>1399159</v>
      </c>
      <c r="I22" s="217">
        <f>190000+[4]bölcsőde_és_óvoda!I17</f>
        <v>1101700</v>
      </c>
      <c r="J22" s="217">
        <f>[4]közművelődés!J20+[4]bölcsőde_és_óvoda!J17</f>
        <v>297459</v>
      </c>
      <c r="K22" s="217">
        <f>I22+J22</f>
        <v>1399159</v>
      </c>
    </row>
    <row r="23" spans="1:11" ht="15.75" thickBot="1" x14ac:dyDescent="0.3">
      <c r="A23" s="558" t="s">
        <v>221</v>
      </c>
      <c r="B23" s="559"/>
      <c r="C23" s="559"/>
      <c r="D23" s="559"/>
      <c r="E23" s="560"/>
      <c r="F23" s="216">
        <f>F21+F22</f>
        <v>1410700</v>
      </c>
      <c r="G23" s="216">
        <f t="shared" ref="G23:H23" si="7">G21+G22</f>
        <v>312909</v>
      </c>
      <c r="H23" s="216">
        <f t="shared" si="7"/>
        <v>1723609</v>
      </c>
      <c r="I23" s="216">
        <f>I21+I22</f>
        <v>1410700</v>
      </c>
      <c r="J23" s="216">
        <f t="shared" ref="J23:K23" si="8">J21+J22</f>
        <v>312909</v>
      </c>
      <c r="K23" s="216">
        <f t="shared" si="8"/>
        <v>1723609</v>
      </c>
    </row>
    <row r="24" spans="1:11" ht="15.75" thickBot="1" x14ac:dyDescent="0.3">
      <c r="A24" s="570" t="s">
        <v>463</v>
      </c>
      <c r="B24" s="571"/>
      <c r="C24" s="571"/>
      <c r="D24" s="571"/>
      <c r="E24" s="572"/>
      <c r="F24" s="217">
        <f>150000+[4]bölcsőde_és_óvoda!F19</f>
        <v>250000</v>
      </c>
      <c r="G24" s="217">
        <f>[4]közművelődés!G22+[4]bölcsőde_és_óvoda!G19</f>
        <v>67500</v>
      </c>
      <c r="H24" s="217">
        <f t="shared" ref="H24:H32" si="9">F24+G24</f>
        <v>317500</v>
      </c>
      <c r="I24" s="217">
        <f>150000+[4]bölcsőde_és_óvoda!I19</f>
        <v>250000</v>
      </c>
      <c r="J24" s="217">
        <f>[4]közművelődés!J22+[4]bölcsőde_és_óvoda!J19</f>
        <v>67500</v>
      </c>
      <c r="K24" s="217">
        <f t="shared" ref="K24:K32" si="10">I24+J24</f>
        <v>317500</v>
      </c>
    </row>
    <row r="25" spans="1:11" ht="15.75" thickBot="1" x14ac:dyDescent="0.3">
      <c r="A25" s="561" t="s">
        <v>464</v>
      </c>
      <c r="B25" s="562"/>
      <c r="C25" s="562"/>
      <c r="D25" s="562"/>
      <c r="E25" s="563"/>
      <c r="F25" s="217">
        <f>80000+[4]bölcsőde_és_óvoda!F20</f>
        <v>160000</v>
      </c>
      <c r="G25" s="217">
        <f>[4]közművelődés!G23+[4]bölcsőde_és_óvoda!G20</f>
        <v>43200</v>
      </c>
      <c r="H25" s="217">
        <f t="shared" si="9"/>
        <v>203200</v>
      </c>
      <c r="I25" s="217">
        <f>80000+[4]bölcsőde_és_óvoda!I20</f>
        <v>160000</v>
      </c>
      <c r="J25" s="217">
        <f>[4]közművelődés!J23+[4]bölcsőde_és_óvoda!J20</f>
        <v>43200</v>
      </c>
      <c r="K25" s="217">
        <f t="shared" si="10"/>
        <v>203200</v>
      </c>
    </row>
    <row r="26" spans="1:11" ht="15.75" thickBot="1" x14ac:dyDescent="0.3">
      <c r="A26" s="552" t="s">
        <v>465</v>
      </c>
      <c r="B26" s="553"/>
      <c r="C26" s="553"/>
      <c r="D26" s="553"/>
      <c r="E26" s="554"/>
      <c r="F26" s="217">
        <f>300000+[4]bölcsőde_és_óvoda!F21</f>
        <v>560000</v>
      </c>
      <c r="G26" s="217">
        <f>F26*27%</f>
        <v>151200</v>
      </c>
      <c r="H26" s="217">
        <f t="shared" si="9"/>
        <v>711200</v>
      </c>
      <c r="I26" s="217">
        <f>300000+[4]bölcsőde_és_óvoda!I21</f>
        <v>560000</v>
      </c>
      <c r="J26" s="217">
        <f>I26*27%</f>
        <v>151200</v>
      </c>
      <c r="K26" s="217">
        <f t="shared" si="10"/>
        <v>711200</v>
      </c>
    </row>
    <row r="27" spans="1:11" ht="15.75" thickBot="1" x14ac:dyDescent="0.3">
      <c r="A27" s="552" t="s">
        <v>466</v>
      </c>
      <c r="B27" s="553"/>
      <c r="C27" s="553"/>
      <c r="D27" s="553"/>
      <c r="E27" s="554"/>
      <c r="F27" s="217">
        <v>200000</v>
      </c>
      <c r="G27" s="217">
        <v>0</v>
      </c>
      <c r="H27" s="217">
        <f t="shared" si="9"/>
        <v>200000</v>
      </c>
      <c r="I27" s="217">
        <v>200000</v>
      </c>
      <c r="J27" s="217">
        <v>0</v>
      </c>
      <c r="K27" s="217">
        <f t="shared" si="10"/>
        <v>200000</v>
      </c>
    </row>
    <row r="28" spans="1:11" ht="15.75" thickBot="1" x14ac:dyDescent="0.3">
      <c r="A28" s="552" t="s">
        <v>225</v>
      </c>
      <c r="B28" s="553"/>
      <c r="C28" s="553"/>
      <c r="D28" s="553"/>
      <c r="E28" s="554"/>
      <c r="F28" s="217">
        <v>70000</v>
      </c>
      <c r="G28" s="217">
        <f>F28*27%</f>
        <v>18900</v>
      </c>
      <c r="H28" s="217">
        <f t="shared" si="9"/>
        <v>88900</v>
      </c>
      <c r="I28" s="217">
        <v>70000</v>
      </c>
      <c r="J28" s="217">
        <f>I28*27%</f>
        <v>18900</v>
      </c>
      <c r="K28" s="217">
        <f t="shared" si="10"/>
        <v>88900</v>
      </c>
    </row>
    <row r="29" spans="1:11" ht="15.75" thickBot="1" x14ac:dyDescent="0.3">
      <c r="A29" s="552" t="s">
        <v>467</v>
      </c>
      <c r="B29" s="553"/>
      <c r="C29" s="553"/>
      <c r="D29" s="553"/>
      <c r="E29" s="554"/>
      <c r="F29" s="217">
        <f>40000+[4]bölcsőde_és_óvoda!F23</f>
        <v>180000</v>
      </c>
      <c r="G29" s="217">
        <f>[4]közművelődés!G26+[4]bölcsőde_és_óvoda!G23</f>
        <v>48600</v>
      </c>
      <c r="H29" s="217">
        <f t="shared" si="9"/>
        <v>228600</v>
      </c>
      <c r="I29" s="217">
        <f>40000+[4]bölcsőde_és_óvoda!I23</f>
        <v>180000</v>
      </c>
      <c r="J29" s="217">
        <f>[4]közművelődés!J26+[4]bölcsőde_és_óvoda!J23</f>
        <v>48600</v>
      </c>
      <c r="K29" s="217">
        <f t="shared" si="10"/>
        <v>228600</v>
      </c>
    </row>
    <row r="30" spans="1:11" ht="15.75" thickBot="1" x14ac:dyDescent="0.3">
      <c r="A30" s="552" t="s">
        <v>468</v>
      </c>
      <c r="B30" s="553"/>
      <c r="C30" s="553"/>
      <c r="D30" s="553"/>
      <c r="E30" s="554"/>
      <c r="F30" s="217">
        <v>25000</v>
      </c>
      <c r="G30" s="217">
        <f>F30*27%</f>
        <v>6750</v>
      </c>
      <c r="H30" s="217">
        <f t="shared" si="9"/>
        <v>31750</v>
      </c>
      <c r="I30" s="217">
        <v>25000</v>
      </c>
      <c r="J30" s="217">
        <f>I30*27%</f>
        <v>6750</v>
      </c>
      <c r="K30" s="217">
        <f t="shared" si="10"/>
        <v>31750</v>
      </c>
    </row>
    <row r="31" spans="1:11" ht="15.75" thickBot="1" x14ac:dyDescent="0.3">
      <c r="A31" s="552" t="s">
        <v>469</v>
      </c>
      <c r="B31" s="553"/>
      <c r="C31" s="553"/>
      <c r="D31" s="553"/>
      <c r="E31" s="554"/>
      <c r="F31" s="217">
        <v>20000</v>
      </c>
      <c r="G31" s="217">
        <f>F31*27%</f>
        <v>5400</v>
      </c>
      <c r="H31" s="217">
        <f t="shared" si="9"/>
        <v>25400</v>
      </c>
      <c r="I31" s="217">
        <v>20000</v>
      </c>
      <c r="J31" s="217">
        <f>I31*27%</f>
        <v>5400</v>
      </c>
      <c r="K31" s="217">
        <f t="shared" si="10"/>
        <v>25400</v>
      </c>
    </row>
    <row r="32" spans="1:11" ht="15.75" thickBot="1" x14ac:dyDescent="0.3">
      <c r="A32" s="552" t="s">
        <v>470</v>
      </c>
      <c r="B32" s="553"/>
      <c r="C32" s="553"/>
      <c r="D32" s="553"/>
      <c r="E32" s="554"/>
      <c r="F32" s="217">
        <v>30000</v>
      </c>
      <c r="G32" s="217">
        <f>F32*27%</f>
        <v>8100.0000000000009</v>
      </c>
      <c r="H32" s="217">
        <f t="shared" si="9"/>
        <v>38100</v>
      </c>
      <c r="I32" s="217">
        <v>30000</v>
      </c>
      <c r="J32" s="217">
        <f>I32*27%</f>
        <v>8100.0000000000009</v>
      </c>
      <c r="K32" s="217">
        <f t="shared" si="10"/>
        <v>38100</v>
      </c>
    </row>
    <row r="33" spans="1:11" ht="72" customHeight="1" thickBot="1" x14ac:dyDescent="0.3">
      <c r="A33" s="555" t="s">
        <v>471</v>
      </c>
      <c r="B33" s="556"/>
      <c r="C33" s="556"/>
      <c r="D33" s="556"/>
      <c r="E33" s="557"/>
      <c r="F33" s="217">
        <f>15000+10000+20000+40000+50000+15000+15000+15000+10000+15000+20000+20000+15000+30000</f>
        <v>290000</v>
      </c>
      <c r="G33" s="217">
        <f>F33*27%</f>
        <v>78300</v>
      </c>
      <c r="H33" s="217">
        <f>F33+G33</f>
        <v>368300</v>
      </c>
      <c r="I33" s="217">
        <f>15000+10000+20000+40000+50000+15000+15000+15000+10000+15000+20000+20000+15000+30000</f>
        <v>290000</v>
      </c>
      <c r="J33" s="217">
        <f>I33*27%</f>
        <v>78300</v>
      </c>
      <c r="K33" s="217">
        <f>I33+J33</f>
        <v>368300</v>
      </c>
    </row>
    <row r="34" spans="1:11" ht="15.75" thickBot="1" x14ac:dyDescent="0.3">
      <c r="A34" s="552" t="s">
        <v>251</v>
      </c>
      <c r="B34" s="553"/>
      <c r="C34" s="553"/>
      <c r="D34" s="553"/>
      <c r="E34" s="554"/>
      <c r="F34" s="217">
        <v>30000</v>
      </c>
      <c r="G34" s="217">
        <f t="shared" ref="G34:G36" si="11">F34*27%</f>
        <v>8100.0000000000009</v>
      </c>
      <c r="H34" s="217">
        <f t="shared" ref="H34:H36" si="12">F34+G34</f>
        <v>38100</v>
      </c>
      <c r="I34" s="217">
        <v>30000</v>
      </c>
      <c r="J34" s="217">
        <f t="shared" ref="J34:J36" si="13">I34*27%</f>
        <v>8100.0000000000009</v>
      </c>
      <c r="K34" s="217">
        <f t="shared" ref="K34:K36" si="14">I34+J34</f>
        <v>38100</v>
      </c>
    </row>
    <row r="35" spans="1:11" ht="15.75" thickBot="1" x14ac:dyDescent="0.3">
      <c r="A35" s="555" t="s">
        <v>472</v>
      </c>
      <c r="B35" s="556"/>
      <c r="C35" s="556"/>
      <c r="D35" s="556"/>
      <c r="E35" s="557"/>
      <c r="F35" s="217">
        <v>400000</v>
      </c>
      <c r="G35" s="217">
        <f t="shared" si="11"/>
        <v>108000</v>
      </c>
      <c r="H35" s="217">
        <f t="shared" si="12"/>
        <v>508000</v>
      </c>
      <c r="I35" s="217">
        <v>400000</v>
      </c>
      <c r="J35" s="217">
        <f t="shared" si="13"/>
        <v>108000</v>
      </c>
      <c r="K35" s="217">
        <f t="shared" si="14"/>
        <v>508000</v>
      </c>
    </row>
    <row r="36" spans="1:11" ht="21" customHeight="1" thickBot="1" x14ac:dyDescent="0.3">
      <c r="A36" s="552" t="s">
        <v>224</v>
      </c>
      <c r="B36" s="553"/>
      <c r="C36" s="553"/>
      <c r="D36" s="553"/>
      <c r="E36" s="554"/>
      <c r="F36" s="217">
        <v>100000</v>
      </c>
      <c r="G36" s="217">
        <f t="shared" si="11"/>
        <v>27000</v>
      </c>
      <c r="H36" s="217">
        <f t="shared" si="12"/>
        <v>127000</v>
      </c>
      <c r="I36" s="217">
        <v>100000</v>
      </c>
      <c r="J36" s="217">
        <f t="shared" si="13"/>
        <v>27000</v>
      </c>
      <c r="K36" s="217">
        <f t="shared" si="14"/>
        <v>127000</v>
      </c>
    </row>
    <row r="37" spans="1:11" s="676" customFormat="1" ht="30" customHeight="1" thickBot="1" x14ac:dyDescent="0.3">
      <c r="A37" s="672" t="s">
        <v>595</v>
      </c>
      <c r="B37" s="673"/>
      <c r="C37" s="673"/>
      <c r="D37" s="673"/>
      <c r="E37" s="674"/>
      <c r="F37" s="675">
        <v>0</v>
      </c>
      <c r="G37" s="675">
        <v>0</v>
      </c>
      <c r="H37" s="675">
        <v>0</v>
      </c>
      <c r="I37" s="675">
        <v>16702</v>
      </c>
      <c r="J37" s="675">
        <v>4510</v>
      </c>
      <c r="K37" s="675">
        <f>I37+J37</f>
        <v>21212</v>
      </c>
    </row>
    <row r="38" spans="1:11" s="676" customFormat="1" ht="35.25" customHeight="1" thickBot="1" x14ac:dyDescent="0.3">
      <c r="A38" s="672" t="s">
        <v>596</v>
      </c>
      <c r="B38" s="673"/>
      <c r="C38" s="673"/>
      <c r="D38" s="673"/>
      <c r="E38" s="674"/>
      <c r="F38" s="675">
        <v>0</v>
      </c>
      <c r="G38" s="675">
        <v>0</v>
      </c>
      <c r="H38" s="675">
        <v>0</v>
      </c>
      <c r="I38" s="675">
        <v>12488</v>
      </c>
      <c r="J38" s="675">
        <v>3372</v>
      </c>
      <c r="K38" s="675">
        <f>I38+J38</f>
        <v>15860</v>
      </c>
    </row>
    <row r="39" spans="1:11" s="676" customFormat="1" ht="32.25" customHeight="1" thickBot="1" x14ac:dyDescent="0.3">
      <c r="A39" s="677" t="s">
        <v>597</v>
      </c>
      <c r="B39" s="673"/>
      <c r="C39" s="673"/>
      <c r="D39" s="673"/>
      <c r="E39" s="674"/>
      <c r="F39" s="675">
        <v>0</v>
      </c>
      <c r="G39" s="675">
        <v>0</v>
      </c>
      <c r="H39" s="675">
        <v>0</v>
      </c>
      <c r="I39" s="675">
        <v>690000</v>
      </c>
      <c r="J39" s="675">
        <v>0</v>
      </c>
      <c r="K39" s="675">
        <f>I39+J39</f>
        <v>690000</v>
      </c>
    </row>
    <row r="40" spans="1:11" ht="16.5" thickBot="1" x14ac:dyDescent="0.3">
      <c r="A40" s="564" t="s">
        <v>226</v>
      </c>
      <c r="B40" s="565"/>
      <c r="C40" s="565"/>
      <c r="D40" s="565"/>
      <c r="E40" s="566"/>
      <c r="F40" s="216">
        <f>F24+F25+F26+F27+F28+F30+F31+F32+F33+F34+F35+F36+F29</f>
        <v>2315000</v>
      </c>
      <c r="G40" s="216">
        <f t="shared" ref="G40:H40" si="15">G24+G25+G26+G27+G28+G30+G31+G32+G33+G34+G35+G36+G29</f>
        <v>571050</v>
      </c>
      <c r="H40" s="216">
        <f t="shared" si="15"/>
        <v>2886050</v>
      </c>
      <c r="I40" s="216">
        <f>I24+I25+I26+I27+I28+I30+I31+I32+I33+I34+I35+I36+I29+I37+I38+I39</f>
        <v>3034190</v>
      </c>
      <c r="J40" s="216">
        <f t="shared" ref="J40:K40" si="16">J24+J25+J26+J27+J28+J30+J31+J32+J33+J34+J35+J36+J29+J37+J38+J39</f>
        <v>578932</v>
      </c>
      <c r="K40" s="216">
        <f t="shared" si="16"/>
        <v>3613122</v>
      </c>
    </row>
    <row r="41" spans="1:11" ht="15.75" thickBot="1" x14ac:dyDescent="0.3">
      <c r="A41" s="558" t="s">
        <v>227</v>
      </c>
      <c r="B41" s="559"/>
      <c r="C41" s="559"/>
      <c r="D41" s="559"/>
      <c r="E41" s="560"/>
      <c r="F41" s="216">
        <f>F23+F40</f>
        <v>3725700</v>
      </c>
      <c r="G41" s="216">
        <f t="shared" ref="G41:H41" si="17">G23+G40</f>
        <v>883959</v>
      </c>
      <c r="H41" s="216">
        <f t="shared" si="17"/>
        <v>4609659</v>
      </c>
      <c r="I41" s="216">
        <f>I23+I40</f>
        <v>4444890</v>
      </c>
      <c r="J41" s="216">
        <f t="shared" ref="J41:K41" si="18">J23+J40</f>
        <v>891841</v>
      </c>
      <c r="K41" s="216">
        <f t="shared" si="18"/>
        <v>5336731</v>
      </c>
    </row>
    <row r="42" spans="1:11" ht="15.75" thickBot="1" x14ac:dyDescent="0.3">
      <c r="A42" s="561" t="s">
        <v>228</v>
      </c>
      <c r="B42" s="562"/>
      <c r="C42" s="562"/>
      <c r="D42" s="562"/>
      <c r="E42" s="563"/>
      <c r="F42" s="217">
        <f>70000+[4]bölcsőde_és_óvoda!F29</f>
        <v>145000</v>
      </c>
      <c r="G42" s="217">
        <f>[4]közművelődés!G36+[4]bölcsőde_és_óvoda!G29</f>
        <v>7250</v>
      </c>
      <c r="H42" s="217">
        <f>F42+G42</f>
        <v>152250</v>
      </c>
      <c r="I42" s="217">
        <f>70000+[4]bölcsőde_és_óvoda!I29</f>
        <v>145000</v>
      </c>
      <c r="J42" s="217">
        <f>[4]közművelődés!J36+[4]bölcsőde_és_óvoda!J29</f>
        <v>7250</v>
      </c>
      <c r="K42" s="217">
        <f>I42+J42</f>
        <v>152250</v>
      </c>
    </row>
    <row r="43" spans="1:11" s="214" customFormat="1" ht="15.75" thickBot="1" x14ac:dyDescent="0.3">
      <c r="A43" s="558" t="s">
        <v>229</v>
      </c>
      <c r="B43" s="559"/>
      <c r="C43" s="559"/>
      <c r="D43" s="559"/>
      <c r="E43" s="560"/>
      <c r="F43" s="216">
        <f t="shared" ref="F43:K43" si="19">F42</f>
        <v>145000</v>
      </c>
      <c r="G43" s="216">
        <f t="shared" si="19"/>
        <v>7250</v>
      </c>
      <c r="H43" s="216">
        <f t="shared" si="19"/>
        <v>152250</v>
      </c>
      <c r="I43" s="216">
        <f t="shared" si="19"/>
        <v>145000</v>
      </c>
      <c r="J43" s="216">
        <f t="shared" si="19"/>
        <v>7250</v>
      </c>
      <c r="K43" s="216">
        <f t="shared" si="19"/>
        <v>152250</v>
      </c>
    </row>
    <row r="44" spans="1:11" ht="15.75" thickBot="1" x14ac:dyDescent="0.3">
      <c r="A44" s="561" t="s">
        <v>230</v>
      </c>
      <c r="B44" s="562"/>
      <c r="C44" s="562"/>
      <c r="D44" s="562"/>
      <c r="E44" s="563"/>
      <c r="F44" s="217">
        <f>280000+[4]bölcsőde_és_óvoda!F31</f>
        <v>496000</v>
      </c>
      <c r="G44" s="217">
        <f>[4]közművelődés!G38+[4]bölcsőde_és_óvoda!G31</f>
        <v>133920</v>
      </c>
      <c r="H44" s="217">
        <f>F44+G44</f>
        <v>629920</v>
      </c>
      <c r="I44" s="217">
        <f>280000+[4]bölcsőde_és_óvoda!I31</f>
        <v>496000</v>
      </c>
      <c r="J44" s="217">
        <f>[4]közművelődés!J38+[4]bölcsőde_és_óvoda!J31</f>
        <v>133920</v>
      </c>
      <c r="K44" s="217">
        <f>I44+J44</f>
        <v>629920</v>
      </c>
    </row>
    <row r="45" spans="1:11" s="214" customFormat="1" ht="15.75" thickBot="1" x14ac:dyDescent="0.3">
      <c r="A45" s="558" t="s">
        <v>231</v>
      </c>
      <c r="B45" s="559"/>
      <c r="C45" s="559"/>
      <c r="D45" s="559"/>
      <c r="E45" s="560"/>
      <c r="F45" s="216">
        <f t="shared" ref="F45:K45" si="20">F44</f>
        <v>496000</v>
      </c>
      <c r="G45" s="216">
        <f t="shared" si="20"/>
        <v>133920</v>
      </c>
      <c r="H45" s="216">
        <f t="shared" si="20"/>
        <v>629920</v>
      </c>
      <c r="I45" s="216">
        <f t="shared" si="20"/>
        <v>496000</v>
      </c>
      <c r="J45" s="216">
        <f t="shared" si="20"/>
        <v>133920</v>
      </c>
      <c r="K45" s="216">
        <f t="shared" si="20"/>
        <v>629920</v>
      </c>
    </row>
    <row r="46" spans="1:11" s="214" customFormat="1" ht="15.75" thickBot="1" x14ac:dyDescent="0.3">
      <c r="A46" s="558" t="s">
        <v>232</v>
      </c>
      <c r="B46" s="559"/>
      <c r="C46" s="559"/>
      <c r="D46" s="559"/>
      <c r="E46" s="560"/>
      <c r="F46" s="216">
        <f>F43+F45</f>
        <v>641000</v>
      </c>
      <c r="G46" s="216">
        <f>G43+G44</f>
        <v>141170</v>
      </c>
      <c r="H46" s="216">
        <f>H43+H44</f>
        <v>782170</v>
      </c>
      <c r="I46" s="216">
        <f>I43+I45</f>
        <v>641000</v>
      </c>
      <c r="J46" s="216">
        <f>J43+J44</f>
        <v>141170</v>
      </c>
      <c r="K46" s="216">
        <f>K43+K44</f>
        <v>782170</v>
      </c>
    </row>
    <row r="47" spans="1:11" ht="15.75" thickBot="1" x14ac:dyDescent="0.3">
      <c r="A47" s="552" t="s">
        <v>473</v>
      </c>
      <c r="B47" s="553"/>
      <c r="C47" s="553"/>
      <c r="D47" s="553"/>
      <c r="E47" s="554"/>
      <c r="F47" s="217">
        <f>580000+[4]bölcsőde_és_óvoda!F34</f>
        <v>2590000</v>
      </c>
      <c r="G47" s="217">
        <f>[4]közművelődés!G41+[4]bölcsőde_és_óvoda!G34</f>
        <v>699299</v>
      </c>
      <c r="H47" s="217">
        <f>F47+G47</f>
        <v>3289299</v>
      </c>
      <c r="I47" s="217">
        <f>580000+[4]bölcsőde_és_óvoda!I34</f>
        <v>3563764</v>
      </c>
      <c r="J47" s="217">
        <f>[4]közművelődés!J41+[4]bölcsőde_és_óvoda!J34</f>
        <v>699299</v>
      </c>
      <c r="K47" s="217">
        <f>I47+J47</f>
        <v>4263063</v>
      </c>
    </row>
    <row r="48" spans="1:11" s="214" customFormat="1" ht="15.75" thickBot="1" x14ac:dyDescent="0.3">
      <c r="A48" s="543" t="s">
        <v>233</v>
      </c>
      <c r="B48" s="544"/>
      <c r="C48" s="544"/>
      <c r="D48" s="544"/>
      <c r="E48" s="545"/>
      <c r="F48" s="216">
        <f>F47</f>
        <v>2590000</v>
      </c>
      <c r="G48" s="216">
        <f t="shared" ref="G48:H48" si="21">G47</f>
        <v>699299</v>
      </c>
      <c r="H48" s="216">
        <f t="shared" si="21"/>
        <v>3289299</v>
      </c>
      <c r="I48" s="216">
        <f>I47</f>
        <v>3563764</v>
      </c>
      <c r="J48" s="216">
        <f t="shared" ref="J48:K48" si="22">J47</f>
        <v>699299</v>
      </c>
      <c r="K48" s="216">
        <f t="shared" si="22"/>
        <v>4263063</v>
      </c>
    </row>
    <row r="49" spans="1:11" s="214" customFormat="1" ht="15.75" thickBot="1" x14ac:dyDescent="0.3">
      <c r="A49" s="552" t="s">
        <v>474</v>
      </c>
      <c r="B49" s="553"/>
      <c r="C49" s="553"/>
      <c r="D49" s="553"/>
      <c r="E49" s="554"/>
      <c r="F49" s="216">
        <v>200000</v>
      </c>
      <c r="G49" s="216">
        <f>F49*27%</f>
        <v>54000</v>
      </c>
      <c r="H49" s="216">
        <f>F49+G49</f>
        <v>254000</v>
      </c>
      <c r="I49" s="216">
        <v>200000</v>
      </c>
      <c r="J49" s="216">
        <f>I49*27%</f>
        <v>54000</v>
      </c>
      <c r="K49" s="216">
        <f>I49+J49</f>
        <v>254000</v>
      </c>
    </row>
    <row r="50" spans="1:11" ht="15.75" thickBot="1" x14ac:dyDescent="0.3">
      <c r="A50" s="552" t="s">
        <v>234</v>
      </c>
      <c r="B50" s="553"/>
      <c r="C50" s="553"/>
      <c r="D50" s="553"/>
      <c r="E50" s="554"/>
      <c r="F50" s="217">
        <f>[4]közművelődés!F44+[4]bölcsőde_és_óvoda!F35</f>
        <v>210000</v>
      </c>
      <c r="G50" s="217">
        <f>[4]közművelődés!G44+[4]bölcsőde_és_óvoda!G35</f>
        <v>56700</v>
      </c>
      <c r="H50" s="217">
        <f>F50+G50</f>
        <v>266700</v>
      </c>
      <c r="I50" s="217">
        <f>[4]közművelődés!I44+[4]bölcsőde_és_óvoda!I35</f>
        <v>210000</v>
      </c>
      <c r="J50" s="217">
        <f>[4]közművelődés!J44+[4]bölcsőde_és_óvoda!J35</f>
        <v>56700</v>
      </c>
      <c r="K50" s="217">
        <f>I50+J50</f>
        <v>266700</v>
      </c>
    </row>
    <row r="51" spans="1:11" ht="15.75" thickBot="1" x14ac:dyDescent="0.3">
      <c r="A51" s="552" t="s">
        <v>475</v>
      </c>
      <c r="B51" s="553"/>
      <c r="C51" s="553"/>
      <c r="D51" s="553"/>
      <c r="E51" s="554"/>
      <c r="F51" s="217">
        <f>[4]közművelődés!F46+[4]bölcsőde_és_óvoda!F38</f>
        <v>319500</v>
      </c>
      <c r="G51" s="217">
        <v>0</v>
      </c>
      <c r="H51" s="217">
        <f>F51+G51</f>
        <v>319500</v>
      </c>
      <c r="I51" s="217">
        <f>[4]közművelődés!I46+[4]bölcsőde_és_óvoda!I38</f>
        <v>319500</v>
      </c>
      <c r="J51" s="217">
        <v>0</v>
      </c>
      <c r="K51" s="217">
        <f>I51+J51</f>
        <v>319500</v>
      </c>
    </row>
    <row r="52" spans="1:11" s="214" customFormat="1" ht="15.75" thickBot="1" x14ac:dyDescent="0.3">
      <c r="A52" s="543" t="s">
        <v>235</v>
      </c>
      <c r="B52" s="544"/>
      <c r="C52" s="544"/>
      <c r="D52" s="544"/>
      <c r="E52" s="545"/>
      <c r="F52" s="216">
        <f>F51</f>
        <v>319500</v>
      </c>
      <c r="G52" s="216">
        <f t="shared" ref="G52:H52" si="23">G51</f>
        <v>0</v>
      </c>
      <c r="H52" s="216">
        <f t="shared" si="23"/>
        <v>319500</v>
      </c>
      <c r="I52" s="216">
        <f>I51</f>
        <v>319500</v>
      </c>
      <c r="J52" s="216">
        <f t="shared" ref="J52:K52" si="24">J51</f>
        <v>0</v>
      </c>
      <c r="K52" s="216">
        <f t="shared" si="24"/>
        <v>319500</v>
      </c>
    </row>
    <row r="53" spans="1:11" ht="15.75" thickBot="1" x14ac:dyDescent="0.3">
      <c r="A53" s="552" t="s">
        <v>236</v>
      </c>
      <c r="B53" s="553"/>
      <c r="C53" s="553"/>
      <c r="D53" s="553"/>
      <c r="E53" s="554"/>
      <c r="F53" s="217">
        <v>100000</v>
      </c>
      <c r="G53" s="217">
        <f>F53*27%</f>
        <v>27000</v>
      </c>
      <c r="H53" s="217">
        <f t="shared" ref="H53:H59" si="25">F53+G53</f>
        <v>127000</v>
      </c>
      <c r="I53" s="217">
        <v>100000</v>
      </c>
      <c r="J53" s="217">
        <f>I53*27%</f>
        <v>27000</v>
      </c>
      <c r="K53" s="217">
        <f t="shared" ref="K53:K59" si="26">I53+J53</f>
        <v>127000</v>
      </c>
    </row>
    <row r="54" spans="1:11" ht="15.75" thickBot="1" x14ac:dyDescent="0.3">
      <c r="A54" s="552" t="s">
        <v>237</v>
      </c>
      <c r="B54" s="553"/>
      <c r="C54" s="553"/>
      <c r="D54" s="553"/>
      <c r="E54" s="554"/>
      <c r="F54" s="217">
        <v>100000</v>
      </c>
      <c r="G54" s="217">
        <f>F54*27%</f>
        <v>27000</v>
      </c>
      <c r="H54" s="217">
        <f t="shared" si="25"/>
        <v>127000</v>
      </c>
      <c r="I54" s="217">
        <v>100000</v>
      </c>
      <c r="J54" s="217">
        <f>I54*27%</f>
        <v>27000</v>
      </c>
      <c r="K54" s="217">
        <f t="shared" si="26"/>
        <v>127000</v>
      </c>
    </row>
    <row r="55" spans="1:11" ht="15.75" thickBot="1" x14ac:dyDescent="0.3">
      <c r="A55" s="552" t="s">
        <v>238</v>
      </c>
      <c r="B55" s="553"/>
      <c r="C55" s="553"/>
      <c r="D55" s="553"/>
      <c r="E55" s="554"/>
      <c r="F55" s="217">
        <v>100000</v>
      </c>
      <c r="G55" s="217">
        <f>F55*27%</f>
        <v>27000</v>
      </c>
      <c r="H55" s="217">
        <f t="shared" si="25"/>
        <v>127000</v>
      </c>
      <c r="I55" s="217">
        <v>100000</v>
      </c>
      <c r="J55" s="217">
        <f>I55*27%</f>
        <v>27000</v>
      </c>
      <c r="K55" s="217">
        <f t="shared" si="26"/>
        <v>127000</v>
      </c>
    </row>
    <row r="56" spans="1:11" ht="15.75" thickBot="1" x14ac:dyDescent="0.3">
      <c r="A56" s="552" t="s">
        <v>239</v>
      </c>
      <c r="B56" s="553"/>
      <c r="C56" s="553"/>
      <c r="D56" s="553"/>
      <c r="E56" s="554"/>
      <c r="F56" s="217">
        <f>37*1500</f>
        <v>55500</v>
      </c>
      <c r="G56" s="217">
        <v>0</v>
      </c>
      <c r="H56" s="217">
        <f t="shared" si="25"/>
        <v>55500</v>
      </c>
      <c r="I56" s="217">
        <f>37*1500</f>
        <v>55500</v>
      </c>
      <c r="J56" s="217">
        <v>0</v>
      </c>
      <c r="K56" s="217">
        <f t="shared" si="26"/>
        <v>55500</v>
      </c>
    </row>
    <row r="57" spans="1:11" ht="15.75" thickBot="1" x14ac:dyDescent="0.3">
      <c r="A57" s="552" t="s">
        <v>476</v>
      </c>
      <c r="B57" s="553"/>
      <c r="C57" s="553"/>
      <c r="D57" s="553"/>
      <c r="E57" s="554"/>
      <c r="F57" s="217">
        <f>4500*37*6</f>
        <v>999000</v>
      </c>
      <c r="G57" s="217">
        <v>0</v>
      </c>
      <c r="H57" s="217">
        <f t="shared" si="25"/>
        <v>999000</v>
      </c>
      <c r="I57" s="217">
        <f>4500*37*6</f>
        <v>999000</v>
      </c>
      <c r="J57" s="217">
        <v>0</v>
      </c>
      <c r="K57" s="217">
        <f t="shared" si="26"/>
        <v>999000</v>
      </c>
    </row>
    <row r="58" spans="1:11" ht="15.75" thickBot="1" x14ac:dyDescent="0.3">
      <c r="A58" s="552" t="s">
        <v>477</v>
      </c>
      <c r="B58" s="553"/>
      <c r="C58" s="553"/>
      <c r="D58" s="553"/>
      <c r="E58" s="554"/>
      <c r="F58" s="217">
        <v>300000</v>
      </c>
      <c r="G58" s="217">
        <v>0</v>
      </c>
      <c r="H58" s="217">
        <f t="shared" si="25"/>
        <v>300000</v>
      </c>
      <c r="I58" s="217">
        <v>300000</v>
      </c>
      <c r="J58" s="217">
        <v>0</v>
      </c>
      <c r="K58" s="217">
        <f t="shared" si="26"/>
        <v>300000</v>
      </c>
    </row>
    <row r="59" spans="1:11" ht="15.75" thickBot="1" x14ac:dyDescent="0.3">
      <c r="A59" s="552" t="s">
        <v>478</v>
      </c>
      <c r="B59" s="553"/>
      <c r="C59" s="553"/>
      <c r="D59" s="553"/>
      <c r="E59" s="554"/>
      <c r="F59" s="217">
        <v>50000</v>
      </c>
      <c r="G59" s="217">
        <v>0</v>
      </c>
      <c r="H59" s="217">
        <f t="shared" si="25"/>
        <v>50000</v>
      </c>
      <c r="I59" s="217">
        <v>50000</v>
      </c>
      <c r="J59" s="217">
        <v>0</v>
      </c>
      <c r="K59" s="217">
        <f t="shared" si="26"/>
        <v>50000</v>
      </c>
    </row>
    <row r="60" spans="1:11" ht="15.75" thickBot="1" x14ac:dyDescent="0.3">
      <c r="A60" s="552" t="s">
        <v>479</v>
      </c>
      <c r="B60" s="553"/>
      <c r="C60" s="553"/>
      <c r="D60" s="553"/>
      <c r="E60" s="554"/>
      <c r="F60" s="217">
        <f>60000*12</f>
        <v>720000</v>
      </c>
      <c r="G60" s="217">
        <v>0</v>
      </c>
      <c r="H60" s="217">
        <f t="shared" ref="H60" si="27">60000*12</f>
        <v>720000</v>
      </c>
      <c r="I60" s="217">
        <v>0</v>
      </c>
      <c r="J60" s="217">
        <v>0</v>
      </c>
      <c r="K60" s="217">
        <v>0</v>
      </c>
    </row>
    <row r="61" spans="1:11" ht="45.75" customHeight="1" thickBot="1" x14ac:dyDescent="0.3">
      <c r="A61" s="555" t="s">
        <v>480</v>
      </c>
      <c r="B61" s="556"/>
      <c r="C61" s="556"/>
      <c r="D61" s="556"/>
      <c r="E61" s="557"/>
      <c r="F61" s="217">
        <f>92000+100000+130000+50000+700000+50000+50000+100000+100000+200000+200000+130000</f>
        <v>1902000</v>
      </c>
      <c r="G61" s="217">
        <v>270000</v>
      </c>
      <c r="H61" s="217">
        <f>F61+G61</f>
        <v>2172000</v>
      </c>
      <c r="I61" s="217">
        <f>92000+100000+130000+50000+700000+50000+50000+100000+100000+200000+200000+130000</f>
        <v>1902000</v>
      </c>
      <c r="J61" s="217">
        <v>270000</v>
      </c>
      <c r="K61" s="217">
        <f>I61+J61</f>
        <v>2172000</v>
      </c>
    </row>
    <row r="62" spans="1:11" ht="21.75" customHeight="1" thickBot="1" x14ac:dyDescent="0.3">
      <c r="A62" s="552" t="s">
        <v>481</v>
      </c>
      <c r="B62" s="553"/>
      <c r="C62" s="553"/>
      <c r="D62" s="553"/>
      <c r="E62" s="554"/>
      <c r="F62" s="340">
        <f>[4]bölcsőde_és_óvoda!F39</f>
        <v>66000</v>
      </c>
      <c r="G62" s="340">
        <f>[4]bölcsőde_és_óvoda!G39</f>
        <v>17820</v>
      </c>
      <c r="H62" s="340">
        <f>[4]bölcsőde_és_óvoda!H39</f>
        <v>83820</v>
      </c>
      <c r="I62" s="340">
        <f>[4]bölcsőde_és_óvoda!I39</f>
        <v>66000</v>
      </c>
      <c r="J62" s="340">
        <f>[4]bölcsőde_és_óvoda!J39</f>
        <v>17820</v>
      </c>
      <c r="K62" s="340">
        <f>[4]bölcsőde_és_óvoda!K39</f>
        <v>83820</v>
      </c>
    </row>
    <row r="63" spans="1:11" ht="19.5" customHeight="1" thickBot="1" x14ac:dyDescent="0.3">
      <c r="A63" s="552" t="s">
        <v>482</v>
      </c>
      <c r="B63" s="553"/>
      <c r="C63" s="553"/>
      <c r="D63" s="553"/>
      <c r="E63" s="554"/>
      <c r="F63" s="217">
        <f>[4]bölcsőde_és_óvoda!F40</f>
        <v>30000</v>
      </c>
      <c r="G63" s="217">
        <f>F63*27%</f>
        <v>8100.0000000000009</v>
      </c>
      <c r="H63" s="217">
        <f>F63+G63</f>
        <v>38100</v>
      </c>
      <c r="I63" s="217">
        <f>[4]bölcsőde_és_óvoda!I40</f>
        <v>30000</v>
      </c>
      <c r="J63" s="217">
        <f>I63*27%</f>
        <v>8100.0000000000009</v>
      </c>
      <c r="K63" s="217">
        <f>I63+J63</f>
        <v>38100</v>
      </c>
    </row>
    <row r="64" spans="1:11" ht="21" customHeight="1" thickBot="1" x14ac:dyDescent="0.3">
      <c r="A64" s="552" t="s">
        <v>483</v>
      </c>
      <c r="B64" s="553"/>
      <c r="C64" s="553"/>
      <c r="D64" s="553"/>
      <c r="E64" s="554"/>
      <c r="F64" s="217">
        <f>[4]bölcsőde_és_óvoda!F41</f>
        <v>25000</v>
      </c>
      <c r="G64" s="217">
        <f>[4]bölcsőde_és_óvoda!G41</f>
        <v>6750</v>
      </c>
      <c r="H64" s="217">
        <f>[4]bölcsőde_és_óvoda!H41</f>
        <v>31750</v>
      </c>
      <c r="I64" s="217">
        <f>[4]bölcsőde_és_óvoda!I41</f>
        <v>25000</v>
      </c>
      <c r="J64" s="217">
        <f>[4]bölcsőde_és_óvoda!J41</f>
        <v>6750</v>
      </c>
      <c r="K64" s="217">
        <f>[4]bölcsőde_és_óvoda!K41</f>
        <v>31750</v>
      </c>
    </row>
    <row r="65" spans="1:11" ht="31.5" customHeight="1" thickBot="1" x14ac:dyDescent="0.3">
      <c r="A65" s="555" t="s">
        <v>598</v>
      </c>
      <c r="B65" s="556"/>
      <c r="C65" s="556"/>
      <c r="D65" s="556"/>
      <c r="E65" s="557"/>
      <c r="F65" s="217"/>
      <c r="G65" s="217"/>
      <c r="H65" s="217">
        <f t="shared" ref="H65:H67" si="28">F65+G65</f>
        <v>0</v>
      </c>
      <c r="I65" s="217">
        <v>150000</v>
      </c>
      <c r="J65" s="217">
        <v>0</v>
      </c>
      <c r="K65" s="217">
        <f t="shared" ref="K65:K67" si="29">I65+J65</f>
        <v>150000</v>
      </c>
    </row>
    <row r="66" spans="1:11" ht="27" customHeight="1" thickBot="1" x14ac:dyDescent="0.3">
      <c r="A66" s="555" t="s">
        <v>599</v>
      </c>
      <c r="B66" s="556"/>
      <c r="C66" s="556"/>
      <c r="D66" s="556"/>
      <c r="E66" s="557"/>
      <c r="F66" s="217"/>
      <c r="G66" s="217"/>
      <c r="H66" s="217">
        <f t="shared" si="28"/>
        <v>0</v>
      </c>
      <c r="I66" s="217">
        <v>150000</v>
      </c>
      <c r="J66" s="217">
        <v>0</v>
      </c>
      <c r="K66" s="217">
        <f t="shared" si="29"/>
        <v>150000</v>
      </c>
    </row>
    <row r="67" spans="1:11" ht="34.5" customHeight="1" thickBot="1" x14ac:dyDescent="0.3">
      <c r="A67" s="555" t="s">
        <v>600</v>
      </c>
      <c r="B67" s="556"/>
      <c r="C67" s="556"/>
      <c r="D67" s="556"/>
      <c r="E67" s="557"/>
      <c r="F67" s="217"/>
      <c r="G67" s="217"/>
      <c r="H67" s="217">
        <f t="shared" si="28"/>
        <v>0</v>
      </c>
      <c r="I67" s="217">
        <v>210000</v>
      </c>
      <c r="J67" s="217">
        <v>0</v>
      </c>
      <c r="K67" s="217">
        <f t="shared" si="29"/>
        <v>210000</v>
      </c>
    </row>
    <row r="68" spans="1:11" ht="21" customHeight="1" thickBot="1" x14ac:dyDescent="0.3">
      <c r="A68" s="672" t="s">
        <v>601</v>
      </c>
      <c r="B68" s="673"/>
      <c r="C68" s="673"/>
      <c r="D68" s="673"/>
      <c r="E68" s="674"/>
      <c r="F68" s="675">
        <v>0</v>
      </c>
      <c r="G68" s="675">
        <v>0</v>
      </c>
      <c r="H68" s="675">
        <v>0</v>
      </c>
      <c r="I68" s="675">
        <v>307</v>
      </c>
      <c r="J68" s="675">
        <v>83</v>
      </c>
      <c r="K68" s="675">
        <f>I68+J68</f>
        <v>390</v>
      </c>
    </row>
    <row r="69" spans="1:11" ht="36.75" customHeight="1" thickBot="1" x14ac:dyDescent="0.3">
      <c r="A69" s="672" t="s">
        <v>602</v>
      </c>
      <c r="B69" s="673"/>
      <c r="C69" s="673"/>
      <c r="D69" s="673"/>
      <c r="E69" s="674"/>
      <c r="F69" s="675"/>
      <c r="G69" s="675"/>
      <c r="H69" s="675"/>
      <c r="I69" s="675">
        <v>937</v>
      </c>
      <c r="J69" s="675">
        <v>253</v>
      </c>
      <c r="K69" s="675">
        <f>I69+J69</f>
        <v>1190</v>
      </c>
    </row>
    <row r="70" spans="1:11" ht="19.5" customHeight="1" thickBot="1" x14ac:dyDescent="0.3">
      <c r="A70" s="552" t="s">
        <v>484</v>
      </c>
      <c r="B70" s="553"/>
      <c r="C70" s="553"/>
      <c r="D70" s="553"/>
      <c r="E70" s="554"/>
      <c r="F70" s="217">
        <v>100000</v>
      </c>
      <c r="G70" s="217">
        <v>0</v>
      </c>
      <c r="H70" s="217">
        <v>100000</v>
      </c>
      <c r="I70" s="217">
        <v>100000</v>
      </c>
      <c r="J70" s="217">
        <v>0</v>
      </c>
      <c r="K70" s="217">
        <v>100000</v>
      </c>
    </row>
    <row r="71" spans="1:11" s="214" customFormat="1" ht="15.75" thickBot="1" x14ac:dyDescent="0.3">
      <c r="A71" s="543" t="s">
        <v>240</v>
      </c>
      <c r="B71" s="544"/>
      <c r="C71" s="544"/>
      <c r="D71" s="544"/>
      <c r="E71" s="545"/>
      <c r="F71" s="216">
        <f>F53+F54+F55+F56+F57+F58+F59+F60+F61+F62+F63+F64+F70+F65+F66+F67+F68+F69</f>
        <v>4547500</v>
      </c>
      <c r="G71" s="216">
        <f t="shared" ref="G71:K71" si="30">G53+G54+G55+G56+G57+G58+G59+G60+G61+G62+G63+G64+G70+G65+G66+G67+G68+G69</f>
        <v>383670</v>
      </c>
      <c r="H71" s="216">
        <f t="shared" si="30"/>
        <v>4931170</v>
      </c>
      <c r="I71" s="216">
        <f t="shared" si="30"/>
        <v>4338744</v>
      </c>
      <c r="J71" s="216">
        <f t="shared" si="30"/>
        <v>384006</v>
      </c>
      <c r="K71" s="216">
        <f t="shared" si="30"/>
        <v>4722750</v>
      </c>
    </row>
    <row r="72" spans="1:11" s="214" customFormat="1" ht="15.75" thickBot="1" x14ac:dyDescent="0.3">
      <c r="A72" s="543" t="s">
        <v>241</v>
      </c>
      <c r="B72" s="544"/>
      <c r="C72" s="544"/>
      <c r="D72" s="544"/>
      <c r="E72" s="545"/>
      <c r="F72" s="216">
        <f>F48+F49+F50+F52+F71</f>
        <v>7867000</v>
      </c>
      <c r="G72" s="216">
        <f t="shared" ref="G72:H72" si="31">G48+G49+G50+G52+G71</f>
        <v>1193669</v>
      </c>
      <c r="H72" s="216">
        <f t="shared" si="31"/>
        <v>9060669</v>
      </c>
      <c r="I72" s="216">
        <f>I48+I49+I50+I52+I71</f>
        <v>8632008</v>
      </c>
      <c r="J72" s="216">
        <f t="shared" ref="J72:K72" si="32">J48+J49+J50+J52+J71</f>
        <v>1194005</v>
      </c>
      <c r="K72" s="216">
        <f t="shared" si="32"/>
        <v>9826013</v>
      </c>
    </row>
    <row r="73" spans="1:11" ht="15.75" thickBot="1" x14ac:dyDescent="0.3">
      <c r="A73" s="552" t="s">
        <v>242</v>
      </c>
      <c r="B73" s="553"/>
      <c r="C73" s="553"/>
      <c r="D73" s="553"/>
      <c r="E73" s="554"/>
      <c r="F73" s="217">
        <f>[4]közművelődés!F63+[4]bölcsőde_és_óvoda!F45</f>
        <v>190000</v>
      </c>
      <c r="G73" s="217">
        <v>0</v>
      </c>
      <c r="H73" s="217">
        <f>F73+G73</f>
        <v>190000</v>
      </c>
      <c r="I73" s="217">
        <f>[4]közművelődés!I63+[4]bölcsőde_és_óvoda!I45</f>
        <v>190000</v>
      </c>
      <c r="J73" s="217">
        <v>0</v>
      </c>
      <c r="K73" s="217">
        <f>I73+J73</f>
        <v>190000</v>
      </c>
    </row>
    <row r="74" spans="1:11" ht="15.75" thickBot="1" x14ac:dyDescent="0.3">
      <c r="A74" s="552" t="s">
        <v>243</v>
      </c>
      <c r="B74" s="553"/>
      <c r="C74" s="553"/>
      <c r="D74" s="553"/>
      <c r="E74" s="554"/>
      <c r="F74" s="217">
        <v>250000</v>
      </c>
      <c r="G74" s="217">
        <v>0</v>
      </c>
      <c r="H74" s="217">
        <f>F74+G74</f>
        <v>250000</v>
      </c>
      <c r="I74" s="217">
        <v>250000</v>
      </c>
      <c r="J74" s="217">
        <v>0</v>
      </c>
      <c r="K74" s="217">
        <f>I74+J74</f>
        <v>250000</v>
      </c>
    </row>
    <row r="75" spans="1:11" s="214" customFormat="1" ht="15.75" thickBot="1" x14ac:dyDescent="0.3">
      <c r="A75" s="543" t="s">
        <v>244</v>
      </c>
      <c r="B75" s="544"/>
      <c r="C75" s="544"/>
      <c r="D75" s="544"/>
      <c r="E75" s="545"/>
      <c r="F75" s="216">
        <f t="shared" ref="F75:K75" si="33">F73+F74</f>
        <v>440000</v>
      </c>
      <c r="G75" s="216">
        <f t="shared" si="33"/>
        <v>0</v>
      </c>
      <c r="H75" s="216">
        <f t="shared" si="33"/>
        <v>440000</v>
      </c>
      <c r="I75" s="216">
        <f t="shared" si="33"/>
        <v>440000</v>
      </c>
      <c r="J75" s="216">
        <f t="shared" si="33"/>
        <v>0</v>
      </c>
      <c r="K75" s="216">
        <f t="shared" si="33"/>
        <v>440000</v>
      </c>
    </row>
    <row r="76" spans="1:11" ht="15.75" thickBot="1" x14ac:dyDescent="0.3">
      <c r="A76" s="552" t="s">
        <v>245</v>
      </c>
      <c r="B76" s="553"/>
      <c r="C76" s="553"/>
      <c r="D76" s="553"/>
      <c r="E76" s="554"/>
      <c r="F76" s="217">
        <v>0</v>
      </c>
      <c r="G76" s="217">
        <f>[4]bölcsőde_és_óvoda!G47+[4]közművelődés!G66</f>
        <v>2248498</v>
      </c>
      <c r="H76" s="217">
        <f>G76</f>
        <v>2248498</v>
      </c>
      <c r="I76" s="217">
        <v>0</v>
      </c>
      <c r="J76" s="217">
        <f>[4]bölcsőde_és_óvoda!J47+[4]közművelődés!J66</f>
        <v>2256716</v>
      </c>
      <c r="K76" s="217">
        <f>J76</f>
        <v>2256716</v>
      </c>
    </row>
    <row r="77" spans="1:11" ht="15.75" thickBot="1" x14ac:dyDescent="0.3">
      <c r="A77" s="552" t="s">
        <v>248</v>
      </c>
      <c r="B77" s="553"/>
      <c r="C77" s="553"/>
      <c r="D77" s="553"/>
      <c r="E77" s="554"/>
      <c r="F77" s="217">
        <f>[4]közművelődés!F67+[4]bölcsőde_és_óvoda!F48</f>
        <v>55000</v>
      </c>
      <c r="G77" s="217">
        <v>0</v>
      </c>
      <c r="H77" s="217">
        <f>F77+G77</f>
        <v>55000</v>
      </c>
      <c r="I77" s="217">
        <f>[4]közművelődés!I67+[4]bölcsőde_és_óvoda!I48</f>
        <v>55000</v>
      </c>
      <c r="J77" s="217">
        <v>0</v>
      </c>
      <c r="K77" s="217">
        <f>I77+J77</f>
        <v>55000</v>
      </c>
    </row>
    <row r="78" spans="1:11" s="214" customFormat="1" ht="15.75" thickBot="1" x14ac:dyDescent="0.3">
      <c r="A78" s="543" t="s">
        <v>246</v>
      </c>
      <c r="B78" s="544"/>
      <c r="C78" s="544"/>
      <c r="D78" s="544"/>
      <c r="E78" s="545"/>
      <c r="F78" s="216">
        <f>F76+F77</f>
        <v>55000</v>
      </c>
      <c r="G78" s="216">
        <f t="shared" ref="G78:H78" si="34">G76+G77</f>
        <v>2248498</v>
      </c>
      <c r="H78" s="216">
        <f t="shared" si="34"/>
        <v>2303498</v>
      </c>
      <c r="I78" s="216">
        <f>I76+I77</f>
        <v>55000</v>
      </c>
      <c r="J78" s="216">
        <f t="shared" ref="J78:K78" si="35">J76+J77</f>
        <v>2256716</v>
      </c>
      <c r="K78" s="216">
        <f t="shared" si="35"/>
        <v>2311716</v>
      </c>
    </row>
    <row r="79" spans="1:11" s="214" customFormat="1" ht="15.75" thickBot="1" x14ac:dyDescent="0.3">
      <c r="A79" s="543" t="s">
        <v>247</v>
      </c>
      <c r="B79" s="544"/>
      <c r="C79" s="544"/>
      <c r="D79" s="544"/>
      <c r="E79" s="545"/>
      <c r="F79" s="216">
        <f>F78+F75+F72+F46+F41</f>
        <v>12728700</v>
      </c>
      <c r="G79" s="216">
        <f>G78</f>
        <v>2248498</v>
      </c>
      <c r="H79" s="216">
        <f>F79+G79</f>
        <v>14977198</v>
      </c>
      <c r="I79" s="216">
        <f>I78+I75+I72+I46+I41</f>
        <v>14212898</v>
      </c>
      <c r="J79" s="216">
        <f>J78</f>
        <v>2256716</v>
      </c>
      <c r="K79" s="216">
        <f>I79+J79</f>
        <v>16469614</v>
      </c>
    </row>
    <row r="80" spans="1:11" s="214" customFormat="1" ht="16.5" customHeight="1" thickBot="1" x14ac:dyDescent="0.3">
      <c r="A80" s="543" t="s">
        <v>603</v>
      </c>
      <c r="B80" s="544"/>
      <c r="C80" s="544"/>
      <c r="D80" s="544"/>
      <c r="E80" s="545"/>
      <c r="F80" s="216"/>
      <c r="G80" s="216"/>
      <c r="H80" s="216"/>
      <c r="I80" s="216"/>
      <c r="J80" s="216"/>
      <c r="K80" s="216"/>
    </row>
    <row r="81" spans="1:13" s="214" customFormat="1" ht="15.75" thickBot="1" x14ac:dyDescent="0.3">
      <c r="A81" s="552" t="s">
        <v>168</v>
      </c>
      <c r="B81" s="553"/>
      <c r="C81" s="553"/>
      <c r="D81" s="553"/>
      <c r="E81" s="554"/>
      <c r="F81" s="217">
        <v>280000</v>
      </c>
      <c r="G81" s="217">
        <f t="shared" ref="G81:G89" si="36">F81*27%</f>
        <v>75600</v>
      </c>
      <c r="H81" s="217">
        <f>F81+G81</f>
        <v>355600</v>
      </c>
      <c r="I81" s="217">
        <v>280000</v>
      </c>
      <c r="J81" s="217">
        <f t="shared" ref="J81:J87" si="37">I81*27%</f>
        <v>75600</v>
      </c>
      <c r="K81" s="217">
        <f>I81+J81</f>
        <v>355600</v>
      </c>
    </row>
    <row r="82" spans="1:13" s="214" customFormat="1" ht="15.75" thickBot="1" x14ac:dyDescent="0.3">
      <c r="A82" s="552" t="s">
        <v>485</v>
      </c>
      <c r="B82" s="553"/>
      <c r="C82" s="553"/>
      <c r="D82" s="553"/>
      <c r="E82" s="554"/>
      <c r="F82" s="340">
        <v>15000</v>
      </c>
      <c r="G82" s="340">
        <f t="shared" si="36"/>
        <v>4050.0000000000005</v>
      </c>
      <c r="H82" s="340">
        <f>F82+G82</f>
        <v>19050</v>
      </c>
      <c r="I82" s="340">
        <v>11843</v>
      </c>
      <c r="J82" s="340">
        <f t="shared" si="37"/>
        <v>3197.61</v>
      </c>
      <c r="K82" s="340">
        <f>I82+J82</f>
        <v>15040.61</v>
      </c>
      <c r="M82" s="671"/>
    </row>
    <row r="83" spans="1:13" s="214" customFormat="1" ht="15.75" thickBot="1" x14ac:dyDescent="0.3">
      <c r="A83" s="552" t="s">
        <v>486</v>
      </c>
      <c r="B83" s="553"/>
      <c r="C83" s="553"/>
      <c r="D83" s="553"/>
      <c r="E83" s="554"/>
      <c r="F83" s="340">
        <v>30000</v>
      </c>
      <c r="G83" s="340">
        <f t="shared" si="36"/>
        <v>8100.0000000000009</v>
      </c>
      <c r="H83" s="340">
        <f>F83+G83</f>
        <v>38100</v>
      </c>
      <c r="I83" s="340">
        <v>15850</v>
      </c>
      <c r="J83" s="340">
        <f t="shared" si="37"/>
        <v>4279.5</v>
      </c>
      <c r="K83" s="340">
        <f>I83+J83</f>
        <v>20129.5</v>
      </c>
      <c r="M83" s="671"/>
    </row>
    <row r="84" spans="1:13" ht="15.75" thickBot="1" x14ac:dyDescent="0.3">
      <c r="A84" s="552" t="s">
        <v>487</v>
      </c>
      <c r="B84" s="553"/>
      <c r="C84" s="553"/>
      <c r="D84" s="553"/>
      <c r="E84" s="554"/>
      <c r="F84" s="217">
        <v>10000</v>
      </c>
      <c r="G84" s="217">
        <f t="shared" si="36"/>
        <v>2700</v>
      </c>
      <c r="H84" s="217">
        <f>F84+G84</f>
        <v>12700</v>
      </c>
      <c r="I84" s="217">
        <v>10000</v>
      </c>
      <c r="J84" s="217">
        <f t="shared" si="37"/>
        <v>2700</v>
      </c>
      <c r="K84" s="217">
        <f>I84+J84</f>
        <v>12700</v>
      </c>
    </row>
    <row r="85" spans="1:13" ht="15.75" thickBot="1" x14ac:dyDescent="0.3">
      <c r="A85" s="552" t="s">
        <v>604</v>
      </c>
      <c r="B85" s="553"/>
      <c r="C85" s="553"/>
      <c r="D85" s="553"/>
      <c r="E85" s="554"/>
      <c r="F85" s="217">
        <v>30000</v>
      </c>
      <c r="G85" s="217">
        <f t="shared" si="36"/>
        <v>8100.0000000000009</v>
      </c>
      <c r="H85" s="217">
        <f t="shared" ref="H85:H93" si="38">F85+G85</f>
        <v>38100</v>
      </c>
      <c r="I85" s="217">
        <v>30000</v>
      </c>
      <c r="J85" s="217">
        <f t="shared" si="37"/>
        <v>8100.0000000000009</v>
      </c>
      <c r="K85" s="217">
        <f t="shared" ref="K85:K87" si="39">I85+J85</f>
        <v>38100</v>
      </c>
    </row>
    <row r="86" spans="1:13" ht="15.75" thickBot="1" x14ac:dyDescent="0.3">
      <c r="A86" s="552" t="s">
        <v>605</v>
      </c>
      <c r="B86" s="553"/>
      <c r="C86" s="553"/>
      <c r="D86" s="553"/>
      <c r="E86" s="554"/>
      <c r="F86" s="217">
        <v>200000</v>
      </c>
      <c r="G86" s="217">
        <f t="shared" si="36"/>
        <v>54000</v>
      </c>
      <c r="H86" s="217">
        <f t="shared" si="38"/>
        <v>254000</v>
      </c>
      <c r="I86" s="217">
        <v>200000</v>
      </c>
      <c r="J86" s="217">
        <f t="shared" si="37"/>
        <v>54000</v>
      </c>
      <c r="K86" s="217">
        <f t="shared" si="39"/>
        <v>254000</v>
      </c>
    </row>
    <row r="87" spans="1:13" ht="15.75" thickBot="1" x14ac:dyDescent="0.3">
      <c r="A87" s="552" t="s">
        <v>606</v>
      </c>
      <c r="B87" s="553"/>
      <c r="C87" s="553"/>
      <c r="D87" s="553"/>
      <c r="E87" s="554"/>
      <c r="F87" s="217">
        <v>30000</v>
      </c>
      <c r="G87" s="217">
        <f t="shared" si="36"/>
        <v>8100.0000000000009</v>
      </c>
      <c r="H87" s="217">
        <f t="shared" si="38"/>
        <v>38100</v>
      </c>
      <c r="I87" s="217">
        <v>30000</v>
      </c>
      <c r="J87" s="217">
        <f t="shared" si="37"/>
        <v>8100.0000000000009</v>
      </c>
      <c r="K87" s="217">
        <f t="shared" si="39"/>
        <v>38100</v>
      </c>
    </row>
    <row r="88" spans="1:13" ht="16.5" thickBot="1" x14ac:dyDescent="0.3">
      <c r="A88" s="678" t="s">
        <v>432</v>
      </c>
      <c r="B88" s="679"/>
      <c r="C88" s="679"/>
      <c r="D88" s="679"/>
      <c r="E88" s="680"/>
      <c r="F88" s="675">
        <v>100000</v>
      </c>
      <c r="G88" s="675">
        <v>27000</v>
      </c>
      <c r="H88" s="675">
        <f>F88+G88</f>
        <v>127000</v>
      </c>
      <c r="I88" s="675">
        <f>100000-I89-28433</f>
        <v>48811</v>
      </c>
      <c r="J88" s="675">
        <f>27000-J89-7677</f>
        <v>13178.879999999997</v>
      </c>
      <c r="K88" s="675">
        <f>I88+J88</f>
        <v>61989.88</v>
      </c>
    </row>
    <row r="89" spans="1:13" ht="16.5" thickBot="1" x14ac:dyDescent="0.3">
      <c r="A89" s="678" t="s">
        <v>581</v>
      </c>
      <c r="B89" s="679"/>
      <c r="C89" s="679"/>
      <c r="D89" s="679"/>
      <c r="E89" s="680"/>
      <c r="F89" s="675">
        <v>0</v>
      </c>
      <c r="G89" s="675">
        <f t="shared" si="36"/>
        <v>0</v>
      </c>
      <c r="H89" s="675">
        <f t="shared" si="38"/>
        <v>0</v>
      </c>
      <c r="I89" s="675">
        <v>22756</v>
      </c>
      <c r="J89" s="675">
        <f t="shared" ref="J89" si="40">I89*27%</f>
        <v>6144.1200000000008</v>
      </c>
      <c r="K89" s="675">
        <f t="shared" ref="K89:K90" si="41">I89+J89</f>
        <v>28900.120000000003</v>
      </c>
    </row>
    <row r="90" spans="1:13" ht="39" customHeight="1" thickBot="1" x14ac:dyDescent="0.3">
      <c r="A90" s="672" t="s">
        <v>607</v>
      </c>
      <c r="B90" s="673"/>
      <c r="C90" s="673"/>
      <c r="D90" s="673"/>
      <c r="E90" s="674"/>
      <c r="F90" s="675">
        <v>0</v>
      </c>
      <c r="G90" s="675">
        <v>0</v>
      </c>
      <c r="H90" s="675">
        <v>0</v>
      </c>
      <c r="I90" s="675">
        <v>12583</v>
      </c>
      <c r="J90" s="675">
        <v>3397</v>
      </c>
      <c r="K90" s="675">
        <f t="shared" si="41"/>
        <v>15980</v>
      </c>
    </row>
    <row r="91" spans="1:13" ht="15.75" thickBot="1" x14ac:dyDescent="0.3">
      <c r="A91" s="543" t="s">
        <v>608</v>
      </c>
      <c r="B91" s="544"/>
      <c r="C91" s="544"/>
      <c r="D91" s="544"/>
      <c r="E91" s="545"/>
      <c r="F91" s="216">
        <v>0</v>
      </c>
      <c r="G91" s="216">
        <v>0</v>
      </c>
      <c r="H91" s="216">
        <v>0</v>
      </c>
      <c r="I91" s="216">
        <f>I90+I89</f>
        <v>35339</v>
      </c>
      <c r="J91" s="216">
        <f t="shared" ref="J91:K91" si="42">J90+J89</f>
        <v>9541.1200000000008</v>
      </c>
      <c r="K91" s="216">
        <f t="shared" si="42"/>
        <v>44880.12</v>
      </c>
    </row>
    <row r="92" spans="1:13" ht="15.75" thickBot="1" x14ac:dyDescent="0.3">
      <c r="A92" s="543" t="s">
        <v>609</v>
      </c>
      <c r="B92" s="544"/>
      <c r="C92" s="544"/>
      <c r="D92" s="544"/>
      <c r="E92" s="545"/>
      <c r="F92" s="216">
        <f>F81+F82+F83+F84+F85+F86+F87+F88</f>
        <v>695000</v>
      </c>
      <c r="G92" s="216">
        <f t="shared" ref="G92:H92" si="43">G81+G82+G83+G84+G85+G86+G87+G88</f>
        <v>187650</v>
      </c>
      <c r="H92" s="216">
        <f t="shared" si="43"/>
        <v>882650</v>
      </c>
      <c r="I92" s="216">
        <f>I81+I82+I83+I84+I85+I86+I87+I88</f>
        <v>626504</v>
      </c>
      <c r="J92" s="216">
        <f t="shared" ref="J92:K92" si="44">J81+J82+J83+J84+J85+J86+J87+J88</f>
        <v>169155.99</v>
      </c>
      <c r="K92" s="216">
        <f t="shared" si="44"/>
        <v>795659.99</v>
      </c>
    </row>
    <row r="93" spans="1:13" s="214" customFormat="1" ht="15.75" thickBot="1" x14ac:dyDescent="0.3">
      <c r="A93" s="543" t="s">
        <v>249</v>
      </c>
      <c r="B93" s="544"/>
      <c r="C93" s="544"/>
      <c r="D93" s="544"/>
      <c r="E93" s="545"/>
      <c r="F93" s="216">
        <v>0</v>
      </c>
      <c r="G93" s="216">
        <v>187650</v>
      </c>
      <c r="H93" s="216">
        <f t="shared" si="38"/>
        <v>187650</v>
      </c>
      <c r="I93" s="216"/>
      <c r="J93" s="216">
        <f>J81+J82+J83+J84+J85+J86+J87+J88+J89+J90</f>
        <v>178697.11</v>
      </c>
      <c r="K93" s="216">
        <f t="shared" ref="K93" si="45">I93+J93</f>
        <v>178697.11</v>
      </c>
    </row>
    <row r="94" spans="1:13" s="214" customFormat="1" ht="16.5" thickBot="1" x14ac:dyDescent="0.3">
      <c r="A94" s="546" t="s">
        <v>610</v>
      </c>
      <c r="B94" s="547"/>
      <c r="C94" s="547"/>
      <c r="D94" s="547"/>
      <c r="E94" s="548"/>
      <c r="F94" s="216">
        <f>F92+F91+F93</f>
        <v>695000</v>
      </c>
      <c r="G94" s="216">
        <f t="shared" ref="G94:I94" si="46">G92+G91+G93</f>
        <v>375300</v>
      </c>
      <c r="H94" s="216">
        <f t="shared" si="46"/>
        <v>1070300</v>
      </c>
      <c r="I94" s="216">
        <f t="shared" si="46"/>
        <v>661843</v>
      </c>
      <c r="J94" s="216">
        <f>J93</f>
        <v>178697.11</v>
      </c>
      <c r="K94" s="216">
        <f>I94+J94</f>
        <v>840540.11</v>
      </c>
    </row>
    <row r="95" spans="1:13" s="214" customFormat="1" ht="16.5" thickBot="1" x14ac:dyDescent="0.3">
      <c r="A95" s="546" t="s">
        <v>488</v>
      </c>
      <c r="B95" s="547"/>
      <c r="C95" s="547"/>
      <c r="D95" s="547"/>
      <c r="E95" s="548"/>
      <c r="F95" s="216"/>
      <c r="G95" s="216"/>
      <c r="H95" s="216"/>
      <c r="I95" s="216"/>
      <c r="J95" s="216"/>
      <c r="K95" s="216"/>
    </row>
    <row r="96" spans="1:13" s="214" customFormat="1" ht="15.75" thickBot="1" x14ac:dyDescent="0.3">
      <c r="A96" s="552" t="s">
        <v>164</v>
      </c>
      <c r="B96" s="553"/>
      <c r="C96" s="553"/>
      <c r="D96" s="553"/>
      <c r="E96" s="554"/>
      <c r="F96" s="217">
        <v>50000</v>
      </c>
      <c r="G96" s="217">
        <f t="shared" ref="G96:G99" si="47">F96*27%</f>
        <v>13500</v>
      </c>
      <c r="H96" s="217">
        <f>F96+G96</f>
        <v>63500</v>
      </c>
      <c r="I96" s="217">
        <v>50000</v>
      </c>
      <c r="J96" s="217">
        <f t="shared" ref="J96:J99" si="48">I96*27%</f>
        <v>13500</v>
      </c>
      <c r="K96" s="217">
        <f>I96+J96</f>
        <v>63500</v>
      </c>
    </row>
    <row r="97" spans="1:11" s="214" customFormat="1" ht="15.75" thickBot="1" x14ac:dyDescent="0.3">
      <c r="A97" s="552" t="s">
        <v>165</v>
      </c>
      <c r="B97" s="553"/>
      <c r="C97" s="553"/>
      <c r="D97" s="553"/>
      <c r="E97" s="554"/>
      <c r="F97" s="217">
        <v>20000</v>
      </c>
      <c r="G97" s="217">
        <f t="shared" si="47"/>
        <v>5400</v>
      </c>
      <c r="H97" s="217">
        <f t="shared" ref="H97:H99" si="49">F97+G97</f>
        <v>25400</v>
      </c>
      <c r="I97" s="217">
        <v>20000</v>
      </c>
      <c r="J97" s="217">
        <f t="shared" si="48"/>
        <v>5400</v>
      </c>
      <c r="K97" s="217">
        <f t="shared" ref="K97:K99" si="50">I97+J97</f>
        <v>25400</v>
      </c>
    </row>
    <row r="98" spans="1:11" s="214" customFormat="1" ht="15.75" thickBot="1" x14ac:dyDescent="0.3">
      <c r="A98" s="552" t="s">
        <v>155</v>
      </c>
      <c r="B98" s="553"/>
      <c r="C98" s="553"/>
      <c r="D98" s="553"/>
      <c r="E98" s="554"/>
      <c r="F98" s="217">
        <v>12000</v>
      </c>
      <c r="G98" s="217">
        <f t="shared" si="47"/>
        <v>3240</v>
      </c>
      <c r="H98" s="217">
        <f t="shared" si="49"/>
        <v>15240</v>
      </c>
      <c r="I98" s="217">
        <v>12000</v>
      </c>
      <c r="J98" s="217">
        <f t="shared" si="48"/>
        <v>3240</v>
      </c>
      <c r="K98" s="217">
        <f t="shared" si="50"/>
        <v>15240</v>
      </c>
    </row>
    <row r="99" spans="1:11" s="214" customFormat="1" ht="15.75" thickBot="1" x14ac:dyDescent="0.3">
      <c r="A99" s="552" t="s">
        <v>166</v>
      </c>
      <c r="B99" s="553"/>
      <c r="C99" s="553"/>
      <c r="D99" s="553"/>
      <c r="E99" s="554"/>
      <c r="F99" s="217">
        <v>50000</v>
      </c>
      <c r="G99" s="217">
        <f t="shared" si="47"/>
        <v>13500</v>
      </c>
      <c r="H99" s="217">
        <f t="shared" si="49"/>
        <v>63500</v>
      </c>
      <c r="I99" s="217">
        <v>50000</v>
      </c>
      <c r="J99" s="217">
        <f t="shared" si="48"/>
        <v>13500</v>
      </c>
      <c r="K99" s="217">
        <f t="shared" si="50"/>
        <v>63500</v>
      </c>
    </row>
    <row r="100" spans="1:11" s="214" customFormat="1" ht="16.5" thickBot="1" x14ac:dyDescent="0.3">
      <c r="A100" s="546" t="s">
        <v>489</v>
      </c>
      <c r="B100" s="547"/>
      <c r="C100" s="547"/>
      <c r="D100" s="547"/>
      <c r="E100" s="548"/>
      <c r="F100" s="218">
        <f>F96+F97+F98+F99</f>
        <v>132000</v>
      </c>
      <c r="G100" s="218">
        <f t="shared" ref="G100:H100" si="51">G96+G97+G98+G99</f>
        <v>35640</v>
      </c>
      <c r="H100" s="218">
        <f t="shared" si="51"/>
        <v>167640</v>
      </c>
      <c r="I100" s="218">
        <f>I96+I97+I98+I99</f>
        <v>132000</v>
      </c>
      <c r="J100" s="218">
        <f t="shared" ref="J100:K100" si="52">J96+J97+J98+J99</f>
        <v>35640</v>
      </c>
      <c r="K100" s="218">
        <f t="shared" si="52"/>
        <v>167640</v>
      </c>
    </row>
    <row r="101" spans="1:11" s="214" customFormat="1" ht="16.5" thickBot="1" x14ac:dyDescent="0.3">
      <c r="A101" s="546" t="s">
        <v>490</v>
      </c>
      <c r="B101" s="547"/>
      <c r="C101" s="547"/>
      <c r="D101" s="547"/>
      <c r="E101" s="548"/>
      <c r="F101" s="218"/>
      <c r="G101" s="218"/>
      <c r="H101" s="218"/>
      <c r="I101" s="218"/>
      <c r="J101" s="218"/>
      <c r="K101" s="218"/>
    </row>
    <row r="102" spans="1:11" s="214" customFormat="1" ht="15.75" thickBot="1" x14ac:dyDescent="0.3">
      <c r="A102" s="552" t="s">
        <v>154</v>
      </c>
      <c r="B102" s="553"/>
      <c r="C102" s="553"/>
      <c r="D102" s="553"/>
      <c r="E102" s="554"/>
      <c r="F102" s="217">
        <v>50000</v>
      </c>
      <c r="G102" s="217">
        <f>F102*5%</f>
        <v>2500</v>
      </c>
      <c r="H102" s="217">
        <f>F102+G102</f>
        <v>52500</v>
      </c>
      <c r="I102" s="217">
        <v>50000</v>
      </c>
      <c r="J102" s="217">
        <f>I102*5%</f>
        <v>2500</v>
      </c>
      <c r="K102" s="217">
        <f>I102+J102</f>
        <v>52500</v>
      </c>
    </row>
    <row r="103" spans="1:11" s="214" customFormat="1" ht="15.75" thickBot="1" x14ac:dyDescent="0.3">
      <c r="A103" s="552" t="s">
        <v>491</v>
      </c>
      <c r="B103" s="553"/>
      <c r="C103" s="553"/>
      <c r="D103" s="553"/>
      <c r="E103" s="554"/>
      <c r="F103" s="217">
        <v>80000</v>
      </c>
      <c r="G103" s="217">
        <f t="shared" ref="G103:G112" si="53">F103*27%</f>
        <v>21600</v>
      </c>
      <c r="H103" s="217">
        <f t="shared" ref="H103:H112" si="54">F103+G103</f>
        <v>101600</v>
      </c>
      <c r="I103" s="217">
        <v>80000</v>
      </c>
      <c r="J103" s="217">
        <f t="shared" ref="J103:J106" si="55">I103*27%</f>
        <v>21600</v>
      </c>
      <c r="K103" s="217">
        <f t="shared" ref="K103:K112" si="56">I103+J103</f>
        <v>101600</v>
      </c>
    </row>
    <row r="104" spans="1:11" s="214" customFormat="1" ht="15.75" thickBot="1" x14ac:dyDescent="0.3">
      <c r="A104" s="552" t="s">
        <v>155</v>
      </c>
      <c r="B104" s="553"/>
      <c r="C104" s="553"/>
      <c r="D104" s="553"/>
      <c r="E104" s="554"/>
      <c r="F104" s="217">
        <v>20000</v>
      </c>
      <c r="G104" s="217">
        <f t="shared" si="53"/>
        <v>5400</v>
      </c>
      <c r="H104" s="217">
        <f t="shared" si="54"/>
        <v>25400</v>
      </c>
      <c r="I104" s="217">
        <v>20000</v>
      </c>
      <c r="J104" s="217">
        <f t="shared" si="55"/>
        <v>5400</v>
      </c>
      <c r="K104" s="217">
        <f t="shared" si="56"/>
        <v>25400</v>
      </c>
    </row>
    <row r="105" spans="1:11" s="214" customFormat="1" ht="15.75" thickBot="1" x14ac:dyDescent="0.3">
      <c r="A105" s="552" t="s">
        <v>156</v>
      </c>
      <c r="B105" s="553"/>
      <c r="C105" s="553"/>
      <c r="D105" s="553"/>
      <c r="E105" s="554"/>
      <c r="F105" s="217">
        <v>15000</v>
      </c>
      <c r="G105" s="217">
        <f t="shared" si="53"/>
        <v>4050.0000000000005</v>
      </c>
      <c r="H105" s="217">
        <f t="shared" si="54"/>
        <v>19050</v>
      </c>
      <c r="I105" s="217">
        <v>15000</v>
      </c>
      <c r="J105" s="217">
        <f t="shared" si="55"/>
        <v>4050.0000000000005</v>
      </c>
      <c r="K105" s="217">
        <f t="shared" si="56"/>
        <v>19050</v>
      </c>
    </row>
    <row r="106" spans="1:11" s="214" customFormat="1" ht="15.75" thickBot="1" x14ac:dyDescent="0.3">
      <c r="A106" s="552" t="s">
        <v>157</v>
      </c>
      <c r="B106" s="553"/>
      <c r="C106" s="553"/>
      <c r="D106" s="553"/>
      <c r="E106" s="554"/>
      <c r="F106" s="217">
        <v>40000</v>
      </c>
      <c r="G106" s="217">
        <f t="shared" si="53"/>
        <v>10800</v>
      </c>
      <c r="H106" s="217">
        <f t="shared" si="54"/>
        <v>50800</v>
      </c>
      <c r="I106" s="217">
        <v>40000</v>
      </c>
      <c r="J106" s="217">
        <f t="shared" si="55"/>
        <v>10800</v>
      </c>
      <c r="K106" s="217">
        <f t="shared" si="56"/>
        <v>50800</v>
      </c>
    </row>
    <row r="107" spans="1:11" s="214" customFormat="1" ht="15.75" thickBot="1" x14ac:dyDescent="0.3">
      <c r="A107" s="552" t="s">
        <v>492</v>
      </c>
      <c r="B107" s="553"/>
      <c r="C107" s="553"/>
      <c r="D107" s="553"/>
      <c r="E107" s="554"/>
      <c r="F107" s="217">
        <v>100000</v>
      </c>
      <c r="G107" s="217">
        <f>F107*27%</f>
        <v>27000</v>
      </c>
      <c r="H107" s="217">
        <f t="shared" si="54"/>
        <v>127000</v>
      </c>
      <c r="I107" s="217">
        <v>100000</v>
      </c>
      <c r="J107" s="217">
        <f>I107*27%</f>
        <v>27000</v>
      </c>
      <c r="K107" s="217">
        <f t="shared" si="56"/>
        <v>127000</v>
      </c>
    </row>
    <row r="108" spans="1:11" s="214" customFormat="1" ht="15.75" thickBot="1" x14ac:dyDescent="0.3">
      <c r="A108" s="552" t="s">
        <v>158</v>
      </c>
      <c r="B108" s="553"/>
      <c r="C108" s="553"/>
      <c r="D108" s="553"/>
      <c r="E108" s="554"/>
      <c r="F108" s="217">
        <v>25000</v>
      </c>
      <c r="G108" s="217">
        <f t="shared" si="53"/>
        <v>6750</v>
      </c>
      <c r="H108" s="217">
        <f t="shared" si="54"/>
        <v>31750</v>
      </c>
      <c r="I108" s="217">
        <v>25000</v>
      </c>
      <c r="J108" s="217">
        <f t="shared" ref="J108" si="57">I108*27%</f>
        <v>6750</v>
      </c>
      <c r="K108" s="217">
        <f t="shared" si="56"/>
        <v>31750</v>
      </c>
    </row>
    <row r="109" spans="1:11" s="214" customFormat="1" ht="15.75" thickBot="1" x14ac:dyDescent="0.3">
      <c r="A109" s="552" t="s">
        <v>159</v>
      </c>
      <c r="B109" s="553"/>
      <c r="C109" s="553"/>
      <c r="D109" s="553"/>
      <c r="E109" s="554"/>
      <c r="F109" s="217">
        <v>30000</v>
      </c>
      <c r="G109" s="217">
        <f>F109*27%</f>
        <v>8100.0000000000009</v>
      </c>
      <c r="H109" s="217">
        <f t="shared" si="54"/>
        <v>38100</v>
      </c>
      <c r="I109" s="217">
        <v>30000</v>
      </c>
      <c r="J109" s="217">
        <f>I109*27%</f>
        <v>8100.0000000000009</v>
      </c>
      <c r="K109" s="217">
        <f t="shared" si="56"/>
        <v>38100</v>
      </c>
    </row>
    <row r="110" spans="1:11" s="214" customFormat="1" ht="15.75" thickBot="1" x14ac:dyDescent="0.3">
      <c r="A110" s="552" t="s">
        <v>160</v>
      </c>
      <c r="B110" s="553"/>
      <c r="C110" s="553"/>
      <c r="D110" s="553"/>
      <c r="E110" s="554"/>
      <c r="F110" s="217">
        <v>90000</v>
      </c>
      <c r="G110" s="217">
        <f t="shared" si="53"/>
        <v>24300</v>
      </c>
      <c r="H110" s="217">
        <f t="shared" si="54"/>
        <v>114300</v>
      </c>
      <c r="I110" s="217">
        <v>90000</v>
      </c>
      <c r="J110" s="217">
        <f t="shared" ref="J110" si="58">I110*27%</f>
        <v>24300</v>
      </c>
      <c r="K110" s="217">
        <f t="shared" si="56"/>
        <v>114300</v>
      </c>
    </row>
    <row r="111" spans="1:11" s="214" customFormat="1" ht="15.75" thickBot="1" x14ac:dyDescent="0.3">
      <c r="A111" s="552" t="s">
        <v>161</v>
      </c>
      <c r="B111" s="553"/>
      <c r="C111" s="553"/>
      <c r="D111" s="553"/>
      <c r="E111" s="554"/>
      <c r="F111" s="217">
        <v>140000</v>
      </c>
      <c r="G111" s="217">
        <f>F111*27%</f>
        <v>37800</v>
      </c>
      <c r="H111" s="217">
        <f t="shared" si="54"/>
        <v>177800</v>
      </c>
      <c r="I111" s="217">
        <v>140000</v>
      </c>
      <c r="J111" s="217">
        <f>I111*27%</f>
        <v>37800</v>
      </c>
      <c r="K111" s="217">
        <f t="shared" si="56"/>
        <v>177800</v>
      </c>
    </row>
    <row r="112" spans="1:11" s="214" customFormat="1" ht="15.75" thickBot="1" x14ac:dyDescent="0.3">
      <c r="A112" s="552" t="s">
        <v>493</v>
      </c>
      <c r="B112" s="553"/>
      <c r="C112" s="553"/>
      <c r="D112" s="553"/>
      <c r="E112" s="554"/>
      <c r="F112" s="217">
        <v>120000</v>
      </c>
      <c r="G112" s="217">
        <f t="shared" si="53"/>
        <v>32400.000000000004</v>
      </c>
      <c r="H112" s="217">
        <f t="shared" si="54"/>
        <v>152400</v>
      </c>
      <c r="I112" s="217">
        <v>120000</v>
      </c>
      <c r="J112" s="217">
        <f t="shared" ref="J112" si="59">I112*27%</f>
        <v>32400.000000000004</v>
      </c>
      <c r="K112" s="217">
        <f t="shared" si="56"/>
        <v>152400</v>
      </c>
    </row>
    <row r="113" spans="1:11" s="214" customFormat="1" ht="16.5" thickBot="1" x14ac:dyDescent="0.3">
      <c r="A113" s="546" t="s">
        <v>494</v>
      </c>
      <c r="B113" s="547"/>
      <c r="C113" s="547"/>
      <c r="D113" s="547"/>
      <c r="E113" s="548"/>
      <c r="F113" s="218">
        <f>F102+F103+F104+F105+F106+F107+F108+F109+F110+F111+F112</f>
        <v>710000</v>
      </c>
      <c r="G113" s="218">
        <f t="shared" ref="G113:H113" si="60">G102+G103+G104+G105+G106+G107+G108+G109+G110+G111+G112</f>
        <v>180700</v>
      </c>
      <c r="H113" s="218">
        <f t="shared" si="60"/>
        <v>890700</v>
      </c>
      <c r="I113" s="218">
        <f>I102+I103+I104+I105+I106+I107+I108+I109+I110+I111+I112</f>
        <v>710000</v>
      </c>
      <c r="J113" s="218">
        <f t="shared" ref="J113:K113" si="61">J102+J103+J104+J105+J106+J107+J108+J109+J110+J111+J112</f>
        <v>180700</v>
      </c>
      <c r="K113" s="218">
        <f t="shared" si="61"/>
        <v>890700</v>
      </c>
    </row>
    <row r="114" spans="1:11" s="214" customFormat="1" ht="15.75" thickBot="1" x14ac:dyDescent="0.3">
      <c r="A114" s="543" t="s">
        <v>495</v>
      </c>
      <c r="B114" s="544"/>
      <c r="C114" s="544"/>
      <c r="D114" s="544"/>
      <c r="E114" s="545"/>
      <c r="F114" s="216">
        <f>F113+F100</f>
        <v>842000</v>
      </c>
      <c r="G114" s="216">
        <f t="shared" ref="G114:H114" si="62">G113+G100</f>
        <v>216340</v>
      </c>
      <c r="H114" s="216">
        <f t="shared" si="62"/>
        <v>1058340</v>
      </c>
      <c r="I114" s="216">
        <f>I100+I113</f>
        <v>842000</v>
      </c>
      <c r="J114" s="216">
        <f t="shared" ref="J114:K114" si="63">J100+J113</f>
        <v>216340</v>
      </c>
      <c r="K114" s="216">
        <f t="shared" si="63"/>
        <v>1058340</v>
      </c>
    </row>
    <row r="115" spans="1:11" s="214" customFormat="1" ht="15.75" thickBot="1" x14ac:dyDescent="0.3">
      <c r="A115" s="543" t="s">
        <v>496</v>
      </c>
      <c r="B115" s="544"/>
      <c r="C115" s="544"/>
      <c r="D115" s="544"/>
      <c r="E115" s="545"/>
      <c r="F115" s="216">
        <f>F114+F93</f>
        <v>842000</v>
      </c>
      <c r="G115" s="216">
        <f t="shared" ref="G115:H115" si="64">G114+G93</f>
        <v>403990</v>
      </c>
      <c r="H115" s="216">
        <f t="shared" si="64"/>
        <v>1245990</v>
      </c>
      <c r="I115" s="216">
        <f>I114+I81+I82+I83+I84+I85+I86+I87+I88</f>
        <v>1468504</v>
      </c>
      <c r="J115" s="216">
        <f t="shared" ref="J115:K115" si="65">J114+J81+J82+J83+J84+J85+J86+J87+J88</f>
        <v>385495.99</v>
      </c>
      <c r="K115" s="216">
        <f t="shared" si="65"/>
        <v>1853999.99</v>
      </c>
    </row>
    <row r="116" spans="1:11" s="214" customFormat="1" ht="15.75" thickBot="1" x14ac:dyDescent="0.3">
      <c r="A116" s="543" t="s">
        <v>608</v>
      </c>
      <c r="B116" s="544"/>
      <c r="C116" s="544"/>
      <c r="D116" s="544"/>
      <c r="E116" s="545"/>
      <c r="F116" s="216"/>
      <c r="G116" s="216"/>
      <c r="H116" s="216"/>
      <c r="I116" s="216">
        <v>35339</v>
      </c>
      <c r="J116" s="216">
        <v>9541</v>
      </c>
      <c r="K116" s="216">
        <f>I116+J116</f>
        <v>44880</v>
      </c>
    </row>
    <row r="117" spans="1:11" s="214" customFormat="1" ht="15.75" thickBot="1" x14ac:dyDescent="0.3">
      <c r="A117" s="543" t="s">
        <v>249</v>
      </c>
      <c r="B117" s="544"/>
      <c r="C117" s="544"/>
      <c r="D117" s="544"/>
      <c r="E117" s="545"/>
      <c r="F117" s="216"/>
      <c r="G117" s="216">
        <f>[4]közművelődés!G82+[4]bölcsőde_és_óvoda!G71</f>
        <v>216340</v>
      </c>
      <c r="H117" s="216">
        <f t="shared" ref="H117" si="66">F117+G117</f>
        <v>216340</v>
      </c>
      <c r="I117" s="216"/>
      <c r="J117" s="216">
        <f>J93+J100+J113</f>
        <v>395037.11</v>
      </c>
      <c r="K117" s="216">
        <f t="shared" ref="K117" si="67">I117+J117</f>
        <v>395037.11</v>
      </c>
    </row>
    <row r="118" spans="1:11" s="214" customFormat="1" ht="15.75" thickBot="1" x14ac:dyDescent="0.3">
      <c r="A118" s="543" t="s">
        <v>611</v>
      </c>
      <c r="B118" s="544"/>
      <c r="C118" s="544"/>
      <c r="D118" s="544"/>
      <c r="E118" s="545"/>
      <c r="F118" s="216"/>
      <c r="G118" s="216"/>
      <c r="H118" s="216"/>
      <c r="I118" s="216">
        <f>I115+I116</f>
        <v>1503843</v>
      </c>
      <c r="J118" s="216">
        <f t="shared" ref="J118:K118" si="68">J115+J116</f>
        <v>395036.99</v>
      </c>
      <c r="K118" s="216">
        <f t="shared" si="68"/>
        <v>1898879.99</v>
      </c>
    </row>
    <row r="119" spans="1:11" s="221" customFormat="1" ht="19.5" thickBot="1" x14ac:dyDescent="0.35">
      <c r="A119" s="549" t="s">
        <v>250</v>
      </c>
      <c r="B119" s="550"/>
      <c r="C119" s="550"/>
      <c r="D119" s="550"/>
      <c r="E119" s="551"/>
      <c r="F119" s="220">
        <f>[4]közművelődés!F83+[4]bölcsőde_és_óvoda!F72</f>
        <v>51127065</v>
      </c>
      <c r="G119" s="220">
        <f>[4]közművelődés!G83+[4]bölcsőde_és_óvoda!G72</f>
        <v>2464838</v>
      </c>
      <c r="H119" s="220">
        <f>[4]közművelődés!H83+[4]bölcsőde_és_óvoda!H72</f>
        <v>53591903</v>
      </c>
      <c r="I119" s="220">
        <f>I18+I19+I79+I118</f>
        <v>54205206</v>
      </c>
      <c r="J119" s="220">
        <f>J76+J118</f>
        <v>2651752.9900000002</v>
      </c>
      <c r="K119" s="220">
        <f t="shared" ref="K119" si="69">K18+K19+K79+K118</f>
        <v>56856958.990000002</v>
      </c>
    </row>
  </sheetData>
  <mergeCells count="119">
    <mergeCell ref="A119:E119"/>
    <mergeCell ref="A114:E114"/>
    <mergeCell ref="A115:E115"/>
    <mergeCell ref="A116:E116"/>
    <mergeCell ref="A117:E117"/>
    <mergeCell ref="A118:E118"/>
    <mergeCell ref="A109:E109"/>
    <mergeCell ref="A110:E110"/>
    <mergeCell ref="A111:E111"/>
    <mergeCell ref="A112:E112"/>
    <mergeCell ref="A113:E113"/>
    <mergeCell ref="A104:E104"/>
    <mergeCell ref="A105:E105"/>
    <mergeCell ref="A106:E106"/>
    <mergeCell ref="A107:E107"/>
    <mergeCell ref="A108:E108"/>
    <mergeCell ref="F3:H3"/>
    <mergeCell ref="I3:K3"/>
    <mergeCell ref="A101:E101"/>
    <mergeCell ref="A102:E102"/>
    <mergeCell ref="A103:E103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62:E62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83:E83"/>
    <mergeCell ref="A84:E84"/>
    <mergeCell ref="A100:E100"/>
    <mergeCell ref="A92:E92"/>
    <mergeCell ref="A93:E93"/>
    <mergeCell ref="A94:E94"/>
    <mergeCell ref="A95:E95"/>
    <mergeCell ref="A96:E96"/>
    <mergeCell ref="A85:E85"/>
    <mergeCell ref="A80:E80"/>
    <mergeCell ref="A81:E81"/>
    <mergeCell ref="A82:E82"/>
    <mergeCell ref="A74:E74"/>
    <mergeCell ref="D1:H1"/>
    <mergeCell ref="A97:E97"/>
    <mergeCell ref="A98:E98"/>
    <mergeCell ref="A99:E99"/>
    <mergeCell ref="A87:E87"/>
    <mergeCell ref="A88:E88"/>
    <mergeCell ref="A89:E89"/>
    <mergeCell ref="A90:E90"/>
    <mergeCell ref="A91:E91"/>
    <mergeCell ref="A86:E86"/>
    <mergeCell ref="A75:E75"/>
    <mergeCell ref="A76:E76"/>
    <mergeCell ref="A77:E77"/>
    <mergeCell ref="A78:E78"/>
    <mergeCell ref="A79:E7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6"/>
  <sheetViews>
    <sheetView workbookViewId="0">
      <selection activeCell="A36" sqref="A36:K36"/>
    </sheetView>
  </sheetViews>
  <sheetFormatPr defaultRowHeight="15" x14ac:dyDescent="0.25"/>
  <cols>
    <col min="2" max="2" width="12.42578125" bestFit="1" customWidth="1"/>
    <col min="7" max="7" width="4.5703125" customWidth="1"/>
    <col min="8" max="8" width="10.28515625" hidden="1" customWidth="1"/>
    <col min="9" max="9" width="3.140625" hidden="1" customWidth="1"/>
    <col min="10" max="10" width="3.7109375" hidden="1" customWidth="1"/>
    <col min="11" max="11" width="0.5703125" hidden="1" customWidth="1"/>
    <col min="12" max="12" width="17" style="213" bestFit="1" customWidth="1"/>
    <col min="13" max="13" width="15.42578125" bestFit="1" customWidth="1"/>
    <col min="14" max="14" width="14.85546875" bestFit="1" customWidth="1"/>
    <col min="15" max="15" width="16.85546875" bestFit="1" customWidth="1"/>
    <col min="16" max="16" width="15.42578125" bestFit="1" customWidth="1"/>
    <col min="17" max="17" width="17.28515625" bestFit="1" customWidth="1"/>
    <col min="255" max="255" width="12.42578125" bestFit="1" customWidth="1"/>
    <col min="265" max="265" width="17" bestFit="1" customWidth="1"/>
    <col min="266" max="266" width="15.42578125" bestFit="1" customWidth="1"/>
    <col min="267" max="267" width="14.85546875" bestFit="1" customWidth="1"/>
    <col min="511" max="511" width="12.42578125" bestFit="1" customWidth="1"/>
    <col min="521" max="521" width="17" bestFit="1" customWidth="1"/>
    <col min="522" max="522" width="15.42578125" bestFit="1" customWidth="1"/>
    <col min="523" max="523" width="14.85546875" bestFit="1" customWidth="1"/>
    <col min="767" max="767" width="12.42578125" bestFit="1" customWidth="1"/>
    <col min="777" max="777" width="17" bestFit="1" customWidth="1"/>
    <col min="778" max="778" width="15.42578125" bestFit="1" customWidth="1"/>
    <col min="779" max="779" width="14.85546875" bestFit="1" customWidth="1"/>
    <col min="1023" max="1023" width="12.42578125" bestFit="1" customWidth="1"/>
    <col min="1033" max="1033" width="17" bestFit="1" customWidth="1"/>
    <col min="1034" max="1034" width="15.42578125" bestFit="1" customWidth="1"/>
    <col min="1035" max="1035" width="14.85546875" bestFit="1" customWidth="1"/>
    <col min="1279" max="1279" width="12.42578125" bestFit="1" customWidth="1"/>
    <col min="1289" max="1289" width="17" bestFit="1" customWidth="1"/>
    <col min="1290" max="1290" width="15.42578125" bestFit="1" customWidth="1"/>
    <col min="1291" max="1291" width="14.85546875" bestFit="1" customWidth="1"/>
    <col min="1535" max="1535" width="12.42578125" bestFit="1" customWidth="1"/>
    <col min="1545" max="1545" width="17" bestFit="1" customWidth="1"/>
    <col min="1546" max="1546" width="15.42578125" bestFit="1" customWidth="1"/>
    <col min="1547" max="1547" width="14.85546875" bestFit="1" customWidth="1"/>
    <col min="1791" max="1791" width="12.42578125" bestFit="1" customWidth="1"/>
    <col min="1801" max="1801" width="17" bestFit="1" customWidth="1"/>
    <col min="1802" max="1802" width="15.42578125" bestFit="1" customWidth="1"/>
    <col min="1803" max="1803" width="14.85546875" bestFit="1" customWidth="1"/>
    <col min="2047" max="2047" width="12.42578125" bestFit="1" customWidth="1"/>
    <col min="2057" max="2057" width="17" bestFit="1" customWidth="1"/>
    <col min="2058" max="2058" width="15.42578125" bestFit="1" customWidth="1"/>
    <col min="2059" max="2059" width="14.85546875" bestFit="1" customWidth="1"/>
    <col min="2303" max="2303" width="12.42578125" bestFit="1" customWidth="1"/>
    <col min="2313" max="2313" width="17" bestFit="1" customWidth="1"/>
    <col min="2314" max="2314" width="15.42578125" bestFit="1" customWidth="1"/>
    <col min="2315" max="2315" width="14.85546875" bestFit="1" customWidth="1"/>
    <col min="2559" max="2559" width="12.42578125" bestFit="1" customWidth="1"/>
    <col min="2569" max="2569" width="17" bestFit="1" customWidth="1"/>
    <col min="2570" max="2570" width="15.42578125" bestFit="1" customWidth="1"/>
    <col min="2571" max="2571" width="14.85546875" bestFit="1" customWidth="1"/>
    <col min="2815" max="2815" width="12.42578125" bestFit="1" customWidth="1"/>
    <col min="2825" max="2825" width="17" bestFit="1" customWidth="1"/>
    <col min="2826" max="2826" width="15.42578125" bestFit="1" customWidth="1"/>
    <col min="2827" max="2827" width="14.85546875" bestFit="1" customWidth="1"/>
    <col min="3071" max="3071" width="12.42578125" bestFit="1" customWidth="1"/>
    <col min="3081" max="3081" width="17" bestFit="1" customWidth="1"/>
    <col min="3082" max="3082" width="15.42578125" bestFit="1" customWidth="1"/>
    <col min="3083" max="3083" width="14.85546875" bestFit="1" customWidth="1"/>
    <col min="3327" max="3327" width="12.42578125" bestFit="1" customWidth="1"/>
    <col min="3337" max="3337" width="17" bestFit="1" customWidth="1"/>
    <col min="3338" max="3338" width="15.42578125" bestFit="1" customWidth="1"/>
    <col min="3339" max="3339" width="14.85546875" bestFit="1" customWidth="1"/>
    <col min="3583" max="3583" width="12.42578125" bestFit="1" customWidth="1"/>
    <col min="3593" max="3593" width="17" bestFit="1" customWidth="1"/>
    <col min="3594" max="3594" width="15.42578125" bestFit="1" customWidth="1"/>
    <col min="3595" max="3595" width="14.85546875" bestFit="1" customWidth="1"/>
    <col min="3839" max="3839" width="12.42578125" bestFit="1" customWidth="1"/>
    <col min="3849" max="3849" width="17" bestFit="1" customWidth="1"/>
    <col min="3850" max="3850" width="15.42578125" bestFit="1" customWidth="1"/>
    <col min="3851" max="3851" width="14.85546875" bestFit="1" customWidth="1"/>
    <col min="4095" max="4095" width="12.42578125" bestFit="1" customWidth="1"/>
    <col min="4105" max="4105" width="17" bestFit="1" customWidth="1"/>
    <col min="4106" max="4106" width="15.42578125" bestFit="1" customWidth="1"/>
    <col min="4107" max="4107" width="14.85546875" bestFit="1" customWidth="1"/>
    <col min="4351" max="4351" width="12.42578125" bestFit="1" customWidth="1"/>
    <col min="4361" max="4361" width="17" bestFit="1" customWidth="1"/>
    <col min="4362" max="4362" width="15.42578125" bestFit="1" customWidth="1"/>
    <col min="4363" max="4363" width="14.85546875" bestFit="1" customWidth="1"/>
    <col min="4607" max="4607" width="12.42578125" bestFit="1" customWidth="1"/>
    <col min="4617" max="4617" width="17" bestFit="1" customWidth="1"/>
    <col min="4618" max="4618" width="15.42578125" bestFit="1" customWidth="1"/>
    <col min="4619" max="4619" width="14.85546875" bestFit="1" customWidth="1"/>
    <col min="4863" max="4863" width="12.42578125" bestFit="1" customWidth="1"/>
    <col min="4873" max="4873" width="17" bestFit="1" customWidth="1"/>
    <col min="4874" max="4874" width="15.42578125" bestFit="1" customWidth="1"/>
    <col min="4875" max="4875" width="14.85546875" bestFit="1" customWidth="1"/>
    <col min="5119" max="5119" width="12.42578125" bestFit="1" customWidth="1"/>
    <col min="5129" max="5129" width="17" bestFit="1" customWidth="1"/>
    <col min="5130" max="5130" width="15.42578125" bestFit="1" customWidth="1"/>
    <col min="5131" max="5131" width="14.85546875" bestFit="1" customWidth="1"/>
    <col min="5375" max="5375" width="12.42578125" bestFit="1" customWidth="1"/>
    <col min="5385" max="5385" width="17" bestFit="1" customWidth="1"/>
    <col min="5386" max="5386" width="15.42578125" bestFit="1" customWidth="1"/>
    <col min="5387" max="5387" width="14.85546875" bestFit="1" customWidth="1"/>
    <col min="5631" max="5631" width="12.42578125" bestFit="1" customWidth="1"/>
    <col min="5641" max="5641" width="17" bestFit="1" customWidth="1"/>
    <col min="5642" max="5642" width="15.42578125" bestFit="1" customWidth="1"/>
    <col min="5643" max="5643" width="14.85546875" bestFit="1" customWidth="1"/>
    <col min="5887" max="5887" width="12.42578125" bestFit="1" customWidth="1"/>
    <col min="5897" max="5897" width="17" bestFit="1" customWidth="1"/>
    <col min="5898" max="5898" width="15.42578125" bestFit="1" customWidth="1"/>
    <col min="5899" max="5899" width="14.85546875" bestFit="1" customWidth="1"/>
    <col min="6143" max="6143" width="12.42578125" bestFit="1" customWidth="1"/>
    <col min="6153" max="6153" width="17" bestFit="1" customWidth="1"/>
    <col min="6154" max="6154" width="15.42578125" bestFit="1" customWidth="1"/>
    <col min="6155" max="6155" width="14.85546875" bestFit="1" customWidth="1"/>
    <col min="6399" max="6399" width="12.42578125" bestFit="1" customWidth="1"/>
    <col min="6409" max="6409" width="17" bestFit="1" customWidth="1"/>
    <col min="6410" max="6410" width="15.42578125" bestFit="1" customWidth="1"/>
    <col min="6411" max="6411" width="14.85546875" bestFit="1" customWidth="1"/>
    <col min="6655" max="6655" width="12.42578125" bestFit="1" customWidth="1"/>
    <col min="6665" max="6665" width="17" bestFit="1" customWidth="1"/>
    <col min="6666" max="6666" width="15.42578125" bestFit="1" customWidth="1"/>
    <col min="6667" max="6667" width="14.85546875" bestFit="1" customWidth="1"/>
    <col min="6911" max="6911" width="12.42578125" bestFit="1" customWidth="1"/>
    <col min="6921" max="6921" width="17" bestFit="1" customWidth="1"/>
    <col min="6922" max="6922" width="15.42578125" bestFit="1" customWidth="1"/>
    <col min="6923" max="6923" width="14.85546875" bestFit="1" customWidth="1"/>
    <col min="7167" max="7167" width="12.42578125" bestFit="1" customWidth="1"/>
    <col min="7177" max="7177" width="17" bestFit="1" customWidth="1"/>
    <col min="7178" max="7178" width="15.42578125" bestFit="1" customWidth="1"/>
    <col min="7179" max="7179" width="14.85546875" bestFit="1" customWidth="1"/>
    <col min="7423" max="7423" width="12.42578125" bestFit="1" customWidth="1"/>
    <col min="7433" max="7433" width="17" bestFit="1" customWidth="1"/>
    <col min="7434" max="7434" width="15.42578125" bestFit="1" customWidth="1"/>
    <col min="7435" max="7435" width="14.85546875" bestFit="1" customWidth="1"/>
    <col min="7679" max="7679" width="12.42578125" bestFit="1" customWidth="1"/>
    <col min="7689" max="7689" width="17" bestFit="1" customWidth="1"/>
    <col min="7690" max="7690" width="15.42578125" bestFit="1" customWidth="1"/>
    <col min="7691" max="7691" width="14.85546875" bestFit="1" customWidth="1"/>
    <col min="7935" max="7935" width="12.42578125" bestFit="1" customWidth="1"/>
    <col min="7945" max="7945" width="17" bestFit="1" customWidth="1"/>
    <col min="7946" max="7946" width="15.42578125" bestFit="1" customWidth="1"/>
    <col min="7947" max="7947" width="14.85546875" bestFit="1" customWidth="1"/>
    <col min="8191" max="8191" width="12.42578125" bestFit="1" customWidth="1"/>
    <col min="8201" max="8201" width="17" bestFit="1" customWidth="1"/>
    <col min="8202" max="8202" width="15.42578125" bestFit="1" customWidth="1"/>
    <col min="8203" max="8203" width="14.85546875" bestFit="1" customWidth="1"/>
    <col min="8447" max="8447" width="12.42578125" bestFit="1" customWidth="1"/>
    <col min="8457" max="8457" width="17" bestFit="1" customWidth="1"/>
    <col min="8458" max="8458" width="15.42578125" bestFit="1" customWidth="1"/>
    <col min="8459" max="8459" width="14.85546875" bestFit="1" customWidth="1"/>
    <col min="8703" max="8703" width="12.42578125" bestFit="1" customWidth="1"/>
    <col min="8713" max="8713" width="17" bestFit="1" customWidth="1"/>
    <col min="8714" max="8714" width="15.42578125" bestFit="1" customWidth="1"/>
    <col min="8715" max="8715" width="14.85546875" bestFit="1" customWidth="1"/>
    <col min="8959" max="8959" width="12.42578125" bestFit="1" customWidth="1"/>
    <col min="8969" max="8969" width="17" bestFit="1" customWidth="1"/>
    <col min="8970" max="8970" width="15.42578125" bestFit="1" customWidth="1"/>
    <col min="8971" max="8971" width="14.85546875" bestFit="1" customWidth="1"/>
    <col min="9215" max="9215" width="12.42578125" bestFit="1" customWidth="1"/>
    <col min="9225" max="9225" width="17" bestFit="1" customWidth="1"/>
    <col min="9226" max="9226" width="15.42578125" bestFit="1" customWidth="1"/>
    <col min="9227" max="9227" width="14.85546875" bestFit="1" customWidth="1"/>
    <col min="9471" max="9471" width="12.42578125" bestFit="1" customWidth="1"/>
    <col min="9481" max="9481" width="17" bestFit="1" customWidth="1"/>
    <col min="9482" max="9482" width="15.42578125" bestFit="1" customWidth="1"/>
    <col min="9483" max="9483" width="14.85546875" bestFit="1" customWidth="1"/>
    <col min="9727" max="9727" width="12.42578125" bestFit="1" customWidth="1"/>
    <col min="9737" max="9737" width="17" bestFit="1" customWidth="1"/>
    <col min="9738" max="9738" width="15.42578125" bestFit="1" customWidth="1"/>
    <col min="9739" max="9739" width="14.85546875" bestFit="1" customWidth="1"/>
    <col min="9983" max="9983" width="12.42578125" bestFit="1" customWidth="1"/>
    <col min="9993" max="9993" width="17" bestFit="1" customWidth="1"/>
    <col min="9994" max="9994" width="15.42578125" bestFit="1" customWidth="1"/>
    <col min="9995" max="9995" width="14.85546875" bestFit="1" customWidth="1"/>
    <col min="10239" max="10239" width="12.42578125" bestFit="1" customWidth="1"/>
    <col min="10249" max="10249" width="17" bestFit="1" customWidth="1"/>
    <col min="10250" max="10250" width="15.42578125" bestFit="1" customWidth="1"/>
    <col min="10251" max="10251" width="14.85546875" bestFit="1" customWidth="1"/>
    <col min="10495" max="10495" width="12.42578125" bestFit="1" customWidth="1"/>
    <col min="10505" max="10505" width="17" bestFit="1" customWidth="1"/>
    <col min="10506" max="10506" width="15.42578125" bestFit="1" customWidth="1"/>
    <col min="10507" max="10507" width="14.85546875" bestFit="1" customWidth="1"/>
    <col min="10751" max="10751" width="12.42578125" bestFit="1" customWidth="1"/>
    <col min="10761" max="10761" width="17" bestFit="1" customWidth="1"/>
    <col min="10762" max="10762" width="15.42578125" bestFit="1" customWidth="1"/>
    <col min="10763" max="10763" width="14.85546875" bestFit="1" customWidth="1"/>
    <col min="11007" max="11007" width="12.42578125" bestFit="1" customWidth="1"/>
    <col min="11017" max="11017" width="17" bestFit="1" customWidth="1"/>
    <col min="11018" max="11018" width="15.42578125" bestFit="1" customWidth="1"/>
    <col min="11019" max="11019" width="14.85546875" bestFit="1" customWidth="1"/>
    <col min="11263" max="11263" width="12.42578125" bestFit="1" customWidth="1"/>
    <col min="11273" max="11273" width="17" bestFit="1" customWidth="1"/>
    <col min="11274" max="11274" width="15.42578125" bestFit="1" customWidth="1"/>
    <col min="11275" max="11275" width="14.85546875" bestFit="1" customWidth="1"/>
    <col min="11519" max="11519" width="12.42578125" bestFit="1" customWidth="1"/>
    <col min="11529" max="11529" width="17" bestFit="1" customWidth="1"/>
    <col min="11530" max="11530" width="15.42578125" bestFit="1" customWidth="1"/>
    <col min="11531" max="11531" width="14.85546875" bestFit="1" customWidth="1"/>
    <col min="11775" max="11775" width="12.42578125" bestFit="1" customWidth="1"/>
    <col min="11785" max="11785" width="17" bestFit="1" customWidth="1"/>
    <col min="11786" max="11786" width="15.42578125" bestFit="1" customWidth="1"/>
    <col min="11787" max="11787" width="14.85546875" bestFit="1" customWidth="1"/>
    <col min="12031" max="12031" width="12.42578125" bestFit="1" customWidth="1"/>
    <col min="12041" max="12041" width="17" bestFit="1" customWidth="1"/>
    <col min="12042" max="12042" width="15.42578125" bestFit="1" customWidth="1"/>
    <col min="12043" max="12043" width="14.85546875" bestFit="1" customWidth="1"/>
    <col min="12287" max="12287" width="12.42578125" bestFit="1" customWidth="1"/>
    <col min="12297" max="12297" width="17" bestFit="1" customWidth="1"/>
    <col min="12298" max="12298" width="15.42578125" bestFit="1" customWidth="1"/>
    <col min="12299" max="12299" width="14.85546875" bestFit="1" customWidth="1"/>
    <col min="12543" max="12543" width="12.42578125" bestFit="1" customWidth="1"/>
    <col min="12553" max="12553" width="17" bestFit="1" customWidth="1"/>
    <col min="12554" max="12554" width="15.42578125" bestFit="1" customWidth="1"/>
    <col min="12555" max="12555" width="14.85546875" bestFit="1" customWidth="1"/>
    <col min="12799" max="12799" width="12.42578125" bestFit="1" customWidth="1"/>
    <col min="12809" max="12809" width="17" bestFit="1" customWidth="1"/>
    <col min="12810" max="12810" width="15.42578125" bestFit="1" customWidth="1"/>
    <col min="12811" max="12811" width="14.85546875" bestFit="1" customWidth="1"/>
    <col min="13055" max="13055" width="12.42578125" bestFit="1" customWidth="1"/>
    <col min="13065" max="13065" width="17" bestFit="1" customWidth="1"/>
    <col min="13066" max="13066" width="15.42578125" bestFit="1" customWidth="1"/>
    <col min="13067" max="13067" width="14.85546875" bestFit="1" customWidth="1"/>
    <col min="13311" max="13311" width="12.42578125" bestFit="1" customWidth="1"/>
    <col min="13321" max="13321" width="17" bestFit="1" customWidth="1"/>
    <col min="13322" max="13322" width="15.42578125" bestFit="1" customWidth="1"/>
    <col min="13323" max="13323" width="14.85546875" bestFit="1" customWidth="1"/>
    <col min="13567" max="13567" width="12.42578125" bestFit="1" customWidth="1"/>
    <col min="13577" max="13577" width="17" bestFit="1" customWidth="1"/>
    <col min="13578" max="13578" width="15.42578125" bestFit="1" customWidth="1"/>
    <col min="13579" max="13579" width="14.85546875" bestFit="1" customWidth="1"/>
    <col min="13823" max="13823" width="12.42578125" bestFit="1" customWidth="1"/>
    <col min="13833" max="13833" width="17" bestFit="1" customWidth="1"/>
    <col min="13834" max="13834" width="15.42578125" bestFit="1" customWidth="1"/>
    <col min="13835" max="13835" width="14.85546875" bestFit="1" customWidth="1"/>
    <col min="14079" max="14079" width="12.42578125" bestFit="1" customWidth="1"/>
    <col min="14089" max="14089" width="17" bestFit="1" customWidth="1"/>
    <col min="14090" max="14090" width="15.42578125" bestFit="1" customWidth="1"/>
    <col min="14091" max="14091" width="14.85546875" bestFit="1" customWidth="1"/>
    <col min="14335" max="14335" width="12.42578125" bestFit="1" customWidth="1"/>
    <col min="14345" max="14345" width="17" bestFit="1" customWidth="1"/>
    <col min="14346" max="14346" width="15.42578125" bestFit="1" customWidth="1"/>
    <col min="14347" max="14347" width="14.85546875" bestFit="1" customWidth="1"/>
    <col min="14591" max="14591" width="12.42578125" bestFit="1" customWidth="1"/>
    <col min="14601" max="14601" width="17" bestFit="1" customWidth="1"/>
    <col min="14602" max="14602" width="15.42578125" bestFit="1" customWidth="1"/>
    <col min="14603" max="14603" width="14.85546875" bestFit="1" customWidth="1"/>
    <col min="14847" max="14847" width="12.42578125" bestFit="1" customWidth="1"/>
    <col min="14857" max="14857" width="17" bestFit="1" customWidth="1"/>
    <col min="14858" max="14858" width="15.42578125" bestFit="1" customWidth="1"/>
    <col min="14859" max="14859" width="14.85546875" bestFit="1" customWidth="1"/>
    <col min="15103" max="15103" width="12.42578125" bestFit="1" customWidth="1"/>
    <col min="15113" max="15113" width="17" bestFit="1" customWidth="1"/>
    <col min="15114" max="15114" width="15.42578125" bestFit="1" customWidth="1"/>
    <col min="15115" max="15115" width="14.85546875" bestFit="1" customWidth="1"/>
    <col min="15359" max="15359" width="12.42578125" bestFit="1" customWidth="1"/>
    <col min="15369" max="15369" width="17" bestFit="1" customWidth="1"/>
    <col min="15370" max="15370" width="15.42578125" bestFit="1" customWidth="1"/>
    <col min="15371" max="15371" width="14.85546875" bestFit="1" customWidth="1"/>
    <col min="15615" max="15615" width="12.42578125" bestFit="1" customWidth="1"/>
    <col min="15625" max="15625" width="17" bestFit="1" customWidth="1"/>
    <col min="15626" max="15626" width="15.42578125" bestFit="1" customWidth="1"/>
    <col min="15627" max="15627" width="14.85546875" bestFit="1" customWidth="1"/>
    <col min="15871" max="15871" width="12.42578125" bestFit="1" customWidth="1"/>
    <col min="15881" max="15881" width="17" bestFit="1" customWidth="1"/>
    <col min="15882" max="15882" width="15.42578125" bestFit="1" customWidth="1"/>
    <col min="15883" max="15883" width="14.85546875" bestFit="1" customWidth="1"/>
    <col min="16127" max="16127" width="12.42578125" bestFit="1" customWidth="1"/>
    <col min="16137" max="16137" width="17" bestFit="1" customWidth="1"/>
    <col min="16138" max="16138" width="15.42578125" bestFit="1" customWidth="1"/>
    <col min="16139" max="16139" width="14.85546875" bestFit="1" customWidth="1"/>
  </cols>
  <sheetData>
    <row r="1" spans="1:17" s="219" customFormat="1" ht="15.75" x14ac:dyDescent="0.25">
      <c r="B1" s="681" t="s">
        <v>614</v>
      </c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</row>
    <row r="2" spans="1:17" ht="15.75" thickBot="1" x14ac:dyDescent="0.3">
      <c r="Q2" s="271" t="s">
        <v>618</v>
      </c>
    </row>
    <row r="3" spans="1:17" ht="15.75" thickBot="1" x14ac:dyDescent="0.3">
      <c r="L3" s="552" t="s">
        <v>591</v>
      </c>
      <c r="M3" s="553"/>
      <c r="N3" s="554"/>
      <c r="O3" s="552" t="s">
        <v>592</v>
      </c>
      <c r="P3" s="553"/>
      <c r="Q3" s="554"/>
    </row>
    <row r="4" spans="1:17" ht="15.75" thickBot="1" x14ac:dyDescent="0.3">
      <c r="L4" s="576" t="s">
        <v>497</v>
      </c>
      <c r="M4" s="577"/>
      <c r="N4" s="578"/>
      <c r="O4" s="576" t="s">
        <v>497</v>
      </c>
      <c r="P4" s="577"/>
      <c r="Q4" s="578"/>
    </row>
    <row r="5" spans="1:17" ht="15.75" thickBot="1" x14ac:dyDescent="0.3">
      <c r="A5" s="552"/>
      <c r="B5" s="553"/>
      <c r="C5" s="553"/>
      <c r="D5" s="553"/>
      <c r="E5" s="553"/>
      <c r="F5" s="553"/>
      <c r="G5" s="553"/>
      <c r="H5" s="553"/>
      <c r="I5" s="553"/>
      <c r="J5" s="553"/>
      <c r="K5" s="554"/>
      <c r="L5" s="215" t="s">
        <v>393</v>
      </c>
      <c r="M5" s="272" t="s">
        <v>394</v>
      </c>
      <c r="N5" s="272" t="s">
        <v>395</v>
      </c>
      <c r="O5" s="215" t="s">
        <v>393</v>
      </c>
      <c r="P5" s="272" t="s">
        <v>394</v>
      </c>
      <c r="Q5" s="272" t="s">
        <v>395</v>
      </c>
    </row>
    <row r="6" spans="1:17" ht="16.5" thickBot="1" x14ac:dyDescent="0.3">
      <c r="A6" s="546" t="s">
        <v>396</v>
      </c>
      <c r="B6" s="547"/>
      <c r="C6" s="547"/>
      <c r="D6" s="547"/>
      <c r="E6" s="547"/>
      <c r="F6" s="547"/>
      <c r="G6" s="547"/>
      <c r="H6" s="547"/>
      <c r="I6" s="547"/>
      <c r="J6" s="547"/>
      <c r="K6" s="548"/>
      <c r="L6" s="217"/>
      <c r="M6" s="273"/>
      <c r="N6" s="274"/>
      <c r="O6" s="217"/>
      <c r="P6" s="273"/>
      <c r="Q6" s="274"/>
    </row>
    <row r="7" spans="1:17" ht="15.75" thickBot="1" x14ac:dyDescent="0.3">
      <c r="A7" s="552"/>
      <c r="B7" s="553"/>
      <c r="C7" s="553"/>
      <c r="D7" s="553"/>
      <c r="E7" s="553"/>
      <c r="F7" s="553"/>
      <c r="G7" s="553"/>
      <c r="H7" s="553"/>
      <c r="I7" s="553"/>
      <c r="J7" s="553"/>
      <c r="K7" s="554"/>
      <c r="L7" s="217">
        <v>13405933</v>
      </c>
      <c r="M7" s="273"/>
      <c r="N7" s="274"/>
      <c r="O7" s="217">
        <v>13405933</v>
      </c>
      <c r="P7" s="273"/>
      <c r="Q7" s="274"/>
    </row>
    <row r="8" spans="1:17" ht="15.75" thickBot="1" x14ac:dyDescent="0.3">
      <c r="A8" s="552"/>
      <c r="B8" s="553"/>
      <c r="C8" s="553"/>
      <c r="D8" s="553"/>
      <c r="E8" s="553"/>
      <c r="F8" s="553"/>
      <c r="G8" s="553"/>
      <c r="H8" s="553"/>
      <c r="I8" s="553"/>
      <c r="J8" s="553"/>
      <c r="K8" s="554"/>
      <c r="L8" s="217">
        <v>2940000</v>
      </c>
      <c r="M8" s="273"/>
      <c r="N8" s="274"/>
      <c r="O8" s="217">
        <v>2940000</v>
      </c>
      <c r="P8" s="273"/>
      <c r="Q8" s="274"/>
    </row>
    <row r="9" spans="1:17" ht="15.75" thickBot="1" x14ac:dyDescent="0.3">
      <c r="A9" s="552"/>
      <c r="B9" s="553"/>
      <c r="C9" s="553"/>
      <c r="D9" s="553"/>
      <c r="E9" s="553"/>
      <c r="F9" s="553"/>
      <c r="G9" s="553"/>
      <c r="H9" s="553"/>
      <c r="I9" s="553"/>
      <c r="J9" s="553"/>
      <c r="K9" s="554"/>
      <c r="L9" s="217">
        <v>5828667</v>
      </c>
      <c r="M9" s="273"/>
      <c r="N9" s="274"/>
      <c r="O9" s="217">
        <v>5828667</v>
      </c>
      <c r="P9" s="273"/>
      <c r="Q9" s="274"/>
    </row>
    <row r="10" spans="1:17" ht="15.75" thickBot="1" x14ac:dyDescent="0.3">
      <c r="A10" s="552"/>
      <c r="B10" s="553"/>
      <c r="C10" s="553"/>
      <c r="D10" s="553"/>
      <c r="E10" s="553"/>
      <c r="F10" s="553"/>
      <c r="G10" s="553"/>
      <c r="H10" s="553"/>
      <c r="I10" s="553"/>
      <c r="J10" s="553"/>
      <c r="K10" s="554"/>
      <c r="L10" s="217">
        <v>1470000</v>
      </c>
      <c r="M10" s="273"/>
      <c r="N10" s="274"/>
      <c r="O10" s="217">
        <v>1470000</v>
      </c>
      <c r="P10" s="273"/>
      <c r="Q10" s="274"/>
    </row>
    <row r="11" spans="1:17" ht="15.75" thickBot="1" x14ac:dyDescent="0.3">
      <c r="A11" s="552"/>
      <c r="B11" s="553"/>
      <c r="C11" s="553"/>
      <c r="D11" s="553"/>
      <c r="E11" s="553"/>
      <c r="F11" s="553"/>
      <c r="G11" s="553"/>
      <c r="H11" s="553"/>
      <c r="I11" s="553"/>
      <c r="J11" s="553"/>
      <c r="K11" s="554"/>
      <c r="L11" s="217">
        <v>2986933</v>
      </c>
      <c r="M11" s="273"/>
      <c r="N11" s="274"/>
      <c r="O11" s="217">
        <v>2986933</v>
      </c>
      <c r="P11" s="273"/>
      <c r="Q11" s="274"/>
    </row>
    <row r="12" spans="1:17" ht="15.75" thickBot="1" x14ac:dyDescent="0.3">
      <c r="A12" s="552"/>
      <c r="B12" s="553"/>
      <c r="C12" s="553"/>
      <c r="D12" s="553"/>
      <c r="E12" s="553"/>
      <c r="F12" s="553"/>
      <c r="G12" s="553"/>
      <c r="H12" s="553"/>
      <c r="I12" s="553"/>
      <c r="J12" s="553"/>
      <c r="K12" s="554"/>
      <c r="L12" s="217">
        <v>1298667</v>
      </c>
      <c r="M12" s="273"/>
      <c r="N12" s="274"/>
      <c r="O12" s="217">
        <v>1298667</v>
      </c>
      <c r="P12" s="273"/>
      <c r="Q12" s="274"/>
    </row>
    <row r="13" spans="1:17" ht="15.75" thickBot="1" x14ac:dyDescent="0.3">
      <c r="A13" s="552"/>
      <c r="B13" s="553"/>
      <c r="C13" s="553"/>
      <c r="D13" s="553"/>
      <c r="E13" s="553"/>
      <c r="F13" s="553"/>
      <c r="G13" s="553"/>
      <c r="H13" s="553"/>
      <c r="I13" s="553"/>
      <c r="J13" s="553"/>
      <c r="K13" s="554"/>
      <c r="L13" s="217">
        <v>1190100</v>
      </c>
      <c r="M13" s="273"/>
      <c r="N13" s="274"/>
      <c r="O13" s="217">
        <v>1190100</v>
      </c>
      <c r="P13" s="273"/>
      <c r="Q13" s="274"/>
    </row>
    <row r="14" spans="1:17" s="214" customFormat="1" ht="19.5" thickBot="1" x14ac:dyDescent="0.35">
      <c r="A14" s="543" t="s">
        <v>397</v>
      </c>
      <c r="B14" s="544"/>
      <c r="C14" s="544"/>
      <c r="D14" s="544"/>
      <c r="E14" s="544"/>
      <c r="F14" s="544"/>
      <c r="G14" s="544"/>
      <c r="H14" s="544"/>
      <c r="I14" s="544"/>
      <c r="J14" s="544"/>
      <c r="K14" s="545"/>
      <c r="L14" s="220">
        <f>L7+L8+L9+L10+L11+L12+L13</f>
        <v>29120300</v>
      </c>
      <c r="M14" s="275">
        <f>[4]óvoda!H63</f>
        <v>26621592</v>
      </c>
      <c r="N14" s="220">
        <f>L14-M14</f>
        <v>2498708</v>
      </c>
      <c r="O14" s="220">
        <f>O7+O8+O9+O10+O11+O12+O13</f>
        <v>29120300</v>
      </c>
      <c r="P14" s="275">
        <f>[4]óvoda!K63</f>
        <v>28313228</v>
      </c>
      <c r="Q14" s="220">
        <f>O14-P14</f>
        <v>807072</v>
      </c>
    </row>
    <row r="15" spans="1:17" ht="15.75" thickBot="1" x14ac:dyDescent="0.3">
      <c r="A15" s="552"/>
      <c r="B15" s="553"/>
      <c r="C15" s="553"/>
      <c r="D15" s="553"/>
      <c r="E15" s="553"/>
      <c r="F15" s="553"/>
      <c r="G15" s="553"/>
      <c r="H15" s="553"/>
      <c r="I15" s="553"/>
      <c r="J15" s="553"/>
      <c r="K15" s="554"/>
      <c r="L15" s="217"/>
      <c r="M15" s="276"/>
      <c r="N15" s="216"/>
      <c r="O15" s="217"/>
      <c r="P15" s="276"/>
      <c r="Q15" s="216"/>
    </row>
    <row r="16" spans="1:17" ht="16.5" thickBot="1" x14ac:dyDescent="0.3">
      <c r="A16" s="546" t="s">
        <v>198</v>
      </c>
      <c r="B16" s="547"/>
      <c r="C16" s="547"/>
      <c r="D16" s="547"/>
      <c r="E16" s="547"/>
      <c r="F16" s="547"/>
      <c r="G16" s="547"/>
      <c r="H16" s="547"/>
      <c r="I16" s="547"/>
      <c r="J16" s="547"/>
      <c r="K16" s="548"/>
      <c r="L16" s="217"/>
      <c r="M16" s="276"/>
      <c r="N16" s="216"/>
      <c r="O16" s="217"/>
      <c r="P16" s="276"/>
      <c r="Q16" s="216"/>
    </row>
    <row r="17" spans="1:17" ht="15.75" thickBot="1" x14ac:dyDescent="0.3">
      <c r="A17" s="552"/>
      <c r="B17" s="553"/>
      <c r="C17" s="553"/>
      <c r="D17" s="553"/>
      <c r="E17" s="553"/>
      <c r="F17" s="553"/>
      <c r="G17" s="553"/>
      <c r="H17" s="553"/>
      <c r="I17" s="553"/>
      <c r="J17" s="553"/>
      <c r="K17" s="554"/>
      <c r="L17" s="217">
        <v>8979000</v>
      </c>
      <c r="M17" s="276"/>
      <c r="N17" s="216"/>
      <c r="O17" s="217">
        <v>8979000</v>
      </c>
      <c r="P17" s="276"/>
      <c r="Q17" s="216"/>
    </row>
    <row r="18" spans="1:17" ht="15.75" thickBot="1" x14ac:dyDescent="0.3">
      <c r="A18" s="552"/>
      <c r="B18" s="553"/>
      <c r="C18" s="553"/>
      <c r="D18" s="553"/>
      <c r="E18" s="553"/>
      <c r="F18" s="553"/>
      <c r="G18" s="553"/>
      <c r="H18" s="553"/>
      <c r="I18" s="553"/>
      <c r="J18" s="553"/>
      <c r="K18" s="554"/>
      <c r="L18" s="217">
        <v>3629000</v>
      </c>
      <c r="M18" s="276"/>
      <c r="N18" s="216"/>
      <c r="O18" s="217">
        <v>3629000</v>
      </c>
      <c r="P18" s="276"/>
      <c r="Q18" s="216"/>
    </row>
    <row r="19" spans="1:17" s="214" customFormat="1" ht="19.5" thickBot="1" x14ac:dyDescent="0.35">
      <c r="A19" s="543" t="s">
        <v>398</v>
      </c>
      <c r="B19" s="544"/>
      <c r="C19" s="544"/>
      <c r="D19" s="544"/>
      <c r="E19" s="544"/>
      <c r="F19" s="544"/>
      <c r="G19" s="544"/>
      <c r="H19" s="544"/>
      <c r="I19" s="544"/>
      <c r="J19" s="544"/>
      <c r="K19" s="545"/>
      <c r="L19" s="220">
        <f>L17+L18</f>
        <v>12608000</v>
      </c>
      <c r="M19" s="275">
        <f>[4]bölcsőde!H49</f>
        <v>13566945</v>
      </c>
      <c r="N19" s="220">
        <f>L19-M19</f>
        <v>-958945</v>
      </c>
      <c r="O19" s="220">
        <f>O17+O18</f>
        <v>12608000</v>
      </c>
      <c r="P19" s="275">
        <f>[4]bölcsőde!K49</f>
        <v>13781173</v>
      </c>
      <c r="Q19" s="220">
        <f>O19-P19</f>
        <v>-1173173</v>
      </c>
    </row>
    <row r="20" spans="1:17" s="214" customFormat="1" ht="21.75" thickBot="1" x14ac:dyDescent="0.4">
      <c r="A20" s="546" t="s">
        <v>399</v>
      </c>
      <c r="B20" s="547"/>
      <c r="C20" s="547"/>
      <c r="D20" s="547"/>
      <c r="E20" s="547"/>
      <c r="F20" s="547"/>
      <c r="G20" s="547"/>
      <c r="H20" s="547"/>
      <c r="I20" s="547"/>
      <c r="J20" s="547"/>
      <c r="K20" s="548"/>
      <c r="L20" s="277">
        <f>L14+L19</f>
        <v>41728300</v>
      </c>
      <c r="M20" s="277">
        <f>M19+M14</f>
        <v>40188537</v>
      </c>
      <c r="N20" s="277">
        <f>L20-M20</f>
        <v>1539763</v>
      </c>
      <c r="O20" s="277">
        <f>O14+O19</f>
        <v>41728300</v>
      </c>
      <c r="P20" s="277">
        <f>P19+P14</f>
        <v>42094401</v>
      </c>
      <c r="Q20" s="277">
        <f>O20-P20</f>
        <v>-366101</v>
      </c>
    </row>
    <row r="21" spans="1:17" s="278" customFormat="1" ht="21.75" thickBot="1" x14ac:dyDescent="0.4">
      <c r="A21" s="582"/>
      <c r="B21" s="583"/>
      <c r="C21" s="583"/>
      <c r="D21" s="583"/>
      <c r="E21" s="583"/>
      <c r="F21" s="583"/>
      <c r="G21" s="583"/>
      <c r="H21" s="583"/>
      <c r="I21" s="583"/>
      <c r="J21" s="583"/>
      <c r="K21" s="589"/>
      <c r="L21" s="277"/>
      <c r="M21" s="343"/>
      <c r="N21" s="343"/>
      <c r="O21" s="277"/>
      <c r="P21" s="343"/>
      <c r="Q21" s="343"/>
    </row>
    <row r="22" spans="1:17" ht="15.75" thickBot="1" x14ac:dyDescent="0.3">
      <c r="A22" s="552" t="s">
        <v>378</v>
      </c>
      <c r="B22" s="553"/>
      <c r="C22" s="553"/>
      <c r="D22" s="553"/>
      <c r="E22" s="553"/>
      <c r="F22" s="553"/>
      <c r="G22" s="553"/>
      <c r="H22" s="553"/>
      <c r="I22" s="553"/>
      <c r="J22" s="553"/>
      <c r="K22" s="554"/>
      <c r="L22" s="682">
        <v>2228820</v>
      </c>
      <c r="M22" s="279" t="s">
        <v>400</v>
      </c>
      <c r="N22" s="279" t="s">
        <v>395</v>
      </c>
      <c r="O22" s="682">
        <v>2228820</v>
      </c>
      <c r="P22" s="279" t="s">
        <v>400</v>
      </c>
      <c r="Q22" s="279" t="s">
        <v>395</v>
      </c>
    </row>
    <row r="23" spans="1:17" ht="15.75" thickBot="1" x14ac:dyDescent="0.3">
      <c r="A23" s="579" t="s">
        <v>401</v>
      </c>
      <c r="B23" s="580"/>
      <c r="C23" s="580"/>
      <c r="D23" s="580"/>
      <c r="E23" s="580"/>
      <c r="F23" s="580"/>
      <c r="G23" s="580"/>
      <c r="H23" s="580"/>
      <c r="I23" s="580"/>
      <c r="J23" s="580"/>
      <c r="K23" s="581"/>
      <c r="L23" s="280">
        <v>136400</v>
      </c>
      <c r="M23" s="281"/>
      <c r="N23" s="281"/>
      <c r="O23" s="280">
        <v>136400</v>
      </c>
      <c r="P23" s="281"/>
      <c r="Q23" s="281"/>
    </row>
    <row r="24" spans="1:17" ht="19.5" customHeight="1" thickBot="1" x14ac:dyDescent="0.35">
      <c r="A24" s="683" t="s">
        <v>615</v>
      </c>
      <c r="B24" s="684"/>
      <c r="C24" s="684"/>
      <c r="D24" s="684"/>
      <c r="E24" s="684"/>
      <c r="F24" s="684"/>
      <c r="G24" s="684"/>
      <c r="H24" s="685"/>
      <c r="I24" s="685"/>
      <c r="J24" s="409"/>
      <c r="K24" s="410"/>
      <c r="L24" s="220"/>
      <c r="M24" s="686"/>
      <c r="N24" s="686"/>
      <c r="O24" s="220"/>
      <c r="P24" s="281"/>
      <c r="Q24" s="281"/>
    </row>
    <row r="25" spans="1:17" ht="21.75" customHeight="1" thickBot="1" x14ac:dyDescent="0.4">
      <c r="A25" s="683" t="s">
        <v>616</v>
      </c>
      <c r="B25" s="684"/>
      <c r="C25" s="684"/>
      <c r="D25" s="684"/>
      <c r="E25" s="684"/>
      <c r="F25" s="684"/>
      <c r="G25" s="684"/>
      <c r="H25" s="684"/>
      <c r="I25" s="684"/>
      <c r="J25" s="412"/>
      <c r="K25" s="413"/>
      <c r="L25" s="220"/>
      <c r="M25" s="214"/>
      <c r="N25" s="214"/>
      <c r="O25" s="220">
        <v>932100</v>
      </c>
      <c r="P25" s="281"/>
      <c r="Q25" s="281"/>
    </row>
    <row r="26" spans="1:17" s="214" customFormat="1" ht="19.5" thickBot="1" x14ac:dyDescent="0.35">
      <c r="A26" s="546" t="s">
        <v>402</v>
      </c>
      <c r="B26" s="547"/>
      <c r="C26" s="547"/>
      <c r="D26" s="547"/>
      <c r="E26" s="547"/>
      <c r="F26" s="547"/>
      <c r="G26" s="547"/>
      <c r="H26" s="547"/>
      <c r="I26" s="547"/>
      <c r="J26" s="547"/>
      <c r="K26" s="548"/>
      <c r="L26" s="220">
        <f>L22+L23</f>
        <v>2365220</v>
      </c>
      <c r="M26" s="220">
        <f>[4]közművelődés!H83</f>
        <v>13403366</v>
      </c>
      <c r="N26" s="220">
        <f>L26-M26</f>
        <v>-11038146</v>
      </c>
      <c r="O26" s="220">
        <f>O22+O23+O25</f>
        <v>3297320</v>
      </c>
      <c r="P26" s="220">
        <f>[4]közművelődés!K83</f>
        <v>13276898.120000001</v>
      </c>
      <c r="Q26" s="220">
        <f>O26-P26</f>
        <v>-9979578.120000001</v>
      </c>
    </row>
    <row r="27" spans="1:17" s="214" customFormat="1" ht="21.75" thickBot="1" x14ac:dyDescent="0.4">
      <c r="A27" s="546" t="s">
        <v>498</v>
      </c>
      <c r="B27" s="547"/>
      <c r="C27" s="547"/>
      <c r="D27" s="547"/>
      <c r="E27" s="547"/>
      <c r="F27" s="547"/>
      <c r="G27" s="547"/>
      <c r="H27" s="547"/>
      <c r="I27" s="547"/>
      <c r="J27" s="412"/>
      <c r="K27" s="413"/>
      <c r="L27" s="220">
        <f>L28+L29</f>
        <v>1361500</v>
      </c>
      <c r="O27" s="220">
        <f>O28+O29</f>
        <v>1361500</v>
      </c>
    </row>
    <row r="28" spans="1:17" ht="15.75" thickBot="1" x14ac:dyDescent="0.3">
      <c r="A28" s="552" t="s">
        <v>403</v>
      </c>
      <c r="B28" s="553"/>
      <c r="C28" s="553"/>
      <c r="D28" s="553"/>
      <c r="E28" s="553"/>
      <c r="F28" s="553"/>
      <c r="G28" s="553"/>
      <c r="H28" s="553"/>
      <c r="I28" s="553"/>
      <c r="J28" s="553"/>
      <c r="K28" s="554"/>
      <c r="L28" s="217">
        <v>1200000</v>
      </c>
      <c r="O28" s="217">
        <v>1200000</v>
      </c>
    </row>
    <row r="29" spans="1:17" ht="15.75" thickBot="1" x14ac:dyDescent="0.3">
      <c r="A29" s="561" t="s">
        <v>404</v>
      </c>
      <c r="B29" s="562"/>
      <c r="C29" s="562"/>
      <c r="D29" s="562"/>
      <c r="E29" s="562"/>
      <c r="F29" s="562"/>
      <c r="G29" s="562"/>
      <c r="H29" s="562"/>
      <c r="I29" s="562"/>
      <c r="J29" s="562"/>
      <c r="K29" s="563"/>
      <c r="L29" s="344">
        <v>161500</v>
      </c>
      <c r="O29" s="344">
        <v>161500</v>
      </c>
    </row>
    <row r="30" spans="1:17" s="375" customFormat="1" ht="16.5" thickBot="1" x14ac:dyDescent="0.3">
      <c r="A30" s="587" t="s">
        <v>499</v>
      </c>
      <c r="B30" s="588"/>
      <c r="C30" s="588"/>
      <c r="D30" s="588"/>
      <c r="E30" s="588"/>
      <c r="F30" s="588"/>
      <c r="G30" s="588"/>
      <c r="H30" s="588"/>
      <c r="I30" s="588"/>
      <c r="J30" s="414"/>
      <c r="K30" s="414"/>
      <c r="L30" s="345">
        <f>L32+L31</f>
        <v>1449948</v>
      </c>
      <c r="O30" s="345"/>
    </row>
    <row r="31" spans="1:17" ht="15.75" thickBot="1" x14ac:dyDescent="0.3">
      <c r="A31" s="584" t="s">
        <v>500</v>
      </c>
      <c r="B31" s="585"/>
      <c r="C31" s="585"/>
      <c r="D31" s="585"/>
      <c r="E31" s="585"/>
      <c r="F31" s="585"/>
      <c r="G31" s="585"/>
      <c r="H31" s="585"/>
      <c r="I31" s="585"/>
      <c r="J31" s="585"/>
      <c r="K31" s="586"/>
      <c r="L31" s="283">
        <v>67720</v>
      </c>
      <c r="O31" s="283"/>
    </row>
    <row r="32" spans="1:17" ht="15.75" thickBot="1" x14ac:dyDescent="0.3">
      <c r="A32" s="552" t="s">
        <v>501</v>
      </c>
      <c r="B32" s="553"/>
      <c r="C32" s="553"/>
      <c r="D32" s="553"/>
      <c r="E32" s="553"/>
      <c r="F32" s="553"/>
      <c r="G32" s="553"/>
      <c r="H32" s="553"/>
      <c r="I32" s="553"/>
      <c r="J32" s="553"/>
      <c r="K32" s="554"/>
      <c r="L32" s="217">
        <v>1382228</v>
      </c>
      <c r="O32" s="217"/>
    </row>
    <row r="33" spans="1:15" ht="16.5" thickBot="1" x14ac:dyDescent="0.3">
      <c r="A33" s="587" t="s">
        <v>617</v>
      </c>
      <c r="B33" s="588"/>
      <c r="C33" s="588"/>
      <c r="D33" s="588"/>
      <c r="E33" s="588"/>
      <c r="F33" s="588"/>
      <c r="G33" s="588"/>
      <c r="H33" s="588"/>
      <c r="I33" s="588"/>
      <c r="J33" s="407"/>
      <c r="K33" s="408"/>
      <c r="L33" s="217"/>
      <c r="O33" s="217">
        <v>1276585</v>
      </c>
    </row>
    <row r="34" spans="1:15" s="221" customFormat="1" ht="19.5" thickBot="1" x14ac:dyDescent="0.35">
      <c r="A34" s="549" t="s">
        <v>405</v>
      </c>
      <c r="B34" s="550"/>
      <c r="C34" s="550"/>
      <c r="D34" s="550"/>
      <c r="E34" s="550"/>
      <c r="F34" s="550"/>
      <c r="G34" s="550"/>
      <c r="H34" s="550"/>
      <c r="I34" s="550"/>
      <c r="J34" s="550"/>
      <c r="K34" s="551"/>
      <c r="L34" s="220">
        <f>L20+L26+L27+L30</f>
        <v>46904968</v>
      </c>
      <c r="O34" s="220">
        <f>O20+O26+O27+O33</f>
        <v>47663705</v>
      </c>
    </row>
    <row r="35" spans="1:15" s="221" customFormat="1" ht="19.5" thickBot="1" x14ac:dyDescent="0.35">
      <c r="A35" s="549" t="s">
        <v>406</v>
      </c>
      <c r="B35" s="550"/>
      <c r="C35" s="550"/>
      <c r="D35" s="550"/>
      <c r="E35" s="550"/>
      <c r="F35" s="550"/>
      <c r="G35" s="550"/>
      <c r="H35" s="550"/>
      <c r="I35" s="550"/>
      <c r="J35" s="550"/>
      <c r="K35" s="551"/>
      <c r="L35" s="220">
        <f>M20+M26</f>
        <v>53591903</v>
      </c>
      <c r="O35" s="220">
        <v>56856959</v>
      </c>
    </row>
    <row r="36" spans="1:15" ht="19.5" thickBot="1" x14ac:dyDescent="0.35">
      <c r="A36" s="549" t="s">
        <v>407</v>
      </c>
      <c r="B36" s="550"/>
      <c r="C36" s="550"/>
      <c r="D36" s="550"/>
      <c r="E36" s="550"/>
      <c r="F36" s="550"/>
      <c r="G36" s="550"/>
      <c r="H36" s="550"/>
      <c r="I36" s="550"/>
      <c r="J36" s="550"/>
      <c r="K36" s="551"/>
      <c r="L36" s="220">
        <f>L34-L35</f>
        <v>-6686935</v>
      </c>
      <c r="O36" s="220">
        <f>O34-O35</f>
        <v>-9193254</v>
      </c>
    </row>
  </sheetData>
  <mergeCells count="37">
    <mergeCell ref="A35:K35"/>
    <mergeCell ref="A36:K36"/>
    <mergeCell ref="A27:I27"/>
    <mergeCell ref="A28:K28"/>
    <mergeCell ref="A30:I30"/>
    <mergeCell ref="A33:I33"/>
    <mergeCell ref="A34:K34"/>
    <mergeCell ref="B1:P1"/>
    <mergeCell ref="O3:Q3"/>
    <mergeCell ref="L4:N4"/>
    <mergeCell ref="O4:Q4"/>
    <mergeCell ref="A24:G24"/>
    <mergeCell ref="A9:K9"/>
    <mergeCell ref="A5:K5"/>
    <mergeCell ref="A6:K6"/>
    <mergeCell ref="A7:K7"/>
    <mergeCell ref="A8:K8"/>
    <mergeCell ref="A16:K16"/>
    <mergeCell ref="A17:K17"/>
    <mergeCell ref="A18:K18"/>
    <mergeCell ref="A19:K19"/>
    <mergeCell ref="A20:K20"/>
    <mergeCell ref="A11:K11"/>
    <mergeCell ref="A12:K12"/>
    <mergeCell ref="A13:K13"/>
    <mergeCell ref="A14:K14"/>
    <mergeCell ref="A15:K15"/>
    <mergeCell ref="A31:K31"/>
    <mergeCell ref="A32:K32"/>
    <mergeCell ref="L3:N3"/>
    <mergeCell ref="A22:K22"/>
    <mergeCell ref="A25:I25"/>
    <mergeCell ref="A29:K29"/>
    <mergeCell ref="A23:K23"/>
    <mergeCell ref="A26:K26"/>
    <mergeCell ref="A21:K21"/>
    <mergeCell ref="A10:K10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04"/>
  <sheetViews>
    <sheetView workbookViewId="0">
      <selection activeCell="I83" sqref="I83"/>
    </sheetView>
  </sheetViews>
  <sheetFormatPr defaultRowHeight="15.75" x14ac:dyDescent="0.25"/>
  <cols>
    <col min="1" max="1" width="6" style="2" customWidth="1"/>
    <col min="2" max="2" width="5.140625" style="1" customWidth="1"/>
    <col min="3" max="3" width="76.28515625" style="1" customWidth="1"/>
    <col min="4" max="4" width="15.42578125" style="2" customWidth="1"/>
    <col min="5" max="5" width="15.28515625" style="2" customWidth="1"/>
    <col min="6" max="6" width="13.5703125" style="2" customWidth="1"/>
    <col min="7" max="7" width="12.42578125" style="4" customWidth="1"/>
    <col min="8" max="8" width="16.7109375" style="4" bestFit="1" customWidth="1"/>
    <col min="9" max="9" width="14.85546875" style="4" bestFit="1" customWidth="1"/>
    <col min="10" max="16384" width="9.140625" style="4"/>
  </cols>
  <sheetData>
    <row r="1" spans="1:11" ht="20.100000000000001" customHeight="1" x14ac:dyDescent="0.3">
      <c r="A1" s="446" t="s">
        <v>640</v>
      </c>
      <c r="B1" s="447"/>
      <c r="C1" s="447"/>
      <c r="D1" s="447"/>
      <c r="E1" s="447"/>
      <c r="F1" s="447"/>
    </row>
    <row r="2" spans="1:11" ht="20.100000000000001" customHeight="1" x14ac:dyDescent="0.25">
      <c r="A2" s="415"/>
      <c r="B2" s="415"/>
      <c r="C2" s="415"/>
      <c r="D2" s="415"/>
      <c r="E2" s="415"/>
      <c r="F2" s="415"/>
    </row>
    <row r="3" spans="1:11" ht="20.100000000000001" customHeight="1" x14ac:dyDescent="0.25">
      <c r="A3" s="448" t="s">
        <v>196</v>
      </c>
      <c r="B3" s="448"/>
      <c r="C3" s="448"/>
      <c r="D3" s="448"/>
      <c r="E3" s="448"/>
      <c r="F3" s="448"/>
    </row>
    <row r="4" spans="1:11" ht="20.100000000000001" customHeight="1" x14ac:dyDescent="0.25">
      <c r="A4" s="415" t="s">
        <v>2</v>
      </c>
      <c r="B4" s="415"/>
      <c r="C4" s="415"/>
      <c r="D4" s="415"/>
      <c r="E4" s="415"/>
      <c r="F4" s="415"/>
    </row>
    <row r="5" spans="1:11" ht="39" customHeight="1" thickBot="1" x14ac:dyDescent="0.3">
      <c r="A5" s="449" t="s">
        <v>559</v>
      </c>
      <c r="B5" s="449"/>
      <c r="C5" s="449"/>
      <c r="D5" s="449"/>
      <c r="E5" s="449"/>
      <c r="F5" s="449"/>
    </row>
    <row r="6" spans="1:11" ht="20.100000000000001" customHeight="1" x14ac:dyDescent="0.25">
      <c r="A6" s="450" t="s">
        <v>4</v>
      </c>
      <c r="B6" s="453" t="s">
        <v>5</v>
      </c>
      <c r="C6" s="453"/>
      <c r="D6" s="456" t="s">
        <v>252</v>
      </c>
      <c r="E6" s="458" t="s">
        <v>7</v>
      </c>
      <c r="F6" s="458" t="s">
        <v>8</v>
      </c>
      <c r="G6" s="442" t="s">
        <v>9</v>
      </c>
      <c r="H6" s="456" t="s">
        <v>252</v>
      </c>
      <c r="I6" s="458" t="s">
        <v>7</v>
      </c>
      <c r="J6" s="458" t="s">
        <v>8</v>
      </c>
      <c r="K6" s="442" t="s">
        <v>9</v>
      </c>
    </row>
    <row r="7" spans="1:11" ht="38.25" customHeight="1" x14ac:dyDescent="0.25">
      <c r="A7" s="451"/>
      <c r="B7" s="454"/>
      <c r="C7" s="454"/>
      <c r="D7" s="457"/>
      <c r="E7" s="459"/>
      <c r="F7" s="459"/>
      <c r="G7" s="443"/>
      <c r="H7" s="457"/>
      <c r="I7" s="459"/>
      <c r="J7" s="459"/>
      <c r="K7" s="443"/>
    </row>
    <row r="8" spans="1:11" ht="22.5" customHeight="1" thickBot="1" x14ac:dyDescent="0.3">
      <c r="A8" s="540"/>
      <c r="B8" s="541"/>
      <c r="C8" s="541"/>
      <c r="D8" s="538" t="s">
        <v>457</v>
      </c>
      <c r="E8" s="457"/>
      <c r="F8" s="457"/>
      <c r="G8" s="191"/>
      <c r="H8" s="538" t="s">
        <v>639</v>
      </c>
      <c r="I8" s="457"/>
      <c r="J8" s="457"/>
      <c r="K8" s="191"/>
    </row>
    <row r="9" spans="1:11" ht="15.95" customHeight="1" x14ac:dyDescent="0.25">
      <c r="A9" s="338"/>
      <c r="B9" s="453" t="s">
        <v>10</v>
      </c>
      <c r="C9" s="453"/>
      <c r="D9" s="192"/>
      <c r="E9" s="193"/>
      <c r="F9" s="194"/>
      <c r="G9" s="194"/>
      <c r="H9" s="192"/>
      <c r="I9" s="193"/>
      <c r="J9" s="194"/>
      <c r="K9" s="194"/>
    </row>
    <row r="10" spans="1:11" ht="15.95" customHeight="1" x14ac:dyDescent="0.25">
      <c r="A10" s="3">
        <v>1</v>
      </c>
      <c r="B10" s="427" t="s">
        <v>11</v>
      </c>
      <c r="C10" s="427"/>
      <c r="D10" s="10">
        <v>34590</v>
      </c>
      <c r="E10" s="10">
        <v>34590</v>
      </c>
      <c r="F10" s="11"/>
      <c r="G10" s="12"/>
      <c r="H10" s="10">
        <v>35465</v>
      </c>
      <c r="I10" s="10">
        <v>35465</v>
      </c>
      <c r="J10" s="11"/>
      <c r="K10" s="12"/>
    </row>
    <row r="11" spans="1:11" ht="15.95" customHeight="1" x14ac:dyDescent="0.25">
      <c r="A11" s="3">
        <v>2</v>
      </c>
      <c r="B11" s="427" t="s">
        <v>12</v>
      </c>
      <c r="C11" s="427"/>
      <c r="D11" s="10">
        <v>6971</v>
      </c>
      <c r="E11" s="10">
        <v>6971</v>
      </c>
      <c r="F11" s="11"/>
      <c r="G11" s="12"/>
      <c r="H11" s="10">
        <v>7135</v>
      </c>
      <c r="I11" s="10">
        <v>7135</v>
      </c>
      <c r="J11" s="11"/>
      <c r="K11" s="12"/>
    </row>
    <row r="12" spans="1:11" ht="15.95" customHeight="1" x14ac:dyDescent="0.25">
      <c r="A12" s="3">
        <v>3</v>
      </c>
      <c r="B12" s="427" t="s">
        <v>13</v>
      </c>
      <c r="C12" s="427"/>
      <c r="D12" s="10">
        <v>3524</v>
      </c>
      <c r="E12" s="10">
        <v>3524</v>
      </c>
      <c r="F12" s="11"/>
      <c r="G12" s="13"/>
      <c r="H12" s="10">
        <v>3863</v>
      </c>
      <c r="I12" s="10">
        <v>3863</v>
      </c>
      <c r="J12" s="11"/>
      <c r="K12" s="13"/>
    </row>
    <row r="13" spans="1:11" ht="15.95" customHeight="1" x14ac:dyDescent="0.25">
      <c r="A13" s="3" t="s">
        <v>14</v>
      </c>
      <c r="B13" s="427" t="s">
        <v>15</v>
      </c>
      <c r="C13" s="427"/>
      <c r="D13" s="195"/>
      <c r="E13" s="10"/>
      <c r="F13" s="11"/>
      <c r="G13" s="12"/>
      <c r="H13" s="195"/>
      <c r="I13" s="10"/>
      <c r="J13" s="11"/>
      <c r="K13" s="12"/>
    </row>
    <row r="14" spans="1:11" ht="15.95" customHeight="1" x14ac:dyDescent="0.25">
      <c r="A14" s="3" t="s">
        <v>16</v>
      </c>
      <c r="B14" s="433" t="s">
        <v>17</v>
      </c>
      <c r="C14" s="433"/>
      <c r="D14" s="195">
        <f>+D15+D16+D17+D18+D19</f>
        <v>0</v>
      </c>
      <c r="E14" s="10">
        <v>0</v>
      </c>
      <c r="F14" s="16"/>
      <c r="G14" s="16"/>
      <c r="H14" s="195">
        <f>+H15+H16+H17+H18+H19</f>
        <v>0</v>
      </c>
      <c r="I14" s="10">
        <v>0</v>
      </c>
      <c r="J14" s="16"/>
      <c r="K14" s="16"/>
    </row>
    <row r="15" spans="1:11" ht="15.95" customHeight="1" x14ac:dyDescent="0.25">
      <c r="A15" s="3" t="s">
        <v>18</v>
      </c>
      <c r="B15" s="434" t="s">
        <v>127</v>
      </c>
      <c r="C15" s="434"/>
      <c r="D15" s="195"/>
      <c r="E15" s="10"/>
      <c r="F15" s="11"/>
      <c r="G15" s="12"/>
      <c r="H15" s="195"/>
      <c r="I15" s="10"/>
      <c r="J15" s="11"/>
      <c r="K15" s="12"/>
    </row>
    <row r="16" spans="1:11" ht="15.95" customHeight="1" x14ac:dyDescent="0.25">
      <c r="A16" s="3" t="s">
        <v>19</v>
      </c>
      <c r="B16" s="434" t="s">
        <v>20</v>
      </c>
      <c r="C16" s="434"/>
      <c r="D16" s="195"/>
      <c r="E16" s="10"/>
      <c r="F16" s="11"/>
      <c r="G16" s="12"/>
      <c r="H16" s="195"/>
      <c r="I16" s="10"/>
      <c r="J16" s="11"/>
      <c r="K16" s="12"/>
    </row>
    <row r="17" spans="1:11" ht="15.95" customHeight="1" x14ac:dyDescent="0.25">
      <c r="A17" s="3"/>
      <c r="B17" s="539" t="s">
        <v>130</v>
      </c>
      <c r="C17" s="539"/>
      <c r="D17" s="195"/>
      <c r="E17" s="10"/>
      <c r="F17" s="11"/>
      <c r="G17" s="12"/>
      <c r="H17" s="195"/>
      <c r="I17" s="10"/>
      <c r="J17" s="11"/>
      <c r="K17" s="12"/>
    </row>
    <row r="18" spans="1:11" ht="15.95" customHeight="1" x14ac:dyDescent="0.25">
      <c r="A18" s="3" t="s">
        <v>21</v>
      </c>
      <c r="B18" s="437" t="s">
        <v>22</v>
      </c>
      <c r="C18" s="437"/>
      <c r="D18" s="195"/>
      <c r="E18" s="10"/>
      <c r="F18" s="11"/>
      <c r="G18" s="12"/>
      <c r="H18" s="195"/>
      <c r="I18" s="10"/>
      <c r="J18" s="11"/>
      <c r="K18" s="12"/>
    </row>
    <row r="19" spans="1:11" ht="15.95" customHeight="1" x14ac:dyDescent="0.25">
      <c r="A19" s="3" t="s">
        <v>23</v>
      </c>
      <c r="B19" s="437" t="s">
        <v>200</v>
      </c>
      <c r="C19" s="537"/>
      <c r="D19" s="195"/>
      <c r="E19" s="10"/>
      <c r="F19" s="11"/>
      <c r="G19" s="12"/>
      <c r="H19" s="195"/>
      <c r="I19" s="10"/>
      <c r="J19" s="11"/>
      <c r="K19" s="12"/>
    </row>
    <row r="20" spans="1:11" ht="15.95" customHeight="1" x14ac:dyDescent="0.25">
      <c r="A20" s="3"/>
      <c r="B20" s="427" t="s">
        <v>24</v>
      </c>
      <c r="C20" s="427"/>
      <c r="D20" s="196"/>
      <c r="E20" s="25"/>
      <c r="F20" s="222"/>
      <c r="G20" s="198"/>
      <c r="H20" s="196"/>
      <c r="I20" s="25"/>
      <c r="J20" s="222"/>
      <c r="K20" s="198"/>
    </row>
    <row r="21" spans="1:11" ht="15.95" customHeight="1" x14ac:dyDescent="0.25">
      <c r="A21" s="3" t="s">
        <v>0</v>
      </c>
      <c r="B21" s="337" t="s">
        <v>26</v>
      </c>
      <c r="C21" s="199"/>
      <c r="D21" s="195">
        <f>+D10+D11+D12+D13+D14+D20</f>
        <v>45085</v>
      </c>
      <c r="E21" s="195">
        <f>+E10+E11+E12+E13+E14+E20</f>
        <v>45085</v>
      </c>
      <c r="F21" s="10"/>
      <c r="G21" s="10"/>
      <c r="H21" s="195">
        <f>+H10+H11+H12+H13+H14+H20</f>
        <v>46463</v>
      </c>
      <c r="I21" s="195">
        <f>+I10+I11+I12+I13+I14+I20</f>
        <v>46463</v>
      </c>
      <c r="J21" s="10"/>
      <c r="K21" s="10"/>
    </row>
    <row r="22" spans="1:11" ht="15.95" customHeight="1" x14ac:dyDescent="0.25">
      <c r="A22" s="3" t="s">
        <v>27</v>
      </c>
      <c r="B22" s="427" t="s">
        <v>28</v>
      </c>
      <c r="C22" s="427"/>
      <c r="D22" s="196">
        <v>377</v>
      </c>
      <c r="E22" s="25">
        <v>377</v>
      </c>
      <c r="F22" s="11"/>
      <c r="G22" s="12"/>
      <c r="H22" s="196">
        <v>720</v>
      </c>
      <c r="I22" s="25">
        <v>720</v>
      </c>
      <c r="J22" s="11"/>
      <c r="K22" s="12"/>
    </row>
    <row r="23" spans="1:11" ht="15.95" customHeight="1" x14ac:dyDescent="0.25">
      <c r="A23" s="3" t="s">
        <v>29</v>
      </c>
      <c r="B23" s="427" t="s">
        <v>30</v>
      </c>
      <c r="C23" s="427"/>
      <c r="D23" s="196"/>
      <c r="E23" s="25"/>
      <c r="F23" s="11"/>
      <c r="G23" s="12"/>
      <c r="H23" s="196"/>
      <c r="I23" s="25"/>
      <c r="J23" s="11"/>
      <c r="K23" s="12"/>
    </row>
    <row r="24" spans="1:11" ht="15.95" customHeight="1" x14ac:dyDescent="0.25">
      <c r="A24" s="3" t="s">
        <v>31</v>
      </c>
      <c r="B24" s="427" t="s">
        <v>134</v>
      </c>
      <c r="C24" s="427"/>
      <c r="D24" s="196"/>
      <c r="E24" s="25"/>
      <c r="F24" s="11"/>
      <c r="G24" s="12"/>
      <c r="H24" s="196"/>
      <c r="I24" s="25"/>
      <c r="J24" s="11"/>
      <c r="K24" s="12"/>
    </row>
    <row r="25" spans="1:11" ht="15.95" customHeight="1" x14ac:dyDescent="0.25">
      <c r="A25" s="3" t="s">
        <v>33</v>
      </c>
      <c r="B25" s="427" t="s">
        <v>34</v>
      </c>
      <c r="C25" s="427"/>
      <c r="D25" s="196">
        <f>+D22+D23+D24</f>
        <v>377</v>
      </c>
      <c r="E25" s="196">
        <f>+E22+E23+E24</f>
        <v>377</v>
      </c>
      <c r="F25" s="11"/>
      <c r="G25" s="12"/>
      <c r="H25" s="196">
        <f>+H22+H23+H24</f>
        <v>720</v>
      </c>
      <c r="I25" s="196">
        <f>+I22+I23+I24</f>
        <v>720</v>
      </c>
      <c r="J25" s="11"/>
      <c r="K25" s="12"/>
    </row>
    <row r="26" spans="1:11" ht="15.95" customHeight="1" x14ac:dyDescent="0.25">
      <c r="A26" s="3" t="s">
        <v>35</v>
      </c>
      <c r="B26" s="427"/>
      <c r="C26" s="427"/>
      <c r="D26" s="196"/>
      <c r="E26" s="25"/>
      <c r="F26" s="11"/>
      <c r="G26" s="12"/>
      <c r="H26" s="196"/>
      <c r="I26" s="25"/>
      <c r="J26" s="11"/>
      <c r="K26" s="12"/>
    </row>
    <row r="27" spans="1:11" ht="15.95" customHeight="1" x14ac:dyDescent="0.25">
      <c r="A27" s="3" t="s">
        <v>36</v>
      </c>
      <c r="B27" s="429"/>
      <c r="C27" s="429"/>
      <c r="D27" s="200"/>
      <c r="E27" s="27"/>
      <c r="F27" s="11">
        <f>+D27+E27</f>
        <v>0</v>
      </c>
      <c r="G27" s="12"/>
      <c r="H27" s="200"/>
      <c r="I27" s="27"/>
      <c r="J27" s="11">
        <f>+H27+I27</f>
        <v>0</v>
      </c>
      <c r="K27" s="12"/>
    </row>
    <row r="28" spans="1:11" ht="15.95" customHeight="1" x14ac:dyDescent="0.25">
      <c r="A28" s="3" t="s">
        <v>37</v>
      </c>
      <c r="B28" s="429"/>
      <c r="C28" s="429"/>
      <c r="D28" s="200"/>
      <c r="E28" s="201"/>
      <c r="F28" s="11">
        <f>+D28+E28</f>
        <v>0</v>
      </c>
      <c r="G28" s="12"/>
      <c r="H28" s="200"/>
      <c r="I28" s="201"/>
      <c r="J28" s="11">
        <f>+H28+I28</f>
        <v>0</v>
      </c>
      <c r="K28" s="12"/>
    </row>
    <row r="29" spans="1:11" ht="15.95" customHeight="1" x14ac:dyDescent="0.3">
      <c r="A29" s="29" t="s">
        <v>38</v>
      </c>
      <c r="B29" s="423" t="s">
        <v>201</v>
      </c>
      <c r="C29" s="423"/>
      <c r="D29" s="202">
        <f>+D21+D25+D26+D27+D28</f>
        <v>45462</v>
      </c>
      <c r="E29" s="202">
        <f>+E21+E25+E26+E27+E28</f>
        <v>45462</v>
      </c>
      <c r="F29" s="202">
        <f>+F21+F25+F26+F27+F28</f>
        <v>0</v>
      </c>
      <c r="G29" s="202">
        <f>+G21+G25+G26+G27+G28</f>
        <v>0</v>
      </c>
      <c r="H29" s="202">
        <f>+H21+H25+H26+H27+H28</f>
        <v>47183</v>
      </c>
      <c r="I29" s="202">
        <f>+I21+I25+I26+I27+I28</f>
        <v>47183</v>
      </c>
      <c r="J29" s="202">
        <f>+J21+J25+J26+J27+J28</f>
        <v>0</v>
      </c>
      <c r="K29" s="202">
        <f>+K21+K25+K26+K27+K28</f>
        <v>0</v>
      </c>
    </row>
    <row r="30" spans="1:11" ht="15.95" customHeight="1" x14ac:dyDescent="0.25">
      <c r="A30" s="33"/>
      <c r="B30" s="471"/>
      <c r="C30" s="471"/>
      <c r="D30" s="117"/>
      <c r="E30" s="204"/>
      <c r="F30" s="88"/>
      <c r="G30" s="88"/>
      <c r="H30" s="117"/>
      <c r="I30" s="204"/>
      <c r="J30" s="88"/>
      <c r="K30" s="88"/>
    </row>
    <row r="31" spans="1:11" ht="15.95" customHeight="1" x14ac:dyDescent="0.25">
      <c r="A31" s="3"/>
      <c r="B31" s="498" t="s">
        <v>40</v>
      </c>
      <c r="C31" s="498"/>
      <c r="D31" s="196"/>
      <c r="E31" s="25"/>
      <c r="F31" s="11"/>
      <c r="G31" s="12"/>
      <c r="H31" s="196"/>
      <c r="I31" s="25"/>
      <c r="J31" s="11"/>
      <c r="K31" s="12"/>
    </row>
    <row r="32" spans="1:11" ht="15.95" customHeight="1" x14ac:dyDescent="0.25">
      <c r="A32" s="3" t="s">
        <v>41</v>
      </c>
      <c r="B32" s="421" t="s">
        <v>42</v>
      </c>
      <c r="C32" s="421"/>
      <c r="D32" s="196"/>
      <c r="E32" s="25"/>
      <c r="F32" s="11"/>
      <c r="G32" s="12">
        <v>0</v>
      </c>
      <c r="H32" s="196"/>
      <c r="I32" s="25"/>
      <c r="J32" s="11"/>
      <c r="K32" s="12">
        <v>0</v>
      </c>
    </row>
    <row r="33" spans="1:11" ht="15.95" customHeight="1" x14ac:dyDescent="0.25">
      <c r="A33" s="3" t="s">
        <v>43</v>
      </c>
      <c r="B33" s="421" t="s">
        <v>44</v>
      </c>
      <c r="C33" s="421"/>
      <c r="D33" s="196">
        <f>SUM(D34:D36)</f>
        <v>0</v>
      </c>
      <c r="E33" s="25">
        <f>SUM(E34:E36)</f>
        <v>0</v>
      </c>
      <c r="F33" s="25">
        <f>SUM(F34:F36)</f>
        <v>0</v>
      </c>
      <c r="G33" s="12"/>
      <c r="H33" s="196">
        <f>SUM(H34:H36)</f>
        <v>0</v>
      </c>
      <c r="I33" s="25">
        <f>SUM(I34:I36)</f>
        <v>0</v>
      </c>
      <c r="J33" s="25">
        <f>SUM(J34:J36)</f>
        <v>0</v>
      </c>
      <c r="K33" s="12"/>
    </row>
    <row r="34" spans="1:11" ht="15.95" customHeight="1" x14ac:dyDescent="0.25">
      <c r="A34" s="3"/>
      <c r="B34" s="44" t="s">
        <v>45</v>
      </c>
      <c r="C34" s="45" t="s">
        <v>46</v>
      </c>
      <c r="D34" s="196"/>
      <c r="E34" s="25"/>
      <c r="F34" s="11"/>
      <c r="G34" s="12"/>
      <c r="H34" s="196"/>
      <c r="I34" s="25"/>
      <c r="J34" s="11"/>
      <c r="K34" s="12"/>
    </row>
    <row r="35" spans="1:11" ht="15.95" customHeight="1" x14ac:dyDescent="0.25">
      <c r="A35" s="3"/>
      <c r="B35" s="44" t="s">
        <v>47</v>
      </c>
      <c r="C35" s="45" t="s">
        <v>48</v>
      </c>
      <c r="D35" s="196"/>
      <c r="E35" s="25"/>
      <c r="F35" s="11"/>
      <c r="G35" s="12"/>
      <c r="H35" s="196"/>
      <c r="I35" s="25"/>
      <c r="J35" s="11"/>
      <c r="K35" s="12"/>
    </row>
    <row r="36" spans="1:11" ht="15.95" customHeight="1" x14ac:dyDescent="0.25">
      <c r="A36" s="3"/>
      <c r="B36" s="44" t="s">
        <v>49</v>
      </c>
      <c r="C36" s="45" t="s">
        <v>50</v>
      </c>
      <c r="D36" s="196"/>
      <c r="E36" s="25"/>
      <c r="F36" s="11"/>
      <c r="G36" s="12"/>
      <c r="H36" s="196"/>
      <c r="I36" s="25"/>
      <c r="J36" s="11"/>
      <c r="K36" s="12"/>
    </row>
    <row r="37" spans="1:11" ht="15.95" customHeight="1" x14ac:dyDescent="0.25">
      <c r="A37" s="3" t="s">
        <v>51</v>
      </c>
      <c r="B37" s="421" t="s">
        <v>52</v>
      </c>
      <c r="C37" s="421"/>
      <c r="D37" s="196">
        <f>SUM(D38:D40)</f>
        <v>0</v>
      </c>
      <c r="E37" s="196">
        <f>SUM(E38:E40)</f>
        <v>0</v>
      </c>
      <c r="F37" s="11">
        <f>SUM(F38:F40)</f>
        <v>0</v>
      </c>
      <c r="G37" s="12"/>
      <c r="H37" s="196">
        <f>SUM(H38:H40)</f>
        <v>0</v>
      </c>
      <c r="I37" s="196">
        <f>SUM(I38:I40)</f>
        <v>0</v>
      </c>
      <c r="J37" s="11">
        <f>SUM(J38:J40)</f>
        <v>0</v>
      </c>
      <c r="K37" s="12"/>
    </row>
    <row r="38" spans="1:11" ht="15.95" customHeight="1" x14ac:dyDescent="0.25">
      <c r="A38" s="3"/>
      <c r="B38" s="48" t="s">
        <v>53</v>
      </c>
      <c r="C38" s="336" t="s">
        <v>54</v>
      </c>
      <c r="D38" s="196">
        <v>0</v>
      </c>
      <c r="E38" s="25">
        <v>0</v>
      </c>
      <c r="F38" s="11"/>
      <c r="G38" s="12"/>
      <c r="H38" s="196">
        <v>0</v>
      </c>
      <c r="I38" s="25">
        <v>0</v>
      </c>
      <c r="J38" s="11"/>
      <c r="K38" s="12"/>
    </row>
    <row r="39" spans="1:11" ht="15.95" customHeight="1" x14ac:dyDescent="0.25">
      <c r="A39" s="3"/>
      <c r="B39" s="48" t="s">
        <v>55</v>
      </c>
      <c r="C39" s="336" t="s">
        <v>56</v>
      </c>
      <c r="D39" s="196"/>
      <c r="E39" s="25"/>
      <c r="F39" s="11">
        <f t="shared" ref="F39:F45" si="0">SUM(D39:D39)</f>
        <v>0</v>
      </c>
      <c r="G39" s="12"/>
      <c r="H39" s="196"/>
      <c r="I39" s="25"/>
      <c r="J39" s="11">
        <f t="shared" ref="J39:J45" si="1">SUM(H39:H39)</f>
        <v>0</v>
      </c>
      <c r="K39" s="12"/>
    </row>
    <row r="40" spans="1:11" ht="15.95" customHeight="1" x14ac:dyDescent="0.25">
      <c r="A40" s="3"/>
      <c r="B40" s="48" t="s">
        <v>57</v>
      </c>
      <c r="C40" s="336" t="s">
        <v>58</v>
      </c>
      <c r="D40" s="196"/>
      <c r="E40" s="25"/>
      <c r="F40" s="11"/>
      <c r="G40" s="12"/>
      <c r="H40" s="196"/>
      <c r="I40" s="25"/>
      <c r="J40" s="11"/>
      <c r="K40" s="12"/>
    </row>
    <row r="41" spans="1:11" ht="15.95" customHeight="1" x14ac:dyDescent="0.25">
      <c r="A41" s="3" t="s">
        <v>14</v>
      </c>
      <c r="B41" s="421" t="s">
        <v>59</v>
      </c>
      <c r="C41" s="421"/>
      <c r="D41" s="196">
        <f>SUM(D42:D45)</f>
        <v>0</v>
      </c>
      <c r="E41" s="25">
        <f>SUM(E42:E45)</f>
        <v>0</v>
      </c>
      <c r="F41" s="25">
        <f>SUM(F42:F45)</f>
        <v>0</v>
      </c>
      <c r="G41" s="12"/>
      <c r="H41" s="196">
        <f>SUM(H42:H45)</f>
        <v>1105</v>
      </c>
      <c r="I41" s="25">
        <f>SUM(I42:I45)</f>
        <v>1105</v>
      </c>
      <c r="J41" s="25">
        <f>SUM(J42:J45)</f>
        <v>0</v>
      </c>
      <c r="K41" s="12"/>
    </row>
    <row r="42" spans="1:11" ht="15.95" customHeight="1" x14ac:dyDescent="0.25">
      <c r="A42" s="3"/>
      <c r="B42" s="48" t="s">
        <v>60</v>
      </c>
      <c r="C42" s="336" t="s">
        <v>564</v>
      </c>
      <c r="D42" s="196"/>
      <c r="E42" s="25"/>
      <c r="F42" s="11"/>
      <c r="G42" s="12"/>
      <c r="H42" s="196">
        <v>1105</v>
      </c>
      <c r="I42" s="25">
        <v>1105</v>
      </c>
      <c r="J42" s="11"/>
      <c r="K42" s="12"/>
    </row>
    <row r="43" spans="1:11" ht="15.95" customHeight="1" x14ac:dyDescent="0.25">
      <c r="A43" s="3"/>
      <c r="B43" s="48" t="s">
        <v>62</v>
      </c>
      <c r="C43" s="336" t="s">
        <v>63</v>
      </c>
      <c r="D43" s="196"/>
      <c r="E43" s="25"/>
      <c r="F43" s="11">
        <f t="shared" si="0"/>
        <v>0</v>
      </c>
      <c r="G43" s="12"/>
      <c r="H43" s="196"/>
      <c r="I43" s="25"/>
      <c r="J43" s="11">
        <f t="shared" ref="J43:J49" si="2">SUM(H43:H43)</f>
        <v>0</v>
      </c>
      <c r="K43" s="12"/>
    </row>
    <row r="44" spans="1:11" ht="15.95" customHeight="1" x14ac:dyDescent="0.25">
      <c r="A44" s="3"/>
      <c r="B44" s="48" t="s">
        <v>64</v>
      </c>
      <c r="C44" s="336" t="s">
        <v>202</v>
      </c>
      <c r="D44" s="196"/>
      <c r="E44" s="25"/>
      <c r="F44" s="11">
        <f t="shared" si="0"/>
        <v>0</v>
      </c>
      <c r="G44" s="12"/>
      <c r="H44" s="196"/>
      <c r="I44" s="25"/>
      <c r="J44" s="11">
        <f t="shared" si="2"/>
        <v>0</v>
      </c>
      <c r="K44" s="12"/>
    </row>
    <row r="45" spans="1:11" ht="15.95" customHeight="1" x14ac:dyDescent="0.25">
      <c r="A45" s="3"/>
      <c r="B45" s="48" t="s">
        <v>66</v>
      </c>
      <c r="C45" s="336" t="s">
        <v>67</v>
      </c>
      <c r="D45" s="196"/>
      <c r="E45" s="25"/>
      <c r="F45" s="11">
        <f t="shared" si="0"/>
        <v>0</v>
      </c>
      <c r="G45" s="12"/>
      <c r="H45" s="196"/>
      <c r="I45" s="25"/>
      <c r="J45" s="11">
        <f t="shared" si="2"/>
        <v>0</v>
      </c>
      <c r="K45" s="12"/>
    </row>
    <row r="46" spans="1:11" s="224" customFormat="1" ht="15.95" customHeight="1" x14ac:dyDescent="0.25">
      <c r="A46" s="19" t="s">
        <v>0</v>
      </c>
      <c r="B46" s="425" t="s">
        <v>68</v>
      </c>
      <c r="C46" s="425"/>
      <c r="D46" s="196">
        <f>+D32+D33+D37+D41</f>
        <v>0</v>
      </c>
      <c r="E46" s="25">
        <f>+E32+E33+E37+E41</f>
        <v>0</v>
      </c>
      <c r="F46" s="196">
        <f>+F32+F33+F37+F41</f>
        <v>0</v>
      </c>
      <c r="G46" s="196">
        <f>+G32+G33+G37+G41</f>
        <v>0</v>
      </c>
      <c r="H46" s="196">
        <f>+H32+H33+H37+H41</f>
        <v>1105</v>
      </c>
      <c r="I46" s="25">
        <f>+I32+I33+I37+I41</f>
        <v>1105</v>
      </c>
      <c r="J46" s="196">
        <f>+J32+J33+J37+J41</f>
        <v>0</v>
      </c>
      <c r="K46" s="196">
        <f>+K32+K33+K37+K41</f>
        <v>0</v>
      </c>
    </row>
    <row r="47" spans="1:11" ht="15.95" customHeight="1" x14ac:dyDescent="0.25">
      <c r="A47" s="3" t="s">
        <v>16</v>
      </c>
      <c r="B47" s="421" t="s">
        <v>69</v>
      </c>
      <c r="C47" s="421"/>
      <c r="D47" s="196">
        <f>SUM(D48:D49)</f>
        <v>0</v>
      </c>
      <c r="E47" s="25">
        <f>SUM(E48:E49)</f>
        <v>0</v>
      </c>
      <c r="F47" s="25">
        <f>SUM(F48:F49)</f>
        <v>0</v>
      </c>
      <c r="G47" s="12"/>
      <c r="H47" s="196">
        <f>SUM(H48:H49)</f>
        <v>0</v>
      </c>
      <c r="I47" s="25">
        <f>SUM(I48:I49)</f>
        <v>0</v>
      </c>
      <c r="J47" s="25">
        <f>SUM(J48:J49)</f>
        <v>0</v>
      </c>
      <c r="K47" s="12"/>
    </row>
    <row r="48" spans="1:11" ht="15.95" customHeight="1" x14ac:dyDescent="0.25">
      <c r="A48" s="3"/>
      <c r="B48" s="48" t="s">
        <v>70</v>
      </c>
      <c r="C48" s="336" t="s">
        <v>71</v>
      </c>
      <c r="D48" s="196"/>
      <c r="E48" s="25"/>
      <c r="F48" s="11">
        <f t="shared" ref="F48:F56" si="3">SUM(D48:D48)</f>
        <v>0</v>
      </c>
      <c r="G48" s="12"/>
      <c r="H48" s="196"/>
      <c r="I48" s="25"/>
      <c r="J48" s="11">
        <f t="shared" ref="J48:J56" si="4">SUM(H48:H48)</f>
        <v>0</v>
      </c>
      <c r="K48" s="12"/>
    </row>
    <row r="49" spans="1:11" ht="15.95" customHeight="1" x14ac:dyDescent="0.25">
      <c r="A49" s="3"/>
      <c r="B49" s="48" t="s">
        <v>72</v>
      </c>
      <c r="C49" s="336" t="s">
        <v>73</v>
      </c>
      <c r="D49" s="196"/>
      <c r="E49" s="25"/>
      <c r="F49" s="11"/>
      <c r="G49" s="12"/>
      <c r="H49" s="196"/>
      <c r="I49" s="25"/>
      <c r="J49" s="11"/>
      <c r="K49" s="12"/>
    </row>
    <row r="50" spans="1:11" ht="15.95" customHeight="1" x14ac:dyDescent="0.25">
      <c r="A50" s="3" t="s">
        <v>27</v>
      </c>
      <c r="B50" s="421" t="s">
        <v>74</v>
      </c>
      <c r="C50" s="421"/>
      <c r="D50" s="196">
        <f>SUM(D51:D52)</f>
        <v>0</v>
      </c>
      <c r="E50" s="25">
        <f>SUM(E51:E52)</f>
        <v>0</v>
      </c>
      <c r="F50" s="11">
        <f t="shared" si="3"/>
        <v>0</v>
      </c>
      <c r="G50" s="12"/>
      <c r="H50" s="196">
        <f>SUM(H51:H52)</f>
        <v>0</v>
      </c>
      <c r="I50" s="25">
        <f>SUM(I51:I52)</f>
        <v>0</v>
      </c>
      <c r="J50" s="11">
        <f t="shared" ref="J50:J58" si="5">SUM(H50:H50)</f>
        <v>0</v>
      </c>
      <c r="K50" s="12"/>
    </row>
    <row r="51" spans="1:11" ht="15.95" customHeight="1" x14ac:dyDescent="0.25">
      <c r="A51" s="3"/>
      <c r="B51" s="48" t="s">
        <v>75</v>
      </c>
      <c r="C51" s="336" t="s">
        <v>76</v>
      </c>
      <c r="D51" s="196"/>
      <c r="E51" s="25"/>
      <c r="F51" s="11">
        <f t="shared" si="3"/>
        <v>0</v>
      </c>
      <c r="G51" s="12"/>
      <c r="H51" s="196"/>
      <c r="I51" s="25"/>
      <c r="J51" s="11">
        <f t="shared" si="5"/>
        <v>0</v>
      </c>
      <c r="K51" s="12"/>
    </row>
    <row r="52" spans="1:11" ht="15.95" customHeight="1" x14ac:dyDescent="0.25">
      <c r="A52" s="3"/>
      <c r="B52" s="48" t="s">
        <v>77</v>
      </c>
      <c r="C52" s="336" t="s">
        <v>78</v>
      </c>
      <c r="D52" s="196">
        <v>0</v>
      </c>
      <c r="E52" s="25"/>
      <c r="F52" s="11">
        <f t="shared" si="3"/>
        <v>0</v>
      </c>
      <c r="G52" s="12"/>
      <c r="H52" s="196">
        <v>0</v>
      </c>
      <c r="I52" s="25"/>
      <c r="J52" s="11">
        <f t="shared" si="5"/>
        <v>0</v>
      </c>
      <c r="K52" s="12"/>
    </row>
    <row r="53" spans="1:11" ht="15.95" customHeight="1" x14ac:dyDescent="0.25">
      <c r="A53" s="3" t="s">
        <v>29</v>
      </c>
      <c r="B53" s="421" t="s">
        <v>79</v>
      </c>
      <c r="C53" s="421"/>
      <c r="D53" s="196">
        <f>SUM(D54:D56)</f>
        <v>0</v>
      </c>
      <c r="E53" s="25">
        <f>SUM(E54:E56)</f>
        <v>0</v>
      </c>
      <c r="F53" s="11">
        <f>SUM(F54:F56)</f>
        <v>0</v>
      </c>
      <c r="G53" s="12"/>
      <c r="H53" s="196">
        <f>SUM(H54:H56)</f>
        <v>0</v>
      </c>
      <c r="I53" s="25">
        <f>SUM(I54:I56)</f>
        <v>0</v>
      </c>
      <c r="J53" s="11">
        <f>SUM(J54:J56)</f>
        <v>0</v>
      </c>
      <c r="K53" s="12"/>
    </row>
    <row r="54" spans="1:11" ht="15.95" customHeight="1" x14ac:dyDescent="0.25">
      <c r="A54" s="3"/>
      <c r="B54" s="48" t="s">
        <v>80</v>
      </c>
      <c r="C54" s="336" t="s">
        <v>81</v>
      </c>
      <c r="D54" s="196"/>
      <c r="E54" s="25"/>
      <c r="F54" s="11"/>
      <c r="G54" s="12"/>
      <c r="H54" s="196"/>
      <c r="I54" s="25"/>
      <c r="J54" s="11"/>
      <c r="K54" s="12"/>
    </row>
    <row r="55" spans="1:11" ht="15.95" customHeight="1" x14ac:dyDescent="0.25">
      <c r="A55" s="3"/>
      <c r="B55" s="48" t="s">
        <v>82</v>
      </c>
      <c r="C55" s="336" t="s">
        <v>83</v>
      </c>
      <c r="D55" s="196"/>
      <c r="E55" s="25"/>
      <c r="F55" s="11">
        <f t="shared" si="3"/>
        <v>0</v>
      </c>
      <c r="G55" s="12"/>
      <c r="H55" s="196"/>
      <c r="I55" s="25"/>
      <c r="J55" s="11">
        <f t="shared" ref="J55:J63" si="6">SUM(H55:H55)</f>
        <v>0</v>
      </c>
      <c r="K55" s="12"/>
    </row>
    <row r="56" spans="1:11" ht="15.95" customHeight="1" x14ac:dyDescent="0.25">
      <c r="A56" s="3"/>
      <c r="B56" s="48" t="s">
        <v>84</v>
      </c>
      <c r="C56" s="336" t="s">
        <v>85</v>
      </c>
      <c r="D56" s="196"/>
      <c r="E56" s="25"/>
      <c r="F56" s="11">
        <f t="shared" si="3"/>
        <v>0</v>
      </c>
      <c r="G56" s="12"/>
      <c r="H56" s="196"/>
      <c r="I56" s="25"/>
      <c r="J56" s="11">
        <f t="shared" si="6"/>
        <v>0</v>
      </c>
      <c r="K56" s="12"/>
    </row>
    <row r="57" spans="1:11" s="224" customFormat="1" ht="15.95" customHeight="1" x14ac:dyDescent="0.25">
      <c r="A57" s="19" t="s">
        <v>33</v>
      </c>
      <c r="B57" s="425" t="s">
        <v>86</v>
      </c>
      <c r="C57" s="425"/>
      <c r="D57" s="200">
        <f>+D47+D50+D53</f>
        <v>0</v>
      </c>
      <c r="E57" s="200">
        <f>+E47+E50+E53</f>
        <v>0</v>
      </c>
      <c r="F57" s="200">
        <f>+F47+F50+F53</f>
        <v>0</v>
      </c>
      <c r="G57" s="200">
        <f>+G47+G50+G53</f>
        <v>0</v>
      </c>
      <c r="H57" s="200">
        <f>+H47+H50+H53</f>
        <v>0</v>
      </c>
      <c r="I57" s="200">
        <f>+I47+I50+I53</f>
        <v>0</v>
      </c>
      <c r="J57" s="200">
        <f>+J47+J50+J53</f>
        <v>0</v>
      </c>
      <c r="K57" s="200">
        <f>+K47+K50+K53</f>
        <v>0</v>
      </c>
    </row>
    <row r="58" spans="1:11" s="224" customFormat="1" ht="15.95" customHeight="1" x14ac:dyDescent="0.25">
      <c r="A58" s="19" t="s">
        <v>35</v>
      </c>
      <c r="B58" s="425" t="s">
        <v>87</v>
      </c>
      <c r="C58" s="425"/>
      <c r="D58" s="200"/>
      <c r="E58" s="27"/>
      <c r="F58" s="206"/>
      <c r="G58" s="207"/>
      <c r="H58" s="200"/>
      <c r="I58" s="27"/>
      <c r="J58" s="206"/>
      <c r="K58" s="207"/>
    </row>
    <row r="59" spans="1:11" s="224" customFormat="1" ht="15.95" customHeight="1" x14ac:dyDescent="0.25">
      <c r="A59" s="19" t="s">
        <v>36</v>
      </c>
      <c r="B59" s="425" t="s">
        <v>88</v>
      </c>
      <c r="C59" s="425"/>
      <c r="D59" s="200"/>
      <c r="E59" s="27"/>
      <c r="F59" s="206"/>
      <c r="G59" s="207"/>
      <c r="H59" s="200"/>
      <c r="I59" s="27"/>
      <c r="J59" s="206"/>
      <c r="K59" s="207"/>
    </row>
    <row r="60" spans="1:11" s="226" customFormat="1" ht="15.95" customHeight="1" x14ac:dyDescent="0.3">
      <c r="A60" s="29" t="s">
        <v>89</v>
      </c>
      <c r="B60" s="418" t="s">
        <v>90</v>
      </c>
      <c r="C60" s="418"/>
      <c r="D60" s="202">
        <f>+D46+D57+D58+D59</f>
        <v>0</v>
      </c>
      <c r="E60" s="202">
        <f>+E46+E57+E58+E59</f>
        <v>0</v>
      </c>
      <c r="F60" s="202">
        <f>+F46+F57+F58+F59</f>
        <v>0</v>
      </c>
      <c r="G60" s="202">
        <f>+G46+G57+G58+G59</f>
        <v>0</v>
      </c>
      <c r="H60" s="202">
        <f>+H46+H57+H58+H59</f>
        <v>1105</v>
      </c>
      <c r="I60" s="202">
        <f>+I46+I57+I58+I59</f>
        <v>1105</v>
      </c>
      <c r="J60" s="202">
        <f>+J46+J57+J58+J59</f>
        <v>0</v>
      </c>
      <c r="K60" s="202">
        <f>+K46+K57+K58+K59</f>
        <v>0</v>
      </c>
    </row>
    <row r="61" spans="1:11" s="226" customFormat="1" ht="15.95" customHeight="1" x14ac:dyDescent="0.3">
      <c r="A61" s="29"/>
      <c r="B61" s="418" t="s">
        <v>91</v>
      </c>
      <c r="C61" s="418"/>
      <c r="D61" s="202">
        <f>+D29-D60</f>
        <v>45462</v>
      </c>
      <c r="E61" s="202">
        <f>+E29-E60</f>
        <v>45462</v>
      </c>
      <c r="F61" s="202">
        <f>+F29-F60</f>
        <v>0</v>
      </c>
      <c r="G61" s="202">
        <f>+G29-G60</f>
        <v>0</v>
      </c>
      <c r="H61" s="202">
        <f>+H29-H60</f>
        <v>46078</v>
      </c>
      <c r="I61" s="202">
        <f>+I29-I60</f>
        <v>46078</v>
      </c>
      <c r="J61" s="202">
        <f>+J29-J60</f>
        <v>0</v>
      </c>
      <c r="K61" s="202">
        <f>+K29-K60</f>
        <v>0</v>
      </c>
    </row>
    <row r="62" spans="1:11" s="226" customFormat="1" ht="15.95" customHeight="1" x14ac:dyDescent="0.3">
      <c r="A62" s="29"/>
      <c r="B62" s="425" t="s">
        <v>92</v>
      </c>
      <c r="C62" s="425"/>
      <c r="D62" s="202">
        <v>45193</v>
      </c>
      <c r="E62" s="202">
        <v>45193</v>
      </c>
      <c r="F62" s="203"/>
      <c r="G62" s="202"/>
      <c r="H62" s="202">
        <v>45193</v>
      </c>
      <c r="I62" s="202">
        <v>45193</v>
      </c>
      <c r="J62" s="203"/>
      <c r="K62" s="202"/>
    </row>
    <row r="63" spans="1:11" ht="15.95" customHeight="1" x14ac:dyDescent="0.25">
      <c r="A63" s="19" t="s">
        <v>37</v>
      </c>
      <c r="B63" s="425" t="s">
        <v>93</v>
      </c>
      <c r="C63" s="425"/>
      <c r="D63" s="196">
        <f>D64+D65</f>
        <v>269</v>
      </c>
      <c r="E63" s="196">
        <f>E64+E65</f>
        <v>269</v>
      </c>
      <c r="F63" s="11"/>
      <c r="G63" s="12"/>
      <c r="H63" s="196">
        <f>H64+H65</f>
        <v>269</v>
      </c>
      <c r="I63" s="196">
        <f>I64+I65</f>
        <v>269</v>
      </c>
      <c r="J63" s="11"/>
      <c r="K63" s="12"/>
    </row>
    <row r="64" spans="1:11" s="226" customFormat="1" ht="15.95" customHeight="1" x14ac:dyDescent="0.3">
      <c r="A64" s="29"/>
      <c r="B64" s="61" t="s">
        <v>41</v>
      </c>
      <c r="C64" s="336" t="s">
        <v>94</v>
      </c>
      <c r="D64" s="196">
        <v>269</v>
      </c>
      <c r="E64" s="25">
        <v>269</v>
      </c>
      <c r="F64" s="68"/>
      <c r="G64" s="65"/>
      <c r="H64" s="196">
        <v>269</v>
      </c>
      <c r="I64" s="25">
        <v>269</v>
      </c>
      <c r="J64" s="68"/>
      <c r="K64" s="65"/>
    </row>
    <row r="65" spans="1:11" s="226" customFormat="1" ht="15.95" customHeight="1" x14ac:dyDescent="0.3">
      <c r="A65" s="29"/>
      <c r="B65" s="61" t="s">
        <v>43</v>
      </c>
      <c r="C65" s="336" t="s">
        <v>95</v>
      </c>
      <c r="D65" s="208"/>
      <c r="E65" s="63"/>
      <c r="F65" s="11"/>
      <c r="G65" s="65"/>
      <c r="H65" s="208"/>
      <c r="I65" s="63"/>
      <c r="J65" s="11"/>
      <c r="K65" s="65"/>
    </row>
    <row r="66" spans="1:11" s="226" customFormat="1" ht="39.75" customHeight="1" x14ac:dyDescent="0.3">
      <c r="A66" s="29" t="s">
        <v>96</v>
      </c>
      <c r="B66" s="423" t="s">
        <v>97</v>
      </c>
      <c r="C66" s="423"/>
      <c r="D66" s="202">
        <f>D63</f>
        <v>269</v>
      </c>
      <c r="E66" s="202">
        <f>E63</f>
        <v>269</v>
      </c>
      <c r="F66" s="202">
        <f>+F63</f>
        <v>0</v>
      </c>
      <c r="G66" s="65"/>
      <c r="H66" s="202">
        <f>H63</f>
        <v>269</v>
      </c>
      <c r="I66" s="202">
        <f>I63</f>
        <v>269</v>
      </c>
      <c r="J66" s="202">
        <f>+J63</f>
        <v>0</v>
      </c>
      <c r="K66" s="65"/>
    </row>
    <row r="67" spans="1:11" s="226" customFormat="1" ht="15.95" customHeight="1" x14ac:dyDescent="0.3">
      <c r="A67" s="3" t="s">
        <v>98</v>
      </c>
      <c r="B67" s="421" t="s">
        <v>99</v>
      </c>
      <c r="C67" s="421"/>
      <c r="D67" s="202"/>
      <c r="E67" s="63"/>
      <c r="F67" s="64">
        <f t="shared" ref="F67:F80" si="7">SUM(D67:E67)</f>
        <v>0</v>
      </c>
      <c r="G67" s="65"/>
      <c r="H67" s="202"/>
      <c r="I67" s="63"/>
      <c r="J67" s="64">
        <f t="shared" ref="J67:J80" si="8">SUM(H67:I67)</f>
        <v>0</v>
      </c>
      <c r="K67" s="65"/>
    </row>
    <row r="68" spans="1:11" s="226" customFormat="1" ht="15.95" customHeight="1" x14ac:dyDescent="0.3">
      <c r="A68" s="3" t="s">
        <v>100</v>
      </c>
      <c r="B68" s="421" t="s">
        <v>101</v>
      </c>
      <c r="C68" s="421"/>
      <c r="D68" s="202">
        <f>SUM(D69:D72)</f>
        <v>0</v>
      </c>
      <c r="E68" s="63"/>
      <c r="F68" s="64">
        <f t="shared" si="7"/>
        <v>0</v>
      </c>
      <c r="G68" s="65"/>
      <c r="H68" s="202">
        <f>SUM(H69:H72)</f>
        <v>0</v>
      </c>
      <c r="I68" s="63"/>
      <c r="J68" s="64">
        <f t="shared" si="8"/>
        <v>0</v>
      </c>
      <c r="K68" s="65"/>
    </row>
    <row r="69" spans="1:11" s="226" customFormat="1" ht="15.95" customHeight="1" x14ac:dyDescent="0.3">
      <c r="A69" s="3"/>
      <c r="B69" s="48" t="s">
        <v>41</v>
      </c>
      <c r="C69" s="336" t="s">
        <v>203</v>
      </c>
      <c r="D69" s="208"/>
      <c r="E69" s="67"/>
      <c r="F69" s="68">
        <f t="shared" si="7"/>
        <v>0</v>
      </c>
      <c r="G69" s="65"/>
      <c r="H69" s="208"/>
      <c r="I69" s="67"/>
      <c r="J69" s="68">
        <f t="shared" si="8"/>
        <v>0</v>
      </c>
      <c r="K69" s="65"/>
    </row>
    <row r="70" spans="1:11" s="226" customFormat="1" ht="15.95" customHeight="1" x14ac:dyDescent="0.3">
      <c r="A70" s="3"/>
      <c r="B70" s="48" t="s">
        <v>43</v>
      </c>
      <c r="C70" s="336" t="s">
        <v>103</v>
      </c>
      <c r="D70" s="202"/>
      <c r="E70" s="63"/>
      <c r="F70" s="64">
        <f t="shared" si="7"/>
        <v>0</v>
      </c>
      <c r="G70" s="65"/>
      <c r="H70" s="202"/>
      <c r="I70" s="63"/>
      <c r="J70" s="64">
        <f t="shared" si="8"/>
        <v>0</v>
      </c>
      <c r="K70" s="65"/>
    </row>
    <row r="71" spans="1:11" s="226" customFormat="1" ht="15.95" customHeight="1" x14ac:dyDescent="0.3">
      <c r="A71" s="3"/>
      <c r="B71" s="48" t="s">
        <v>51</v>
      </c>
      <c r="C71" s="336" t="s">
        <v>104</v>
      </c>
      <c r="D71" s="208"/>
      <c r="E71" s="63"/>
      <c r="F71" s="64"/>
      <c r="G71" s="65"/>
      <c r="H71" s="208"/>
      <c r="I71" s="63"/>
      <c r="J71" s="64"/>
      <c r="K71" s="65"/>
    </row>
    <row r="72" spans="1:11" s="226" customFormat="1" ht="15.95" customHeight="1" x14ac:dyDescent="0.3">
      <c r="A72" s="3"/>
      <c r="B72" s="48" t="s">
        <v>14</v>
      </c>
      <c r="C72" s="336" t="s">
        <v>105</v>
      </c>
      <c r="D72" s="208"/>
      <c r="E72" s="63"/>
      <c r="F72" s="64"/>
      <c r="G72" s="65"/>
      <c r="H72" s="208"/>
      <c r="I72" s="63"/>
      <c r="J72" s="64"/>
      <c r="K72" s="65"/>
    </row>
    <row r="73" spans="1:11" s="226" customFormat="1" ht="33" customHeight="1" x14ac:dyDescent="0.3">
      <c r="A73" s="29" t="s">
        <v>106</v>
      </c>
      <c r="B73" s="422" t="s">
        <v>107</v>
      </c>
      <c r="C73" s="422"/>
      <c r="D73" s="202">
        <f>+D67+D68</f>
        <v>0</v>
      </c>
      <c r="E73" s="63"/>
      <c r="F73" s="64">
        <f t="shared" si="7"/>
        <v>0</v>
      </c>
      <c r="G73" s="65"/>
      <c r="H73" s="202">
        <f>+H67+H68</f>
        <v>0</v>
      </c>
      <c r="I73" s="63"/>
      <c r="J73" s="64">
        <f t="shared" ref="J73:J82" si="9">SUM(H73:I73)</f>
        <v>0</v>
      </c>
      <c r="K73" s="65"/>
    </row>
    <row r="74" spans="1:11" s="226" customFormat="1" ht="15.95" customHeight="1" x14ac:dyDescent="0.3">
      <c r="A74" s="29" t="s">
        <v>108</v>
      </c>
      <c r="B74" s="418" t="s">
        <v>109</v>
      </c>
      <c r="C74" s="418"/>
      <c r="D74" s="202">
        <f>+D66+D73</f>
        <v>269</v>
      </c>
      <c r="E74" s="63">
        <f>+E66+E73</f>
        <v>269</v>
      </c>
      <c r="F74" s="63">
        <f>+F66+F73</f>
        <v>0</v>
      </c>
      <c r="G74" s="65"/>
      <c r="H74" s="202">
        <f>+H66+H73</f>
        <v>269</v>
      </c>
      <c r="I74" s="63">
        <f>+I66+I73</f>
        <v>269</v>
      </c>
      <c r="J74" s="63">
        <f>+J66+J73</f>
        <v>0</v>
      </c>
      <c r="K74" s="65"/>
    </row>
    <row r="75" spans="1:11" s="226" customFormat="1" ht="15.95" customHeight="1" x14ac:dyDescent="0.3">
      <c r="A75" s="3" t="s">
        <v>110</v>
      </c>
      <c r="B75" s="421" t="s">
        <v>204</v>
      </c>
      <c r="C75" s="421"/>
      <c r="D75" s="202"/>
      <c r="E75" s="63"/>
      <c r="F75" s="64">
        <f t="shared" si="7"/>
        <v>0</v>
      </c>
      <c r="G75" s="65"/>
      <c r="H75" s="202"/>
      <c r="I75" s="63"/>
      <c r="J75" s="64">
        <f t="shared" ref="J75:J82" si="10">SUM(H75:I75)</f>
        <v>0</v>
      </c>
      <c r="K75" s="65"/>
    </row>
    <row r="76" spans="1:11" s="226" customFormat="1" ht="15.95" customHeight="1" x14ac:dyDescent="0.3">
      <c r="A76" s="3" t="s">
        <v>112</v>
      </c>
      <c r="B76" s="421" t="s">
        <v>113</v>
      </c>
      <c r="C76" s="421"/>
      <c r="D76" s="208">
        <f>SUM(D77:D79)</f>
        <v>0</v>
      </c>
      <c r="E76" s="67">
        <v>0</v>
      </c>
      <c r="F76" s="68">
        <f t="shared" si="7"/>
        <v>0</v>
      </c>
      <c r="G76" s="65"/>
      <c r="H76" s="208">
        <f>SUM(H77:H79)</f>
        <v>0</v>
      </c>
      <c r="I76" s="67">
        <v>0</v>
      </c>
      <c r="J76" s="68">
        <f t="shared" si="10"/>
        <v>0</v>
      </c>
      <c r="K76" s="65"/>
    </row>
    <row r="77" spans="1:11" s="226" customFormat="1" ht="15.95" customHeight="1" x14ac:dyDescent="0.3">
      <c r="A77" s="3"/>
      <c r="B77" s="48" t="s">
        <v>41</v>
      </c>
      <c r="C77" s="336" t="s">
        <v>205</v>
      </c>
      <c r="D77" s="208"/>
      <c r="E77" s="67"/>
      <c r="F77" s="68">
        <f t="shared" si="7"/>
        <v>0</v>
      </c>
      <c r="G77" s="65"/>
      <c r="H77" s="208"/>
      <c r="I77" s="67"/>
      <c r="J77" s="68">
        <f t="shared" si="10"/>
        <v>0</v>
      </c>
      <c r="K77" s="65"/>
    </row>
    <row r="78" spans="1:11" s="226" customFormat="1" ht="15.95" customHeight="1" x14ac:dyDescent="0.3">
      <c r="A78" s="3"/>
      <c r="B78" s="48" t="s">
        <v>43</v>
      </c>
      <c r="C78" s="336" t="s">
        <v>206</v>
      </c>
      <c r="D78" s="208"/>
      <c r="E78" s="67"/>
      <c r="F78" s="68">
        <f t="shared" si="7"/>
        <v>0</v>
      </c>
      <c r="G78" s="65"/>
      <c r="H78" s="208"/>
      <c r="I78" s="67"/>
      <c r="J78" s="68">
        <f t="shared" si="10"/>
        <v>0</v>
      </c>
      <c r="K78" s="65"/>
    </row>
    <row r="79" spans="1:11" s="226" customFormat="1" ht="15.95" customHeight="1" x14ac:dyDescent="0.3">
      <c r="A79" s="3"/>
      <c r="B79" s="48" t="s">
        <v>51</v>
      </c>
      <c r="C79" s="336" t="s">
        <v>116</v>
      </c>
      <c r="D79" s="208"/>
      <c r="E79" s="67"/>
      <c r="F79" s="68">
        <f t="shared" si="7"/>
        <v>0</v>
      </c>
      <c r="G79" s="65"/>
      <c r="H79" s="208"/>
      <c r="I79" s="67"/>
      <c r="J79" s="68">
        <f t="shared" si="10"/>
        <v>0</v>
      </c>
      <c r="K79" s="65"/>
    </row>
    <row r="80" spans="1:11" s="226" customFormat="1" ht="15.95" customHeight="1" x14ac:dyDescent="0.3">
      <c r="A80" s="29" t="s">
        <v>118</v>
      </c>
      <c r="B80" s="418" t="s">
        <v>207</v>
      </c>
      <c r="C80" s="418"/>
      <c r="D80" s="202">
        <f>+D75+D76</f>
        <v>0</v>
      </c>
      <c r="E80" s="63">
        <f>+E75+E76</f>
        <v>0</v>
      </c>
      <c r="F80" s="64">
        <f t="shared" si="7"/>
        <v>0</v>
      </c>
      <c r="G80" s="65"/>
      <c r="H80" s="202">
        <f>+H75+H76</f>
        <v>0</v>
      </c>
      <c r="I80" s="63">
        <f>+I75+I76</f>
        <v>0</v>
      </c>
      <c r="J80" s="64">
        <f t="shared" si="10"/>
        <v>0</v>
      </c>
      <c r="K80" s="65"/>
    </row>
    <row r="81" spans="1:11" s="226" customFormat="1" ht="15.95" customHeight="1" x14ac:dyDescent="0.3">
      <c r="A81" s="29" t="s">
        <v>120</v>
      </c>
      <c r="B81" s="418" t="s">
        <v>121</v>
      </c>
      <c r="C81" s="418"/>
      <c r="D81" s="209">
        <f>+D29+D80</f>
        <v>45462</v>
      </c>
      <c r="E81" s="209">
        <f>+E29+E80</f>
        <v>45462</v>
      </c>
      <c r="F81" s="209">
        <f>+F29+F80</f>
        <v>0</v>
      </c>
      <c r="G81" s="209">
        <f>+G29+G80</f>
        <v>0</v>
      </c>
      <c r="H81" s="209">
        <f>+H29+H80</f>
        <v>47183</v>
      </c>
      <c r="I81" s="209">
        <f>+I29+I80</f>
        <v>47183</v>
      </c>
      <c r="J81" s="209">
        <f>+J29+J80</f>
        <v>0</v>
      </c>
      <c r="K81" s="209">
        <f>+K29+K80</f>
        <v>0</v>
      </c>
    </row>
    <row r="82" spans="1:11" s="226" customFormat="1" ht="15.95" customHeight="1" thickBot="1" x14ac:dyDescent="0.35">
      <c r="A82" s="210" t="s">
        <v>122</v>
      </c>
      <c r="B82" s="211" t="s">
        <v>123</v>
      </c>
      <c r="C82" s="211"/>
      <c r="D82" s="209">
        <f>+D30+D81</f>
        <v>45462</v>
      </c>
      <c r="E82" s="209">
        <f>+E30+E81</f>
        <v>45462</v>
      </c>
      <c r="F82" s="212">
        <f>+F60+F74</f>
        <v>0</v>
      </c>
      <c r="G82" s="212">
        <f>+G60+G74</f>
        <v>0</v>
      </c>
      <c r="H82" s="209">
        <f>+H30+H81</f>
        <v>47183</v>
      </c>
      <c r="I82" s="209">
        <f>+I30+I81</f>
        <v>47183</v>
      </c>
      <c r="J82" s="212">
        <f>+J60+J74</f>
        <v>0</v>
      </c>
      <c r="K82" s="212">
        <f>+K60+K74</f>
        <v>0</v>
      </c>
    </row>
    <row r="83" spans="1:11" ht="20.100000000000001" customHeight="1" x14ac:dyDescent="0.25">
      <c r="B83" s="77"/>
      <c r="C83" s="77"/>
      <c r="D83" s="78"/>
      <c r="E83" s="78"/>
      <c r="F83" s="78"/>
    </row>
    <row r="84" spans="1:11" ht="20.100000000000001" customHeight="1" x14ac:dyDescent="0.25">
      <c r="B84" s="77"/>
      <c r="C84" s="77"/>
      <c r="D84" s="79">
        <f>+D82-D81</f>
        <v>0</v>
      </c>
      <c r="E84" s="79">
        <f>+E82-E81</f>
        <v>0</v>
      </c>
      <c r="F84" s="79">
        <f>+F81-F82</f>
        <v>0</v>
      </c>
      <c r="G84" s="79">
        <f>+G82-G81</f>
        <v>0</v>
      </c>
      <c r="H84" s="339">
        <f>SUM(E84:G84)</f>
        <v>0</v>
      </c>
    </row>
    <row r="85" spans="1:11" ht="20.100000000000001" customHeight="1" x14ac:dyDescent="0.25">
      <c r="B85" s="77"/>
      <c r="C85" s="77"/>
      <c r="D85" s="78"/>
      <c r="E85" s="78"/>
      <c r="F85" s="78"/>
    </row>
    <row r="86" spans="1:11" ht="20.100000000000001" customHeight="1" x14ac:dyDescent="0.25">
      <c r="B86" s="77"/>
      <c r="C86" s="77"/>
      <c r="D86" s="78"/>
      <c r="E86" s="78"/>
      <c r="F86" s="78"/>
    </row>
    <row r="87" spans="1:11" ht="20.100000000000001" customHeight="1" x14ac:dyDescent="0.25">
      <c r="B87" s="77"/>
      <c r="C87" s="77"/>
      <c r="D87" s="78"/>
      <c r="E87" s="78"/>
      <c r="F87" s="78"/>
    </row>
    <row r="88" spans="1:11" ht="20.100000000000001" customHeight="1" x14ac:dyDescent="0.25">
      <c r="B88" s="77"/>
      <c r="C88" s="77"/>
      <c r="D88" s="78"/>
      <c r="E88" s="78"/>
      <c r="F88" s="78"/>
    </row>
    <row r="89" spans="1:11" ht="20.100000000000001" customHeight="1" x14ac:dyDescent="0.25">
      <c r="B89" s="77"/>
      <c r="C89" s="77"/>
      <c r="D89" s="78"/>
      <c r="E89" s="78"/>
      <c r="F89" s="78"/>
    </row>
    <row r="90" spans="1:11" ht="20.100000000000001" customHeight="1" x14ac:dyDescent="0.25">
      <c r="B90" s="77"/>
      <c r="C90" s="77"/>
      <c r="D90" s="78"/>
      <c r="E90" s="78"/>
      <c r="F90" s="78"/>
    </row>
    <row r="91" spans="1:11" ht="20.100000000000001" customHeight="1" x14ac:dyDescent="0.25">
      <c r="B91" s="77"/>
      <c r="C91" s="77"/>
      <c r="D91" s="78"/>
      <c r="E91" s="78"/>
      <c r="F91" s="78"/>
    </row>
    <row r="92" spans="1:11" ht="20.100000000000001" customHeight="1" x14ac:dyDescent="0.25">
      <c r="B92" s="77"/>
      <c r="C92" s="77"/>
      <c r="D92" s="78"/>
      <c r="E92" s="78"/>
      <c r="F92" s="78"/>
    </row>
    <row r="93" spans="1:11" ht="20.100000000000001" customHeight="1" x14ac:dyDescent="0.25">
      <c r="B93" s="77"/>
      <c r="C93" s="77"/>
      <c r="D93" s="78"/>
      <c r="E93" s="78"/>
      <c r="F93" s="78"/>
    </row>
    <row r="94" spans="1:11" ht="20.100000000000001" customHeight="1" x14ac:dyDescent="0.25">
      <c r="B94" s="77"/>
      <c r="C94" s="77"/>
      <c r="D94" s="78"/>
      <c r="E94" s="78"/>
      <c r="F94" s="78"/>
    </row>
    <row r="95" spans="1:11" ht="20.100000000000001" customHeight="1" x14ac:dyDescent="0.25">
      <c r="B95" s="77"/>
      <c r="C95" s="77"/>
      <c r="D95" s="78"/>
      <c r="E95" s="78"/>
      <c r="F95" s="78"/>
    </row>
    <row r="96" spans="1:11" ht="20.100000000000001" customHeight="1" x14ac:dyDescent="0.25">
      <c r="B96" s="77"/>
      <c r="C96" s="77"/>
      <c r="D96" s="78"/>
      <c r="E96" s="78"/>
      <c r="F96" s="78"/>
    </row>
    <row r="97" spans="2:6" x14ac:dyDescent="0.25">
      <c r="B97" s="77"/>
      <c r="C97" s="77"/>
      <c r="D97" s="78"/>
      <c r="E97" s="78"/>
      <c r="F97" s="78"/>
    </row>
    <row r="98" spans="2:6" x14ac:dyDescent="0.25">
      <c r="B98" s="77"/>
      <c r="C98" s="77"/>
      <c r="D98" s="78"/>
      <c r="E98" s="78"/>
      <c r="F98" s="78"/>
    </row>
    <row r="99" spans="2:6" x14ac:dyDescent="0.25">
      <c r="B99" s="77"/>
      <c r="C99" s="77"/>
      <c r="D99" s="78"/>
      <c r="E99" s="78"/>
      <c r="F99" s="78"/>
    </row>
    <row r="100" spans="2:6" x14ac:dyDescent="0.25">
      <c r="B100" s="77"/>
      <c r="C100" s="77"/>
      <c r="D100" s="78"/>
      <c r="E100" s="78"/>
      <c r="F100" s="78"/>
    </row>
    <row r="101" spans="2:6" x14ac:dyDescent="0.25">
      <c r="B101" s="77"/>
      <c r="C101" s="77"/>
      <c r="D101" s="78"/>
      <c r="E101" s="78"/>
      <c r="F101" s="78"/>
    </row>
    <row r="102" spans="2:6" x14ac:dyDescent="0.25">
      <c r="B102" s="77"/>
      <c r="C102" s="77"/>
      <c r="D102" s="78"/>
      <c r="E102" s="78"/>
      <c r="F102" s="78"/>
    </row>
    <row r="103" spans="2:6" x14ac:dyDescent="0.25">
      <c r="B103" s="77"/>
      <c r="C103" s="77"/>
      <c r="D103" s="78"/>
      <c r="E103" s="78"/>
      <c r="F103" s="78"/>
    </row>
    <row r="104" spans="2:6" x14ac:dyDescent="0.25">
      <c r="B104" s="77"/>
      <c r="C104" s="77"/>
      <c r="D104" s="78"/>
      <c r="E104" s="78"/>
      <c r="F104" s="78"/>
    </row>
  </sheetData>
  <mergeCells count="63">
    <mergeCell ref="J6:J7"/>
    <mergeCell ref="K6:K7"/>
    <mergeCell ref="H8:J8"/>
    <mergeCell ref="A6:A8"/>
    <mergeCell ref="B6:C8"/>
    <mergeCell ref="D6:D7"/>
    <mergeCell ref="E6:E7"/>
    <mergeCell ref="F6:F7"/>
    <mergeCell ref="A1:F1"/>
    <mergeCell ref="A2:F2"/>
    <mergeCell ref="A3:F3"/>
    <mergeCell ref="A4:F4"/>
    <mergeCell ref="A5:F5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0:C50"/>
    <mergeCell ref="B53:C53"/>
    <mergeCell ref="B57:C57"/>
    <mergeCell ref="B58:C58"/>
    <mergeCell ref="B59:C59"/>
    <mergeCell ref="B33:C33"/>
    <mergeCell ref="B37:C37"/>
    <mergeCell ref="B41:C41"/>
    <mergeCell ref="B46:C46"/>
    <mergeCell ref="B47:C47"/>
    <mergeCell ref="H6:H7"/>
    <mergeCell ref="I6:I7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B60:C60"/>
    <mergeCell ref="B32:C3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9"/>
  <sheetViews>
    <sheetView topLeftCell="A10" workbookViewId="0">
      <selection activeCell="M44" sqref="M44"/>
    </sheetView>
  </sheetViews>
  <sheetFormatPr defaultRowHeight="15" x14ac:dyDescent="0.25"/>
  <cols>
    <col min="5" max="5" width="19.28515625" customWidth="1"/>
    <col min="6" max="6" width="14.42578125" style="213" customWidth="1"/>
    <col min="7" max="7" width="10.42578125" style="213" bestFit="1" customWidth="1"/>
    <col min="8" max="8" width="14" customWidth="1"/>
    <col min="9" max="9" width="14" bestFit="1" customWidth="1"/>
    <col min="10" max="10" width="10.42578125" bestFit="1" customWidth="1"/>
    <col min="11" max="11" width="16.140625" bestFit="1" customWidth="1"/>
    <col min="257" max="257" width="13" customWidth="1"/>
    <col min="258" max="258" width="14.42578125" customWidth="1"/>
    <col min="259" max="259" width="10.42578125" bestFit="1" customWidth="1"/>
    <col min="260" max="260" width="15.85546875" bestFit="1" customWidth="1"/>
    <col min="261" max="261" width="13.7109375" bestFit="1" customWidth="1"/>
    <col min="513" max="513" width="13" customWidth="1"/>
    <col min="514" max="514" width="14.42578125" customWidth="1"/>
    <col min="515" max="515" width="10.42578125" bestFit="1" customWidth="1"/>
    <col min="516" max="516" width="15.85546875" bestFit="1" customWidth="1"/>
    <col min="517" max="517" width="13.7109375" bestFit="1" customWidth="1"/>
    <col min="769" max="769" width="13" customWidth="1"/>
    <col min="770" max="770" width="14.42578125" customWidth="1"/>
    <col min="771" max="771" width="10.42578125" bestFit="1" customWidth="1"/>
    <col min="772" max="772" width="15.85546875" bestFit="1" customWidth="1"/>
    <col min="773" max="773" width="13.7109375" bestFit="1" customWidth="1"/>
    <col min="1025" max="1025" width="13" customWidth="1"/>
    <col min="1026" max="1026" width="14.42578125" customWidth="1"/>
    <col min="1027" max="1027" width="10.42578125" bestFit="1" customWidth="1"/>
    <col min="1028" max="1028" width="15.85546875" bestFit="1" customWidth="1"/>
    <col min="1029" max="1029" width="13.7109375" bestFit="1" customWidth="1"/>
    <col min="1281" max="1281" width="13" customWidth="1"/>
    <col min="1282" max="1282" width="14.42578125" customWidth="1"/>
    <col min="1283" max="1283" width="10.42578125" bestFit="1" customWidth="1"/>
    <col min="1284" max="1284" width="15.85546875" bestFit="1" customWidth="1"/>
    <col min="1285" max="1285" width="13.7109375" bestFit="1" customWidth="1"/>
    <col min="1537" max="1537" width="13" customWidth="1"/>
    <col min="1538" max="1538" width="14.42578125" customWidth="1"/>
    <col min="1539" max="1539" width="10.42578125" bestFit="1" customWidth="1"/>
    <col min="1540" max="1540" width="15.85546875" bestFit="1" customWidth="1"/>
    <col min="1541" max="1541" width="13.7109375" bestFit="1" customWidth="1"/>
    <col min="1793" max="1793" width="13" customWidth="1"/>
    <col min="1794" max="1794" width="14.42578125" customWidth="1"/>
    <col min="1795" max="1795" width="10.42578125" bestFit="1" customWidth="1"/>
    <col min="1796" max="1796" width="15.85546875" bestFit="1" customWidth="1"/>
    <col min="1797" max="1797" width="13.7109375" bestFit="1" customWidth="1"/>
    <col min="2049" max="2049" width="13" customWidth="1"/>
    <col min="2050" max="2050" width="14.42578125" customWidth="1"/>
    <col min="2051" max="2051" width="10.42578125" bestFit="1" customWidth="1"/>
    <col min="2052" max="2052" width="15.85546875" bestFit="1" customWidth="1"/>
    <col min="2053" max="2053" width="13.7109375" bestFit="1" customWidth="1"/>
    <col min="2305" max="2305" width="13" customWidth="1"/>
    <col min="2306" max="2306" width="14.42578125" customWidth="1"/>
    <col min="2307" max="2307" width="10.42578125" bestFit="1" customWidth="1"/>
    <col min="2308" max="2308" width="15.85546875" bestFit="1" customWidth="1"/>
    <col min="2309" max="2309" width="13.7109375" bestFit="1" customWidth="1"/>
    <col min="2561" max="2561" width="13" customWidth="1"/>
    <col min="2562" max="2562" width="14.42578125" customWidth="1"/>
    <col min="2563" max="2563" width="10.42578125" bestFit="1" customWidth="1"/>
    <col min="2564" max="2564" width="15.85546875" bestFit="1" customWidth="1"/>
    <col min="2565" max="2565" width="13.7109375" bestFit="1" customWidth="1"/>
    <col min="2817" max="2817" width="13" customWidth="1"/>
    <col min="2818" max="2818" width="14.42578125" customWidth="1"/>
    <col min="2819" max="2819" width="10.42578125" bestFit="1" customWidth="1"/>
    <col min="2820" max="2820" width="15.85546875" bestFit="1" customWidth="1"/>
    <col min="2821" max="2821" width="13.7109375" bestFit="1" customWidth="1"/>
    <col min="3073" max="3073" width="13" customWidth="1"/>
    <col min="3074" max="3074" width="14.42578125" customWidth="1"/>
    <col min="3075" max="3075" width="10.42578125" bestFit="1" customWidth="1"/>
    <col min="3076" max="3076" width="15.85546875" bestFit="1" customWidth="1"/>
    <col min="3077" max="3077" width="13.7109375" bestFit="1" customWidth="1"/>
    <col min="3329" max="3329" width="13" customWidth="1"/>
    <col min="3330" max="3330" width="14.42578125" customWidth="1"/>
    <col min="3331" max="3331" width="10.42578125" bestFit="1" customWidth="1"/>
    <col min="3332" max="3332" width="15.85546875" bestFit="1" customWidth="1"/>
    <col min="3333" max="3333" width="13.7109375" bestFit="1" customWidth="1"/>
    <col min="3585" max="3585" width="13" customWidth="1"/>
    <col min="3586" max="3586" width="14.42578125" customWidth="1"/>
    <col min="3587" max="3587" width="10.42578125" bestFit="1" customWidth="1"/>
    <col min="3588" max="3588" width="15.85546875" bestFit="1" customWidth="1"/>
    <col min="3589" max="3589" width="13.7109375" bestFit="1" customWidth="1"/>
    <col min="3841" max="3841" width="13" customWidth="1"/>
    <col min="3842" max="3842" width="14.42578125" customWidth="1"/>
    <col min="3843" max="3843" width="10.42578125" bestFit="1" customWidth="1"/>
    <col min="3844" max="3844" width="15.85546875" bestFit="1" customWidth="1"/>
    <col min="3845" max="3845" width="13.7109375" bestFit="1" customWidth="1"/>
    <col min="4097" max="4097" width="13" customWidth="1"/>
    <col min="4098" max="4098" width="14.42578125" customWidth="1"/>
    <col min="4099" max="4099" width="10.42578125" bestFit="1" customWidth="1"/>
    <col min="4100" max="4100" width="15.85546875" bestFit="1" customWidth="1"/>
    <col min="4101" max="4101" width="13.7109375" bestFit="1" customWidth="1"/>
    <col min="4353" max="4353" width="13" customWidth="1"/>
    <col min="4354" max="4354" width="14.42578125" customWidth="1"/>
    <col min="4355" max="4355" width="10.42578125" bestFit="1" customWidth="1"/>
    <col min="4356" max="4356" width="15.85546875" bestFit="1" customWidth="1"/>
    <col min="4357" max="4357" width="13.7109375" bestFit="1" customWidth="1"/>
    <col min="4609" max="4609" width="13" customWidth="1"/>
    <col min="4610" max="4610" width="14.42578125" customWidth="1"/>
    <col min="4611" max="4611" width="10.42578125" bestFit="1" customWidth="1"/>
    <col min="4612" max="4612" width="15.85546875" bestFit="1" customWidth="1"/>
    <col min="4613" max="4613" width="13.7109375" bestFit="1" customWidth="1"/>
    <col min="4865" max="4865" width="13" customWidth="1"/>
    <col min="4866" max="4866" width="14.42578125" customWidth="1"/>
    <col min="4867" max="4867" width="10.42578125" bestFit="1" customWidth="1"/>
    <col min="4868" max="4868" width="15.85546875" bestFit="1" customWidth="1"/>
    <col min="4869" max="4869" width="13.7109375" bestFit="1" customWidth="1"/>
    <col min="5121" max="5121" width="13" customWidth="1"/>
    <col min="5122" max="5122" width="14.42578125" customWidth="1"/>
    <col min="5123" max="5123" width="10.42578125" bestFit="1" customWidth="1"/>
    <col min="5124" max="5124" width="15.85546875" bestFit="1" customWidth="1"/>
    <col min="5125" max="5125" width="13.7109375" bestFit="1" customWidth="1"/>
    <col min="5377" max="5377" width="13" customWidth="1"/>
    <col min="5378" max="5378" width="14.42578125" customWidth="1"/>
    <col min="5379" max="5379" width="10.42578125" bestFit="1" customWidth="1"/>
    <col min="5380" max="5380" width="15.85546875" bestFit="1" customWidth="1"/>
    <col min="5381" max="5381" width="13.7109375" bestFit="1" customWidth="1"/>
    <col min="5633" max="5633" width="13" customWidth="1"/>
    <col min="5634" max="5634" width="14.42578125" customWidth="1"/>
    <col min="5635" max="5635" width="10.42578125" bestFit="1" customWidth="1"/>
    <col min="5636" max="5636" width="15.85546875" bestFit="1" customWidth="1"/>
    <col min="5637" max="5637" width="13.7109375" bestFit="1" customWidth="1"/>
    <col min="5889" max="5889" width="13" customWidth="1"/>
    <col min="5890" max="5890" width="14.42578125" customWidth="1"/>
    <col min="5891" max="5891" width="10.42578125" bestFit="1" customWidth="1"/>
    <col min="5892" max="5892" width="15.85546875" bestFit="1" customWidth="1"/>
    <col min="5893" max="5893" width="13.7109375" bestFit="1" customWidth="1"/>
    <col min="6145" max="6145" width="13" customWidth="1"/>
    <col min="6146" max="6146" width="14.42578125" customWidth="1"/>
    <col min="6147" max="6147" width="10.42578125" bestFit="1" customWidth="1"/>
    <col min="6148" max="6148" width="15.85546875" bestFit="1" customWidth="1"/>
    <col min="6149" max="6149" width="13.7109375" bestFit="1" customWidth="1"/>
    <col min="6401" max="6401" width="13" customWidth="1"/>
    <col min="6402" max="6402" width="14.42578125" customWidth="1"/>
    <col min="6403" max="6403" width="10.42578125" bestFit="1" customWidth="1"/>
    <col min="6404" max="6404" width="15.85546875" bestFit="1" customWidth="1"/>
    <col min="6405" max="6405" width="13.7109375" bestFit="1" customWidth="1"/>
    <col min="6657" max="6657" width="13" customWidth="1"/>
    <col min="6658" max="6658" width="14.42578125" customWidth="1"/>
    <col min="6659" max="6659" width="10.42578125" bestFit="1" customWidth="1"/>
    <col min="6660" max="6660" width="15.85546875" bestFit="1" customWidth="1"/>
    <col min="6661" max="6661" width="13.7109375" bestFit="1" customWidth="1"/>
    <col min="6913" max="6913" width="13" customWidth="1"/>
    <col min="6914" max="6914" width="14.42578125" customWidth="1"/>
    <col min="6915" max="6915" width="10.42578125" bestFit="1" customWidth="1"/>
    <col min="6916" max="6916" width="15.85546875" bestFit="1" customWidth="1"/>
    <col min="6917" max="6917" width="13.7109375" bestFit="1" customWidth="1"/>
    <col min="7169" max="7169" width="13" customWidth="1"/>
    <col min="7170" max="7170" width="14.42578125" customWidth="1"/>
    <col min="7171" max="7171" width="10.42578125" bestFit="1" customWidth="1"/>
    <col min="7172" max="7172" width="15.85546875" bestFit="1" customWidth="1"/>
    <col min="7173" max="7173" width="13.7109375" bestFit="1" customWidth="1"/>
    <col min="7425" max="7425" width="13" customWidth="1"/>
    <col min="7426" max="7426" width="14.42578125" customWidth="1"/>
    <col min="7427" max="7427" width="10.42578125" bestFit="1" customWidth="1"/>
    <col min="7428" max="7428" width="15.85546875" bestFit="1" customWidth="1"/>
    <col min="7429" max="7429" width="13.7109375" bestFit="1" customWidth="1"/>
    <col min="7681" max="7681" width="13" customWidth="1"/>
    <col min="7682" max="7682" width="14.42578125" customWidth="1"/>
    <col min="7683" max="7683" width="10.42578125" bestFit="1" customWidth="1"/>
    <col min="7684" max="7684" width="15.85546875" bestFit="1" customWidth="1"/>
    <col min="7685" max="7685" width="13.7109375" bestFit="1" customWidth="1"/>
    <col min="7937" max="7937" width="13" customWidth="1"/>
    <col min="7938" max="7938" width="14.42578125" customWidth="1"/>
    <col min="7939" max="7939" width="10.42578125" bestFit="1" customWidth="1"/>
    <col min="7940" max="7940" width="15.85546875" bestFit="1" customWidth="1"/>
    <col min="7941" max="7941" width="13.7109375" bestFit="1" customWidth="1"/>
    <col min="8193" max="8193" width="13" customWidth="1"/>
    <col min="8194" max="8194" width="14.42578125" customWidth="1"/>
    <col min="8195" max="8195" width="10.42578125" bestFit="1" customWidth="1"/>
    <col min="8196" max="8196" width="15.85546875" bestFit="1" customWidth="1"/>
    <col min="8197" max="8197" width="13.7109375" bestFit="1" customWidth="1"/>
    <col min="8449" max="8449" width="13" customWidth="1"/>
    <col min="8450" max="8450" width="14.42578125" customWidth="1"/>
    <col min="8451" max="8451" width="10.42578125" bestFit="1" customWidth="1"/>
    <col min="8452" max="8452" width="15.85546875" bestFit="1" customWidth="1"/>
    <col min="8453" max="8453" width="13.7109375" bestFit="1" customWidth="1"/>
    <col min="8705" max="8705" width="13" customWidth="1"/>
    <col min="8706" max="8706" width="14.42578125" customWidth="1"/>
    <col min="8707" max="8707" width="10.42578125" bestFit="1" customWidth="1"/>
    <col min="8708" max="8708" width="15.85546875" bestFit="1" customWidth="1"/>
    <col min="8709" max="8709" width="13.7109375" bestFit="1" customWidth="1"/>
    <col min="8961" max="8961" width="13" customWidth="1"/>
    <col min="8962" max="8962" width="14.42578125" customWidth="1"/>
    <col min="8963" max="8963" width="10.42578125" bestFit="1" customWidth="1"/>
    <col min="8964" max="8964" width="15.85546875" bestFit="1" customWidth="1"/>
    <col min="8965" max="8965" width="13.7109375" bestFit="1" customWidth="1"/>
    <col min="9217" max="9217" width="13" customWidth="1"/>
    <col min="9218" max="9218" width="14.42578125" customWidth="1"/>
    <col min="9219" max="9219" width="10.42578125" bestFit="1" customWidth="1"/>
    <col min="9220" max="9220" width="15.85546875" bestFit="1" customWidth="1"/>
    <col min="9221" max="9221" width="13.7109375" bestFit="1" customWidth="1"/>
    <col min="9473" max="9473" width="13" customWidth="1"/>
    <col min="9474" max="9474" width="14.42578125" customWidth="1"/>
    <col min="9475" max="9475" width="10.42578125" bestFit="1" customWidth="1"/>
    <col min="9476" max="9476" width="15.85546875" bestFit="1" customWidth="1"/>
    <col min="9477" max="9477" width="13.7109375" bestFit="1" customWidth="1"/>
    <col min="9729" max="9729" width="13" customWidth="1"/>
    <col min="9730" max="9730" width="14.42578125" customWidth="1"/>
    <col min="9731" max="9731" width="10.42578125" bestFit="1" customWidth="1"/>
    <col min="9732" max="9732" width="15.85546875" bestFit="1" customWidth="1"/>
    <col min="9733" max="9733" width="13.7109375" bestFit="1" customWidth="1"/>
    <col min="9985" max="9985" width="13" customWidth="1"/>
    <col min="9986" max="9986" width="14.42578125" customWidth="1"/>
    <col min="9987" max="9987" width="10.42578125" bestFit="1" customWidth="1"/>
    <col min="9988" max="9988" width="15.85546875" bestFit="1" customWidth="1"/>
    <col min="9989" max="9989" width="13.7109375" bestFit="1" customWidth="1"/>
    <col min="10241" max="10241" width="13" customWidth="1"/>
    <col min="10242" max="10242" width="14.42578125" customWidth="1"/>
    <col min="10243" max="10243" width="10.42578125" bestFit="1" customWidth="1"/>
    <col min="10244" max="10244" width="15.85546875" bestFit="1" customWidth="1"/>
    <col min="10245" max="10245" width="13.7109375" bestFit="1" customWidth="1"/>
    <col min="10497" max="10497" width="13" customWidth="1"/>
    <col min="10498" max="10498" width="14.42578125" customWidth="1"/>
    <col min="10499" max="10499" width="10.42578125" bestFit="1" customWidth="1"/>
    <col min="10500" max="10500" width="15.85546875" bestFit="1" customWidth="1"/>
    <col min="10501" max="10501" width="13.7109375" bestFit="1" customWidth="1"/>
    <col min="10753" max="10753" width="13" customWidth="1"/>
    <col min="10754" max="10754" width="14.42578125" customWidth="1"/>
    <col min="10755" max="10755" width="10.42578125" bestFit="1" customWidth="1"/>
    <col min="10756" max="10756" width="15.85546875" bestFit="1" customWidth="1"/>
    <col min="10757" max="10757" width="13.7109375" bestFit="1" customWidth="1"/>
    <col min="11009" max="11009" width="13" customWidth="1"/>
    <col min="11010" max="11010" width="14.42578125" customWidth="1"/>
    <col min="11011" max="11011" width="10.42578125" bestFit="1" customWidth="1"/>
    <col min="11012" max="11012" width="15.85546875" bestFit="1" customWidth="1"/>
    <col min="11013" max="11013" width="13.7109375" bestFit="1" customWidth="1"/>
    <col min="11265" max="11265" width="13" customWidth="1"/>
    <col min="11266" max="11266" width="14.42578125" customWidth="1"/>
    <col min="11267" max="11267" width="10.42578125" bestFit="1" customWidth="1"/>
    <col min="11268" max="11268" width="15.85546875" bestFit="1" customWidth="1"/>
    <col min="11269" max="11269" width="13.7109375" bestFit="1" customWidth="1"/>
    <col min="11521" max="11521" width="13" customWidth="1"/>
    <col min="11522" max="11522" width="14.42578125" customWidth="1"/>
    <col min="11523" max="11523" width="10.42578125" bestFit="1" customWidth="1"/>
    <col min="11524" max="11524" width="15.85546875" bestFit="1" customWidth="1"/>
    <col min="11525" max="11525" width="13.7109375" bestFit="1" customWidth="1"/>
    <col min="11777" max="11777" width="13" customWidth="1"/>
    <col min="11778" max="11778" width="14.42578125" customWidth="1"/>
    <col min="11779" max="11779" width="10.42578125" bestFit="1" customWidth="1"/>
    <col min="11780" max="11780" width="15.85546875" bestFit="1" customWidth="1"/>
    <col min="11781" max="11781" width="13.7109375" bestFit="1" customWidth="1"/>
    <col min="12033" max="12033" width="13" customWidth="1"/>
    <col min="12034" max="12034" width="14.42578125" customWidth="1"/>
    <col min="12035" max="12035" width="10.42578125" bestFit="1" customWidth="1"/>
    <col min="12036" max="12036" width="15.85546875" bestFit="1" customWidth="1"/>
    <col min="12037" max="12037" width="13.7109375" bestFit="1" customWidth="1"/>
    <col min="12289" max="12289" width="13" customWidth="1"/>
    <col min="12290" max="12290" width="14.42578125" customWidth="1"/>
    <col min="12291" max="12291" width="10.42578125" bestFit="1" customWidth="1"/>
    <col min="12292" max="12292" width="15.85546875" bestFit="1" customWidth="1"/>
    <col min="12293" max="12293" width="13.7109375" bestFit="1" customWidth="1"/>
    <col min="12545" max="12545" width="13" customWidth="1"/>
    <col min="12546" max="12546" width="14.42578125" customWidth="1"/>
    <col min="12547" max="12547" width="10.42578125" bestFit="1" customWidth="1"/>
    <col min="12548" max="12548" width="15.85546875" bestFit="1" customWidth="1"/>
    <col min="12549" max="12549" width="13.7109375" bestFit="1" customWidth="1"/>
    <col min="12801" max="12801" width="13" customWidth="1"/>
    <col min="12802" max="12802" width="14.42578125" customWidth="1"/>
    <col min="12803" max="12803" width="10.42578125" bestFit="1" customWidth="1"/>
    <col min="12804" max="12804" width="15.85546875" bestFit="1" customWidth="1"/>
    <col min="12805" max="12805" width="13.7109375" bestFit="1" customWidth="1"/>
    <col min="13057" max="13057" width="13" customWidth="1"/>
    <col min="13058" max="13058" width="14.42578125" customWidth="1"/>
    <col min="13059" max="13059" width="10.42578125" bestFit="1" customWidth="1"/>
    <col min="13060" max="13060" width="15.85546875" bestFit="1" customWidth="1"/>
    <col min="13061" max="13061" width="13.7109375" bestFit="1" customWidth="1"/>
    <col min="13313" max="13313" width="13" customWidth="1"/>
    <col min="13314" max="13314" width="14.42578125" customWidth="1"/>
    <col min="13315" max="13315" width="10.42578125" bestFit="1" customWidth="1"/>
    <col min="13316" max="13316" width="15.85546875" bestFit="1" customWidth="1"/>
    <col min="13317" max="13317" width="13.7109375" bestFit="1" customWidth="1"/>
    <col min="13569" max="13569" width="13" customWidth="1"/>
    <col min="13570" max="13570" width="14.42578125" customWidth="1"/>
    <col min="13571" max="13571" width="10.42578125" bestFit="1" customWidth="1"/>
    <col min="13572" max="13572" width="15.85546875" bestFit="1" customWidth="1"/>
    <col min="13573" max="13573" width="13.7109375" bestFit="1" customWidth="1"/>
    <col min="13825" max="13825" width="13" customWidth="1"/>
    <col min="13826" max="13826" width="14.42578125" customWidth="1"/>
    <col min="13827" max="13827" width="10.42578125" bestFit="1" customWidth="1"/>
    <col min="13828" max="13828" width="15.85546875" bestFit="1" customWidth="1"/>
    <col min="13829" max="13829" width="13.7109375" bestFit="1" customWidth="1"/>
    <col min="14081" max="14081" width="13" customWidth="1"/>
    <col min="14082" max="14082" width="14.42578125" customWidth="1"/>
    <col min="14083" max="14083" width="10.42578125" bestFit="1" customWidth="1"/>
    <col min="14084" max="14084" width="15.85546875" bestFit="1" customWidth="1"/>
    <col min="14085" max="14085" width="13.7109375" bestFit="1" customWidth="1"/>
    <col min="14337" max="14337" width="13" customWidth="1"/>
    <col min="14338" max="14338" width="14.42578125" customWidth="1"/>
    <col min="14339" max="14339" width="10.42578125" bestFit="1" customWidth="1"/>
    <col min="14340" max="14340" width="15.85546875" bestFit="1" customWidth="1"/>
    <col min="14341" max="14341" width="13.7109375" bestFit="1" customWidth="1"/>
    <col min="14593" max="14593" width="13" customWidth="1"/>
    <col min="14594" max="14594" width="14.42578125" customWidth="1"/>
    <col min="14595" max="14595" width="10.42578125" bestFit="1" customWidth="1"/>
    <col min="14596" max="14596" width="15.85546875" bestFit="1" customWidth="1"/>
    <col min="14597" max="14597" width="13.7109375" bestFit="1" customWidth="1"/>
    <col min="14849" max="14849" width="13" customWidth="1"/>
    <col min="14850" max="14850" width="14.42578125" customWidth="1"/>
    <col min="14851" max="14851" width="10.42578125" bestFit="1" customWidth="1"/>
    <col min="14852" max="14852" width="15.85546875" bestFit="1" customWidth="1"/>
    <col min="14853" max="14853" width="13.7109375" bestFit="1" customWidth="1"/>
    <col min="15105" max="15105" width="13" customWidth="1"/>
    <col min="15106" max="15106" width="14.42578125" customWidth="1"/>
    <col min="15107" max="15107" width="10.42578125" bestFit="1" customWidth="1"/>
    <col min="15108" max="15108" width="15.85546875" bestFit="1" customWidth="1"/>
    <col min="15109" max="15109" width="13.7109375" bestFit="1" customWidth="1"/>
    <col min="15361" max="15361" width="13" customWidth="1"/>
    <col min="15362" max="15362" width="14.42578125" customWidth="1"/>
    <col min="15363" max="15363" width="10.42578125" bestFit="1" customWidth="1"/>
    <col min="15364" max="15364" width="15.85546875" bestFit="1" customWidth="1"/>
    <col min="15365" max="15365" width="13.7109375" bestFit="1" customWidth="1"/>
    <col min="15617" max="15617" width="13" customWidth="1"/>
    <col min="15618" max="15618" width="14.42578125" customWidth="1"/>
    <col min="15619" max="15619" width="10.42578125" bestFit="1" customWidth="1"/>
    <col min="15620" max="15620" width="15.85546875" bestFit="1" customWidth="1"/>
    <col min="15621" max="15621" width="13.7109375" bestFit="1" customWidth="1"/>
    <col min="15873" max="15873" width="13" customWidth="1"/>
    <col min="15874" max="15874" width="14.42578125" customWidth="1"/>
    <col min="15875" max="15875" width="10.42578125" bestFit="1" customWidth="1"/>
    <col min="15876" max="15876" width="15.85546875" bestFit="1" customWidth="1"/>
    <col min="15877" max="15877" width="13.7109375" bestFit="1" customWidth="1"/>
    <col min="16129" max="16129" width="13" customWidth="1"/>
    <col min="16130" max="16130" width="14.42578125" customWidth="1"/>
    <col min="16131" max="16131" width="10.42578125" bestFit="1" customWidth="1"/>
    <col min="16132" max="16132" width="15.85546875" bestFit="1" customWidth="1"/>
    <col min="16133" max="16133" width="13.7109375" bestFit="1" customWidth="1"/>
  </cols>
  <sheetData>
    <row r="1" spans="1:11" ht="15.75" thickBot="1" x14ac:dyDescent="0.3">
      <c r="B1" s="590" t="s">
        <v>505</v>
      </c>
      <c r="C1" s="591"/>
      <c r="D1" s="591"/>
      <c r="E1" s="591"/>
      <c r="F1" s="591"/>
      <c r="G1" s="592"/>
      <c r="K1" s="687" t="s">
        <v>624</v>
      </c>
    </row>
    <row r="2" spans="1:11" ht="15.75" thickBot="1" x14ac:dyDescent="0.3"/>
    <row r="3" spans="1:11" ht="15.75" thickBot="1" x14ac:dyDescent="0.3">
      <c r="F3" s="688" t="s">
        <v>568</v>
      </c>
      <c r="G3" s="689"/>
      <c r="H3" s="690"/>
      <c r="I3" s="594" t="s">
        <v>570</v>
      </c>
      <c r="J3" s="596"/>
      <c r="K3" s="595"/>
    </row>
    <row r="4" spans="1:11" ht="15.75" thickBot="1" x14ac:dyDescent="0.3">
      <c r="A4" s="543" t="s">
        <v>5</v>
      </c>
      <c r="B4" s="544"/>
      <c r="C4" s="544"/>
      <c r="D4" s="544"/>
      <c r="E4" s="545"/>
      <c r="F4" s="215" t="s">
        <v>208</v>
      </c>
      <c r="G4" s="215" t="s">
        <v>209</v>
      </c>
      <c r="H4" s="216" t="s">
        <v>173</v>
      </c>
      <c r="I4" s="215" t="s">
        <v>208</v>
      </c>
      <c r="J4" s="215" t="s">
        <v>209</v>
      </c>
      <c r="K4" s="216" t="s">
        <v>173</v>
      </c>
    </row>
    <row r="5" spans="1:11" ht="15.75" thickBot="1" x14ac:dyDescent="0.3">
      <c r="A5" s="561" t="s">
        <v>210</v>
      </c>
      <c r="B5" s="562"/>
      <c r="C5" s="562"/>
      <c r="D5" s="562"/>
      <c r="E5" s="563"/>
      <c r="F5" s="217">
        <f>'[5]bértábla+dologi'!$C$9</f>
        <v>31121100</v>
      </c>
      <c r="G5" s="217">
        <v>0</v>
      </c>
      <c r="H5" s="217">
        <f t="shared" ref="H5:H12" si="0">F5+G5</f>
        <v>31121100</v>
      </c>
      <c r="I5" s="217">
        <f>'[5]bértábla+dologi'!$C$9</f>
        <v>31121100</v>
      </c>
      <c r="J5" s="217">
        <v>0</v>
      </c>
      <c r="K5" s="217">
        <f t="shared" ref="K5:K12" si="1">I5+J5</f>
        <v>31121100</v>
      </c>
    </row>
    <row r="6" spans="1:11" ht="15.75" thickBot="1" x14ac:dyDescent="0.3">
      <c r="A6" s="561" t="s">
        <v>211</v>
      </c>
      <c r="B6" s="562"/>
      <c r="C6" s="562"/>
      <c r="D6" s="562"/>
      <c r="E6" s="563"/>
      <c r="F6" s="217">
        <f>'[5]bértábla+dologi'!$C$10</f>
        <v>800000</v>
      </c>
      <c r="G6" s="217">
        <v>0</v>
      </c>
      <c r="H6" s="217">
        <f t="shared" si="0"/>
        <v>800000</v>
      </c>
      <c r="I6" s="217">
        <f>'[5]bértábla+dologi'!$C$10</f>
        <v>800000</v>
      </c>
      <c r="J6" s="217">
        <v>0</v>
      </c>
      <c r="K6" s="217">
        <f t="shared" si="1"/>
        <v>800000</v>
      </c>
    </row>
    <row r="7" spans="1:11" ht="15.75" thickBot="1" x14ac:dyDescent="0.3">
      <c r="A7" s="561" t="s">
        <v>212</v>
      </c>
      <c r="B7" s="562"/>
      <c r="C7" s="562"/>
      <c r="D7" s="562"/>
      <c r="E7" s="563"/>
      <c r="F7" s="217">
        <f>'[5]bértábla+dologi'!$C$11</f>
        <v>1509592</v>
      </c>
      <c r="G7" s="217">
        <v>0</v>
      </c>
      <c r="H7" s="217">
        <f t="shared" si="0"/>
        <v>1509592</v>
      </c>
      <c r="I7" s="217">
        <f>'[5]bértábla+dologi'!$C$11</f>
        <v>1509592</v>
      </c>
      <c r="J7" s="217">
        <v>0</v>
      </c>
      <c r="K7" s="217">
        <f t="shared" si="1"/>
        <v>1509592</v>
      </c>
    </row>
    <row r="8" spans="1:11" ht="15.75" thickBot="1" x14ac:dyDescent="0.3">
      <c r="A8" s="561" t="s">
        <v>213</v>
      </c>
      <c r="B8" s="562"/>
      <c r="C8" s="562"/>
      <c r="D8" s="562"/>
      <c r="E8" s="563"/>
      <c r="F8" s="217">
        <f>'[5]bértábla+dologi'!$C$12</f>
        <v>288960</v>
      </c>
      <c r="G8" s="217">
        <v>0</v>
      </c>
      <c r="H8" s="217">
        <f t="shared" si="0"/>
        <v>288960</v>
      </c>
      <c r="I8" s="217">
        <f>'[5]bértábla+dologi'!$C$12</f>
        <v>288960</v>
      </c>
      <c r="J8" s="217">
        <v>0</v>
      </c>
      <c r="K8" s="217">
        <f t="shared" si="1"/>
        <v>288960</v>
      </c>
    </row>
    <row r="9" spans="1:11" ht="15.75" thickBot="1" x14ac:dyDescent="0.3">
      <c r="A9" s="561" t="s">
        <v>253</v>
      </c>
      <c r="B9" s="562"/>
      <c r="C9" s="562"/>
      <c r="D9" s="562"/>
      <c r="E9" s="563"/>
      <c r="F9" s="217">
        <f>'[5]bértábla+dologi'!$C$13</f>
        <v>150000</v>
      </c>
      <c r="G9" s="217">
        <v>0</v>
      </c>
      <c r="H9" s="217">
        <f t="shared" si="0"/>
        <v>150000</v>
      </c>
      <c r="I9" s="217">
        <v>555000</v>
      </c>
      <c r="J9" s="217">
        <v>0</v>
      </c>
      <c r="K9" s="217">
        <f t="shared" si="1"/>
        <v>555000</v>
      </c>
    </row>
    <row r="10" spans="1:11" s="214" customFormat="1" ht="15.75" thickBot="1" x14ac:dyDescent="0.3">
      <c r="A10" s="558" t="s">
        <v>214</v>
      </c>
      <c r="B10" s="559"/>
      <c r="C10" s="559"/>
      <c r="D10" s="559"/>
      <c r="E10" s="560"/>
      <c r="F10" s="216">
        <f>F5+F6+F7+F8+F9</f>
        <v>33869652</v>
      </c>
      <c r="G10" s="216">
        <v>0</v>
      </c>
      <c r="H10" s="216">
        <f t="shared" si="0"/>
        <v>33869652</v>
      </c>
      <c r="I10" s="216">
        <f>I5+I6+I7+I8+I9</f>
        <v>34274652</v>
      </c>
      <c r="J10" s="216">
        <v>0</v>
      </c>
      <c r="K10" s="216">
        <f t="shared" si="1"/>
        <v>34274652</v>
      </c>
    </row>
    <row r="11" spans="1:11" s="214" customFormat="1" ht="15.75" thickBot="1" x14ac:dyDescent="0.3">
      <c r="A11" s="561" t="s">
        <v>506</v>
      </c>
      <c r="B11" s="562"/>
      <c r="C11" s="562"/>
      <c r="D11" s="562"/>
      <c r="E11" s="563"/>
      <c r="F11" s="216">
        <f>'[5]bértábla+dologi'!$C$14</f>
        <v>700000</v>
      </c>
      <c r="G11" s="216">
        <v>0</v>
      </c>
      <c r="H11" s="217">
        <f t="shared" si="0"/>
        <v>700000</v>
      </c>
      <c r="I11" s="216">
        <f>'[5]bértábla+dologi'!$C$14</f>
        <v>700000</v>
      </c>
      <c r="J11" s="216">
        <v>0</v>
      </c>
      <c r="K11" s="217">
        <f t="shared" si="1"/>
        <v>700000</v>
      </c>
    </row>
    <row r="12" spans="1:11" s="214" customFormat="1" ht="15.75" thickBot="1" x14ac:dyDescent="0.3">
      <c r="A12" s="691" t="s">
        <v>619</v>
      </c>
      <c r="B12" s="562"/>
      <c r="C12" s="562"/>
      <c r="D12" s="562"/>
      <c r="E12" s="563"/>
      <c r="F12" s="216">
        <f>'[5]bértábla+dologi'!$C$15</f>
        <v>20000</v>
      </c>
      <c r="G12" s="216">
        <v>0</v>
      </c>
      <c r="H12" s="217">
        <f t="shared" si="0"/>
        <v>20000</v>
      </c>
      <c r="I12" s="216">
        <v>490718</v>
      </c>
      <c r="J12" s="216">
        <v>0</v>
      </c>
      <c r="K12" s="217">
        <f t="shared" si="1"/>
        <v>490718</v>
      </c>
    </row>
    <row r="13" spans="1:11" s="219" customFormat="1" ht="16.5" thickBot="1" x14ac:dyDescent="0.3">
      <c r="A13" s="564" t="s">
        <v>219</v>
      </c>
      <c r="B13" s="565"/>
      <c r="C13" s="565"/>
      <c r="D13" s="565"/>
      <c r="E13" s="566"/>
      <c r="F13" s="218">
        <f>F10+F11+F12</f>
        <v>34589652</v>
      </c>
      <c r="G13" s="218">
        <f>G10</f>
        <v>0</v>
      </c>
      <c r="H13" s="218">
        <f>F13</f>
        <v>34589652</v>
      </c>
      <c r="I13" s="218">
        <f>I10+I11+I12</f>
        <v>35465370</v>
      </c>
      <c r="J13" s="218">
        <f>J10</f>
        <v>0</v>
      </c>
      <c r="K13" s="218">
        <f>I13</f>
        <v>35465370</v>
      </c>
    </row>
    <row r="14" spans="1:11" s="219" customFormat="1" ht="16.5" thickBot="1" x14ac:dyDescent="0.3">
      <c r="A14" s="567" t="s">
        <v>220</v>
      </c>
      <c r="B14" s="568"/>
      <c r="C14" s="568"/>
      <c r="D14" s="568"/>
      <c r="E14" s="569"/>
      <c r="F14" s="218">
        <f>'[5]bértábla+dologi'!$C$16</f>
        <v>6971421</v>
      </c>
      <c r="G14" s="218">
        <f>'[2]bér+járulék'!E42</f>
        <v>0</v>
      </c>
      <c r="H14" s="218">
        <f>F14+G14</f>
        <v>6971421</v>
      </c>
      <c r="I14" s="218">
        <v>7135242</v>
      </c>
      <c r="J14" s="218">
        <f>'[2]bér+járulék'!H42</f>
        <v>0</v>
      </c>
      <c r="K14" s="218">
        <f>I14+J14</f>
        <v>7135242</v>
      </c>
    </row>
    <row r="15" spans="1:11" ht="15.75" thickBot="1" x14ac:dyDescent="0.3">
      <c r="A15" s="561" t="s">
        <v>254</v>
      </c>
      <c r="B15" s="562"/>
      <c r="C15" s="562"/>
      <c r="D15" s="562"/>
      <c r="E15" s="563"/>
      <c r="F15" s="217">
        <v>60686</v>
      </c>
      <c r="G15" s="217">
        <f>F15*5%</f>
        <v>3034.3</v>
      </c>
      <c r="H15" s="217">
        <f>F15+G15</f>
        <v>63720.3</v>
      </c>
      <c r="I15" s="217">
        <v>60686</v>
      </c>
      <c r="J15" s="217">
        <f>I15*5%</f>
        <v>3034.3</v>
      </c>
      <c r="K15" s="217">
        <f>I15+J15</f>
        <v>63720.3</v>
      </c>
    </row>
    <row r="16" spans="1:11" ht="15.75" thickBot="1" x14ac:dyDescent="0.3">
      <c r="A16" s="558" t="s">
        <v>221</v>
      </c>
      <c r="B16" s="559"/>
      <c r="C16" s="559"/>
      <c r="D16" s="559"/>
      <c r="E16" s="560"/>
      <c r="F16" s="216">
        <f t="shared" ref="F16:K16" si="2">F15</f>
        <v>60686</v>
      </c>
      <c r="G16" s="216">
        <f t="shared" si="2"/>
        <v>3034.3</v>
      </c>
      <c r="H16" s="216">
        <f t="shared" si="2"/>
        <v>63720.3</v>
      </c>
      <c r="I16" s="216">
        <f t="shared" si="2"/>
        <v>60686</v>
      </c>
      <c r="J16" s="216">
        <f t="shared" si="2"/>
        <v>3034.3</v>
      </c>
      <c r="K16" s="216">
        <f t="shared" si="2"/>
        <v>63720.3</v>
      </c>
    </row>
    <row r="17" spans="1:11" s="330" customFormat="1" ht="13.5" thickBot="1" x14ac:dyDescent="0.25">
      <c r="A17" s="691" t="s">
        <v>222</v>
      </c>
      <c r="B17" s="694"/>
      <c r="C17" s="694"/>
      <c r="D17" s="694"/>
      <c r="E17" s="695"/>
      <c r="F17" s="696">
        <v>455000</v>
      </c>
      <c r="G17" s="696">
        <v>0</v>
      </c>
      <c r="H17" s="696">
        <f>F17+G17</f>
        <v>455000</v>
      </c>
      <c r="I17" s="696">
        <v>455000</v>
      </c>
      <c r="J17" s="696">
        <v>0</v>
      </c>
      <c r="K17" s="696">
        <f>I17+J17</f>
        <v>455000</v>
      </c>
    </row>
    <row r="18" spans="1:11" s="330" customFormat="1" ht="13.5" thickBot="1" x14ac:dyDescent="0.25">
      <c r="A18" s="691" t="s">
        <v>223</v>
      </c>
      <c r="B18" s="694"/>
      <c r="C18" s="694"/>
      <c r="D18" s="694"/>
      <c r="E18" s="695"/>
      <c r="F18" s="696">
        <v>300000</v>
      </c>
      <c r="G18" s="696">
        <f>F18*27%</f>
        <v>81000</v>
      </c>
      <c r="H18" s="696">
        <f>F18+G18</f>
        <v>381000</v>
      </c>
      <c r="I18" s="696">
        <v>300000</v>
      </c>
      <c r="J18" s="696">
        <v>81000</v>
      </c>
      <c r="K18" s="696">
        <f>I18+J18</f>
        <v>381000</v>
      </c>
    </row>
    <row r="19" spans="1:11" s="693" customFormat="1" ht="15.75" thickBot="1" x14ac:dyDescent="0.3">
      <c r="A19" s="573" t="s">
        <v>226</v>
      </c>
      <c r="B19" s="574"/>
      <c r="C19" s="574"/>
      <c r="D19" s="574"/>
      <c r="E19" s="575"/>
      <c r="F19" s="692"/>
      <c r="G19" s="692"/>
      <c r="H19" s="692"/>
      <c r="I19" s="692"/>
      <c r="J19" s="692"/>
      <c r="K19" s="692"/>
    </row>
    <row r="20" spans="1:11" s="214" customFormat="1" ht="15.75" thickBot="1" x14ac:dyDescent="0.3">
      <c r="A20" s="558" t="s">
        <v>226</v>
      </c>
      <c r="B20" s="559"/>
      <c r="C20" s="559"/>
      <c r="D20" s="559"/>
      <c r="E20" s="560"/>
      <c r="F20" s="216">
        <f>F17+F18</f>
        <v>755000</v>
      </c>
      <c r="G20" s="216">
        <f t="shared" ref="G20:H20" si="3">G17+G18</f>
        <v>81000</v>
      </c>
      <c r="H20" s="216">
        <f t="shared" si="3"/>
        <v>836000</v>
      </c>
      <c r="I20" s="216">
        <f>I17+I18</f>
        <v>755000</v>
      </c>
      <c r="J20" s="216">
        <f t="shared" ref="J20:K20" si="4">J17+J18</f>
        <v>81000</v>
      </c>
      <c r="K20" s="216">
        <f t="shared" si="4"/>
        <v>836000</v>
      </c>
    </row>
    <row r="21" spans="1:11" s="214" customFormat="1" ht="15.75" thickBot="1" x14ac:dyDescent="0.3">
      <c r="A21" s="558" t="s">
        <v>227</v>
      </c>
      <c r="B21" s="559"/>
      <c r="C21" s="559"/>
      <c r="D21" s="559"/>
      <c r="E21" s="560"/>
      <c r="F21" s="216">
        <f t="shared" ref="F21:K21" si="5">F16+F20</f>
        <v>815686</v>
      </c>
      <c r="G21" s="216">
        <f t="shared" si="5"/>
        <v>84034.3</v>
      </c>
      <c r="H21" s="216">
        <f t="shared" si="5"/>
        <v>899720.3</v>
      </c>
      <c r="I21" s="216">
        <f t="shared" si="5"/>
        <v>815686</v>
      </c>
      <c r="J21" s="216">
        <f t="shared" si="5"/>
        <v>84034.3</v>
      </c>
      <c r="K21" s="216">
        <f t="shared" si="5"/>
        <v>899720.3</v>
      </c>
    </row>
    <row r="22" spans="1:11" ht="15.75" thickBot="1" x14ac:dyDescent="0.3">
      <c r="A22" s="561" t="s">
        <v>255</v>
      </c>
      <c r="B22" s="562"/>
      <c r="C22" s="562"/>
      <c r="D22" s="562"/>
      <c r="E22" s="563"/>
      <c r="F22" s="217">
        <v>84000</v>
      </c>
      <c r="G22" s="217">
        <f t="shared" ref="G22:G26" si="6">F22*27%</f>
        <v>22680</v>
      </c>
      <c r="H22" s="217">
        <f t="shared" ref="H22:H27" si="7">F22+G22</f>
        <v>106680</v>
      </c>
      <c r="I22" s="217">
        <v>84000</v>
      </c>
      <c r="J22" s="217">
        <f t="shared" ref="J22:J24" si="8">I22*27%</f>
        <v>22680</v>
      </c>
      <c r="K22" s="217">
        <f t="shared" ref="K22:K25" si="9">I22+J22</f>
        <v>106680</v>
      </c>
    </row>
    <row r="23" spans="1:11" ht="15.75" thickBot="1" x14ac:dyDescent="0.3">
      <c r="A23" s="561" t="s">
        <v>256</v>
      </c>
      <c r="B23" s="562"/>
      <c r="C23" s="562"/>
      <c r="D23" s="562"/>
      <c r="E23" s="563"/>
      <c r="F23" s="217">
        <f>28000*12</f>
        <v>336000</v>
      </c>
      <c r="G23" s="217">
        <f t="shared" si="6"/>
        <v>90720</v>
      </c>
      <c r="H23" s="217">
        <f t="shared" si="7"/>
        <v>426720</v>
      </c>
      <c r="I23" s="217">
        <f>28000*12</f>
        <v>336000</v>
      </c>
      <c r="J23" s="217">
        <f t="shared" si="8"/>
        <v>90720</v>
      </c>
      <c r="K23" s="217">
        <f t="shared" si="9"/>
        <v>426720</v>
      </c>
    </row>
    <row r="24" spans="1:11" ht="15.75" thickBot="1" x14ac:dyDescent="0.3">
      <c r="A24" s="561" t="s">
        <v>257</v>
      </c>
      <c r="B24" s="562"/>
      <c r="C24" s="562"/>
      <c r="D24" s="562"/>
      <c r="E24" s="563"/>
      <c r="F24" s="217">
        <f>15000*12</f>
        <v>180000</v>
      </c>
      <c r="G24" s="217">
        <f t="shared" si="6"/>
        <v>48600</v>
      </c>
      <c r="H24" s="217">
        <f t="shared" si="7"/>
        <v>228600</v>
      </c>
      <c r="I24" s="217">
        <f>15000*12</f>
        <v>180000</v>
      </c>
      <c r="J24" s="217">
        <f t="shared" si="8"/>
        <v>48600</v>
      </c>
      <c r="K24" s="217">
        <f t="shared" si="9"/>
        <v>228600</v>
      </c>
    </row>
    <row r="25" spans="1:11" ht="15.75" thickBot="1" x14ac:dyDescent="0.3">
      <c r="A25" s="561" t="s">
        <v>507</v>
      </c>
      <c r="B25" s="562"/>
      <c r="C25" s="562"/>
      <c r="D25" s="562"/>
      <c r="E25" s="563"/>
      <c r="F25" s="217">
        <f>28000*12</f>
        <v>336000</v>
      </c>
      <c r="G25" s="217">
        <v>0</v>
      </c>
      <c r="H25" s="217">
        <f t="shared" si="7"/>
        <v>336000</v>
      </c>
      <c r="I25" s="217">
        <f>28000*12</f>
        <v>336000</v>
      </c>
      <c r="J25" s="217">
        <v>0</v>
      </c>
      <c r="K25" s="217">
        <f t="shared" si="9"/>
        <v>336000</v>
      </c>
    </row>
    <row r="26" spans="1:11" ht="15.75" thickBot="1" x14ac:dyDescent="0.3">
      <c r="A26" s="561" t="s">
        <v>508</v>
      </c>
      <c r="B26" s="562"/>
      <c r="C26" s="562"/>
      <c r="D26" s="562"/>
      <c r="E26" s="563"/>
      <c r="F26" s="217">
        <f>9449*12</f>
        <v>113388</v>
      </c>
      <c r="G26" s="217">
        <f t="shared" si="6"/>
        <v>30614.760000000002</v>
      </c>
      <c r="H26" s="217">
        <f>F26+G26</f>
        <v>144002.76</v>
      </c>
      <c r="I26" s="217">
        <f>9449*12</f>
        <v>113388</v>
      </c>
      <c r="J26" s="217">
        <f t="shared" ref="J26" si="10">I26*27%</f>
        <v>30614.760000000002</v>
      </c>
      <c r="K26" s="217">
        <f>I26+J26</f>
        <v>144002.76</v>
      </c>
    </row>
    <row r="27" spans="1:11" s="214" customFormat="1" ht="15.75" thickBot="1" x14ac:dyDescent="0.3">
      <c r="A27" s="561" t="s">
        <v>228</v>
      </c>
      <c r="B27" s="562"/>
      <c r="C27" s="562"/>
      <c r="D27" s="562"/>
      <c r="E27" s="563"/>
      <c r="F27" s="217">
        <f>4087*12+6500*12</f>
        <v>127044</v>
      </c>
      <c r="G27" s="217">
        <f>F27*5%</f>
        <v>6352.2000000000007</v>
      </c>
      <c r="H27" s="217">
        <f t="shared" si="7"/>
        <v>133396.20000000001</v>
      </c>
      <c r="I27" s="217">
        <f>4087*12+6500*12</f>
        <v>127044</v>
      </c>
      <c r="J27" s="217">
        <f>I27*5%</f>
        <v>6352.2000000000007</v>
      </c>
      <c r="K27" s="217">
        <f t="shared" ref="K27" si="11">I27+J27</f>
        <v>133396.20000000001</v>
      </c>
    </row>
    <row r="28" spans="1:11" ht="15.75" thickBot="1" x14ac:dyDescent="0.3">
      <c r="A28" s="558" t="s">
        <v>229</v>
      </c>
      <c r="B28" s="559"/>
      <c r="C28" s="559"/>
      <c r="D28" s="559"/>
      <c r="E28" s="560"/>
      <c r="F28" s="216">
        <f>F22+F23+F24+F25+F26+F27</f>
        <v>1176432</v>
      </c>
      <c r="G28" s="216">
        <f t="shared" ref="G28:H28" si="12">G22+G23+G24+G25+G26+G27</f>
        <v>198966.96000000002</v>
      </c>
      <c r="H28" s="216">
        <f t="shared" si="12"/>
        <v>1375398.96</v>
      </c>
      <c r="I28" s="216">
        <f>I22+I23+I24+I25+I26+I27</f>
        <v>1176432</v>
      </c>
      <c r="J28" s="216">
        <f t="shared" ref="J28:K28" si="13">J22+J23+J24+J25+J26+J27</f>
        <v>198966.96000000002</v>
      </c>
      <c r="K28" s="216">
        <f t="shared" si="13"/>
        <v>1375398.96</v>
      </c>
    </row>
    <row r="29" spans="1:11" s="214" customFormat="1" ht="15.75" thickBot="1" x14ac:dyDescent="0.3">
      <c r="A29" s="561" t="s">
        <v>230</v>
      </c>
      <c r="B29" s="562"/>
      <c r="C29" s="562"/>
      <c r="D29" s="562"/>
      <c r="E29" s="563"/>
      <c r="F29" s="217">
        <f>11152*12+4497*12</f>
        <v>187788</v>
      </c>
      <c r="G29" s="217">
        <f>F29*27%</f>
        <v>50702.76</v>
      </c>
      <c r="H29" s="217">
        <f>F29+G29</f>
        <v>238490.76</v>
      </c>
      <c r="I29" s="217">
        <f>11152*12+4497*12</f>
        <v>187788</v>
      </c>
      <c r="J29" s="217">
        <f>I29*27%</f>
        <v>50702.76</v>
      </c>
      <c r="K29" s="217">
        <f>I29+J29</f>
        <v>238490.76</v>
      </c>
    </row>
    <row r="30" spans="1:11" s="214" customFormat="1" ht="15.75" thickBot="1" x14ac:dyDescent="0.3">
      <c r="A30" s="558" t="s">
        <v>231</v>
      </c>
      <c r="B30" s="559"/>
      <c r="C30" s="559"/>
      <c r="D30" s="559"/>
      <c r="E30" s="560"/>
      <c r="F30" s="216">
        <f t="shared" ref="F30:K30" si="14">F29</f>
        <v>187788</v>
      </c>
      <c r="G30" s="216">
        <f t="shared" si="14"/>
        <v>50702.76</v>
      </c>
      <c r="H30" s="216">
        <f t="shared" si="14"/>
        <v>238490.76</v>
      </c>
      <c r="I30" s="216">
        <f t="shared" si="14"/>
        <v>187788</v>
      </c>
      <c r="J30" s="216">
        <f t="shared" si="14"/>
        <v>50702.76</v>
      </c>
      <c r="K30" s="216">
        <f t="shared" si="14"/>
        <v>238490.76</v>
      </c>
    </row>
    <row r="31" spans="1:11" ht="15.75" thickBot="1" x14ac:dyDescent="0.3">
      <c r="A31" s="558" t="s">
        <v>232</v>
      </c>
      <c r="B31" s="559"/>
      <c r="C31" s="559"/>
      <c r="D31" s="559"/>
      <c r="E31" s="560"/>
      <c r="F31" s="216">
        <f t="shared" ref="F31:K31" si="15">F30+F28</f>
        <v>1364220</v>
      </c>
      <c r="G31" s="216">
        <f t="shared" si="15"/>
        <v>249669.72000000003</v>
      </c>
      <c r="H31" s="216">
        <f t="shared" si="15"/>
        <v>1613889.72</v>
      </c>
      <c r="I31" s="216">
        <f t="shared" si="15"/>
        <v>1364220</v>
      </c>
      <c r="J31" s="216">
        <f t="shared" si="15"/>
        <v>249669.72000000003</v>
      </c>
      <c r="K31" s="216">
        <f t="shared" si="15"/>
        <v>1613889.72</v>
      </c>
    </row>
    <row r="32" spans="1:11" s="214" customFormat="1" ht="15.75" thickBot="1" x14ac:dyDescent="0.3">
      <c r="A32" s="552" t="s">
        <v>258</v>
      </c>
      <c r="B32" s="553"/>
      <c r="C32" s="553"/>
      <c r="D32" s="553"/>
      <c r="E32" s="554"/>
      <c r="F32" s="217">
        <f>1181*12</f>
        <v>14172</v>
      </c>
      <c r="G32" s="217">
        <v>3828</v>
      </c>
      <c r="H32" s="217">
        <f>F32+G32</f>
        <v>18000</v>
      </c>
      <c r="I32" s="217">
        <f>1181*12</f>
        <v>14172</v>
      </c>
      <c r="J32" s="217">
        <v>3828</v>
      </c>
      <c r="K32" s="217">
        <f>I32+J32</f>
        <v>18000</v>
      </c>
    </row>
    <row r="33" spans="1:11" s="697" customFormat="1" ht="15.75" thickBot="1" x14ac:dyDescent="0.3">
      <c r="A33" s="532" t="s">
        <v>620</v>
      </c>
      <c r="B33" s="533"/>
      <c r="C33" s="533"/>
      <c r="D33" s="533"/>
      <c r="E33" s="534"/>
      <c r="F33" s="696"/>
      <c r="G33" s="696"/>
      <c r="H33" s="696"/>
      <c r="I33" s="696">
        <v>25984</v>
      </c>
      <c r="J33" s="696">
        <v>7016</v>
      </c>
      <c r="K33" s="696">
        <v>33000</v>
      </c>
    </row>
    <row r="34" spans="1:11" s="330" customFormat="1" ht="15.75" thickBot="1" x14ac:dyDescent="0.3">
      <c r="A34" s="698" t="s">
        <v>259</v>
      </c>
      <c r="B34" s="699"/>
      <c r="C34" s="699"/>
      <c r="D34" s="699"/>
      <c r="E34" s="700"/>
      <c r="F34" s="701">
        <f>F32</f>
        <v>14172</v>
      </c>
      <c r="G34" s="701">
        <f>G32</f>
        <v>3828</v>
      </c>
      <c r="H34" s="701">
        <f>H32</f>
        <v>18000</v>
      </c>
      <c r="I34" s="701">
        <f>I32+I33</f>
        <v>40156</v>
      </c>
      <c r="J34" s="701">
        <f t="shared" ref="J34:K34" si="16">J32+J33</f>
        <v>10844</v>
      </c>
      <c r="K34" s="701">
        <f t="shared" si="16"/>
        <v>51000</v>
      </c>
    </row>
    <row r="35" spans="1:11" ht="15.75" thickBot="1" x14ac:dyDescent="0.3">
      <c r="A35" s="552" t="s">
        <v>234</v>
      </c>
      <c r="B35" s="553"/>
      <c r="C35" s="553"/>
      <c r="D35" s="553"/>
      <c r="E35" s="554"/>
      <c r="F35" s="217">
        <v>20000</v>
      </c>
      <c r="G35" s="217">
        <f>F35*27%</f>
        <v>5400</v>
      </c>
      <c r="H35" s="217">
        <f>F35+G35</f>
        <v>25400</v>
      </c>
      <c r="I35" s="217">
        <v>20000</v>
      </c>
      <c r="J35" s="217">
        <f>I35*27%</f>
        <v>5400</v>
      </c>
      <c r="K35" s="217">
        <f t="shared" ref="K35:K42" si="17">I35+J35</f>
        <v>25400</v>
      </c>
    </row>
    <row r="36" spans="1:11" ht="15.75" thickBot="1" x14ac:dyDescent="0.3">
      <c r="A36" s="552" t="s">
        <v>260</v>
      </c>
      <c r="B36" s="553"/>
      <c r="C36" s="553"/>
      <c r="D36" s="553"/>
      <c r="E36" s="554"/>
      <c r="F36" s="217">
        <f>8*8000</f>
        <v>64000</v>
      </c>
      <c r="G36" s="217">
        <v>0</v>
      </c>
      <c r="H36" s="217">
        <f>F36+G36</f>
        <v>64000</v>
      </c>
      <c r="I36" s="217">
        <v>80000</v>
      </c>
      <c r="J36" s="217">
        <v>0</v>
      </c>
      <c r="K36" s="217">
        <f t="shared" si="17"/>
        <v>80000</v>
      </c>
    </row>
    <row r="37" spans="1:11" s="697" customFormat="1" ht="15.75" thickBot="1" x14ac:dyDescent="0.3">
      <c r="A37" s="532" t="s">
        <v>261</v>
      </c>
      <c r="B37" s="533"/>
      <c r="C37" s="533"/>
      <c r="D37" s="533"/>
      <c r="E37" s="534"/>
      <c r="F37" s="696">
        <f>250000+6496*4</f>
        <v>275984</v>
      </c>
      <c r="G37" s="696">
        <f>1754*4</f>
        <v>7016</v>
      </c>
      <c r="H37" s="696">
        <f>F37+G37</f>
        <v>283000</v>
      </c>
      <c r="I37" s="696">
        <v>250000</v>
      </c>
      <c r="J37" s="696"/>
      <c r="K37" s="696">
        <f t="shared" si="17"/>
        <v>250000</v>
      </c>
    </row>
    <row r="38" spans="1:11" s="214" customFormat="1" ht="15.75" thickBot="1" x14ac:dyDescent="0.3">
      <c r="A38" s="552" t="s">
        <v>262</v>
      </c>
      <c r="B38" s="553"/>
      <c r="C38" s="553"/>
      <c r="D38" s="553"/>
      <c r="E38" s="554"/>
      <c r="F38" s="217">
        <f>20000*12</f>
        <v>240000</v>
      </c>
      <c r="G38" s="217">
        <v>0</v>
      </c>
      <c r="H38" s="217">
        <f>F38+G38</f>
        <v>240000</v>
      </c>
      <c r="I38" s="217">
        <f>20000*12</f>
        <v>240000</v>
      </c>
      <c r="J38" s="217">
        <v>0</v>
      </c>
      <c r="K38" s="217">
        <f t="shared" si="17"/>
        <v>240000</v>
      </c>
    </row>
    <row r="39" spans="1:11" s="214" customFormat="1" ht="15.75" thickBot="1" x14ac:dyDescent="0.3">
      <c r="A39" s="532" t="s">
        <v>509</v>
      </c>
      <c r="B39" s="553"/>
      <c r="C39" s="553"/>
      <c r="D39" s="553"/>
      <c r="E39" s="554"/>
      <c r="F39" s="217">
        <v>228347</v>
      </c>
      <c r="G39" s="217">
        <f>F39*27%-1</f>
        <v>61652.69</v>
      </c>
      <c r="H39" s="217">
        <f>F39+G39</f>
        <v>289999.69</v>
      </c>
      <c r="I39" s="217">
        <v>228347</v>
      </c>
      <c r="J39" s="217">
        <f>I39*27%-1</f>
        <v>61652.69</v>
      </c>
      <c r="K39" s="217">
        <f t="shared" si="17"/>
        <v>289999.69</v>
      </c>
    </row>
    <row r="40" spans="1:11" s="697" customFormat="1" ht="15.75" thickBot="1" x14ac:dyDescent="0.3">
      <c r="A40" s="532" t="s">
        <v>621</v>
      </c>
      <c r="B40" s="533"/>
      <c r="C40" s="533"/>
      <c r="D40" s="533"/>
      <c r="E40" s="534"/>
      <c r="F40" s="696"/>
      <c r="G40" s="696"/>
      <c r="H40" s="696"/>
      <c r="I40" s="696">
        <v>225712</v>
      </c>
      <c r="J40" s="696">
        <v>0</v>
      </c>
      <c r="K40" s="696">
        <f t="shared" si="17"/>
        <v>225712</v>
      </c>
    </row>
    <row r="41" spans="1:11" s="697" customFormat="1" ht="15.75" thickBot="1" x14ac:dyDescent="0.3">
      <c r="A41" s="532" t="s">
        <v>622</v>
      </c>
      <c r="B41" s="533"/>
      <c r="C41" s="533"/>
      <c r="D41" s="533"/>
      <c r="E41" s="534"/>
      <c r="F41" s="696"/>
      <c r="G41" s="696"/>
      <c r="H41" s="696"/>
      <c r="I41" s="696">
        <v>34000</v>
      </c>
      <c r="J41" s="696">
        <v>0</v>
      </c>
      <c r="K41" s="696">
        <f t="shared" si="17"/>
        <v>34000</v>
      </c>
    </row>
    <row r="42" spans="1:11" s="697" customFormat="1" ht="15.75" thickBot="1" x14ac:dyDescent="0.3">
      <c r="A42" s="532" t="s">
        <v>623</v>
      </c>
      <c r="B42" s="533"/>
      <c r="C42" s="533"/>
      <c r="D42" s="533"/>
      <c r="E42" s="534"/>
      <c r="F42" s="696"/>
      <c r="G42" s="696"/>
      <c r="H42" s="696"/>
      <c r="I42" s="696">
        <v>31000</v>
      </c>
      <c r="J42" s="696">
        <v>0</v>
      </c>
      <c r="K42" s="696">
        <f t="shared" si="17"/>
        <v>31000</v>
      </c>
    </row>
    <row r="43" spans="1:11" ht="15.75" thickBot="1" x14ac:dyDescent="0.3">
      <c r="A43" s="543" t="s">
        <v>240</v>
      </c>
      <c r="B43" s="544"/>
      <c r="C43" s="544"/>
      <c r="D43" s="544"/>
      <c r="E43" s="545"/>
      <c r="F43" s="216">
        <f>F37+F38+F39</f>
        <v>744331</v>
      </c>
      <c r="G43" s="216">
        <f>G37+G38+G39</f>
        <v>68668.69</v>
      </c>
      <c r="H43" s="216">
        <f>H37+H38+H39</f>
        <v>812999.69</v>
      </c>
      <c r="I43" s="216">
        <f>I37+I38+I39+I40+I41+I42</f>
        <v>1009059</v>
      </c>
      <c r="J43" s="216">
        <f t="shared" ref="J43:K43" si="18">J37+J38+J39+J40+J41+J42</f>
        <v>61652.69</v>
      </c>
      <c r="K43" s="216">
        <f t="shared" si="18"/>
        <v>1070711.69</v>
      </c>
    </row>
    <row r="44" spans="1:11" s="214" customFormat="1" ht="15.75" thickBot="1" x14ac:dyDescent="0.3">
      <c r="A44" s="543" t="s">
        <v>241</v>
      </c>
      <c r="B44" s="544"/>
      <c r="C44" s="544"/>
      <c r="D44" s="544"/>
      <c r="E44" s="545"/>
      <c r="F44" s="216">
        <f>F34+F35+F36+F43</f>
        <v>842503</v>
      </c>
      <c r="G44" s="216">
        <f>G34+G35+G36+G43</f>
        <v>77896.69</v>
      </c>
      <c r="H44" s="216">
        <f>H34+H35+H36+H43</f>
        <v>920399.69</v>
      </c>
      <c r="I44" s="216">
        <f>I34+I35+I36+I43</f>
        <v>1149215</v>
      </c>
      <c r="J44" s="216">
        <f t="shared" ref="J44:K44" si="19">J34+J35+J36+J43</f>
        <v>77896.69</v>
      </c>
      <c r="K44" s="216">
        <f t="shared" si="19"/>
        <v>1227111.69</v>
      </c>
    </row>
    <row r="45" spans="1:11" ht="15.75" thickBot="1" x14ac:dyDescent="0.3">
      <c r="A45" s="552" t="s">
        <v>242</v>
      </c>
      <c r="B45" s="553"/>
      <c r="C45" s="553"/>
      <c r="D45" s="553"/>
      <c r="E45" s="554"/>
      <c r="F45" s="217">
        <v>70000</v>
      </c>
      <c r="G45" s="217">
        <v>0</v>
      </c>
      <c r="H45" s="217">
        <f>F45+G45</f>
        <v>70000</v>
      </c>
      <c r="I45" s="217">
        <v>70000</v>
      </c>
      <c r="J45" s="217">
        <v>0</v>
      </c>
      <c r="K45" s="217">
        <f>I45+J45</f>
        <v>70000</v>
      </c>
    </row>
    <row r="46" spans="1:11" ht="15.75" thickBot="1" x14ac:dyDescent="0.3">
      <c r="A46" s="543" t="s">
        <v>244</v>
      </c>
      <c r="B46" s="544"/>
      <c r="C46" s="544"/>
      <c r="D46" s="544"/>
      <c r="E46" s="545"/>
      <c r="F46" s="216">
        <f t="shared" ref="F46:K46" si="20">F45</f>
        <v>70000</v>
      </c>
      <c r="G46" s="216">
        <f t="shared" si="20"/>
        <v>0</v>
      </c>
      <c r="H46" s="216">
        <f t="shared" si="20"/>
        <v>70000</v>
      </c>
      <c r="I46" s="216">
        <f t="shared" si="20"/>
        <v>70000</v>
      </c>
      <c r="J46" s="216">
        <f t="shared" si="20"/>
        <v>0</v>
      </c>
      <c r="K46" s="216">
        <f t="shared" si="20"/>
        <v>70000</v>
      </c>
    </row>
    <row r="47" spans="1:11" s="697" customFormat="1" ht="15.75" thickBot="1" x14ac:dyDescent="0.3">
      <c r="A47" s="532" t="s">
        <v>245</v>
      </c>
      <c r="B47" s="533"/>
      <c r="C47" s="533"/>
      <c r="D47" s="533"/>
      <c r="E47" s="534"/>
      <c r="F47" s="696">
        <v>0</v>
      </c>
      <c r="G47" s="696">
        <f>G46+G44+G31+G21</f>
        <v>411600.71</v>
      </c>
      <c r="H47" s="696">
        <f>G47</f>
        <v>411600.71</v>
      </c>
      <c r="I47" s="696">
        <v>0</v>
      </c>
      <c r="J47" s="696">
        <f>J21+J31+J34+J35+J43</f>
        <v>411600.71</v>
      </c>
      <c r="K47" s="696">
        <f t="shared" ref="K47" si="21">J47</f>
        <v>411600.71</v>
      </c>
    </row>
    <row r="48" spans="1:11" s="214" customFormat="1" ht="15.75" thickBot="1" x14ac:dyDescent="0.3">
      <c r="A48" s="552" t="s">
        <v>248</v>
      </c>
      <c r="B48" s="553"/>
      <c r="C48" s="553"/>
      <c r="D48" s="553"/>
      <c r="E48" s="554"/>
      <c r="F48" s="217">
        <v>20000</v>
      </c>
      <c r="G48" s="217">
        <v>0</v>
      </c>
      <c r="H48" s="217">
        <f>F48+G48</f>
        <v>20000</v>
      </c>
      <c r="I48" s="217">
        <v>52190</v>
      </c>
      <c r="J48" s="217">
        <v>0</v>
      </c>
      <c r="K48" s="217">
        <f>I48+J48</f>
        <v>52190</v>
      </c>
    </row>
    <row r="49" spans="1:11" s="221" customFormat="1" ht="19.5" thickBot="1" x14ac:dyDescent="0.35">
      <c r="A49" s="543" t="s">
        <v>246</v>
      </c>
      <c r="B49" s="544"/>
      <c r="C49" s="544"/>
      <c r="D49" s="544"/>
      <c r="E49" s="545"/>
      <c r="F49" s="216">
        <f>F47+F48</f>
        <v>20000</v>
      </c>
      <c r="G49" s="216">
        <f>G47</f>
        <v>411600.71</v>
      </c>
      <c r="H49" s="216">
        <f>H47+H48</f>
        <v>431600.71</v>
      </c>
      <c r="I49" s="216">
        <f>I47+I48</f>
        <v>52190</v>
      </c>
      <c r="J49" s="216">
        <f>J47</f>
        <v>411600.71</v>
      </c>
      <c r="K49" s="216">
        <f>K47+K48</f>
        <v>463790.71</v>
      </c>
    </row>
    <row r="50" spans="1:11" ht="15.75" thickBot="1" x14ac:dyDescent="0.3">
      <c r="A50" s="543" t="s">
        <v>247</v>
      </c>
      <c r="B50" s="544"/>
      <c r="C50" s="544"/>
      <c r="D50" s="544"/>
      <c r="E50" s="545"/>
      <c r="F50" s="216">
        <f>F21+F31+F44+F46+F49</f>
        <v>3112409</v>
      </c>
      <c r="G50" s="216">
        <f>G49</f>
        <v>411600.71</v>
      </c>
      <c r="H50" s="216">
        <f>H21+H31+H44+H46+H47+H48-H47</f>
        <v>3524009.71</v>
      </c>
      <c r="I50" s="216">
        <f>I21+I31+I44+I46+I49</f>
        <v>3451311</v>
      </c>
      <c r="J50" s="216">
        <f>J49</f>
        <v>411600.71</v>
      </c>
      <c r="K50" s="216">
        <f>I50+J50</f>
        <v>3862911.71</v>
      </c>
    </row>
    <row r="51" spans="1:11" ht="15.75" thickBot="1" x14ac:dyDescent="0.3">
      <c r="A51" s="552" t="s">
        <v>433</v>
      </c>
      <c r="B51" s="553"/>
      <c r="C51" s="553"/>
      <c r="D51" s="553"/>
      <c r="E51" s="554"/>
      <c r="F51" s="217">
        <f>8425*8</f>
        <v>67400</v>
      </c>
      <c r="G51" s="217">
        <f>2275*8</f>
        <v>18200</v>
      </c>
      <c r="H51" s="217">
        <f>F51+G51</f>
        <v>85600</v>
      </c>
      <c r="I51" s="217">
        <f>8425*8</f>
        <v>67400</v>
      </c>
      <c r="J51" s="217">
        <f>2275*8</f>
        <v>18200</v>
      </c>
      <c r="K51" s="217">
        <f>I51+J51</f>
        <v>85600</v>
      </c>
    </row>
    <row r="52" spans="1:11" ht="15.75" thickBot="1" x14ac:dyDescent="0.3">
      <c r="A52" s="552" t="s">
        <v>510</v>
      </c>
      <c r="B52" s="553"/>
      <c r="C52" s="553"/>
      <c r="D52" s="553"/>
      <c r="E52" s="554"/>
      <c r="F52" s="217">
        <v>229134</v>
      </c>
      <c r="G52" s="217">
        <v>61866</v>
      </c>
      <c r="H52" s="217">
        <f>F52+G52</f>
        <v>291000</v>
      </c>
      <c r="I52" s="217">
        <v>229134</v>
      </c>
      <c r="J52" s="217">
        <v>61866</v>
      </c>
      <c r="K52" s="217">
        <f>I52+J52</f>
        <v>291000</v>
      </c>
    </row>
    <row r="53" spans="1:11" ht="15.75" thickBot="1" x14ac:dyDescent="0.3">
      <c r="A53" s="552" t="s">
        <v>583</v>
      </c>
      <c r="B53" s="553"/>
      <c r="C53" s="553"/>
      <c r="D53" s="553"/>
      <c r="E53" s="554"/>
      <c r="F53" s="217"/>
      <c r="G53" s="217"/>
      <c r="H53" s="217"/>
      <c r="I53" s="217">
        <v>7990</v>
      </c>
      <c r="J53" s="217">
        <v>0</v>
      </c>
      <c r="K53" s="217">
        <f>I53+J53</f>
        <v>7990</v>
      </c>
    </row>
    <row r="54" spans="1:11" ht="15.75" thickBot="1" x14ac:dyDescent="0.3">
      <c r="A54" s="552" t="s">
        <v>584</v>
      </c>
      <c r="B54" s="553"/>
      <c r="C54" s="553"/>
      <c r="D54" s="553"/>
      <c r="E54" s="554"/>
      <c r="F54" s="217"/>
      <c r="G54" s="217"/>
      <c r="H54" s="217"/>
      <c r="I54" s="217">
        <v>153543</v>
      </c>
      <c r="J54" s="217">
        <v>41457</v>
      </c>
      <c r="K54" s="217">
        <f>I54+J54</f>
        <v>195000</v>
      </c>
    </row>
    <row r="55" spans="1:11" ht="15.75" thickBot="1" x14ac:dyDescent="0.3">
      <c r="A55" s="552" t="s">
        <v>585</v>
      </c>
      <c r="B55" s="553"/>
      <c r="C55" s="553"/>
      <c r="D55" s="553"/>
      <c r="E55" s="554"/>
      <c r="G55" s="217"/>
      <c r="I55" s="217">
        <v>69527</v>
      </c>
      <c r="J55" s="217">
        <v>18773</v>
      </c>
      <c r="K55" s="217">
        <f t="shared" ref="K55:K56" si="22">I55+J55</f>
        <v>88300</v>
      </c>
    </row>
    <row r="56" spans="1:11" ht="15.75" thickBot="1" x14ac:dyDescent="0.3">
      <c r="A56" s="552" t="s">
        <v>586</v>
      </c>
      <c r="B56" s="553"/>
      <c r="C56" s="553"/>
      <c r="D56" s="553"/>
      <c r="E56" s="554"/>
      <c r="F56" s="217"/>
      <c r="G56" s="217"/>
      <c r="H56" s="217"/>
      <c r="I56" s="217">
        <v>40944</v>
      </c>
      <c r="J56" s="217">
        <v>11056</v>
      </c>
      <c r="K56" s="217">
        <f t="shared" si="22"/>
        <v>52000</v>
      </c>
    </row>
    <row r="57" spans="1:11" s="214" customFormat="1" ht="15.75" thickBot="1" x14ac:dyDescent="0.3">
      <c r="A57" s="543" t="s">
        <v>511</v>
      </c>
      <c r="B57" s="544"/>
      <c r="C57" s="544"/>
      <c r="D57" s="544"/>
      <c r="E57" s="545"/>
      <c r="F57" s="216">
        <f>F51+F52</f>
        <v>296534</v>
      </c>
      <c r="G57" s="216">
        <f>G51+G52</f>
        <v>80066</v>
      </c>
      <c r="H57" s="216">
        <f>H51+H52</f>
        <v>376600</v>
      </c>
      <c r="I57" s="216">
        <f>I51+I52+I54+I55+I56+I53</f>
        <v>568538</v>
      </c>
      <c r="J57" s="216">
        <f t="shared" ref="J57:K57" si="23">J51+J52+J54+J55+J56+J53</f>
        <v>151352</v>
      </c>
      <c r="K57" s="216">
        <f t="shared" si="23"/>
        <v>719890</v>
      </c>
    </row>
    <row r="58" spans="1:11" s="141" customFormat="1" ht="19.5" thickBot="1" x14ac:dyDescent="0.35">
      <c r="A58" s="549" t="s">
        <v>263</v>
      </c>
      <c r="B58" s="550"/>
      <c r="C58" s="550"/>
      <c r="D58" s="550"/>
      <c r="E58" s="551"/>
      <c r="F58" s="220">
        <f>F50+F14+F13+F57</f>
        <v>44970016</v>
      </c>
      <c r="G58" s="220">
        <f>G50+G14+G13+G57</f>
        <v>491666.71</v>
      </c>
      <c r="H58" s="220">
        <f>H13+H14+H50+H57</f>
        <v>45461682.710000001</v>
      </c>
      <c r="I58" s="220">
        <f>I50+I14+I13+I57</f>
        <v>46620461</v>
      </c>
      <c r="J58" s="220">
        <f>J47+J57</f>
        <v>562952.71</v>
      </c>
      <c r="K58" s="220">
        <f>I58+J58</f>
        <v>47183413.710000001</v>
      </c>
    </row>
    <row r="59" spans="1:11" x14ac:dyDescent="0.25">
      <c r="H59" s="213"/>
    </row>
  </sheetData>
  <mergeCells count="58">
    <mergeCell ref="A54:E54"/>
    <mergeCell ref="A55:E55"/>
    <mergeCell ref="A56:E56"/>
    <mergeCell ref="A57:E57"/>
    <mergeCell ref="A58:E58"/>
    <mergeCell ref="I3:K3"/>
    <mergeCell ref="A50:E50"/>
    <mergeCell ref="A51:E51"/>
    <mergeCell ref="A52:E52"/>
    <mergeCell ref="A53:E53"/>
    <mergeCell ref="A14:E14"/>
    <mergeCell ref="B1:G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F3:H3"/>
    <mergeCell ref="A27:E27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5:E25"/>
    <mergeCell ref="A26:E26"/>
    <mergeCell ref="A24:E24"/>
    <mergeCell ref="A39:E39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2</vt:lpstr>
      <vt:lpstr>3</vt:lpstr>
      <vt:lpstr>4</vt:lpstr>
      <vt:lpstr>6</vt:lpstr>
      <vt:lpstr>11</vt:lpstr>
      <vt:lpstr>11a</vt:lpstr>
      <vt:lpstr>11f</vt:lpstr>
      <vt:lpstr>13</vt:lpstr>
      <vt:lpstr>13a</vt:lpstr>
      <vt:lpstr>13b</vt:lpstr>
      <vt:lpstr>15</vt:lpstr>
      <vt:lpstr>16a</vt:lpstr>
      <vt:lpstr>16b</vt:lpstr>
      <vt:lpstr>16c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2019-07-15T08:22:41Z</cp:lastPrinted>
  <dcterms:created xsi:type="dcterms:W3CDTF">2018-02-22T07:05:57Z</dcterms:created>
  <dcterms:modified xsi:type="dcterms:W3CDTF">2019-07-15T08:38:21Z</dcterms:modified>
</cp:coreProperties>
</file>