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zsébet\Előterjesztések\05\"/>
    </mc:Choice>
  </mc:AlternateContent>
  <xr:revisionPtr revIDLastSave="0" documentId="13_ncr:1_{8873E492-D12C-40AD-A560-1D0CD93617B5}" xr6:coauthVersionLast="43" xr6:coauthVersionMax="43" xr10:uidLastSave="{00000000-0000-0000-0000-000000000000}"/>
  <bookViews>
    <workbookView xWindow="-120" yWindow="-120" windowWidth="29040" windowHeight="15840" tabRatio="599" firstSheet="7" activeTab="15" xr2:uid="{00000000-000D-0000-FFFF-FFFF00000000}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Munka2" sheetId="48" state="hidden" r:id="rId6"/>
    <sheet name="Munka1" sheetId="47" state="hidden" r:id="rId7"/>
    <sheet name="6.Kiadások" sheetId="34" r:id="rId8"/>
    <sheet name="7.Rovatrend szerint" sheetId="30" r:id="rId9"/>
    <sheet name="8.Felhalm.kiadások" sheetId="13" r:id="rId10"/>
    <sheet name="9.Támogatások" sheetId="11" r:id="rId11"/>
    <sheet name="10.Létszám" sheetId="40" r:id="rId12"/>
    <sheet name="11.Intézm." sheetId="42" r:id="rId13"/>
    <sheet name="12.Több éves" sheetId="41" r:id="rId14"/>
    <sheet name="13.Ei ütemterv" sheetId="31" r:id="rId15"/>
    <sheet name="14. Mérleg" sheetId="46" r:id="rId16"/>
  </sheets>
  <definedNames>
    <definedName name="_xlnm._FilterDatabase" localSheetId="4" hidden="1">'5.Bevétel'!$A$2:$X$17</definedName>
    <definedName name="_xlnm._FilterDatabase" localSheetId="7" hidden="1">'6.Kiadások'!$A$2:$AD$30</definedName>
    <definedName name="_xlnm.Print_Titles" localSheetId="0">'1.Címrend (2)'!$1:$1</definedName>
    <definedName name="_xlnm.Print_Titles" localSheetId="12">'11.Intézm.'!$1:$1</definedName>
    <definedName name="_xlnm.Print_Titles" localSheetId="14">'13.Ei ütemterv'!$2:$3</definedName>
    <definedName name="_xlnm.Print_Titles" localSheetId="4">'5.Bevétel'!$3:$5</definedName>
    <definedName name="_xlnm.Print_Titles" localSheetId="7">'6.Kiadások'!$2:$5</definedName>
    <definedName name="_xlnm.Print_Titles" localSheetId="8">'7.Rovatrend szerint'!$1:$1</definedName>
    <definedName name="_xlnm.Print_Titles" localSheetId="10">'9.Támogatások'!$1:$6</definedName>
    <definedName name="_xlnm.Print_Area" localSheetId="15">'14. Mérleg'!$A$1:$H$88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J16" i="42"/>
  <c r="N5" i="39"/>
  <c r="N16" i="39" s="1"/>
  <c r="E114" i="31"/>
  <c r="F114" i="31"/>
  <c r="G114" i="31"/>
  <c r="H114" i="31"/>
  <c r="I114" i="31"/>
  <c r="J114" i="31"/>
  <c r="K114" i="31"/>
  <c r="L114" i="31"/>
  <c r="M114" i="31"/>
  <c r="N114" i="31"/>
  <c r="O114" i="31"/>
  <c r="D114" i="31"/>
  <c r="E113" i="31"/>
  <c r="F113" i="31"/>
  <c r="G113" i="31"/>
  <c r="H113" i="31"/>
  <c r="I113" i="31"/>
  <c r="J113" i="31"/>
  <c r="K113" i="31"/>
  <c r="L113" i="31"/>
  <c r="M113" i="31"/>
  <c r="N113" i="31"/>
  <c r="O113" i="31"/>
  <c r="D113" i="31"/>
  <c r="F112" i="31"/>
  <c r="G112" i="31"/>
  <c r="H112" i="31"/>
  <c r="I112" i="31"/>
  <c r="J112" i="31"/>
  <c r="K112" i="31"/>
  <c r="L112" i="31"/>
  <c r="M112" i="31"/>
  <c r="N112" i="31"/>
  <c r="O112" i="31"/>
  <c r="E112" i="31"/>
  <c r="E108" i="31"/>
  <c r="F108" i="31"/>
  <c r="G108" i="31"/>
  <c r="H108" i="31"/>
  <c r="I108" i="31"/>
  <c r="J108" i="31"/>
  <c r="K108" i="31"/>
  <c r="L108" i="31"/>
  <c r="M108" i="31"/>
  <c r="N108" i="31"/>
  <c r="O108" i="31"/>
  <c r="D108" i="31"/>
  <c r="E107" i="31"/>
  <c r="F107" i="31"/>
  <c r="G107" i="31"/>
  <c r="H107" i="31"/>
  <c r="I107" i="31"/>
  <c r="J107" i="31"/>
  <c r="K107" i="31"/>
  <c r="L107" i="31"/>
  <c r="M107" i="31"/>
  <c r="N107" i="31"/>
  <c r="O107" i="31"/>
  <c r="D107" i="31"/>
  <c r="F106" i="31"/>
  <c r="G106" i="31"/>
  <c r="H106" i="31"/>
  <c r="I106" i="31"/>
  <c r="J106" i="31"/>
  <c r="K106" i="31"/>
  <c r="L106" i="31"/>
  <c r="M106" i="31"/>
  <c r="N106" i="31"/>
  <c r="O106" i="31"/>
  <c r="E106" i="31"/>
  <c r="D97" i="31"/>
  <c r="D99" i="31" s="1"/>
  <c r="D98" i="31"/>
  <c r="D100" i="31" s="1"/>
  <c r="E94" i="31"/>
  <c r="F94" i="31"/>
  <c r="G94" i="31"/>
  <c r="H94" i="31"/>
  <c r="I94" i="31"/>
  <c r="J94" i="31"/>
  <c r="K94" i="31"/>
  <c r="L94" i="31"/>
  <c r="M94" i="31"/>
  <c r="N94" i="31"/>
  <c r="O94" i="31"/>
  <c r="D94" i="31"/>
  <c r="Q93" i="31"/>
  <c r="E80" i="31"/>
  <c r="F80" i="31"/>
  <c r="G80" i="31"/>
  <c r="H80" i="31"/>
  <c r="I80" i="31"/>
  <c r="J80" i="31"/>
  <c r="K80" i="31"/>
  <c r="L80" i="31"/>
  <c r="M80" i="31"/>
  <c r="N80" i="31"/>
  <c r="O80" i="31"/>
  <c r="D80" i="31"/>
  <c r="E79" i="31"/>
  <c r="F79" i="31"/>
  <c r="G79" i="31"/>
  <c r="H79" i="31"/>
  <c r="I79" i="31"/>
  <c r="J79" i="31"/>
  <c r="K79" i="31"/>
  <c r="L79" i="31"/>
  <c r="M79" i="31"/>
  <c r="N79" i="31"/>
  <c r="O79" i="31"/>
  <c r="D79" i="31"/>
  <c r="E78" i="31"/>
  <c r="F78" i="31"/>
  <c r="G78" i="31"/>
  <c r="H78" i="31"/>
  <c r="I78" i="31"/>
  <c r="J78" i="31"/>
  <c r="K78" i="31"/>
  <c r="L78" i="31"/>
  <c r="M78" i="31"/>
  <c r="N78" i="31"/>
  <c r="O78" i="31"/>
  <c r="D78" i="31"/>
  <c r="E77" i="31"/>
  <c r="F77" i="31"/>
  <c r="G77" i="31"/>
  <c r="H77" i="31"/>
  <c r="I77" i="31"/>
  <c r="J77" i="31"/>
  <c r="K77" i="31"/>
  <c r="L77" i="31"/>
  <c r="M77" i="31"/>
  <c r="N77" i="31"/>
  <c r="O77" i="31"/>
  <c r="D77" i="31"/>
  <c r="E76" i="31"/>
  <c r="F76" i="31"/>
  <c r="G76" i="31"/>
  <c r="H76" i="31"/>
  <c r="I76" i="31"/>
  <c r="J76" i="31"/>
  <c r="K76" i="31"/>
  <c r="L76" i="31"/>
  <c r="M76" i="31"/>
  <c r="N76" i="31"/>
  <c r="O76" i="31"/>
  <c r="D76" i="31"/>
  <c r="E75" i="31"/>
  <c r="F75" i="31"/>
  <c r="G75" i="31"/>
  <c r="H75" i="31"/>
  <c r="I75" i="31"/>
  <c r="J75" i="31"/>
  <c r="K75" i="31"/>
  <c r="L75" i="31"/>
  <c r="M75" i="31"/>
  <c r="N75" i="31"/>
  <c r="O75" i="31"/>
  <c r="D75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62" i="31"/>
  <c r="F62" i="31"/>
  <c r="G62" i="31"/>
  <c r="H62" i="31"/>
  <c r="I62" i="31"/>
  <c r="J62" i="31"/>
  <c r="K62" i="31"/>
  <c r="L62" i="31"/>
  <c r="M62" i="31"/>
  <c r="N62" i="31"/>
  <c r="O62" i="31"/>
  <c r="D62" i="31"/>
  <c r="E61" i="31"/>
  <c r="F61" i="31"/>
  <c r="G61" i="31"/>
  <c r="H61" i="31"/>
  <c r="I61" i="31"/>
  <c r="J61" i="31"/>
  <c r="K61" i="31"/>
  <c r="L61" i="31"/>
  <c r="M61" i="31"/>
  <c r="N61" i="31"/>
  <c r="O61" i="31"/>
  <c r="D61" i="31"/>
  <c r="E29" i="31"/>
  <c r="F29" i="31"/>
  <c r="G29" i="31"/>
  <c r="H29" i="31"/>
  <c r="I29" i="31"/>
  <c r="J29" i="31"/>
  <c r="K29" i="31"/>
  <c r="L29" i="31"/>
  <c r="M29" i="31"/>
  <c r="N29" i="31"/>
  <c r="O29" i="31"/>
  <c r="D29" i="31"/>
  <c r="E25" i="31"/>
  <c r="F25" i="31"/>
  <c r="G25" i="31"/>
  <c r="H25" i="31"/>
  <c r="I25" i="31"/>
  <c r="J25" i="31"/>
  <c r="K25" i="31"/>
  <c r="L25" i="31"/>
  <c r="M25" i="31"/>
  <c r="N25" i="31"/>
  <c r="O25" i="31"/>
  <c r="D25" i="31"/>
  <c r="E24" i="31"/>
  <c r="F24" i="31"/>
  <c r="G24" i="31"/>
  <c r="H24" i="31"/>
  <c r="I24" i="31"/>
  <c r="J24" i="31"/>
  <c r="K24" i="31"/>
  <c r="L24" i="31"/>
  <c r="M24" i="31"/>
  <c r="N24" i="31"/>
  <c r="O24" i="31"/>
  <c r="D24" i="31"/>
  <c r="L19" i="31"/>
  <c r="F19" i="31"/>
  <c r="L18" i="31"/>
  <c r="F18" i="31"/>
  <c r="L17" i="31"/>
  <c r="F17" i="31"/>
  <c r="L16" i="31"/>
  <c r="F16" i="31"/>
  <c r="E11" i="31"/>
  <c r="F11" i="31"/>
  <c r="G11" i="31"/>
  <c r="H11" i="31"/>
  <c r="I11" i="31"/>
  <c r="J11" i="31"/>
  <c r="K11" i="31"/>
  <c r="L11" i="31"/>
  <c r="M11" i="31"/>
  <c r="N11" i="31"/>
  <c r="O11" i="31"/>
  <c r="D11" i="31"/>
  <c r="E7" i="31"/>
  <c r="F7" i="31"/>
  <c r="G7" i="31"/>
  <c r="H7" i="31"/>
  <c r="I7" i="31"/>
  <c r="J7" i="31"/>
  <c r="K7" i="31"/>
  <c r="L7" i="31"/>
  <c r="M7" i="31"/>
  <c r="N7" i="31"/>
  <c r="O7" i="31"/>
  <c r="D7" i="31"/>
  <c r="E6" i="31"/>
  <c r="F6" i="31"/>
  <c r="G6" i="31"/>
  <c r="H6" i="31"/>
  <c r="I6" i="31"/>
  <c r="J6" i="31"/>
  <c r="K6" i="31"/>
  <c r="L6" i="31"/>
  <c r="M6" i="31"/>
  <c r="N6" i="31"/>
  <c r="O6" i="31"/>
  <c r="D6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D99" i="30"/>
  <c r="E99" i="30"/>
  <c r="C99" i="30"/>
  <c r="D92" i="30"/>
  <c r="E7" i="30"/>
  <c r="D7" i="30"/>
  <c r="Z5" i="39"/>
  <c r="L16" i="39"/>
  <c r="M16" i="39"/>
  <c r="O16" i="39"/>
  <c r="Z6" i="39"/>
  <c r="Z7" i="39"/>
  <c r="Z8" i="39"/>
  <c r="Z9" i="39"/>
  <c r="Z10" i="39"/>
  <c r="Z11" i="39"/>
  <c r="Z12" i="39"/>
  <c r="Z13" i="39"/>
  <c r="Z14" i="39"/>
  <c r="Z15" i="39"/>
  <c r="R16" i="39"/>
  <c r="S16" i="39"/>
  <c r="T16" i="39"/>
  <c r="U16" i="39"/>
  <c r="V16" i="39"/>
  <c r="W16" i="39"/>
  <c r="P16" i="39"/>
  <c r="Q16" i="39"/>
  <c r="D28" i="35"/>
  <c r="E15" i="31" l="1"/>
  <c r="F15" i="31"/>
  <c r="G15" i="31"/>
  <c r="H15" i="31"/>
  <c r="I15" i="31"/>
  <c r="J15" i="31"/>
  <c r="K15" i="31"/>
  <c r="L15" i="31"/>
  <c r="M15" i="31"/>
  <c r="N15" i="31"/>
  <c r="O15" i="31"/>
  <c r="D15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P10" i="31"/>
  <c r="J17" i="33"/>
  <c r="I17" i="33"/>
  <c r="Q86" i="31" s="1"/>
  <c r="H17" i="33"/>
  <c r="Q85" i="31" s="1"/>
  <c r="Q84" i="31" l="1"/>
  <c r="Q83" i="31"/>
  <c r="D49" i="31" l="1"/>
  <c r="D48" i="31"/>
  <c r="E48" i="31"/>
  <c r="F48" i="31"/>
  <c r="G48" i="31"/>
  <c r="H48" i="31"/>
  <c r="I48" i="31"/>
  <c r="J48" i="31"/>
  <c r="K48" i="31"/>
  <c r="L48" i="31"/>
  <c r="M48" i="31"/>
  <c r="N48" i="31"/>
  <c r="O48" i="31"/>
  <c r="Q33" i="31"/>
  <c r="Q32" i="31"/>
  <c r="Q30" i="31"/>
  <c r="Q25" i="31"/>
  <c r="Q24" i="31"/>
  <c r="Q17" i="31"/>
  <c r="Q16" i="31"/>
  <c r="P11" i="31"/>
  <c r="D6" i="11"/>
  <c r="E6" i="11"/>
  <c r="C6" i="11"/>
  <c r="D17" i="13"/>
  <c r="E17" i="13"/>
  <c r="C17" i="13"/>
  <c r="D6" i="13"/>
  <c r="E6" i="13"/>
  <c r="C6" i="13"/>
  <c r="E9" i="30"/>
  <c r="F6" i="11" l="1"/>
  <c r="E12" i="37"/>
  <c r="B7" i="37"/>
  <c r="B12" i="37" s="1"/>
  <c r="D21" i="33"/>
  <c r="B21" i="33"/>
  <c r="C22" i="33"/>
  <c r="D22" i="33"/>
  <c r="B22" i="33"/>
  <c r="C20" i="33"/>
  <c r="D20" i="33"/>
  <c r="B20" i="33"/>
  <c r="E81" i="31" l="1"/>
  <c r="F81" i="31"/>
  <c r="G81" i="31"/>
  <c r="H81" i="31"/>
  <c r="I81" i="31"/>
  <c r="J81" i="31"/>
  <c r="K81" i="31"/>
  <c r="L81" i="31"/>
  <c r="M81" i="31"/>
  <c r="N81" i="31"/>
  <c r="D81" i="31"/>
  <c r="F17" i="13"/>
  <c r="AF4" i="34"/>
  <c r="D60" i="30" l="1"/>
  <c r="E57" i="30"/>
  <c r="D31" i="30"/>
  <c r="E31" i="30"/>
  <c r="C31" i="30"/>
  <c r="C8" i="35"/>
  <c r="D85" i="46" l="1"/>
  <c r="E85" i="46"/>
  <c r="F85" i="46"/>
  <c r="G85" i="46"/>
  <c r="H85" i="46"/>
  <c r="C85" i="46"/>
  <c r="D22" i="46"/>
  <c r="E22" i="46"/>
  <c r="F22" i="46"/>
  <c r="G22" i="46"/>
  <c r="H22" i="46"/>
  <c r="C22" i="46"/>
  <c r="D23" i="46"/>
  <c r="E20" i="46"/>
  <c r="E23" i="46" s="1"/>
  <c r="F20" i="46"/>
  <c r="F23" i="46" s="1"/>
  <c r="G20" i="46"/>
  <c r="G23" i="46" s="1"/>
  <c r="H23" i="46"/>
  <c r="D10" i="46"/>
  <c r="E10" i="46"/>
  <c r="F10" i="46"/>
  <c r="G10" i="46"/>
  <c r="H10" i="46"/>
  <c r="C10" i="46"/>
  <c r="D6" i="46"/>
  <c r="D14" i="46" s="1"/>
  <c r="E6" i="46"/>
  <c r="F6" i="46"/>
  <c r="F14" i="46" s="1"/>
  <c r="G6" i="46"/>
  <c r="G14" i="46" s="1"/>
  <c r="H6" i="46"/>
  <c r="C6" i="46"/>
  <c r="P4" i="31"/>
  <c r="D25" i="33"/>
  <c r="D24" i="33"/>
  <c r="C25" i="33"/>
  <c r="Q43" i="31" s="1"/>
  <c r="C24" i="33"/>
  <c r="D19" i="33"/>
  <c r="D18" i="33"/>
  <c r="D17" i="33"/>
  <c r="D16" i="33"/>
  <c r="D15" i="33"/>
  <c r="C21" i="33"/>
  <c r="C19" i="33"/>
  <c r="Q29" i="31" s="1"/>
  <c r="C18" i="33"/>
  <c r="C17" i="33"/>
  <c r="Q19" i="31" s="1"/>
  <c r="C16" i="33"/>
  <c r="Q23" i="31" s="1"/>
  <c r="C15" i="33"/>
  <c r="B19" i="33"/>
  <c r="Q28" i="31" s="1"/>
  <c r="B18" i="33"/>
  <c r="B17" i="33"/>
  <c r="Q18" i="31" s="1"/>
  <c r="B16" i="33"/>
  <c r="Q22" i="31" s="1"/>
  <c r="B15" i="33"/>
  <c r="D12" i="33"/>
  <c r="C12" i="33"/>
  <c r="B12" i="33"/>
  <c r="D10" i="33"/>
  <c r="C10" i="33"/>
  <c r="Q7" i="31" s="1"/>
  <c r="B10" i="33"/>
  <c r="Q6" i="31" s="1"/>
  <c r="D9" i="33"/>
  <c r="C9" i="33"/>
  <c r="B9" i="33"/>
  <c r="K11" i="35"/>
  <c r="C23" i="46" l="1"/>
  <c r="P112" i="31"/>
  <c r="Q112" i="31"/>
  <c r="P108" i="31"/>
  <c r="P107" i="31"/>
  <c r="P106" i="31"/>
  <c r="Q11" i="31"/>
  <c r="Q10" i="31"/>
  <c r="Q15" i="31"/>
  <c r="Q14" i="31"/>
  <c r="Q5" i="31"/>
  <c r="Q4" i="31"/>
  <c r="E20" i="40"/>
  <c r="F20" i="40"/>
  <c r="G20" i="40"/>
  <c r="I20" i="40"/>
  <c r="J20" i="40"/>
  <c r="D23" i="11"/>
  <c r="E23" i="11"/>
  <c r="C23" i="11"/>
  <c r="F6" i="13"/>
  <c r="D22" i="13"/>
  <c r="E22" i="13"/>
  <c r="C22" i="13"/>
  <c r="D35" i="30"/>
  <c r="E35" i="30"/>
  <c r="C35" i="30"/>
  <c r="B25" i="33"/>
  <c r="B24" i="33"/>
  <c r="J18" i="33"/>
  <c r="J16" i="33"/>
  <c r="J15" i="33"/>
  <c r="J12" i="33"/>
  <c r="J13" i="33"/>
  <c r="J11" i="33"/>
  <c r="J10" i="33"/>
  <c r="J9" i="33"/>
  <c r="I18" i="33"/>
  <c r="Q94" i="31" s="1"/>
  <c r="I16" i="33"/>
  <c r="I15" i="33"/>
  <c r="Q82" i="31" s="1"/>
  <c r="I14" i="33"/>
  <c r="I13" i="33"/>
  <c r="Q80" i="31" s="1"/>
  <c r="I12" i="33"/>
  <c r="Q78" i="31" s="1"/>
  <c r="I11" i="33"/>
  <c r="Q76" i="31" s="1"/>
  <c r="I10" i="33"/>
  <c r="Q64" i="31" s="1"/>
  <c r="I9" i="33"/>
  <c r="Q62" i="31" s="1"/>
  <c r="H18" i="33"/>
  <c r="H16" i="33"/>
  <c r="H15" i="33"/>
  <c r="Q81" i="31" s="1"/>
  <c r="H14" i="33"/>
  <c r="H13" i="33"/>
  <c r="Q79" i="31" s="1"/>
  <c r="H12" i="33"/>
  <c r="Q77" i="31" s="1"/>
  <c r="H11" i="33"/>
  <c r="Q75" i="31" s="1"/>
  <c r="H10" i="33"/>
  <c r="Q63" i="31" s="1"/>
  <c r="H9" i="33"/>
  <c r="Q61" i="31" s="1"/>
  <c r="F23" i="11" l="1"/>
  <c r="Q106" i="31"/>
  <c r="Q42" i="31"/>
  <c r="O8" i="31"/>
  <c r="E9" i="31"/>
  <c r="F9" i="31"/>
  <c r="G9" i="31"/>
  <c r="H9" i="31"/>
  <c r="I9" i="31"/>
  <c r="J9" i="31"/>
  <c r="K9" i="31"/>
  <c r="L9" i="31"/>
  <c r="M9" i="31"/>
  <c r="N9" i="31"/>
  <c r="O9" i="31"/>
  <c r="D9" i="31"/>
  <c r="E8" i="31"/>
  <c r="F8" i="31"/>
  <c r="G8" i="31"/>
  <c r="H8" i="31"/>
  <c r="I8" i="31"/>
  <c r="J8" i="31"/>
  <c r="K8" i="31"/>
  <c r="L8" i="31"/>
  <c r="M8" i="31"/>
  <c r="N8" i="31"/>
  <c r="D8" i="31"/>
  <c r="T16" i="42"/>
  <c r="S16" i="42"/>
  <c r="R16" i="42"/>
  <c r="P15" i="42"/>
  <c r="O15" i="42"/>
  <c r="N15" i="42"/>
  <c r="P10" i="42"/>
  <c r="O10" i="42"/>
  <c r="T9" i="42"/>
  <c r="S9" i="42"/>
  <c r="N10" i="42"/>
  <c r="R9" i="42"/>
  <c r="E91" i="30"/>
  <c r="D91" i="30"/>
  <c r="F87" i="30"/>
  <c r="F88" i="30"/>
  <c r="F95" i="30"/>
  <c r="C91" i="30"/>
  <c r="F83" i="30"/>
  <c r="E76" i="30"/>
  <c r="D76" i="30"/>
  <c r="C76" i="30"/>
  <c r="F63" i="30"/>
  <c r="F56" i="30"/>
  <c r="N18" i="42" l="1"/>
  <c r="O18" i="42"/>
  <c r="T18" i="42"/>
  <c r="S18" i="42"/>
  <c r="P18" i="42"/>
  <c r="R18" i="42"/>
  <c r="F43" i="30"/>
  <c r="E27" i="30"/>
  <c r="D27" i="30"/>
  <c r="F28" i="30"/>
  <c r="F30" i="30"/>
  <c r="F18" i="30"/>
  <c r="F31" i="30"/>
  <c r="E29" i="30"/>
  <c r="D29" i="30"/>
  <c r="F25" i="30"/>
  <c r="F26" i="30"/>
  <c r="E21" i="33"/>
  <c r="D29" i="35"/>
  <c r="C29" i="35"/>
  <c r="B29" i="35"/>
  <c r="E20" i="33"/>
  <c r="E15" i="35"/>
  <c r="F29" i="30" l="1"/>
  <c r="F92" i="30"/>
  <c r="F93" i="30"/>
  <c r="E94" i="30"/>
  <c r="F42" i="30"/>
  <c r="F34" i="30"/>
  <c r="F10" i="30"/>
  <c r="E24" i="33"/>
  <c r="K16" i="33"/>
  <c r="K24" i="35"/>
  <c r="E23" i="35"/>
  <c r="P84" i="31" l="1"/>
  <c r="P45" i="31"/>
  <c r="P44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J27" i="40"/>
  <c r="I27" i="40"/>
  <c r="D94" i="30"/>
  <c r="F94" i="30" s="1"/>
  <c r="C94" i="30"/>
  <c r="F86" i="30"/>
  <c r="D11" i="30"/>
  <c r="E11" i="30"/>
  <c r="C11" i="30"/>
  <c r="AD28" i="34"/>
  <c r="AF28" i="34"/>
  <c r="AE28" i="34"/>
  <c r="AE5" i="34"/>
  <c r="AC29" i="34"/>
  <c r="P29" i="34"/>
  <c r="P30" i="34" s="1"/>
  <c r="D29" i="34"/>
  <c r="E29" i="34"/>
  <c r="F29" i="34"/>
  <c r="G29" i="34"/>
  <c r="H29" i="34"/>
  <c r="J29" i="34"/>
  <c r="K29" i="34"/>
  <c r="L29" i="34"/>
  <c r="M29" i="34"/>
  <c r="N29" i="34"/>
  <c r="O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C29" i="34"/>
  <c r="G16" i="39"/>
  <c r="G17" i="39" s="1"/>
  <c r="H16" i="39"/>
  <c r="H17" i="39" s="1"/>
  <c r="F11" i="30" l="1"/>
  <c r="C25" i="11"/>
  <c r="F3" i="30"/>
  <c r="F22" i="13"/>
  <c r="D85" i="30"/>
  <c r="F74" i="30"/>
  <c r="C60" i="30"/>
  <c r="E54" i="30"/>
  <c r="C54" i="30"/>
  <c r="D54" i="30"/>
  <c r="E98" i="31" l="1"/>
  <c r="E100" i="31" s="1"/>
  <c r="F98" i="31"/>
  <c r="F100" i="31" s="1"/>
  <c r="G98" i="31"/>
  <c r="G100" i="31" s="1"/>
  <c r="H98" i="31"/>
  <c r="H100" i="31" s="1"/>
  <c r="I98" i="31"/>
  <c r="I100" i="31" s="1"/>
  <c r="J98" i="31"/>
  <c r="J100" i="31" s="1"/>
  <c r="K98" i="31"/>
  <c r="K100" i="31" s="1"/>
  <c r="L98" i="31"/>
  <c r="L100" i="31" s="1"/>
  <c r="M98" i="31"/>
  <c r="M100" i="31" s="1"/>
  <c r="N98" i="31"/>
  <c r="N100" i="31" s="1"/>
  <c r="O98" i="31"/>
  <c r="O100" i="31" s="1"/>
  <c r="E97" i="31"/>
  <c r="F97" i="31"/>
  <c r="F99" i="31" s="1"/>
  <c r="G97" i="31"/>
  <c r="G99" i="31" s="1"/>
  <c r="H97" i="31"/>
  <c r="H99" i="31" s="1"/>
  <c r="I97" i="31"/>
  <c r="I99" i="31" s="1"/>
  <c r="J97" i="31"/>
  <c r="J99" i="31" s="1"/>
  <c r="K97" i="31"/>
  <c r="K99" i="31" s="1"/>
  <c r="L97" i="31"/>
  <c r="L99" i="31" s="1"/>
  <c r="M97" i="31"/>
  <c r="M99" i="31" s="1"/>
  <c r="N97" i="31"/>
  <c r="O97" i="31"/>
  <c r="O99" i="31" s="1"/>
  <c r="P94" i="31"/>
  <c r="P93" i="31"/>
  <c r="F88" i="31"/>
  <c r="H88" i="31"/>
  <c r="J88" i="31"/>
  <c r="L88" i="31"/>
  <c r="N88" i="31"/>
  <c r="O53" i="31"/>
  <c r="E53" i="31"/>
  <c r="F53" i="31"/>
  <c r="G53" i="31"/>
  <c r="H53" i="31"/>
  <c r="I53" i="31"/>
  <c r="J53" i="31"/>
  <c r="K53" i="31"/>
  <c r="L53" i="31"/>
  <c r="M53" i="31"/>
  <c r="N53" i="31"/>
  <c r="D53" i="31"/>
  <c r="E26" i="31"/>
  <c r="D26" i="31"/>
  <c r="F26" i="31"/>
  <c r="F36" i="31" s="1"/>
  <c r="G26" i="31"/>
  <c r="H26" i="31"/>
  <c r="I26" i="31"/>
  <c r="J26" i="31"/>
  <c r="K26" i="31"/>
  <c r="L26" i="31"/>
  <c r="L36" i="31" s="1"/>
  <c r="M26" i="31"/>
  <c r="N26" i="31"/>
  <c r="N36" i="31" s="1"/>
  <c r="O26" i="31"/>
  <c r="P13" i="31"/>
  <c r="P12" i="31"/>
  <c r="E37" i="31"/>
  <c r="G37" i="31"/>
  <c r="O37" i="31"/>
  <c r="I16" i="42"/>
  <c r="I9" i="42"/>
  <c r="I18" i="42" s="1"/>
  <c r="J9" i="42"/>
  <c r="J18" i="42" s="1"/>
  <c r="E15" i="42"/>
  <c r="F15" i="42"/>
  <c r="D15" i="42"/>
  <c r="E10" i="42"/>
  <c r="F10" i="42"/>
  <c r="D25" i="11"/>
  <c r="E25" i="11"/>
  <c r="F25" i="11" s="1"/>
  <c r="C26" i="11"/>
  <c r="C23" i="13"/>
  <c r="D23" i="13"/>
  <c r="E23" i="13"/>
  <c r="F4" i="30"/>
  <c r="F5" i="30"/>
  <c r="F6" i="30"/>
  <c r="F7" i="30"/>
  <c r="F8" i="30"/>
  <c r="F13" i="30"/>
  <c r="F14" i="30"/>
  <c r="F15" i="30"/>
  <c r="F16" i="30"/>
  <c r="F19" i="30"/>
  <c r="F21" i="30"/>
  <c r="F22" i="30"/>
  <c r="F23" i="30"/>
  <c r="F24" i="30"/>
  <c r="F33" i="30"/>
  <c r="F38" i="30"/>
  <c r="F44" i="30"/>
  <c r="F46" i="30"/>
  <c r="F47" i="30"/>
  <c r="F48" i="30"/>
  <c r="F49" i="30"/>
  <c r="F51" i="30"/>
  <c r="F58" i="30"/>
  <c r="F59" i="30"/>
  <c r="F62" i="30"/>
  <c r="F64" i="30"/>
  <c r="F65" i="30"/>
  <c r="F66" i="30"/>
  <c r="F70" i="30"/>
  <c r="F72" i="30"/>
  <c r="F75" i="30"/>
  <c r="F78" i="30"/>
  <c r="F80" i="30"/>
  <c r="F81" i="30"/>
  <c r="F89" i="30"/>
  <c r="F90" i="30"/>
  <c r="F98" i="30"/>
  <c r="E85" i="30"/>
  <c r="C85" i="30"/>
  <c r="D79" i="30"/>
  <c r="E79" i="30"/>
  <c r="D71" i="30"/>
  <c r="C71" i="30"/>
  <c r="E60" i="30"/>
  <c r="D50" i="30"/>
  <c r="E50" i="30"/>
  <c r="C50" i="30"/>
  <c r="F35" i="30"/>
  <c r="C27" i="30"/>
  <c r="D17" i="30"/>
  <c r="E17" i="30"/>
  <c r="E36" i="30" s="1"/>
  <c r="C17" i="30"/>
  <c r="D9" i="30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I26" i="33"/>
  <c r="J26" i="33"/>
  <c r="AB30" i="34"/>
  <c r="Y30" i="34"/>
  <c r="Z30" i="34"/>
  <c r="V30" i="34"/>
  <c r="M30" i="34"/>
  <c r="D30" i="34"/>
  <c r="AC30" i="34"/>
  <c r="W30" i="34"/>
  <c r="S30" i="34"/>
  <c r="T30" i="34"/>
  <c r="Q30" i="34"/>
  <c r="N30" i="34"/>
  <c r="J30" i="34"/>
  <c r="K30" i="34"/>
  <c r="G30" i="34"/>
  <c r="H30" i="34"/>
  <c r="E30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F5" i="34"/>
  <c r="AE6" i="34"/>
  <c r="AE7" i="34"/>
  <c r="AE8" i="34"/>
  <c r="AE9" i="34"/>
  <c r="AE10" i="34"/>
  <c r="AE11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Y6" i="39"/>
  <c r="Y7" i="39"/>
  <c r="Y8" i="39"/>
  <c r="Y9" i="39"/>
  <c r="Y10" i="39"/>
  <c r="Y11" i="39"/>
  <c r="Y12" i="39"/>
  <c r="Y13" i="39"/>
  <c r="Y14" i="39"/>
  <c r="Y5" i="39"/>
  <c r="X5" i="39"/>
  <c r="X6" i="39"/>
  <c r="X8" i="39"/>
  <c r="X9" i="39"/>
  <c r="X10" i="39"/>
  <c r="X11" i="39"/>
  <c r="X12" i="39"/>
  <c r="X13" i="39"/>
  <c r="X14" i="39"/>
  <c r="W17" i="39"/>
  <c r="M17" i="39"/>
  <c r="D16" i="39"/>
  <c r="E16" i="39"/>
  <c r="E17" i="39" s="1"/>
  <c r="E15" i="37"/>
  <c r="K10" i="33"/>
  <c r="K11" i="33"/>
  <c r="K12" i="33"/>
  <c r="K13" i="33"/>
  <c r="K15" i="33"/>
  <c r="K18" i="33"/>
  <c r="K9" i="33"/>
  <c r="E10" i="33"/>
  <c r="E15" i="33"/>
  <c r="E16" i="33"/>
  <c r="E17" i="33"/>
  <c r="E18" i="33"/>
  <c r="E19" i="33"/>
  <c r="E25" i="33"/>
  <c r="E9" i="33"/>
  <c r="C13" i="33"/>
  <c r="D13" i="33"/>
  <c r="B13" i="33"/>
  <c r="C11" i="33"/>
  <c r="D11" i="33"/>
  <c r="K26" i="35"/>
  <c r="K23" i="35"/>
  <c r="E28" i="35"/>
  <c r="K6" i="35"/>
  <c r="K7" i="35"/>
  <c r="K8" i="35"/>
  <c r="K10" i="35"/>
  <c r="K5" i="35"/>
  <c r="E6" i="35"/>
  <c r="E10" i="35"/>
  <c r="E11" i="35"/>
  <c r="E12" i="35"/>
  <c r="E13" i="35"/>
  <c r="E14" i="35"/>
  <c r="E5" i="35"/>
  <c r="J16" i="39"/>
  <c r="J17" i="39" s="1"/>
  <c r="D8" i="35"/>
  <c r="K16" i="39" s="1"/>
  <c r="K17" i="39" s="1"/>
  <c r="B8" i="35"/>
  <c r="C7" i="35"/>
  <c r="D7" i="35"/>
  <c r="I29" i="35"/>
  <c r="J29" i="35"/>
  <c r="I16" i="35"/>
  <c r="Q114" i="31" s="1"/>
  <c r="J16" i="35"/>
  <c r="D30" i="41"/>
  <c r="C30" i="41"/>
  <c r="B30" i="41"/>
  <c r="F13" i="41"/>
  <c r="E13" i="41"/>
  <c r="D13" i="41"/>
  <c r="C13" i="41"/>
  <c r="B13" i="41"/>
  <c r="H9" i="42"/>
  <c r="D10" i="42"/>
  <c r="C9" i="30"/>
  <c r="C36" i="30" s="1"/>
  <c r="I29" i="34"/>
  <c r="I30" i="34" s="1"/>
  <c r="X7" i="39"/>
  <c r="H26" i="33"/>
  <c r="H16" i="35"/>
  <c r="Q108" i="31" s="1"/>
  <c r="B7" i="35"/>
  <c r="H16" i="42"/>
  <c r="H18" i="42" s="1"/>
  <c r="H19" i="40"/>
  <c r="H20" i="40" s="1"/>
  <c r="D20" i="40"/>
  <c r="D27" i="40" s="1"/>
  <c r="D12" i="40"/>
  <c r="D14" i="40" s="1"/>
  <c r="H11" i="40"/>
  <c r="G26" i="40"/>
  <c r="G28" i="40" s="1"/>
  <c r="F26" i="40"/>
  <c r="F28" i="40" s="1"/>
  <c r="E26" i="40"/>
  <c r="E28" i="40" s="1"/>
  <c r="G14" i="40"/>
  <c r="F12" i="40"/>
  <c r="E12" i="40"/>
  <c r="E14" i="40" s="1"/>
  <c r="E22" i="40" s="1"/>
  <c r="G10" i="40"/>
  <c r="H10" i="40" s="1"/>
  <c r="H5" i="40"/>
  <c r="C79" i="30"/>
  <c r="U17" i="39"/>
  <c r="R17" i="39"/>
  <c r="O17" i="39"/>
  <c r="F16" i="39"/>
  <c r="F17" i="39" s="1"/>
  <c r="C16" i="39"/>
  <c r="AA30" i="34"/>
  <c r="X30" i="34"/>
  <c r="U30" i="34"/>
  <c r="R30" i="34"/>
  <c r="O30" i="34"/>
  <c r="L30" i="34"/>
  <c r="C30" i="34"/>
  <c r="E52" i="31"/>
  <c r="E99" i="31"/>
  <c r="F52" i="31"/>
  <c r="G52" i="31"/>
  <c r="H52" i="31"/>
  <c r="I36" i="31"/>
  <c r="I52" i="31"/>
  <c r="J52" i="31"/>
  <c r="J87" i="31"/>
  <c r="K52" i="31"/>
  <c r="L52" i="31"/>
  <c r="M52" i="31"/>
  <c r="N52" i="31"/>
  <c r="N99" i="31"/>
  <c r="N87" i="31"/>
  <c r="O52" i="31"/>
  <c r="P96" i="31"/>
  <c r="P95" i="31"/>
  <c r="P92" i="31"/>
  <c r="P91" i="31"/>
  <c r="P90" i="31"/>
  <c r="P89" i="31"/>
  <c r="P86" i="31"/>
  <c r="P85" i="31"/>
  <c r="P83" i="31"/>
  <c r="P82" i="31"/>
  <c r="P81" i="31"/>
  <c r="P80" i="31"/>
  <c r="P79" i="31"/>
  <c r="P78" i="31"/>
  <c r="P77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0" i="31"/>
  <c r="P59" i="31"/>
  <c r="P58" i="31"/>
  <c r="P57" i="31"/>
  <c r="P51" i="31"/>
  <c r="P50" i="31"/>
  <c r="P47" i="31"/>
  <c r="P46" i="31"/>
  <c r="P43" i="31"/>
  <c r="P42" i="31"/>
  <c r="P41" i="31"/>
  <c r="P40" i="31"/>
  <c r="P39" i="31"/>
  <c r="P38" i="31"/>
  <c r="P34" i="31"/>
  <c r="P32" i="31"/>
  <c r="P30" i="31"/>
  <c r="P28" i="31"/>
  <c r="P35" i="31"/>
  <c r="P33" i="31"/>
  <c r="P31" i="31"/>
  <c r="P29" i="31"/>
  <c r="P27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7" i="31"/>
  <c r="P6" i="31"/>
  <c r="H29" i="35"/>
  <c r="F30" i="34"/>
  <c r="L17" i="39"/>
  <c r="B11" i="33"/>
  <c r="C12" i="37"/>
  <c r="C17" i="39" l="1"/>
  <c r="D18" i="42"/>
  <c r="N17" i="39"/>
  <c r="D36" i="30"/>
  <c r="B26" i="33"/>
  <c r="F14" i="40"/>
  <c r="X15" i="39"/>
  <c r="P98" i="31"/>
  <c r="I54" i="31"/>
  <c r="N54" i="31"/>
  <c r="D26" i="11"/>
  <c r="Y15" i="39"/>
  <c r="D26" i="33"/>
  <c r="C26" i="33"/>
  <c r="P76" i="31"/>
  <c r="F54" i="31"/>
  <c r="J36" i="31"/>
  <c r="J54" i="31" s="1"/>
  <c r="F69" i="30"/>
  <c r="C57" i="30"/>
  <c r="F99" i="30"/>
  <c r="B16" i="35"/>
  <c r="G87" i="31"/>
  <c r="G101" i="31" s="1"/>
  <c r="E87" i="31"/>
  <c r="E101" i="31" s="1"/>
  <c r="G22" i="40"/>
  <c r="I87" i="31"/>
  <c r="I101" i="31" s="1"/>
  <c r="K26" i="33"/>
  <c r="E71" i="30"/>
  <c r="F71" i="30" s="1"/>
  <c r="H36" i="31"/>
  <c r="H54" i="31" s="1"/>
  <c r="E36" i="31"/>
  <c r="E54" i="31" s="1"/>
  <c r="D12" i="37"/>
  <c r="D15" i="37" s="1"/>
  <c r="O87" i="31"/>
  <c r="O101" i="31" s="1"/>
  <c r="L87" i="31"/>
  <c r="L101" i="31" s="1"/>
  <c r="K87" i="31"/>
  <c r="K101" i="31" s="1"/>
  <c r="H27" i="40"/>
  <c r="M36" i="31"/>
  <c r="M54" i="31" s="1"/>
  <c r="P100" i="31"/>
  <c r="P26" i="31"/>
  <c r="E68" i="30"/>
  <c r="G55" i="31"/>
  <c r="F102" i="31"/>
  <c r="M87" i="31"/>
  <c r="M101" i="31" s="1"/>
  <c r="H87" i="31"/>
  <c r="H101" i="31" s="1"/>
  <c r="F22" i="40"/>
  <c r="AF29" i="34"/>
  <c r="AF30" i="34" s="1"/>
  <c r="E55" i="31"/>
  <c r="P48" i="31"/>
  <c r="D52" i="31"/>
  <c r="P52" i="31" s="1"/>
  <c r="L102" i="31"/>
  <c r="H102" i="31"/>
  <c r="D87" i="31"/>
  <c r="D101" i="31" s="1"/>
  <c r="P53" i="31"/>
  <c r="N102" i="31"/>
  <c r="J102" i="31"/>
  <c r="AE29" i="34"/>
  <c r="AE30" i="34" s="1"/>
  <c r="AD5" i="34"/>
  <c r="AD29" i="34" s="1"/>
  <c r="AD30" i="34" s="1"/>
  <c r="D57" i="30"/>
  <c r="H12" i="40"/>
  <c r="H14" i="40" s="1"/>
  <c r="O55" i="31"/>
  <c r="O36" i="31"/>
  <c r="O54" i="31" s="1"/>
  <c r="K36" i="31"/>
  <c r="K54" i="31" s="1"/>
  <c r="G36" i="31"/>
  <c r="G54" i="31" s="1"/>
  <c r="F23" i="13"/>
  <c r="N37" i="31"/>
  <c r="N55" i="31" s="1"/>
  <c r="F79" i="30"/>
  <c r="F60" i="30"/>
  <c r="F27" i="30"/>
  <c r="V17" i="39"/>
  <c r="Y16" i="39"/>
  <c r="Y17" i="39" s="1"/>
  <c r="E29" i="35"/>
  <c r="H34" i="35"/>
  <c r="O88" i="31"/>
  <c r="O102" i="31" s="1"/>
  <c r="M88" i="31"/>
  <c r="M102" i="31" s="1"/>
  <c r="K88" i="31"/>
  <c r="K102" i="31" s="1"/>
  <c r="I88" i="31"/>
  <c r="I102" i="31" s="1"/>
  <c r="P75" i="31"/>
  <c r="F87" i="31"/>
  <c r="F101" i="31" s="1"/>
  <c r="G88" i="31"/>
  <c r="G102" i="31" s="1"/>
  <c r="E88" i="31"/>
  <c r="E102" i="31" s="1"/>
  <c r="D88" i="31"/>
  <c r="D102" i="31" s="1"/>
  <c r="P62" i="31"/>
  <c r="M37" i="31"/>
  <c r="M55" i="31" s="1"/>
  <c r="K37" i="31"/>
  <c r="K55" i="31" s="1"/>
  <c r="H37" i="31"/>
  <c r="H55" i="31" s="1"/>
  <c r="F37" i="31"/>
  <c r="F55" i="31" s="1"/>
  <c r="D37" i="31"/>
  <c r="D55" i="31" s="1"/>
  <c r="L37" i="31"/>
  <c r="L55" i="31" s="1"/>
  <c r="J37" i="31"/>
  <c r="J55" i="31" s="1"/>
  <c r="F18" i="42"/>
  <c r="E18" i="42"/>
  <c r="E26" i="11"/>
  <c r="F26" i="11" s="1"/>
  <c r="F91" i="30"/>
  <c r="F85" i="30"/>
  <c r="F76" i="30"/>
  <c r="F67" i="30"/>
  <c r="D68" i="30"/>
  <c r="F61" i="30"/>
  <c r="F55" i="30"/>
  <c r="F54" i="30"/>
  <c r="F50" i="30"/>
  <c r="F17" i="30"/>
  <c r="F9" i="30"/>
  <c r="E13" i="33"/>
  <c r="E11" i="33"/>
  <c r="K29" i="35"/>
  <c r="K16" i="35"/>
  <c r="I34" i="35"/>
  <c r="D16" i="35"/>
  <c r="D34" i="35" s="1"/>
  <c r="E8" i="35"/>
  <c r="E7" i="35"/>
  <c r="C16" i="35"/>
  <c r="Q113" i="31" s="1"/>
  <c r="P97" i="31"/>
  <c r="I37" i="31"/>
  <c r="I55" i="31" s="1"/>
  <c r="P9" i="31"/>
  <c r="P37" i="31" s="1"/>
  <c r="N101" i="31"/>
  <c r="J101" i="31"/>
  <c r="D36" i="31"/>
  <c r="P5" i="31"/>
  <c r="P61" i="31"/>
  <c r="P49" i="31"/>
  <c r="L54" i="31"/>
  <c r="P8" i="31"/>
  <c r="C68" i="30"/>
  <c r="D17" i="39"/>
  <c r="J34" i="35"/>
  <c r="D25" i="40"/>
  <c r="D26" i="40" s="1"/>
  <c r="D28" i="40" s="1"/>
  <c r="D22" i="40"/>
  <c r="P99" i="31"/>
  <c r="I12" i="40" l="1"/>
  <c r="I16" i="39"/>
  <c r="D54" i="31"/>
  <c r="P54" i="31" s="1"/>
  <c r="B34" i="35"/>
  <c r="Q107" i="31"/>
  <c r="P36" i="31"/>
  <c r="H22" i="40"/>
  <c r="E77" i="30"/>
  <c r="E100" i="30" s="1"/>
  <c r="C77" i="30"/>
  <c r="C100" i="30" s="1"/>
  <c r="H25" i="40"/>
  <c r="H26" i="40" s="1"/>
  <c r="H28" i="40" s="1"/>
  <c r="F68" i="30"/>
  <c r="P87" i="31"/>
  <c r="P114" i="31"/>
  <c r="D77" i="30"/>
  <c r="P113" i="31"/>
  <c r="D115" i="31"/>
  <c r="E115" i="31" s="1"/>
  <c r="F115" i="31" s="1"/>
  <c r="G115" i="31" s="1"/>
  <c r="H115" i="31" s="1"/>
  <c r="I115" i="31" s="1"/>
  <c r="J115" i="31" s="1"/>
  <c r="K115" i="31" s="1"/>
  <c r="L115" i="31" s="1"/>
  <c r="M115" i="31" s="1"/>
  <c r="N115" i="31" s="1"/>
  <c r="O115" i="31" s="1"/>
  <c r="P88" i="31"/>
  <c r="P102" i="31"/>
  <c r="P55" i="31"/>
  <c r="F57" i="30"/>
  <c r="F36" i="30"/>
  <c r="E26" i="33"/>
  <c r="K34" i="35"/>
  <c r="E16" i="35"/>
  <c r="C34" i="35"/>
  <c r="E34" i="35" s="1"/>
  <c r="P101" i="31"/>
  <c r="I14" i="40" l="1"/>
  <c r="J12" i="40"/>
  <c r="J14" i="40" s="1"/>
  <c r="I17" i="39"/>
  <c r="X16" i="39"/>
  <c r="X17" i="39" s="1"/>
  <c r="F77" i="30"/>
  <c r="D100" i="30"/>
  <c r="F100" i="30" s="1"/>
  <c r="D109" i="31"/>
  <c r="E109" i="31" s="1"/>
  <c r="F109" i="31" s="1"/>
  <c r="G109" i="31" s="1"/>
  <c r="H109" i="31" s="1"/>
  <c r="I109" i="31" s="1"/>
  <c r="J109" i="31" s="1"/>
  <c r="K109" i="31" s="1"/>
  <c r="L109" i="31" s="1"/>
  <c r="M109" i="31" s="1"/>
  <c r="N109" i="31" s="1"/>
  <c r="O109" i="31" s="1"/>
  <c r="Z16" i="39" l="1"/>
  <c r="Z17" i="39" s="1"/>
  <c r="Z20" i="39" s="1"/>
  <c r="J25" i="40"/>
  <c r="J26" i="40" s="1"/>
  <c r="J28" i="40" s="1"/>
  <c r="J22" i="40"/>
  <c r="I25" i="40"/>
  <c r="I26" i="40" s="1"/>
  <c r="I28" i="40" s="1"/>
  <c r="I22" i="40"/>
</calcChain>
</file>

<file path=xl/sharedStrings.xml><?xml version="1.0" encoding="utf-8"?>
<sst xmlns="http://schemas.openxmlformats.org/spreadsheetml/2006/main" count="1157" uniqueCount="702">
  <si>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</si>
  <si>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</si>
  <si>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</si>
  <si>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</si>
  <si>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</si>
  <si>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</si>
  <si>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</si>
  <si>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</si>
  <si>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</si>
  <si>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</si>
  <si>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</si>
  <si>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</si>
  <si>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</si>
  <si>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</si>
  <si>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</si>
  <si>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</si>
  <si>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</si>
  <si>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</si>
  <si>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</si>
  <si>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</si>
  <si>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</si>
  <si>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>Bevételek mindösszesen</t>
  </si>
  <si>
    <t>Kiadások mindösszesen:</t>
  </si>
  <si>
    <t>K506</t>
  </si>
  <si>
    <t>B8131</t>
  </si>
  <si>
    <t>Előző évi ktgv.maradvány</t>
  </si>
  <si>
    <t>B816</t>
  </si>
  <si>
    <t>Központi, irányítószervi támogatás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</si>
  <si>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</si>
  <si>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</si>
  <si>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</si>
  <si>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</si>
  <si>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</si>
  <si>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</si>
  <si>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</si>
  <si>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</si>
  <si>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</si>
  <si>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</si>
  <si>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</si>
  <si>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</si>
  <si>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</si>
  <si>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</si>
  <si>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</si>
  <si>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</si>
  <si>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</si>
  <si>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</si>
  <si>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</si>
  <si>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</si>
  <si>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B114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</si>
  <si>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</si>
  <si>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</si>
  <si>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</si>
  <si>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</si>
  <si>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</si>
  <si>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</si>
  <si>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</si>
  <si>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</si>
  <si>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</si>
  <si>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</si>
  <si>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</si>
  <si>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</si>
  <si>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</si>
  <si>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</si>
  <si>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</si>
  <si>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</si>
  <si>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</si>
  <si>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</si>
  <si>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</si>
  <si>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</si>
  <si>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</si>
  <si>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</si>
  <si>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</si>
  <si>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</si>
  <si>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</si>
  <si>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</si>
  <si>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</si>
  <si>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</si>
  <si>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</si>
  <si>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</si>
  <si>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</si>
  <si>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</si>
  <si>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</si>
  <si>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</si>
  <si>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</si>
  <si>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</si>
  <si>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</si>
  <si>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</si>
  <si>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</si>
  <si>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</si>
  <si>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</si>
  <si>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</si>
  <si>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</si>
  <si>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</si>
  <si>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</si>
  <si>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</si>
  <si>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</si>
  <si>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</si>
  <si>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</si>
  <si>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</si>
  <si>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</si>
  <si>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</si>
  <si>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</si>
  <si>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</si>
  <si>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</si>
  <si>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</si>
  <si>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</si>
  <si>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</si>
  <si>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</si>
  <si>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</si>
  <si>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</si>
  <si>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</si>
  <si>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</si>
  <si>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</si>
  <si>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</si>
  <si>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</si>
  <si>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</si>
  <si>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</si>
  <si>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</si>
  <si>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</si>
  <si>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</si>
  <si>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</si>
  <si>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</si>
  <si>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</si>
  <si>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</si>
  <si>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</si>
  <si>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</si>
  <si>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</si>
  <si>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</si>
  <si>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</si>
  <si>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</si>
  <si>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</si>
  <si>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</si>
  <si>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</si>
  <si>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</si>
  <si>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</si>
  <si>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</si>
  <si>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</si>
  <si>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</si>
  <si>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</si>
  <si>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</si>
  <si>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</si>
  <si>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</si>
  <si>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</si>
  <si>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</si>
  <si>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</si>
  <si>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</si>
  <si>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</si>
  <si>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</si>
  <si>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</si>
  <si>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</si>
  <si>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</si>
  <si>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</si>
  <si>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</si>
  <si>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</si>
  <si>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</si>
  <si>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</si>
  <si>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</si>
  <si>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</si>
  <si>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</si>
  <si>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</si>
  <si>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</si>
  <si>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</si>
  <si>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</si>
  <si>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</si>
  <si>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</si>
  <si>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</si>
  <si>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</si>
  <si>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</si>
  <si>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</si>
  <si>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</si>
  <si>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</si>
  <si>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</si>
  <si>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</si>
  <si>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</si>
  <si>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</si>
  <si>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</si>
  <si>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</si>
  <si>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</si>
  <si>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</si>
  <si>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</si>
  <si>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</si>
  <si>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</si>
  <si>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</si>
  <si>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</si>
  <si>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</si>
  <si>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</si>
  <si>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</si>
  <si>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</si>
  <si>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</si>
  <si>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</si>
  <si>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</si>
  <si>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Teljesít.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</si>
  <si>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</si>
  <si>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</si>
  <si>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</si>
  <si>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</si>
  <si>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</si>
  <si>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</si>
  <si>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</si>
  <si>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</si>
  <si>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</si>
  <si>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</si>
  <si>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</si>
  <si>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</si>
  <si>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</si>
  <si>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</si>
  <si>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</si>
  <si>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</si>
  <si>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</si>
  <si>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</si>
  <si>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</si>
  <si>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</si>
  <si>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</si>
  <si>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</si>
  <si>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</si>
  <si>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</si>
  <si>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</si>
  <si>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</si>
  <si>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</si>
  <si>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</si>
  <si>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</si>
  <si>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</si>
  <si>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</si>
  <si>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</si>
  <si>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</si>
  <si>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</si>
  <si>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</si>
  <si>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</si>
  <si>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</si>
  <si>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</si>
  <si>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</si>
  <si>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</si>
  <si>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</si>
  <si>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</si>
  <si>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</si>
  <si>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</si>
  <si>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</si>
  <si>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</si>
  <si>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</si>
  <si>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</si>
  <si>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</si>
  <si>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</si>
  <si>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</si>
  <si>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</si>
  <si>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</si>
  <si>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</si>
  <si>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</si>
  <si>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</si>
  <si>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</si>
  <si>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</si>
  <si>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</si>
  <si>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</si>
  <si>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</si>
  <si>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</si>
  <si>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</si>
  <si>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</si>
  <si>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</si>
  <si>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</si>
  <si>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</si>
  <si>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</si>
  <si>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</si>
  <si>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</si>
  <si>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</si>
  <si>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</si>
  <si>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</si>
  <si>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</si>
  <si>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</si>
  <si>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</si>
  <si>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</si>
  <si>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</si>
  <si>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</si>
  <si>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</si>
  <si>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</si>
  <si>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</si>
  <si>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</si>
  <si>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</si>
  <si>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</si>
  <si>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</si>
  <si>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</si>
  <si>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</si>
  <si>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</si>
  <si>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</si>
  <si>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</si>
  <si>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</si>
  <si>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</si>
  <si>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</si>
  <si>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</si>
  <si>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</si>
  <si>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</si>
  <si>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</si>
  <si>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</si>
  <si>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</si>
  <si>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</si>
  <si>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</si>
  <si>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</si>
  <si>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</si>
  <si>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</si>
  <si>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</si>
  <si>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</si>
  <si>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</si>
  <si>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</si>
  <si>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</si>
  <si>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</si>
  <si>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</si>
  <si>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</si>
  <si>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</si>
  <si>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</si>
  <si>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</si>
  <si>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</si>
  <si>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</si>
  <si>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</si>
  <si>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</si>
  <si>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</si>
  <si>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</si>
  <si>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</si>
  <si>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</si>
  <si>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</si>
  <si>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</si>
  <si>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</si>
  <si>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</si>
  <si>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</si>
  <si>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</si>
  <si>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</si>
  <si>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</si>
  <si>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</si>
  <si>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</si>
  <si>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</si>
  <si>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</si>
  <si>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</si>
  <si>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</si>
  <si>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</si>
  <si>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</si>
  <si>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</si>
  <si>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</si>
  <si>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</si>
  <si>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</si>
  <si>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</si>
  <si>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</si>
  <si>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</si>
  <si>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</si>
  <si>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</si>
  <si>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</si>
  <si>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</si>
  <si>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</si>
  <si>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</si>
  <si>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</si>
  <si>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</si>
  <si>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</si>
  <si>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</si>
  <si>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</si>
  <si>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</si>
  <si>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</si>
  <si>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</si>
  <si>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</si>
  <si>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</si>
  <si>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</si>
  <si>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</si>
  <si>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</si>
  <si>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</si>
  <si>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</si>
  <si>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</si>
  <si>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</si>
  <si>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</si>
  <si>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</si>
  <si>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</si>
  <si>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</si>
  <si>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 xml:space="preserve">Háziorvosi alapellátás </t>
  </si>
  <si>
    <t>Módosít.</t>
  </si>
  <si>
    <t>Teljesítés</t>
  </si>
  <si>
    <t>Telj.%-a</t>
  </si>
  <si>
    <t>Telj.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</si>
  <si>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</si>
  <si>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</si>
  <si>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</si>
  <si>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</si>
  <si>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</si>
  <si>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</si>
  <si>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</si>
  <si>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</si>
  <si>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</si>
  <si>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</si>
  <si>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</si>
  <si>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</si>
  <si>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</si>
  <si>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</si>
  <si>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</si>
  <si>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</si>
  <si>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</si>
  <si>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</si>
  <si>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</si>
  <si>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</si>
  <si>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</si>
  <si>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</si>
  <si>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</si>
  <si>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</si>
  <si>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</si>
  <si>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</si>
  <si>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</si>
  <si>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</si>
  <si>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</si>
  <si>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</si>
  <si>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</si>
  <si>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</si>
  <si>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</si>
  <si>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</si>
  <si>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</si>
  <si>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</si>
  <si>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</si>
  <si>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</si>
  <si>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</si>
  <si>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</si>
  <si>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</si>
  <si>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</si>
  <si>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</si>
  <si>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</si>
  <si>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</si>
  <si>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</si>
  <si>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</si>
  <si>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</si>
  <si>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</si>
  <si>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</si>
  <si>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</si>
  <si>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</si>
  <si>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</si>
  <si>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</si>
  <si>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</si>
  <si>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</si>
  <si>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</si>
  <si>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</si>
  <si>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</si>
  <si>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</si>
  <si>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</si>
  <si>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</si>
  <si>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Államháztartáson belüli megelőleg.</t>
  </si>
  <si>
    <t>FORRÁSOK ÖSSZESEN (=G+H+I+J)</t>
  </si>
  <si>
    <t>259</t>
  </si>
  <si>
    <t>J) PASSZÍV IDŐBELI ELHATÁROLÁSOK (=J/1+J/2+J/3)</t>
  </si>
  <si>
    <t>258</t>
  </si>
  <si>
    <t>J/2 Költségek, ráfordítások passzív időbeli elhatárolása</t>
  </si>
  <si>
    <t>256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</si>
  <si>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</si>
  <si>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</si>
  <si>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</si>
  <si>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</si>
  <si>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</si>
  <si>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242</t>
  </si>
  <si>
    <t>H/II Költségvetési évet követően esedékes kötelezettségek (=H/II/1+…+H/II/9)</t>
  </si>
  <si>
    <t>241</t>
  </si>
  <si>
    <t>H/II/9e - ebből: költségvetési évet követően esedékes kötelezettségek államháztartáson belüli megelőlegezések visszafizetésére</t>
  </si>
  <si>
    <t>235</t>
  </si>
  <si>
    <t>H/II/9 Költségvetési évet követően esedékes kötelezettségek finanszírozási kiadásokra (=&gt;H/II/9a+…+H/II/9j)</t>
  </si>
  <si>
    <t>230</t>
  </si>
  <si>
    <t>H/I Költségvetési évben esedékes kötelezettségek (=H/I/1+…+H/I/9)</t>
  </si>
  <si>
    <t>217</t>
  </si>
  <si>
    <t>H/I/9g - ebből: költségvetési évben esedékes kötelezettségek államháztartáson belüli megelőlegezések visszafizetésére</t>
  </si>
  <si>
    <t>210</t>
  </si>
  <si>
    <t>H/I/9 Költségvetési évben esedékes kötelezettségek finanszírozási kiadásokra (&gt;=H/I/9a+…+H/I/9m)</t>
  </si>
  <si>
    <t>203</t>
  </si>
  <si>
    <t>H/I/7 Költségvetési évben esedékes kötelezettségek felújításokra</t>
  </si>
  <si>
    <t>199</t>
  </si>
  <si>
    <t>H/I/6 Költségvetési évben esedékes kötelezettségek beruházásokra</t>
  </si>
  <si>
    <t>198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</si>
  <si>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</si>
  <si>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</si>
  <si>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</si>
  <si>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194</t>
  </si>
  <si>
    <t>H/I/3 Költségvetési évben esedékes kötelezettségek dologi kiadásokra</t>
  </si>
  <si>
    <t>193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</si>
  <si>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</si>
  <si>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</si>
  <si>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</si>
  <si>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</si>
  <si>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</si>
  <si>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</si>
  <si>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</si>
  <si>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</si>
  <si>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G/III Egyéb eszközök induláskori értéke és változásai (=G/III/1+G/III/2+/G/III/3)</t>
  </si>
  <si>
    <t>186</t>
  </si>
  <si>
    <t>G/III/3 Pénzeszközön kívüli egyéb eszközök induláskori értéke és változásai</t>
  </si>
  <si>
    <t>185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</si>
  <si>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</si>
  <si>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</si>
  <si>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</si>
  <si>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</si>
  <si>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</si>
  <si>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</si>
  <si>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</si>
  <si>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</si>
  <si>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E/III/1 December havi illetmények, munkabérek elszámolása</t>
  </si>
  <si>
    <t>170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</si>
  <si>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</si>
  <si>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</si>
  <si>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</si>
  <si>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</si>
  <si>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</si>
  <si>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</si>
  <si>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</si>
  <si>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</si>
  <si>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</si>
  <si>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</si>
  <si>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</si>
  <si>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</si>
  <si>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</si>
  <si>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</si>
  <si>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</si>
  <si>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</si>
  <si>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D/I/4d - ebből: költségvetési évben esedékes követelések kiszámlázott általános forgalmi adóra</t>
  </si>
  <si>
    <t>75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</si>
  <si>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</si>
  <si>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</si>
  <si>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</si>
  <si>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</si>
  <si>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</si>
  <si>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</si>
  <si>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</si>
  <si>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</si>
  <si>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</si>
  <si>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</si>
  <si>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</si>
  <si>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</si>
  <si>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</si>
  <si>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</si>
  <si>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</si>
  <si>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</si>
  <si>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</si>
  <si>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</si>
  <si>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</si>
  <si>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</si>
  <si>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</si>
  <si>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</si>
  <si>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</si>
  <si>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</si>
  <si>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</si>
  <si>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</si>
  <si>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</si>
  <si>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</si>
  <si>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</si>
  <si>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</si>
  <si>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</si>
  <si>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</si>
  <si>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</si>
  <si>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</si>
  <si>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</si>
  <si>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</si>
  <si>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</si>
  <si>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</si>
  <si>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</si>
  <si>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</si>
  <si>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</si>
  <si>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</si>
  <si>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</si>
  <si>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</si>
  <si>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</si>
  <si>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</si>
  <si>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</si>
  <si>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</si>
  <si>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</si>
  <si>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</si>
  <si>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</si>
  <si>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 xml:space="preserve">       - Egyéb közhatalmi bevétlek</t>
  </si>
  <si>
    <t>B6 Működési célú átvett pénzeszközök</t>
  </si>
  <si>
    <t>1.) Előző évi (2016.) pénzmaradvány felhasználása</t>
  </si>
  <si>
    <t>B401</t>
  </si>
  <si>
    <t>Készletértékesítés ellenértéke</t>
  </si>
  <si>
    <t>B410</t>
  </si>
  <si>
    <t>Biztósító által fizetett kártárítés</t>
  </si>
  <si>
    <t>B52</t>
  </si>
  <si>
    <t>B65</t>
  </si>
  <si>
    <t>Ingatlanok értékesítése</t>
  </si>
  <si>
    <t>Felhalmozási Bevételek</t>
  </si>
  <si>
    <t>Egyéb működési célú átvett pénzeszközök</t>
  </si>
  <si>
    <t>B8121</t>
  </si>
  <si>
    <t>Forgatási célú belföldi értékpapírok beváltása</t>
  </si>
  <si>
    <t>K1103</t>
  </si>
  <si>
    <t>K1105</t>
  </si>
  <si>
    <t>K1106</t>
  </si>
  <si>
    <t>Céljuttatás</t>
  </si>
  <si>
    <t>Végkielágítés</t>
  </si>
  <si>
    <t>Jubileumi jutalom</t>
  </si>
  <si>
    <t>K1108</t>
  </si>
  <si>
    <t>Ruházati költségtérítés</t>
  </si>
  <si>
    <t>K1110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</si>
  <si>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</si>
  <si>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</si>
  <si>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</si>
  <si>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</si>
  <si>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</si>
  <si>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</si>
  <si>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</si>
  <si>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</si>
  <si>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</si>
  <si>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</si>
  <si>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</si>
  <si>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</si>
  <si>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</si>
  <si>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</si>
  <si>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</si>
  <si>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</si>
  <si>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</si>
  <si>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</si>
  <si>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</si>
  <si>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</si>
  <si>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</si>
  <si>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</si>
  <si>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</si>
  <si>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104037</t>
  </si>
  <si>
    <t>Intézményen kívüli gyermekétkeztetés</t>
  </si>
  <si>
    <t>106010</t>
  </si>
  <si>
    <t>Lakóingatlan szociális célú bérbeadása, üzemeltetése</t>
  </si>
  <si>
    <t>107051</t>
  </si>
  <si>
    <t>Szociális étkeztetés</t>
  </si>
  <si>
    <t>K508</t>
  </si>
  <si>
    <t>Működési célú visszatérítendő támogatások</t>
  </si>
  <si>
    <t>K513</t>
  </si>
  <si>
    <t>Tartalék</t>
  </si>
  <si>
    <t>K9113</t>
  </si>
  <si>
    <t>Rövid lejártú hitelek kölcsönök</t>
  </si>
  <si>
    <t>K62</t>
  </si>
  <si>
    <t>K63</t>
  </si>
  <si>
    <t>Informatikai eszközök beszerzése</t>
  </si>
  <si>
    <t>01</t>
  </si>
  <si>
    <t>A/I/1 Vagyoni értékű jogok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</si>
  <si>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</si>
  <si>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</si>
  <si>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</si>
  <si>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</si>
  <si>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</si>
  <si>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</si>
  <si>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36</t>
  </si>
  <si>
    <t>B/II/2 Forgatási célú hitelviszonyt megtestesítő értékpapírok (&gt;=B/II/2a+…+B/II/2e)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</si>
  <si>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</si>
  <si>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</si>
  <si>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</si>
  <si>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</si>
  <si>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</si>
  <si>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</si>
  <si>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79</t>
  </si>
  <si>
    <t>D/I/4h - ebből: költségvetési évben esedékes követelések biztosító által fizetett kártérítésre</t>
  </si>
  <si>
    <t>81</t>
  </si>
  <si>
    <t>D/I/5 Költségvetési évben esedékes követelések felhalmozási bevételre (=D/I/5a+…+D/I/5e)</t>
  </si>
  <si>
    <t>83</t>
  </si>
  <si>
    <t>D/I/5b - ebből: költségvetési évben esedékes követelések ingatlanok értékesítésére</t>
  </si>
  <si>
    <t>87</t>
  </si>
  <si>
    <t>D/I/6 Költségvetési évben esedékes követelések működési célú átvett pénzeszközre (&gt;=D/I/6a+D/I/6b+D/I/6c)</t>
  </si>
  <si>
    <t>95</t>
  </si>
  <si>
    <t>D/I/8 Költségvetési évben esedékes követelések finanszírozási bevételekre (&gt;=D/I/8a+…+D/I/8g)</t>
  </si>
  <si>
    <t>96</t>
  </si>
  <si>
    <t>D/I/8a - ebből: költségvetési évben esedékes követelések forgatási célú belföldi értékpapírok beváltásából, értékesítéséből</t>
  </si>
  <si>
    <t>157</t>
  </si>
  <si>
    <t>D/III/7 Folyósított, megelőlegezett társadalombiztosítási és családtámogatási ellátások elszámolása</t>
  </si>
  <si>
    <t>163</t>
  </si>
  <si>
    <t>E/I/2 Más előzetesen felszámított levonható általános forgalmi adó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</si>
  <si>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</si>
  <si>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</si>
  <si>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</si>
  <si>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</si>
  <si>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</si>
  <si>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</si>
  <si>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</si>
  <si>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</si>
  <si>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</si>
  <si>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</si>
  <si>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204</t>
  </si>
  <si>
    <t>H/I/9a - ebből: költségvetési évben esedékes kötelezettségek hosszú lejáratú hitelek, kölcsönök törlesztésére pénzügyi vállalkozásnak</t>
  </si>
  <si>
    <t>231</t>
  </si>
  <si>
    <t>H/II/9a - ebből: költségvetési évet követően esedékes kötelezettségek hosszú lejáratú hitelek, kölcsönök törlesztésére pénzügyi vállalkozásnak</t>
  </si>
  <si>
    <t>257</t>
  </si>
  <si>
    <t>J/3 Halasztott eredményszemléletű bevételek</t>
  </si>
  <si>
    <t xml:space="preserve"> Összesen</t>
  </si>
  <si>
    <t>Központi, irányitószervi támogatás</t>
  </si>
  <si>
    <t xml:space="preserve">       - Egyéb közhatalmi bevételek</t>
  </si>
  <si>
    <t>Ingatlanok beszerzése</t>
  </si>
  <si>
    <t>Egyéb költségtérítések</t>
  </si>
  <si>
    <t>Üzemeltetési anyag</t>
  </si>
  <si>
    <t>Szakmai anyag</t>
  </si>
  <si>
    <t>Közvetített szolgáltatások</t>
  </si>
  <si>
    <t xml:space="preserve"> több éves kihatással járó feladatainak előirányzata</t>
  </si>
  <si>
    <r>
      <t>2018.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</si>
  <si>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B7 Felhalmozási célra átvett pénzeszközök</t>
  </si>
  <si>
    <t>2018. évi egyesített költségvetési bevételek és kiadások teljesítése (Ft-ban)</t>
  </si>
  <si>
    <t>2017. évi pénzmaradványának felhasználása</t>
  </si>
  <si>
    <t>2018. évi bevételek és kiadások rovatrend szerinti teljesítése</t>
  </si>
  <si>
    <t>Települési önkormányzatok kulturális feladatainak támogatása</t>
  </si>
  <si>
    <t>Egyéb műk. célú támogatások bev.áhtn belülről</t>
  </si>
  <si>
    <t>Felújítás</t>
  </si>
  <si>
    <t>2018. évi létszám-előirányzat teljesítése (főben)</t>
  </si>
  <si>
    <t>104051</t>
  </si>
  <si>
    <t>Gyermekvédelmi pénzbeli és természetbeni ellátások</t>
  </si>
  <si>
    <t>K84</t>
  </si>
  <si>
    <t>Egyéb felhalmozási célú támogatások</t>
  </si>
  <si>
    <t>2018. évi várható havi előirányzatok</t>
  </si>
  <si>
    <t>2018. évi felhalmozási költségvetési bevételek és kiadások teljesítése (Ft-ban)</t>
  </si>
  <si>
    <t>ERZSÉBET</t>
  </si>
  <si>
    <t>Erzsébet Község Önkormányzat</t>
  </si>
  <si>
    <t>Erzsébet Község Önkormányzat 2018. évi költségvetési bevételeinek teljesítése (Ft-ban)</t>
  </si>
  <si>
    <t>Erzsébet Község Önkormányzat  2018. évi költségvetési kiadásainak teljesítése (Ft-ban)</t>
  </si>
  <si>
    <t>Központi, irányító szervi támogatások folyósítása</t>
  </si>
  <si>
    <t>Erzsébet  Község Önkormányzat Község Önkormányzata 2018. évi                                                                                                                                                 felújításra és felhalmozásra tervezett kiadásainak teljesítése (Ft-ban)</t>
  </si>
  <si>
    <t>Erzsébet</t>
  </si>
  <si>
    <t>Erzsébeti Gyermekszív Óvoda Fenntartó Társulás 2018. évi kiadási és bevételi előirányzata (Ft-ban)</t>
  </si>
  <si>
    <t>Erzsébeti Közös Önkormányzati Hivatal  2018. évi kiadási és bevételi előirányzata (Ft-ban)</t>
  </si>
  <si>
    <t>Erzsébet Község Önkormányzat  2018. évi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</si>
</sst>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31" fillId="0" borderId="0"/>
    <xf numFmtId="0" fontId="6" fillId="0" borderId="0"/>
  </cellStyleXfs>
  <cellXfs count="3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4" fillId="0" borderId="12" xfId="0" applyNumberFormat="1" applyFont="1" applyBorder="1"/>
    <xf numFmtId="3" fontId="3" fillId="0" borderId="20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2" xfId="0" applyBorder="1"/>
    <xf numFmtId="3" fontId="4" fillId="0" borderId="20" xfId="0" applyNumberFormat="1" applyFont="1" applyBorder="1"/>
    <xf numFmtId="3" fontId="4" fillId="2" borderId="2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3" fontId="13" fillId="0" borderId="13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2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30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3" fontId="30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0" fontId="30" fillId="5" borderId="1" xfId="0" applyFont="1" applyFill="1" applyBorder="1"/>
    <xf numFmtId="3" fontId="1" fillId="5" borderId="1" xfId="0" applyNumberFormat="1" applyFont="1" applyFill="1" applyBorder="1"/>
    <xf numFmtId="0" fontId="1" fillId="0" borderId="1" xfId="0" applyFont="1" applyFill="1" applyBorder="1"/>
    <xf numFmtId="9" fontId="30" fillId="5" borderId="1" xfId="3" applyFont="1" applyFill="1" applyBorder="1"/>
    <xf numFmtId="0" fontId="1" fillId="5" borderId="0" xfId="0" applyFont="1" applyFill="1"/>
    <xf numFmtId="0" fontId="1" fillId="0" borderId="1" xfId="0" applyFont="1" applyBorder="1"/>
    <xf numFmtId="0" fontId="1" fillId="0" borderId="12" xfId="0" applyFont="1" applyBorder="1"/>
    <xf numFmtId="0" fontId="3" fillId="2" borderId="1" xfId="0" applyFont="1" applyFill="1" applyBorder="1" applyAlignment="1">
      <alignment horizontal="center" vertical="top" wrapText="1"/>
    </xf>
    <xf numFmtId="49" fontId="28" fillId="4" borderId="6" xfId="0" applyNumberFormat="1" applyFont="1" applyFill="1" applyBorder="1"/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1" xfId="0" applyFont="1" applyBorder="1"/>
    <xf numFmtId="0" fontId="28" fillId="0" borderId="13" xfId="0" applyFont="1" applyBorder="1"/>
    <xf numFmtId="0" fontId="28" fillId="0" borderId="29" xfId="0" applyFont="1" applyBorder="1"/>
    <xf numFmtId="0" fontId="1" fillId="0" borderId="10" xfId="0" applyFont="1" applyBorder="1"/>
    <xf numFmtId="0" fontId="1" fillId="0" borderId="12" xfId="0" applyFont="1" applyFill="1" applyBorder="1"/>
    <xf numFmtId="9" fontId="4" fillId="0" borderId="1" xfId="3" applyFont="1" applyFill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0" fontId="32" fillId="6" borderId="0" xfId="5" applyFont="1" applyFill="1" applyAlignment="1">
      <alignment horizontal="center" vertical="top" wrapText="1"/>
    </xf>
    <xf numFmtId="0" fontId="33" fillId="0" borderId="0" xfId="5" applyFont="1"/>
    <xf numFmtId="0" fontId="32" fillId="0" borderId="0" xfId="5" applyFont="1" applyAlignment="1">
      <alignment horizontal="center" vertical="top" wrapText="1"/>
    </xf>
    <xf numFmtId="0" fontId="32" fillId="0" borderId="0" xfId="5" applyFont="1" applyAlignment="1">
      <alignment horizontal="left" vertical="top" wrapText="1"/>
    </xf>
    <xf numFmtId="3" fontId="32" fillId="0" borderId="0" xfId="5" applyNumberFormat="1" applyFont="1" applyAlignment="1">
      <alignment horizontal="right" vertical="top" wrapText="1"/>
    </xf>
    <xf numFmtId="0" fontId="34" fillId="0" borderId="0" xfId="5" applyFont="1" applyAlignment="1">
      <alignment horizontal="center" vertical="top" wrapText="1"/>
    </xf>
    <xf numFmtId="0" fontId="34" fillId="0" borderId="0" xfId="5" applyFont="1" applyAlignment="1">
      <alignment horizontal="left" vertical="top" wrapText="1"/>
    </xf>
    <xf numFmtId="3" fontId="34" fillId="0" borderId="0" xfId="5" applyNumberFormat="1" applyFont="1" applyAlignment="1">
      <alignment horizontal="right" vertical="top" wrapText="1"/>
    </xf>
    <xf numFmtId="49" fontId="1" fillId="0" borderId="1" xfId="0" applyNumberFormat="1" applyFont="1" applyBorder="1"/>
    <xf numFmtId="9" fontId="0" fillId="0" borderId="1" xfId="0" applyNumberFormat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2" fillId="6" borderId="0" xfId="5" applyFont="1" applyFill="1" applyAlignment="1">
      <alignment horizontal="center" vertical="top" wrapText="1"/>
    </xf>
    <xf numFmtId="0" fontId="33" fillId="0" borderId="0" xfId="5" applyFont="1"/>
  </cellXfs>
  <cellStyles count="6">
    <cellStyle name="Ezres" xfId="1" builtinId="3"/>
    <cellStyle name="Normál" xfId="0" builtinId="0"/>
    <cellStyle name="Normál 2" xfId="4" xr:uid="{00000000-0005-0000-0000-000002000000}"/>
    <cellStyle name="Normál 3" xfId="5" xr:uid="{00000000-0005-0000-0000-000003000000}"/>
    <cellStyle name="Normál_Költségvetési rend.2015" xfId="2" xr:uid="{00000000-0005-0000-0000-000004000000}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60"/>
  <sheetViews>
    <sheetView showWhiteSpace="0" zoomScaleNormal="100" workbookViewId="0">
      <selection activeCell="E36" sqref="E36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5" t="s">
        <v>692</v>
      </c>
      <c r="B1" s="255"/>
      <c r="C1" s="255"/>
      <c r="D1" s="255"/>
      <c r="E1" s="255"/>
    </row>
    <row r="2" spans="1:5" ht="14.25" x14ac:dyDescent="0.2">
      <c r="A2" s="256" t="s">
        <v>1</v>
      </c>
      <c r="B2" s="257" t="s">
        <v>2</v>
      </c>
      <c r="C2" s="258" t="s">
        <v>3</v>
      </c>
      <c r="D2" s="258"/>
      <c r="E2" s="258"/>
    </row>
    <row r="3" spans="1:5" ht="15.75" customHeight="1" x14ac:dyDescent="0.2">
      <c r="A3" s="256"/>
      <c r="B3" s="257"/>
      <c r="C3" s="214" t="s">
        <v>171</v>
      </c>
      <c r="D3" s="214" t="s">
        <v>100</v>
      </c>
      <c r="E3" s="213" t="s">
        <v>108</v>
      </c>
    </row>
    <row r="4" spans="1:5" ht="15" x14ac:dyDescent="0.25">
      <c r="A4" s="259" t="s">
        <v>4</v>
      </c>
      <c r="B4" s="102" t="s">
        <v>5</v>
      </c>
      <c r="C4" s="103" t="s">
        <v>102</v>
      </c>
      <c r="D4" s="104"/>
      <c r="E4" s="104" t="s">
        <v>237</v>
      </c>
    </row>
    <row r="5" spans="1:5" ht="15" x14ac:dyDescent="0.25">
      <c r="A5" s="251"/>
      <c r="B5" s="102" t="s">
        <v>5</v>
      </c>
      <c r="C5" s="103" t="s">
        <v>178</v>
      </c>
      <c r="D5" s="104"/>
      <c r="E5" s="102" t="s">
        <v>6</v>
      </c>
    </row>
    <row r="6" spans="1:5" ht="15" x14ac:dyDescent="0.25">
      <c r="A6" s="251"/>
      <c r="B6" s="102" t="s">
        <v>5</v>
      </c>
      <c r="C6" s="103" t="s">
        <v>104</v>
      </c>
      <c r="D6" s="104"/>
      <c r="E6" s="102" t="s">
        <v>177</v>
      </c>
    </row>
    <row r="7" spans="1:5" ht="15" x14ac:dyDescent="0.25">
      <c r="A7" s="251"/>
      <c r="B7" s="102" t="s">
        <v>5</v>
      </c>
      <c r="C7" s="105" t="s">
        <v>333</v>
      </c>
      <c r="D7" s="104"/>
      <c r="E7" s="102" t="s">
        <v>334</v>
      </c>
    </row>
    <row r="8" spans="1:5" ht="15" x14ac:dyDescent="0.25">
      <c r="A8" s="251"/>
      <c r="B8" s="102" t="s">
        <v>5</v>
      </c>
      <c r="C8" s="103" t="s">
        <v>582</v>
      </c>
      <c r="D8" s="104"/>
      <c r="E8" s="102" t="s">
        <v>583</v>
      </c>
    </row>
    <row r="9" spans="1:5" ht="15" x14ac:dyDescent="0.25">
      <c r="A9" s="251"/>
      <c r="B9" s="102" t="s">
        <v>5</v>
      </c>
      <c r="C9" s="105" t="s">
        <v>335</v>
      </c>
      <c r="D9" s="104"/>
      <c r="E9" s="102" t="s">
        <v>584</v>
      </c>
    </row>
    <row r="10" spans="1:5" ht="15" x14ac:dyDescent="0.25">
      <c r="A10" s="251"/>
      <c r="B10" s="102" t="s">
        <v>5</v>
      </c>
      <c r="C10" s="105" t="s">
        <v>107</v>
      </c>
      <c r="D10" s="104" t="s">
        <v>382</v>
      </c>
      <c r="E10" s="102" t="s">
        <v>337</v>
      </c>
    </row>
    <row r="11" spans="1:5" ht="15" x14ac:dyDescent="0.25">
      <c r="A11" s="251"/>
      <c r="B11" s="135" t="s">
        <v>5</v>
      </c>
      <c r="C11" s="208" t="s">
        <v>113</v>
      </c>
      <c r="D11" s="209"/>
      <c r="E11" s="135" t="s">
        <v>236</v>
      </c>
    </row>
    <row r="12" spans="1:5" ht="15.75" thickBot="1" x14ac:dyDescent="0.3">
      <c r="A12" s="254"/>
      <c r="B12" s="106" t="s">
        <v>5</v>
      </c>
      <c r="C12" s="107" t="s">
        <v>388</v>
      </c>
      <c r="D12" s="108"/>
      <c r="E12" s="106" t="s">
        <v>389</v>
      </c>
    </row>
    <row r="13" spans="1:5" ht="15.75" thickTop="1" x14ac:dyDescent="0.25">
      <c r="A13" s="250" t="s">
        <v>338</v>
      </c>
      <c r="B13" s="109" t="s">
        <v>5</v>
      </c>
      <c r="C13" s="110" t="s">
        <v>585</v>
      </c>
      <c r="D13" s="111"/>
      <c r="E13" s="111" t="s">
        <v>586</v>
      </c>
    </row>
    <row r="14" spans="1:5" ht="15" x14ac:dyDescent="0.25">
      <c r="A14" s="251"/>
      <c r="B14" s="102" t="s">
        <v>5</v>
      </c>
      <c r="C14" s="103" t="s">
        <v>103</v>
      </c>
      <c r="D14" s="104"/>
      <c r="E14" s="104" t="s">
        <v>7</v>
      </c>
    </row>
    <row r="15" spans="1:5" ht="15" x14ac:dyDescent="0.25">
      <c r="A15" s="251"/>
      <c r="B15" s="112" t="s">
        <v>5</v>
      </c>
      <c r="C15" s="103" t="s">
        <v>111</v>
      </c>
      <c r="D15" s="104" t="s">
        <v>8</v>
      </c>
      <c r="E15" s="113" t="s">
        <v>179</v>
      </c>
    </row>
    <row r="16" spans="1:5" ht="15" x14ac:dyDescent="0.25">
      <c r="A16" s="251"/>
      <c r="B16" s="112" t="s">
        <v>5</v>
      </c>
      <c r="C16" s="103" t="s">
        <v>106</v>
      </c>
      <c r="D16" s="104" t="s">
        <v>9</v>
      </c>
      <c r="E16" s="104" t="s">
        <v>10</v>
      </c>
    </row>
    <row r="17" spans="1:5" ht="15" customHeight="1" x14ac:dyDescent="0.25">
      <c r="A17" s="251"/>
      <c r="B17" s="114" t="s">
        <v>5</v>
      </c>
      <c r="C17" s="103" t="s">
        <v>110</v>
      </c>
      <c r="D17" s="104"/>
      <c r="E17" s="102" t="s">
        <v>11</v>
      </c>
    </row>
    <row r="18" spans="1:5" ht="15" x14ac:dyDescent="0.25">
      <c r="A18" s="251"/>
      <c r="B18" s="115" t="s">
        <v>5</v>
      </c>
      <c r="C18" s="103" t="s">
        <v>339</v>
      </c>
      <c r="D18" s="104" t="s">
        <v>340</v>
      </c>
      <c r="E18" s="102" t="s">
        <v>341</v>
      </c>
    </row>
    <row r="19" spans="1:5" ht="15" x14ac:dyDescent="0.25">
      <c r="A19" s="251"/>
      <c r="B19" s="102" t="s">
        <v>5</v>
      </c>
      <c r="C19" s="103" t="s">
        <v>101</v>
      </c>
      <c r="D19" s="104"/>
      <c r="E19" s="104" t="s">
        <v>587</v>
      </c>
    </row>
    <row r="20" spans="1:5" ht="15" x14ac:dyDescent="0.25">
      <c r="A20" s="251"/>
      <c r="B20" s="102" t="s">
        <v>5</v>
      </c>
      <c r="C20" s="224" t="s">
        <v>588</v>
      </c>
      <c r="D20" s="209"/>
      <c r="E20" s="209" t="s">
        <v>589</v>
      </c>
    </row>
    <row r="21" spans="1:5" ht="15" x14ac:dyDescent="0.25">
      <c r="A21" s="251"/>
      <c r="B21" s="102" t="s">
        <v>5</v>
      </c>
      <c r="C21" s="224" t="s">
        <v>590</v>
      </c>
      <c r="D21" s="209"/>
      <c r="E21" s="209" t="s">
        <v>591</v>
      </c>
    </row>
    <row r="22" spans="1:5" ht="15" x14ac:dyDescent="0.25">
      <c r="A22" s="251"/>
      <c r="B22" s="102" t="s">
        <v>5</v>
      </c>
      <c r="C22" s="224" t="s">
        <v>592</v>
      </c>
      <c r="D22" s="209"/>
      <c r="E22" s="209" t="s">
        <v>593</v>
      </c>
    </row>
    <row r="23" spans="1:5" ht="15" x14ac:dyDescent="0.25">
      <c r="A23" s="251"/>
      <c r="B23" s="102" t="s">
        <v>5</v>
      </c>
      <c r="C23" s="224" t="s">
        <v>594</v>
      </c>
      <c r="D23" s="209"/>
      <c r="E23" s="209" t="s">
        <v>595</v>
      </c>
    </row>
    <row r="24" spans="1:5" ht="15.75" customHeight="1" x14ac:dyDescent="0.25">
      <c r="A24" s="251"/>
      <c r="B24" s="102" t="s">
        <v>5</v>
      </c>
      <c r="C24" s="116" t="s">
        <v>596</v>
      </c>
      <c r="D24" s="117"/>
      <c r="E24" s="117" t="s">
        <v>597</v>
      </c>
    </row>
    <row r="25" spans="1:5" ht="15.75" thickBot="1" x14ac:dyDescent="0.3">
      <c r="A25" s="254"/>
      <c r="B25" s="106" t="s">
        <v>5</v>
      </c>
      <c r="C25" s="118" t="s">
        <v>109</v>
      </c>
      <c r="D25" s="108"/>
      <c r="E25" s="119" t="s">
        <v>14</v>
      </c>
    </row>
    <row r="26" spans="1:5" ht="15.75" thickTop="1" x14ac:dyDescent="0.25">
      <c r="A26" s="250" t="s">
        <v>342</v>
      </c>
      <c r="B26" s="120"/>
      <c r="C26" s="121"/>
      <c r="D26" s="122"/>
      <c r="E26" s="123"/>
    </row>
    <row r="27" spans="1:5" ht="15" x14ac:dyDescent="0.25">
      <c r="A27" s="251"/>
      <c r="B27" s="102" t="s">
        <v>5</v>
      </c>
      <c r="C27" s="103" t="s">
        <v>598</v>
      </c>
      <c r="D27" s="104"/>
      <c r="E27" s="113" t="s">
        <v>599</v>
      </c>
    </row>
    <row r="28" spans="1:5" ht="15.75" thickBot="1" x14ac:dyDescent="0.3">
      <c r="A28" s="251"/>
      <c r="B28" s="106" t="s">
        <v>5</v>
      </c>
      <c r="C28" s="108" t="s">
        <v>105</v>
      </c>
      <c r="D28" s="108"/>
      <c r="E28" s="119" t="s">
        <v>15</v>
      </c>
    </row>
    <row r="29" spans="1:5" ht="15.75" customHeight="1" thickTop="1" thickBot="1" x14ac:dyDescent="0.3">
      <c r="A29" s="225" t="s">
        <v>345</v>
      </c>
      <c r="B29" s="226" t="s">
        <v>5</v>
      </c>
      <c r="C29" s="125" t="s">
        <v>327</v>
      </c>
      <c r="D29" s="125"/>
      <c r="E29" s="126" t="s">
        <v>600</v>
      </c>
    </row>
    <row r="30" spans="1:5" s="230" customFormat="1" ht="15.75" customHeight="1" thickTop="1" x14ac:dyDescent="0.25">
      <c r="A30" s="227"/>
      <c r="B30" s="228" t="s">
        <v>5</v>
      </c>
      <c r="C30" s="111" t="s">
        <v>601</v>
      </c>
      <c r="D30" s="111"/>
      <c r="E30" s="229" t="s">
        <v>602</v>
      </c>
    </row>
    <row r="31" spans="1:5" ht="15" x14ac:dyDescent="0.25">
      <c r="A31" s="252" t="s">
        <v>347</v>
      </c>
      <c r="B31" s="231" t="s">
        <v>5</v>
      </c>
      <c r="C31" s="122" t="s">
        <v>182</v>
      </c>
      <c r="D31" s="122"/>
      <c r="E31" s="123" t="s">
        <v>348</v>
      </c>
    </row>
    <row r="32" spans="1:5" ht="15" x14ac:dyDescent="0.25">
      <c r="A32" s="252"/>
      <c r="B32" s="232" t="s">
        <v>5</v>
      </c>
      <c r="C32" s="104" t="s">
        <v>603</v>
      </c>
      <c r="D32" s="104"/>
      <c r="E32" s="113" t="s">
        <v>604</v>
      </c>
    </row>
    <row r="33" spans="1:5" ht="15.75" thickBot="1" x14ac:dyDescent="0.3">
      <c r="A33" s="253"/>
      <c r="B33" s="233" t="s">
        <v>5</v>
      </c>
      <c r="C33" s="108" t="s">
        <v>183</v>
      </c>
      <c r="D33" s="108"/>
      <c r="E33" s="119" t="s">
        <v>349</v>
      </c>
    </row>
    <row r="34" spans="1:5" ht="15.75" thickTop="1" x14ac:dyDescent="0.25">
      <c r="A34" s="251" t="s">
        <v>350</v>
      </c>
      <c r="B34" s="109"/>
      <c r="C34" s="127"/>
      <c r="D34" s="111"/>
      <c r="E34" s="109"/>
    </row>
    <row r="35" spans="1:5" ht="15" x14ac:dyDescent="0.25">
      <c r="A35" s="251"/>
      <c r="B35" s="102" t="s">
        <v>5</v>
      </c>
      <c r="C35" s="103" t="s">
        <v>605</v>
      </c>
      <c r="D35" s="104"/>
      <c r="E35" s="102" t="s">
        <v>606</v>
      </c>
    </row>
    <row r="36" spans="1:5" ht="13.5" customHeight="1" x14ac:dyDescent="0.25">
      <c r="A36" s="251"/>
      <c r="B36" s="102" t="s">
        <v>5</v>
      </c>
      <c r="C36" s="103" t="s">
        <v>607</v>
      </c>
      <c r="D36" s="104"/>
      <c r="E36" s="102" t="s">
        <v>608</v>
      </c>
    </row>
    <row r="37" spans="1:5" ht="15" x14ac:dyDescent="0.25">
      <c r="A37" s="251"/>
      <c r="B37" s="128" t="s">
        <v>5</v>
      </c>
      <c r="C37" s="103" t="s">
        <v>609</v>
      </c>
      <c r="D37" s="104"/>
      <c r="E37" s="128" t="s">
        <v>610</v>
      </c>
    </row>
    <row r="38" spans="1:5" ht="15" x14ac:dyDescent="0.25">
      <c r="A38" s="251"/>
      <c r="B38" s="128" t="s">
        <v>5</v>
      </c>
      <c r="C38" s="103" t="s">
        <v>180</v>
      </c>
      <c r="D38" s="104"/>
      <c r="E38" s="128" t="s">
        <v>351</v>
      </c>
    </row>
    <row r="39" spans="1:5" ht="15" x14ac:dyDescent="0.25">
      <c r="A39" s="251"/>
      <c r="B39" s="128" t="s">
        <v>5</v>
      </c>
      <c r="C39" s="103" t="s">
        <v>181</v>
      </c>
      <c r="D39" s="104"/>
      <c r="E39" s="128" t="s">
        <v>352</v>
      </c>
    </row>
    <row r="40" spans="1:5" ht="13.9" customHeight="1" thickBot="1" x14ac:dyDescent="0.3">
      <c r="A40" s="254"/>
      <c r="B40" s="129"/>
      <c r="C40" s="118"/>
      <c r="D40" s="108"/>
      <c r="E40" s="119"/>
    </row>
    <row r="41" spans="1:5" ht="16.5" thickTop="1" thickBot="1" x14ac:dyDescent="0.3">
      <c r="A41" s="165" t="s">
        <v>353</v>
      </c>
      <c r="B41" s="124" t="s">
        <v>5</v>
      </c>
      <c r="C41" s="125" t="s">
        <v>112</v>
      </c>
      <c r="D41" s="125"/>
      <c r="E41" s="234" t="s">
        <v>238</v>
      </c>
    </row>
    <row r="42" spans="1:5" ht="15.75" thickTop="1" x14ac:dyDescent="0.25">
      <c r="A42" s="164" t="s">
        <v>354</v>
      </c>
      <c r="B42" s="109"/>
      <c r="C42" s="111"/>
      <c r="D42" s="111"/>
      <c r="E42" s="109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3/2019.(V.24.) önkormányzati rendelethez&amp;CErzsébet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F281"/>
  <sheetViews>
    <sheetView zoomScale="120" zoomScaleNormal="120" zoomScaleSheetLayoutView="100" workbookViewId="0">
      <selection activeCell="E36" sqref="E36"/>
    </sheetView>
  </sheetViews>
  <sheetFormatPr defaultRowHeight="12.75" x14ac:dyDescent="0.2"/>
  <cols>
    <col min="1" max="1" width="3.5703125" customWidth="1"/>
    <col min="2" max="2" width="62.140625" customWidth="1"/>
    <col min="3" max="5" width="10.140625" bestFit="1" customWidth="1"/>
    <col min="6" max="6" width="7.140625" bestFit="1" customWidth="1"/>
  </cols>
  <sheetData>
    <row r="1" spans="1:6" ht="12.75" customHeight="1" x14ac:dyDescent="0.2">
      <c r="A1" s="299" t="s">
        <v>697</v>
      </c>
      <c r="B1" s="299"/>
      <c r="C1" s="299"/>
      <c r="D1" s="299"/>
      <c r="E1" s="299"/>
      <c r="F1" s="299"/>
    </row>
    <row r="2" spans="1:6" x14ac:dyDescent="0.2">
      <c r="A2" s="299"/>
      <c r="B2" s="299"/>
      <c r="C2" s="299"/>
      <c r="D2" s="299"/>
      <c r="E2" s="299"/>
      <c r="F2" s="299"/>
    </row>
    <row r="3" spans="1:6" x14ac:dyDescent="0.2">
      <c r="A3" s="300"/>
      <c r="B3" s="300"/>
      <c r="C3" s="300"/>
      <c r="D3" s="300"/>
      <c r="E3" s="300"/>
      <c r="F3" s="300"/>
    </row>
    <row r="4" spans="1:6" ht="12.75" customHeight="1" x14ac:dyDescent="0.2">
      <c r="A4" s="1"/>
      <c r="B4" s="89" t="s">
        <v>205</v>
      </c>
      <c r="C4" s="172" t="s">
        <v>189</v>
      </c>
      <c r="D4" s="172" t="s">
        <v>367</v>
      </c>
      <c r="E4" s="172" t="s">
        <v>368</v>
      </c>
      <c r="F4" s="172" t="s">
        <v>369</v>
      </c>
    </row>
    <row r="5" spans="1:6" x14ac:dyDescent="0.2">
      <c r="A5" s="301" t="s">
        <v>239</v>
      </c>
      <c r="B5" s="301"/>
      <c r="C5" s="17"/>
      <c r="D5" s="17"/>
      <c r="E5" s="17"/>
      <c r="F5" s="17"/>
    </row>
    <row r="6" spans="1:6" x14ac:dyDescent="0.2">
      <c r="A6" s="54">
        <v>1</v>
      </c>
      <c r="B6" s="14" t="s">
        <v>74</v>
      </c>
      <c r="C6" s="15">
        <f>'2.Műk+F mérlegek'!H23</f>
        <v>0</v>
      </c>
      <c r="D6" s="15">
        <f>'2.Műk+F mérlegek'!I23</f>
        <v>1861148</v>
      </c>
      <c r="E6" s="15">
        <f>'2.Műk+F mérlegek'!J23</f>
        <v>1861148</v>
      </c>
      <c r="F6" s="210">
        <f>E6/D6</f>
        <v>1</v>
      </c>
    </row>
    <row r="7" spans="1:6" x14ac:dyDescent="0.2">
      <c r="A7" s="148"/>
      <c r="B7" s="15"/>
      <c r="C7" s="2"/>
      <c r="D7" s="2"/>
      <c r="E7" s="2"/>
      <c r="F7" s="2"/>
    </row>
    <row r="8" spans="1:6" x14ac:dyDescent="0.2">
      <c r="A8" s="7"/>
      <c r="B8" s="210"/>
      <c r="C8" s="2"/>
      <c r="D8" s="2"/>
      <c r="E8" s="2"/>
      <c r="F8" s="2"/>
    </row>
    <row r="9" spans="1:6" x14ac:dyDescent="0.2">
      <c r="A9" s="7"/>
      <c r="B9" s="210"/>
      <c r="C9" s="2"/>
      <c r="D9" s="2"/>
      <c r="E9" s="2"/>
      <c r="F9" s="2"/>
    </row>
    <row r="10" spans="1:6" x14ac:dyDescent="0.2">
      <c r="A10" s="148"/>
      <c r="B10" s="210"/>
      <c r="C10" s="2"/>
      <c r="D10" s="2"/>
      <c r="E10" s="2"/>
      <c r="F10" s="2"/>
    </row>
    <row r="11" spans="1:6" x14ac:dyDescent="0.2">
      <c r="A11" s="148"/>
      <c r="B11" s="210"/>
      <c r="C11" s="2"/>
      <c r="D11" s="2"/>
      <c r="E11" s="2"/>
      <c r="F11" s="2"/>
    </row>
    <row r="12" spans="1:6" x14ac:dyDescent="0.2">
      <c r="A12" s="148"/>
      <c r="B12" s="210"/>
      <c r="C12" s="2"/>
      <c r="D12" s="2"/>
      <c r="E12" s="2"/>
      <c r="F12" s="2"/>
    </row>
    <row r="13" spans="1:6" x14ac:dyDescent="0.2">
      <c r="A13" s="148"/>
      <c r="B13" s="210"/>
      <c r="C13" s="2"/>
      <c r="D13" s="2"/>
      <c r="E13" s="2"/>
      <c r="F13" s="2"/>
    </row>
    <row r="14" spans="1:6" x14ac:dyDescent="0.2">
      <c r="A14" s="148"/>
      <c r="B14" s="210"/>
      <c r="C14" s="2"/>
      <c r="D14" s="2"/>
      <c r="E14" s="2"/>
      <c r="F14" s="2"/>
    </row>
    <row r="15" spans="1:6" x14ac:dyDescent="0.2">
      <c r="A15" s="148"/>
      <c r="B15" s="210"/>
      <c r="C15" s="2"/>
      <c r="D15" s="2"/>
      <c r="E15" s="2"/>
      <c r="F15" s="2"/>
    </row>
    <row r="16" spans="1:6" x14ac:dyDescent="0.2">
      <c r="A16" s="148"/>
      <c r="B16" s="210"/>
      <c r="C16" s="2"/>
      <c r="D16" s="2"/>
      <c r="E16" s="2"/>
      <c r="F16" s="2"/>
    </row>
    <row r="17" spans="1:6" x14ac:dyDescent="0.2">
      <c r="A17" s="8">
        <v>2</v>
      </c>
      <c r="B17" s="236" t="s">
        <v>684</v>
      </c>
      <c r="C17" s="5">
        <f>'2.Műk+F mérlegek'!H24</f>
        <v>1517813</v>
      </c>
      <c r="D17" s="5">
        <f>'2.Műk+F mérlegek'!I24</f>
        <v>1455414</v>
      </c>
      <c r="E17" s="5">
        <f>'2.Műk+F mérlegek'!J24</f>
        <v>500001</v>
      </c>
      <c r="F17" s="210">
        <f>E17/D17</f>
        <v>0.34354554786473129</v>
      </c>
    </row>
    <row r="18" spans="1:6" x14ac:dyDescent="0.2">
      <c r="A18" s="148"/>
      <c r="B18" s="210"/>
      <c r="C18" s="2"/>
      <c r="D18" s="2"/>
      <c r="E18" s="2"/>
      <c r="F18" s="2"/>
    </row>
    <row r="19" spans="1:6" x14ac:dyDescent="0.2">
      <c r="A19" s="148"/>
      <c r="B19" s="210"/>
      <c r="C19" s="2"/>
      <c r="D19" s="2"/>
      <c r="E19" s="2"/>
      <c r="F19" s="2"/>
    </row>
    <row r="20" spans="1:6" x14ac:dyDescent="0.2">
      <c r="A20" s="148"/>
      <c r="B20" s="210"/>
      <c r="C20" s="2"/>
      <c r="D20" s="2"/>
      <c r="E20" s="2"/>
      <c r="F20" s="2"/>
    </row>
    <row r="21" spans="1:6" x14ac:dyDescent="0.2">
      <c r="A21" s="148"/>
      <c r="B21" s="210"/>
      <c r="C21" s="2"/>
      <c r="D21" s="2"/>
      <c r="E21" s="2"/>
      <c r="F21" s="2"/>
    </row>
    <row r="22" spans="1:6" x14ac:dyDescent="0.2">
      <c r="A22" s="7"/>
      <c r="B22" s="2"/>
      <c r="C22" s="22">
        <f>SUM(C6:C17)</f>
        <v>1517813</v>
      </c>
      <c r="D22" s="22">
        <f>SUM(D6:D17)</f>
        <v>3316562</v>
      </c>
      <c r="E22" s="22">
        <f>SUM(E6:E17)</f>
        <v>2361149</v>
      </c>
      <c r="F22" s="210">
        <f>E22/D22</f>
        <v>0.71192668793768965</v>
      </c>
    </row>
    <row r="23" spans="1:6" x14ac:dyDescent="0.2">
      <c r="A23" s="10"/>
      <c r="B23" s="40" t="s">
        <v>201</v>
      </c>
      <c r="C23" s="4">
        <f>C22</f>
        <v>1517813</v>
      </c>
      <c r="D23" s="4">
        <f>D22</f>
        <v>3316562</v>
      </c>
      <c r="E23" s="4">
        <f>E22</f>
        <v>2361149</v>
      </c>
      <c r="F23" s="210">
        <f>E23/D23</f>
        <v>0.71192668793768965</v>
      </c>
    </row>
    <row r="24" spans="1:6" x14ac:dyDescent="0.2">
      <c r="C24" s="16"/>
      <c r="D24" s="16"/>
      <c r="E24" s="16"/>
      <c r="F24" s="16"/>
    </row>
    <row r="25" spans="1:6" x14ac:dyDescent="0.2">
      <c r="C25" s="16"/>
      <c r="D25" s="16"/>
      <c r="E25" s="16"/>
      <c r="F25" s="16"/>
    </row>
    <row r="26" spans="1:6" x14ac:dyDescent="0.2">
      <c r="C26" s="16"/>
      <c r="D26" s="16"/>
      <c r="E26" s="16"/>
      <c r="F26" s="16"/>
    </row>
    <row r="27" spans="1:6" x14ac:dyDescent="0.2">
      <c r="C27" s="16"/>
      <c r="D27" s="16"/>
      <c r="E27" s="16"/>
      <c r="F27" s="16"/>
    </row>
    <row r="28" spans="1:6" x14ac:dyDescent="0.2">
      <c r="C28" s="16"/>
      <c r="D28" s="16"/>
      <c r="E28" s="16"/>
      <c r="F28" s="16"/>
    </row>
    <row r="29" spans="1:6" x14ac:dyDescent="0.2">
      <c r="C29" s="16"/>
      <c r="D29" s="16"/>
      <c r="E29" s="16"/>
      <c r="F29" s="16"/>
    </row>
    <row r="30" spans="1:6" x14ac:dyDescent="0.2">
      <c r="C30" s="16"/>
      <c r="D30" s="16"/>
      <c r="E30" s="16"/>
      <c r="F30" s="16"/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  <row r="36" spans="3:6" ht="13.5" customHeight="1" x14ac:dyDescent="0.2">
      <c r="C36" s="16"/>
      <c r="D36" s="16"/>
      <c r="E36" s="16"/>
      <c r="F36" s="16"/>
    </row>
    <row r="37" spans="3:6" x14ac:dyDescent="0.2">
      <c r="C37" s="16"/>
      <c r="D37" s="16"/>
      <c r="E37" s="16"/>
      <c r="F37" s="16"/>
    </row>
    <row r="38" spans="3:6" x14ac:dyDescent="0.2">
      <c r="C38" s="16"/>
      <c r="D38" s="16"/>
      <c r="E38" s="16"/>
      <c r="F38" s="16"/>
    </row>
    <row r="39" spans="3:6" x14ac:dyDescent="0.2">
      <c r="C39" s="16"/>
      <c r="D39" s="16"/>
      <c r="E39" s="16"/>
      <c r="F39" s="16"/>
    </row>
    <row r="40" spans="3:6" x14ac:dyDescent="0.2">
      <c r="C40" s="16"/>
      <c r="D40" s="16"/>
      <c r="E40" s="16"/>
      <c r="F40" s="16"/>
    </row>
    <row r="41" spans="3:6" x14ac:dyDescent="0.2">
      <c r="C41" s="16"/>
      <c r="D41" s="16"/>
      <c r="E41" s="16"/>
      <c r="F41" s="16"/>
    </row>
    <row r="42" spans="3:6" x14ac:dyDescent="0.2">
      <c r="C42" s="16"/>
      <c r="D42" s="16"/>
      <c r="E42" s="16"/>
      <c r="F42" s="16"/>
    </row>
    <row r="43" spans="3:6" x14ac:dyDescent="0.2">
      <c r="C43" s="16"/>
      <c r="D43" s="16"/>
      <c r="E43" s="16"/>
      <c r="F43" s="16"/>
    </row>
    <row r="44" spans="3:6" x14ac:dyDescent="0.2">
      <c r="C44" s="16"/>
      <c r="D44" s="16"/>
      <c r="E44" s="16"/>
      <c r="F44" s="16"/>
    </row>
    <row r="45" spans="3:6" x14ac:dyDescent="0.2">
      <c r="C45" s="16"/>
      <c r="D45" s="16"/>
      <c r="E45" s="16"/>
      <c r="F45" s="16"/>
    </row>
    <row r="46" spans="3:6" x14ac:dyDescent="0.2">
      <c r="C46" s="16"/>
      <c r="D46" s="16"/>
      <c r="E46" s="16"/>
      <c r="F46" s="16"/>
    </row>
    <row r="47" spans="3:6" x14ac:dyDescent="0.2">
      <c r="C47" s="16"/>
      <c r="D47" s="16"/>
      <c r="E47" s="16"/>
      <c r="F47" s="16"/>
    </row>
    <row r="48" spans="3:6" x14ac:dyDescent="0.2">
      <c r="C48" s="16"/>
      <c r="D48" s="16"/>
      <c r="E48" s="16"/>
      <c r="F48" s="16"/>
    </row>
    <row r="49" spans="3:6" x14ac:dyDescent="0.2">
      <c r="C49" s="16"/>
      <c r="D49" s="16"/>
      <c r="E49" s="16"/>
      <c r="F49" s="16"/>
    </row>
    <row r="50" spans="3:6" x14ac:dyDescent="0.2">
      <c r="C50" s="16"/>
      <c r="D50" s="16"/>
      <c r="E50" s="16"/>
      <c r="F50" s="16"/>
    </row>
    <row r="51" spans="3:6" x14ac:dyDescent="0.2">
      <c r="C51" s="16"/>
      <c r="D51" s="16"/>
      <c r="E51" s="16"/>
      <c r="F51" s="16"/>
    </row>
    <row r="52" spans="3:6" x14ac:dyDescent="0.2">
      <c r="C52" s="16"/>
      <c r="D52" s="16"/>
      <c r="E52" s="16"/>
      <c r="F52" s="16"/>
    </row>
    <row r="53" spans="3:6" x14ac:dyDescent="0.2">
      <c r="C53" s="16"/>
      <c r="D53" s="16"/>
      <c r="E53" s="16"/>
      <c r="F53" s="16"/>
    </row>
    <row r="54" spans="3:6" x14ac:dyDescent="0.2">
      <c r="C54" s="16"/>
      <c r="D54" s="16"/>
      <c r="E54" s="16"/>
      <c r="F54" s="16"/>
    </row>
    <row r="55" spans="3:6" x14ac:dyDescent="0.2">
      <c r="C55" s="16"/>
      <c r="D55" s="16"/>
      <c r="E55" s="16"/>
      <c r="F55" s="16"/>
    </row>
    <row r="56" spans="3:6" x14ac:dyDescent="0.2">
      <c r="C56" s="16"/>
      <c r="D56" s="16"/>
      <c r="E56" s="16"/>
      <c r="F56" s="16"/>
    </row>
    <row r="57" spans="3:6" x14ac:dyDescent="0.2">
      <c r="C57" s="16"/>
      <c r="D57" s="16"/>
      <c r="E57" s="16"/>
      <c r="F57" s="16"/>
    </row>
    <row r="58" spans="3:6" x14ac:dyDescent="0.2">
      <c r="C58" s="16"/>
      <c r="D58" s="16"/>
      <c r="E58" s="16"/>
      <c r="F58" s="16"/>
    </row>
    <row r="59" spans="3:6" x14ac:dyDescent="0.2">
      <c r="C59" s="16"/>
      <c r="D59" s="16"/>
      <c r="E59" s="16"/>
      <c r="F59" s="16"/>
    </row>
    <row r="60" spans="3:6" x14ac:dyDescent="0.2">
      <c r="C60" s="16"/>
      <c r="D60" s="16"/>
      <c r="E60" s="16"/>
      <c r="F60" s="16"/>
    </row>
    <row r="61" spans="3:6" x14ac:dyDescent="0.2">
      <c r="C61" s="16"/>
      <c r="D61" s="16"/>
      <c r="E61" s="16"/>
      <c r="F61" s="16"/>
    </row>
    <row r="62" spans="3:6" x14ac:dyDescent="0.2">
      <c r="C62" s="16"/>
      <c r="D62" s="16"/>
      <c r="E62" s="16"/>
      <c r="F62" s="16"/>
    </row>
    <row r="63" spans="3:6" x14ac:dyDescent="0.2">
      <c r="C63" s="16"/>
      <c r="D63" s="16"/>
      <c r="E63" s="16"/>
      <c r="F63" s="16"/>
    </row>
    <row r="64" spans="3:6" x14ac:dyDescent="0.2">
      <c r="C64" s="16"/>
      <c r="D64" s="16"/>
      <c r="E64" s="16"/>
      <c r="F64" s="16"/>
    </row>
    <row r="65" spans="3:6" x14ac:dyDescent="0.2">
      <c r="C65" s="16"/>
      <c r="D65" s="16"/>
      <c r="E65" s="16"/>
      <c r="F65" s="16"/>
    </row>
    <row r="66" spans="3:6" x14ac:dyDescent="0.2">
      <c r="C66" s="16"/>
      <c r="D66" s="16"/>
      <c r="E66" s="16"/>
      <c r="F66" s="16"/>
    </row>
    <row r="67" spans="3:6" x14ac:dyDescent="0.2">
      <c r="C67" s="16"/>
      <c r="D67" s="16"/>
      <c r="E67" s="16"/>
      <c r="F67" s="16"/>
    </row>
    <row r="68" spans="3:6" x14ac:dyDescent="0.2">
      <c r="C68" s="16"/>
      <c r="D68" s="16"/>
      <c r="E68" s="16"/>
      <c r="F68" s="16"/>
    </row>
    <row r="69" spans="3:6" x14ac:dyDescent="0.2">
      <c r="C69" s="16"/>
      <c r="D69" s="16"/>
      <c r="E69" s="16"/>
      <c r="F69" s="16"/>
    </row>
    <row r="70" spans="3:6" x14ac:dyDescent="0.2">
      <c r="C70" s="16"/>
      <c r="D70" s="16"/>
      <c r="E70" s="16"/>
      <c r="F70" s="16"/>
    </row>
    <row r="71" spans="3:6" x14ac:dyDescent="0.2">
      <c r="C71" s="16"/>
      <c r="D71" s="16"/>
      <c r="E71" s="16"/>
      <c r="F71" s="16"/>
    </row>
    <row r="72" spans="3:6" x14ac:dyDescent="0.2">
      <c r="C72" s="16"/>
      <c r="D72" s="16"/>
      <c r="E72" s="16"/>
      <c r="F72" s="16"/>
    </row>
    <row r="73" spans="3:6" x14ac:dyDescent="0.2">
      <c r="C73" s="16"/>
      <c r="D73" s="16"/>
      <c r="E73" s="16"/>
      <c r="F73" s="16"/>
    </row>
    <row r="74" spans="3:6" x14ac:dyDescent="0.2">
      <c r="C74" s="16"/>
      <c r="D74" s="16"/>
      <c r="E74" s="16"/>
      <c r="F74" s="16"/>
    </row>
    <row r="75" spans="3:6" x14ac:dyDescent="0.2">
      <c r="C75" s="16"/>
      <c r="D75" s="16"/>
      <c r="E75" s="16"/>
      <c r="F75" s="16"/>
    </row>
    <row r="76" spans="3:6" x14ac:dyDescent="0.2">
      <c r="C76" s="16"/>
      <c r="D76" s="16"/>
      <c r="E76" s="16"/>
      <c r="F76" s="16"/>
    </row>
    <row r="77" spans="3:6" x14ac:dyDescent="0.2">
      <c r="C77" s="16"/>
      <c r="D77" s="16"/>
      <c r="E77" s="16"/>
      <c r="F77" s="16"/>
    </row>
    <row r="78" spans="3:6" x14ac:dyDescent="0.2">
      <c r="C78" s="16"/>
      <c r="D78" s="16"/>
      <c r="E78" s="16"/>
      <c r="F78" s="16"/>
    </row>
    <row r="79" spans="3:6" x14ac:dyDescent="0.2">
      <c r="C79" s="16"/>
      <c r="D79" s="16"/>
      <c r="E79" s="16"/>
      <c r="F79" s="16"/>
    </row>
    <row r="80" spans="3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  <row r="83" spans="3:6" x14ac:dyDescent="0.2">
      <c r="C83" s="16"/>
      <c r="D83" s="16"/>
      <c r="E83" s="16"/>
      <c r="F83" s="16"/>
    </row>
    <row r="84" spans="3:6" x14ac:dyDescent="0.2">
      <c r="C84" s="16"/>
      <c r="D84" s="16"/>
      <c r="E84" s="16"/>
      <c r="F84" s="16"/>
    </row>
    <row r="85" spans="3:6" x14ac:dyDescent="0.2">
      <c r="C85" s="16"/>
      <c r="D85" s="16"/>
      <c r="E85" s="16"/>
      <c r="F85" s="16"/>
    </row>
    <row r="86" spans="3:6" x14ac:dyDescent="0.2">
      <c r="C86" s="16"/>
      <c r="D86" s="16"/>
      <c r="E86" s="16"/>
      <c r="F86" s="16"/>
    </row>
    <row r="87" spans="3:6" x14ac:dyDescent="0.2">
      <c r="C87" s="16"/>
      <c r="D87" s="16"/>
      <c r="E87" s="16"/>
      <c r="F87" s="16"/>
    </row>
    <row r="88" spans="3:6" x14ac:dyDescent="0.2">
      <c r="C88" s="16"/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</sheetData>
  <mergeCells count="2">
    <mergeCell ref="A1:F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9" orientation="portrait" r:id="rId1"/>
  <headerFooter alignWithMargins="0">
    <oddHeader>&amp;L8. melléklet a 3/2019.(V.24.) önkormányzati rendelethez&amp;CErzsébet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F38"/>
  <sheetViews>
    <sheetView zoomScale="120" zoomScaleNormal="120" workbookViewId="0">
      <selection activeCell="E36" sqref="E36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7109375" bestFit="1" customWidth="1"/>
    <col min="4" max="4" width="10.85546875" bestFit="1" customWidth="1"/>
    <col min="5" max="5" width="10.7109375" bestFit="1" customWidth="1"/>
    <col min="6" max="6" width="14.28515625" bestFit="1" customWidth="1"/>
  </cols>
  <sheetData>
    <row r="1" spans="1:6" ht="12.75" customHeight="1" x14ac:dyDescent="0.2">
      <c r="A1" s="302" t="s">
        <v>693</v>
      </c>
      <c r="B1" s="302"/>
      <c r="C1" s="302"/>
      <c r="D1" s="302"/>
      <c r="E1" s="302"/>
      <c r="F1" s="302"/>
    </row>
    <row r="2" spans="1:6" x14ac:dyDescent="0.2">
      <c r="A2" s="302"/>
      <c r="B2" s="302"/>
      <c r="C2" s="302"/>
      <c r="D2" s="302"/>
      <c r="E2" s="302"/>
      <c r="F2" s="302"/>
    </row>
    <row r="3" spans="1:6" x14ac:dyDescent="0.2">
      <c r="A3" s="303"/>
      <c r="B3" s="303"/>
      <c r="C3" s="303"/>
      <c r="D3" s="303"/>
      <c r="E3" s="303"/>
      <c r="F3" s="303"/>
    </row>
    <row r="4" spans="1:6" ht="26.25" customHeight="1" x14ac:dyDescent="0.2">
      <c r="A4" s="90" t="s">
        <v>0</v>
      </c>
      <c r="B4" s="89" t="s">
        <v>205</v>
      </c>
      <c r="C4" s="172" t="s">
        <v>189</v>
      </c>
      <c r="D4" s="172" t="s">
        <v>367</v>
      </c>
      <c r="E4" s="172" t="s">
        <v>368</v>
      </c>
      <c r="F4" s="172" t="s">
        <v>369</v>
      </c>
    </row>
    <row r="5" spans="1:6" x14ac:dyDescent="0.2">
      <c r="A5" s="301" t="s">
        <v>239</v>
      </c>
      <c r="B5" s="301"/>
      <c r="C5" s="17"/>
      <c r="D5" s="17"/>
      <c r="E5" s="2"/>
      <c r="F5" s="2"/>
    </row>
    <row r="6" spans="1:6" x14ac:dyDescent="0.2">
      <c r="A6" s="7"/>
      <c r="B6" s="149" t="s">
        <v>72</v>
      </c>
      <c r="C6" s="15">
        <f>'2.Műk+F mérlegek'!H10</f>
        <v>48936313</v>
      </c>
      <c r="D6" s="15">
        <f>'2.Műk+F mérlegek'!I10</f>
        <v>75774585</v>
      </c>
      <c r="E6" s="15">
        <f>'2.Műk+F mérlegek'!J10</f>
        <v>26703253</v>
      </c>
      <c r="F6" s="249">
        <f>E6/D6</f>
        <v>0.35240381719015684</v>
      </c>
    </row>
    <row r="7" spans="1:6" x14ac:dyDescent="0.2">
      <c r="A7" s="7"/>
      <c r="B7" s="6"/>
      <c r="C7" s="17"/>
      <c r="D7" s="15"/>
      <c r="E7" s="5"/>
      <c r="F7" s="249" t="e">
        <f t="shared" ref="F7:F26" si="0">E7/D7</f>
        <v>#DIV/0!</v>
      </c>
    </row>
    <row r="8" spans="1:6" x14ac:dyDescent="0.2">
      <c r="A8" s="150"/>
      <c r="B8" s="144"/>
      <c r="C8" s="151"/>
      <c r="D8" s="151"/>
      <c r="E8" s="5"/>
      <c r="F8" s="249" t="e">
        <f t="shared" si="0"/>
        <v>#DIV/0!</v>
      </c>
    </row>
    <row r="9" spans="1:6" x14ac:dyDescent="0.2">
      <c r="A9" s="150"/>
      <c r="B9" s="144"/>
      <c r="C9" s="151"/>
      <c r="D9" s="151"/>
      <c r="E9" s="5"/>
      <c r="F9" s="249" t="e">
        <f t="shared" si="0"/>
        <v>#DIV/0!</v>
      </c>
    </row>
    <row r="10" spans="1:6" x14ac:dyDescent="0.2">
      <c r="A10" s="150"/>
      <c r="B10" s="144"/>
      <c r="C10" s="151"/>
      <c r="D10" s="151"/>
      <c r="E10" s="5"/>
      <c r="F10" s="249" t="e">
        <f t="shared" si="0"/>
        <v>#DIV/0!</v>
      </c>
    </row>
    <row r="11" spans="1:6" x14ac:dyDescent="0.2">
      <c r="A11" s="150"/>
      <c r="B11" s="144"/>
      <c r="C11" s="151"/>
      <c r="D11" s="151"/>
      <c r="E11" s="5"/>
      <c r="F11" s="249" t="e">
        <f t="shared" si="0"/>
        <v>#DIV/0!</v>
      </c>
    </row>
    <row r="12" spans="1:6" x14ac:dyDescent="0.2">
      <c r="A12" s="150"/>
      <c r="B12" s="144"/>
      <c r="C12" s="151"/>
      <c r="D12" s="151"/>
      <c r="E12" s="5"/>
      <c r="F12" s="249" t="e">
        <f t="shared" si="0"/>
        <v>#DIV/0!</v>
      </c>
    </row>
    <row r="13" spans="1:6" x14ac:dyDescent="0.2">
      <c r="A13" s="150"/>
      <c r="B13" s="144"/>
      <c r="C13" s="151"/>
      <c r="D13" s="151"/>
      <c r="E13" s="5"/>
      <c r="F13" s="249" t="e">
        <f t="shared" si="0"/>
        <v>#DIV/0!</v>
      </c>
    </row>
    <row r="14" spans="1:6" x14ac:dyDescent="0.2">
      <c r="A14" s="150"/>
      <c r="B14" s="144"/>
      <c r="C14" s="151"/>
      <c r="D14" s="151"/>
      <c r="E14" s="5"/>
      <c r="F14" s="249" t="e">
        <f t="shared" si="0"/>
        <v>#DIV/0!</v>
      </c>
    </row>
    <row r="15" spans="1:6" x14ac:dyDescent="0.2">
      <c r="A15" s="153"/>
      <c r="B15" s="144"/>
      <c r="C15" s="151"/>
      <c r="D15" s="151"/>
      <c r="E15" s="5"/>
      <c r="F15" s="249" t="e">
        <f t="shared" si="0"/>
        <v>#DIV/0!</v>
      </c>
    </row>
    <row r="16" spans="1:6" x14ac:dyDescent="0.2">
      <c r="A16" s="153"/>
      <c r="B16" s="144"/>
      <c r="C16" s="151"/>
      <c r="D16" s="151"/>
      <c r="E16" s="5"/>
      <c r="F16" s="249" t="e">
        <f t="shared" si="0"/>
        <v>#DIV/0!</v>
      </c>
    </row>
    <row r="17" spans="1:6" x14ac:dyDescent="0.2">
      <c r="A17" s="150"/>
      <c r="B17" s="144"/>
      <c r="C17" s="151"/>
      <c r="D17" s="151"/>
      <c r="E17" s="5"/>
      <c r="F17" s="249" t="e">
        <f t="shared" si="0"/>
        <v>#DIV/0!</v>
      </c>
    </row>
    <row r="18" spans="1:6" x14ac:dyDescent="0.2">
      <c r="A18" s="150"/>
      <c r="B18" s="144"/>
      <c r="C18" s="151"/>
      <c r="D18" s="151"/>
      <c r="E18" s="5"/>
      <c r="F18" s="249" t="e">
        <f t="shared" si="0"/>
        <v>#DIV/0!</v>
      </c>
    </row>
    <row r="19" spans="1:6" x14ac:dyDescent="0.2">
      <c r="A19" s="150"/>
      <c r="B19" s="144"/>
      <c r="C19" s="151"/>
      <c r="D19" s="151"/>
      <c r="E19" s="5"/>
      <c r="F19" s="249" t="e">
        <f t="shared" si="0"/>
        <v>#DIV/0!</v>
      </c>
    </row>
    <row r="20" spans="1:6" x14ac:dyDescent="0.2">
      <c r="A20" s="150"/>
      <c r="B20" s="144"/>
      <c r="C20" s="151"/>
      <c r="D20" s="151"/>
      <c r="E20" s="5"/>
      <c r="F20" s="249" t="e">
        <f t="shared" si="0"/>
        <v>#DIV/0!</v>
      </c>
    </row>
    <row r="21" spans="1:6" x14ac:dyDescent="0.2">
      <c r="A21" s="153"/>
      <c r="B21" s="202"/>
      <c r="C21" s="151"/>
      <c r="D21" s="151"/>
      <c r="E21" s="5"/>
      <c r="F21" s="249" t="e">
        <f t="shared" si="0"/>
        <v>#DIV/0!</v>
      </c>
    </row>
    <row r="22" spans="1:6" x14ac:dyDescent="0.2">
      <c r="A22" s="153"/>
      <c r="B22" s="202"/>
      <c r="C22" s="151"/>
      <c r="D22" s="151"/>
      <c r="E22" s="5"/>
      <c r="F22" s="249" t="e">
        <f t="shared" si="0"/>
        <v>#DIV/0!</v>
      </c>
    </row>
    <row r="23" spans="1:6" x14ac:dyDescent="0.2">
      <c r="A23" s="7"/>
      <c r="B23" s="2"/>
      <c r="C23" s="21">
        <f>C6</f>
        <v>48936313</v>
      </c>
      <c r="D23" s="21">
        <f>D6</f>
        <v>75774585</v>
      </c>
      <c r="E23" s="21">
        <f>E6</f>
        <v>26703253</v>
      </c>
      <c r="F23" s="249">
        <f t="shared" si="0"/>
        <v>0.35240381719015684</v>
      </c>
    </row>
    <row r="24" spans="1:6" x14ac:dyDescent="0.2">
      <c r="A24" s="7"/>
      <c r="B24" s="40" t="s">
        <v>235</v>
      </c>
      <c r="C24" s="17"/>
      <c r="D24" s="15"/>
      <c r="E24" s="5"/>
      <c r="F24" s="249" t="e">
        <f t="shared" si="0"/>
        <v>#DIV/0!</v>
      </c>
    </row>
    <row r="25" spans="1:6" x14ac:dyDescent="0.2">
      <c r="A25" s="148" t="s">
        <v>432</v>
      </c>
      <c r="B25" s="149" t="s">
        <v>72</v>
      </c>
      <c r="C25" s="21">
        <f>C23</f>
        <v>48936313</v>
      </c>
      <c r="D25" s="21">
        <f>D23</f>
        <v>75774585</v>
      </c>
      <c r="E25" s="21">
        <f>E23</f>
        <v>26703253</v>
      </c>
      <c r="F25" s="249">
        <f t="shared" si="0"/>
        <v>0.35240381719015684</v>
      </c>
    </row>
    <row r="26" spans="1:6" x14ac:dyDescent="0.2">
      <c r="A26" s="8"/>
      <c r="B26" s="19" t="s">
        <v>201</v>
      </c>
      <c r="C26" s="22">
        <f>SUM(C25:C25)</f>
        <v>48936313</v>
      </c>
      <c r="D26" s="22">
        <f>SUM(D25:D25)</f>
        <v>75774585</v>
      </c>
      <c r="E26" s="22">
        <f>SUM(E25:E25)</f>
        <v>26703253</v>
      </c>
      <c r="F26" s="249">
        <f t="shared" si="0"/>
        <v>0.35240381719015684</v>
      </c>
    </row>
    <row r="36" ht="13.5" customHeight="1" x14ac:dyDescent="0.2"/>
    <row r="38" ht="12.75" customHeight="1" x14ac:dyDescent="0.2"/>
  </sheetData>
  <mergeCells count="2">
    <mergeCell ref="A5:B5"/>
    <mergeCell ref="A1:F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3/2019.(V.24.) önkormányzati rendelethez&amp;CErzsébet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J46"/>
  <sheetViews>
    <sheetView zoomScaleNormal="100" workbookViewId="0">
      <selection activeCell="E36" sqref="E36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305" t="s">
        <v>685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2">
      <c r="A2" s="307" t="s">
        <v>240</v>
      </c>
      <c r="B2" s="277" t="s">
        <v>319</v>
      </c>
      <c r="C2" s="279"/>
      <c r="D2" s="307" t="s">
        <v>172</v>
      </c>
      <c r="E2" s="308" t="s">
        <v>206</v>
      </c>
      <c r="F2" s="308"/>
      <c r="G2" s="308"/>
      <c r="H2" s="304" t="s">
        <v>189</v>
      </c>
      <c r="I2" s="304" t="s">
        <v>212</v>
      </c>
      <c r="J2" s="304" t="s">
        <v>370</v>
      </c>
    </row>
    <row r="3" spans="1:10" ht="27" customHeight="1" x14ac:dyDescent="0.2">
      <c r="A3" s="307"/>
      <c r="B3" s="98" t="s">
        <v>207</v>
      </c>
      <c r="C3" s="98" t="s">
        <v>208</v>
      </c>
      <c r="D3" s="307"/>
      <c r="E3" s="98" t="s">
        <v>209</v>
      </c>
      <c r="F3" s="98" t="s">
        <v>210</v>
      </c>
      <c r="G3" s="98" t="s">
        <v>211</v>
      </c>
      <c r="H3" s="304"/>
      <c r="I3" s="304"/>
      <c r="J3" s="304"/>
    </row>
    <row r="4" spans="1:10" x14ac:dyDescent="0.2">
      <c r="A4" s="306" t="s">
        <v>213</v>
      </c>
      <c r="B4" s="306"/>
      <c r="C4" s="306"/>
      <c r="D4" s="306"/>
      <c r="E4" s="306"/>
      <c r="F4" s="306"/>
      <c r="G4" s="306"/>
      <c r="H4" s="99"/>
    </row>
    <row r="5" spans="1:10" x14ac:dyDescent="0.2">
      <c r="A5" s="150" t="s">
        <v>241</v>
      </c>
      <c r="B5" s="101" t="s">
        <v>102</v>
      </c>
      <c r="C5" s="154" t="s">
        <v>237</v>
      </c>
      <c r="D5" s="155">
        <v>5</v>
      </c>
      <c r="E5" s="143"/>
      <c r="F5" s="143"/>
      <c r="G5" s="143"/>
      <c r="H5" s="155">
        <f>D5+G5</f>
        <v>5</v>
      </c>
      <c r="I5" s="56">
        <v>0</v>
      </c>
      <c r="J5" s="56">
        <v>5</v>
      </c>
    </row>
    <row r="6" spans="1:10" x14ac:dyDescent="0.2">
      <c r="A6" s="142"/>
      <c r="B6" s="156"/>
      <c r="C6" s="156"/>
      <c r="D6" s="142"/>
      <c r="E6" s="142"/>
      <c r="F6" s="142"/>
      <c r="G6" s="142"/>
      <c r="H6" s="142"/>
    </row>
    <row r="7" spans="1:10" x14ac:dyDescent="0.2">
      <c r="A7" s="309" t="s">
        <v>214</v>
      </c>
      <c r="B7" s="309"/>
      <c r="C7" s="309"/>
      <c r="D7" s="309"/>
      <c r="E7" s="309"/>
      <c r="F7" s="309"/>
      <c r="G7" s="309"/>
      <c r="H7" s="157"/>
    </row>
    <row r="8" spans="1:10" x14ac:dyDescent="0.2">
      <c r="A8" s="158"/>
      <c r="B8" s="158"/>
      <c r="C8" s="158" t="s">
        <v>239</v>
      </c>
      <c r="D8" s="158"/>
      <c r="E8" s="158"/>
      <c r="F8" s="158"/>
      <c r="G8" s="158"/>
      <c r="H8" s="158"/>
    </row>
    <row r="9" spans="1:10" x14ac:dyDescent="0.2">
      <c r="A9" s="159" t="s">
        <v>241</v>
      </c>
      <c r="B9" s="162" t="s">
        <v>343</v>
      </c>
      <c r="C9" s="154" t="s">
        <v>366</v>
      </c>
      <c r="D9" s="160"/>
      <c r="E9" s="152"/>
      <c r="F9" s="152"/>
      <c r="G9" s="152"/>
      <c r="H9" s="155"/>
      <c r="I9" s="56"/>
      <c r="J9" s="56"/>
    </row>
    <row r="10" spans="1:10" x14ac:dyDescent="0.2">
      <c r="A10" s="159" t="s">
        <v>242</v>
      </c>
      <c r="B10" s="101" t="s">
        <v>113</v>
      </c>
      <c r="C10" s="154" t="s">
        <v>236</v>
      </c>
      <c r="D10" s="161"/>
      <c r="E10" s="152"/>
      <c r="F10" s="152"/>
      <c r="G10" s="152">
        <f>F10/8</f>
        <v>0</v>
      </c>
      <c r="H10" s="155">
        <f>D10+G10</f>
        <v>0</v>
      </c>
      <c r="I10" s="56">
        <v>0</v>
      </c>
      <c r="J10" s="56">
        <v>0</v>
      </c>
    </row>
    <row r="11" spans="1:10" x14ac:dyDescent="0.2">
      <c r="A11" s="159" t="s">
        <v>243</v>
      </c>
      <c r="B11" s="162" t="s">
        <v>339</v>
      </c>
      <c r="C11" s="144" t="s">
        <v>341</v>
      </c>
      <c r="D11" s="160">
        <v>1</v>
      </c>
      <c r="E11" s="150"/>
      <c r="F11" s="150"/>
      <c r="G11" s="150"/>
      <c r="H11" s="155">
        <f>D11+G11</f>
        <v>1</v>
      </c>
      <c r="I11" s="56">
        <v>0</v>
      </c>
      <c r="J11" s="56">
        <v>1</v>
      </c>
    </row>
    <row r="12" spans="1:10" x14ac:dyDescent="0.2">
      <c r="A12" s="163"/>
      <c r="B12" s="55"/>
      <c r="C12" s="57" t="s">
        <v>215</v>
      </c>
      <c r="D12" s="53">
        <f>SUM(D9:D11)</f>
        <v>1</v>
      </c>
      <c r="E12" s="77">
        <f>SUM(E10:E10)</f>
        <v>0</v>
      </c>
      <c r="F12" s="77">
        <f>SUM(F10:F10)</f>
        <v>0</v>
      </c>
      <c r="G12" s="53">
        <v>0</v>
      </c>
      <c r="H12" s="53">
        <f>D12+G12</f>
        <v>1</v>
      </c>
      <c r="I12" s="53">
        <f>E12+H12</f>
        <v>1</v>
      </c>
      <c r="J12" s="53">
        <f>F12+I12</f>
        <v>1</v>
      </c>
    </row>
    <row r="13" spans="1:10" x14ac:dyDescent="0.2">
      <c r="D13" s="9"/>
      <c r="E13" s="9"/>
      <c r="F13" s="9"/>
      <c r="G13" s="9"/>
      <c r="H13" s="58"/>
    </row>
    <row r="14" spans="1:10" x14ac:dyDescent="0.2">
      <c r="C14" s="54" t="s">
        <v>216</v>
      </c>
      <c r="D14" s="53">
        <f t="shared" ref="D14:J14" si="0">D12</f>
        <v>1</v>
      </c>
      <c r="E14" s="77">
        <f t="shared" si="0"/>
        <v>0</v>
      </c>
      <c r="F14" s="77">
        <f t="shared" si="0"/>
        <v>0</v>
      </c>
      <c r="G14" s="53">
        <f t="shared" si="0"/>
        <v>0</v>
      </c>
      <c r="H14" s="53">
        <f t="shared" si="0"/>
        <v>1</v>
      </c>
      <c r="I14" s="53">
        <f t="shared" si="0"/>
        <v>1</v>
      </c>
      <c r="J14" s="53">
        <f t="shared" si="0"/>
        <v>1</v>
      </c>
    </row>
    <row r="15" spans="1:10" x14ac:dyDescent="0.2">
      <c r="C15" s="59"/>
      <c r="D15" s="60"/>
      <c r="E15" s="61"/>
      <c r="F15" s="60"/>
      <c r="G15" s="60"/>
      <c r="H15" s="60"/>
    </row>
    <row r="16" spans="1:10" x14ac:dyDescent="0.2">
      <c r="A16" s="16"/>
      <c r="B16" s="16"/>
      <c r="C16" s="16"/>
      <c r="D16" s="60"/>
      <c r="E16" s="60"/>
      <c r="F16" s="60"/>
      <c r="G16" s="60"/>
      <c r="H16" s="60"/>
    </row>
    <row r="17" spans="1:10" x14ac:dyDescent="0.2">
      <c r="A17" s="310" t="s">
        <v>219</v>
      </c>
      <c r="B17" s="310"/>
      <c r="C17" s="310"/>
      <c r="D17" s="60"/>
      <c r="E17" s="60"/>
      <c r="F17" s="60"/>
      <c r="G17" s="60"/>
      <c r="H17" s="60"/>
    </row>
    <row r="18" spans="1:10" x14ac:dyDescent="0.2">
      <c r="A18" s="150" t="s">
        <v>241</v>
      </c>
      <c r="B18" s="101" t="s">
        <v>182</v>
      </c>
      <c r="C18" s="154" t="s">
        <v>328</v>
      </c>
      <c r="D18" s="155">
        <v>0</v>
      </c>
      <c r="E18" s="152"/>
      <c r="F18" s="155"/>
      <c r="G18" s="155"/>
      <c r="H18" s="155">
        <v>0</v>
      </c>
      <c r="I18" s="155">
        <v>0</v>
      </c>
      <c r="J18" s="155">
        <v>0</v>
      </c>
    </row>
    <row r="19" spans="1:10" ht="15" x14ac:dyDescent="0.25">
      <c r="A19" s="153" t="s">
        <v>242</v>
      </c>
      <c r="B19" s="162" t="s">
        <v>183</v>
      </c>
      <c r="C19" s="113" t="s">
        <v>349</v>
      </c>
      <c r="D19" s="155">
        <v>7</v>
      </c>
      <c r="E19" s="152"/>
      <c r="F19" s="155"/>
      <c r="G19" s="155"/>
      <c r="H19" s="155">
        <f>D19+G19</f>
        <v>7</v>
      </c>
      <c r="I19" s="155">
        <v>0</v>
      </c>
      <c r="J19" s="155">
        <v>7</v>
      </c>
    </row>
    <row r="20" spans="1:10" x14ac:dyDescent="0.2">
      <c r="A20" s="65"/>
      <c r="B20" s="35"/>
      <c r="C20" s="78" t="s">
        <v>175</v>
      </c>
      <c r="D20" s="53">
        <f>SUM(D18:D19)</f>
        <v>7</v>
      </c>
      <c r="E20" s="53">
        <f t="shared" ref="E20:J20" si="1">SUM(E18:E19)</f>
        <v>0</v>
      </c>
      <c r="F20" s="53">
        <f t="shared" si="1"/>
        <v>0</v>
      </c>
      <c r="G20" s="53">
        <f t="shared" si="1"/>
        <v>0</v>
      </c>
      <c r="H20" s="53">
        <f t="shared" si="1"/>
        <v>7</v>
      </c>
      <c r="I20" s="53">
        <f t="shared" si="1"/>
        <v>0</v>
      </c>
      <c r="J20" s="53">
        <f t="shared" si="1"/>
        <v>7</v>
      </c>
    </row>
    <row r="22" spans="1:10" x14ac:dyDescent="0.2">
      <c r="C22" s="54" t="s">
        <v>217</v>
      </c>
      <c r="D22" s="53">
        <f t="shared" ref="D22:J22" si="2">D5+D14+D20</f>
        <v>13</v>
      </c>
      <c r="E22" s="77">
        <f t="shared" si="2"/>
        <v>0</v>
      </c>
      <c r="F22" s="77">
        <f t="shared" si="2"/>
        <v>0</v>
      </c>
      <c r="G22" s="53">
        <f t="shared" si="2"/>
        <v>0</v>
      </c>
      <c r="H22" s="53">
        <f t="shared" si="2"/>
        <v>13</v>
      </c>
      <c r="I22" s="53">
        <f t="shared" si="2"/>
        <v>1</v>
      </c>
      <c r="J22" s="53">
        <f t="shared" si="2"/>
        <v>13</v>
      </c>
    </row>
    <row r="23" spans="1:10" x14ac:dyDescent="0.2">
      <c r="H23" s="62"/>
    </row>
    <row r="24" spans="1:10" x14ac:dyDescent="0.2">
      <c r="A24" s="306" t="s">
        <v>173</v>
      </c>
      <c r="B24" s="306"/>
      <c r="C24" s="306"/>
    </row>
    <row r="25" spans="1:10" x14ac:dyDescent="0.2">
      <c r="C25" s="221" t="s">
        <v>698</v>
      </c>
      <c r="D25" s="56">
        <f>D5+D14</f>
        <v>6</v>
      </c>
      <c r="E25" s="97"/>
      <c r="F25" s="97"/>
      <c r="G25" s="56"/>
      <c r="H25" s="56">
        <f>H5+H14</f>
        <v>6</v>
      </c>
      <c r="I25" s="56">
        <f>I5+I14</f>
        <v>1</v>
      </c>
      <c r="J25" s="56">
        <f>J5+J14</f>
        <v>6</v>
      </c>
    </row>
    <row r="26" spans="1:10" x14ac:dyDescent="0.2">
      <c r="C26" s="8" t="s">
        <v>173</v>
      </c>
      <c r="D26" s="53">
        <f t="shared" ref="D26:J26" si="3">SUM(D25:D25)</f>
        <v>6</v>
      </c>
      <c r="E26" s="77">
        <f t="shared" si="3"/>
        <v>0</v>
      </c>
      <c r="F26" s="77">
        <f t="shared" si="3"/>
        <v>0</v>
      </c>
      <c r="G26" s="53">
        <f t="shared" si="3"/>
        <v>0</v>
      </c>
      <c r="H26" s="53">
        <f t="shared" si="3"/>
        <v>6</v>
      </c>
      <c r="I26" s="53">
        <f t="shared" si="3"/>
        <v>1</v>
      </c>
      <c r="J26" s="53">
        <f t="shared" si="3"/>
        <v>6</v>
      </c>
    </row>
    <row r="27" spans="1:10" x14ac:dyDescent="0.2">
      <c r="C27" s="2" t="s">
        <v>174</v>
      </c>
      <c r="D27" s="56">
        <f>D20</f>
        <v>7</v>
      </c>
      <c r="E27" s="97"/>
      <c r="F27" s="97"/>
      <c r="G27" s="56"/>
      <c r="H27" s="56">
        <f>H20</f>
        <v>7</v>
      </c>
      <c r="I27" s="56">
        <f>I20</f>
        <v>0</v>
      </c>
      <c r="J27" s="56">
        <f>J20</f>
        <v>7</v>
      </c>
    </row>
    <row r="28" spans="1:10" x14ac:dyDescent="0.2">
      <c r="C28" s="7" t="s">
        <v>176</v>
      </c>
      <c r="D28" s="56">
        <f t="shared" ref="D28:J28" si="4">SUM(D26:D27)</f>
        <v>13</v>
      </c>
      <c r="E28" s="97">
        <f t="shared" si="4"/>
        <v>0</v>
      </c>
      <c r="F28" s="97">
        <f t="shared" si="4"/>
        <v>0</v>
      </c>
      <c r="G28" s="56">
        <f t="shared" si="4"/>
        <v>0</v>
      </c>
      <c r="H28" s="53">
        <f t="shared" si="4"/>
        <v>13</v>
      </c>
      <c r="I28" s="53">
        <f t="shared" si="4"/>
        <v>1</v>
      </c>
      <c r="J28" s="53">
        <f t="shared" si="4"/>
        <v>13</v>
      </c>
    </row>
    <row r="36" ht="13.5" customHeight="1" x14ac:dyDescent="0.2"/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 xml:space="preserve">&amp;L10. melléklet a 3/2019.(V.24.) önkormányzati rendelethez&amp;CErzsébet Község Önkormányzata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0000"/>
  </sheetPr>
  <dimension ref="A1:T67"/>
  <sheetViews>
    <sheetView zoomScaleNormal="100" workbookViewId="0">
      <selection activeCell="E36" sqref="E36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32.28515625" bestFit="1" customWidth="1"/>
    <col min="8" max="8" width="10.140625" bestFit="1" customWidth="1"/>
    <col min="9" max="9" width="11.140625" bestFit="1" customWidth="1"/>
    <col min="10" max="10" width="10.140625" customWidth="1"/>
    <col min="11" max="11" width="27.28515625" customWidth="1"/>
    <col min="12" max="12" width="18.7109375" bestFit="1" customWidth="1"/>
    <col min="13" max="13" width="26.42578125" bestFit="1" customWidth="1"/>
    <col min="14" max="14" width="10.140625" bestFit="1" customWidth="1"/>
    <col min="15" max="15" width="11.140625" bestFit="1" customWidth="1"/>
    <col min="16" max="16" width="10.140625" bestFit="1" customWidth="1"/>
    <col min="17" max="17" width="30.7109375" bestFit="1" customWidth="1"/>
    <col min="18" max="18" width="10.140625" bestFit="1" customWidth="1"/>
    <col min="19" max="19" width="11.140625" bestFit="1" customWidth="1"/>
    <col min="20" max="20" width="10.140625" bestFit="1" customWidth="1"/>
  </cols>
  <sheetData>
    <row r="1" spans="1:20" x14ac:dyDescent="0.2">
      <c r="A1" s="289" t="s">
        <v>699</v>
      </c>
      <c r="B1" s="290"/>
      <c r="C1" s="290"/>
      <c r="D1" s="290"/>
      <c r="E1" s="290"/>
      <c r="F1" s="290"/>
      <c r="G1" s="290"/>
      <c r="H1" s="290"/>
      <c r="I1" s="290"/>
      <c r="J1" s="290"/>
      <c r="K1" s="289" t="s">
        <v>700</v>
      </c>
      <c r="L1" s="290"/>
      <c r="M1" s="290"/>
      <c r="N1" s="290"/>
      <c r="O1" s="290"/>
      <c r="P1" s="290"/>
      <c r="Q1" s="290"/>
      <c r="R1" s="290"/>
      <c r="S1" s="290"/>
      <c r="T1" s="290"/>
    </row>
    <row r="2" spans="1:20" x14ac:dyDescent="0.2">
      <c r="A2" s="312" t="s">
        <v>668</v>
      </c>
      <c r="B2" s="312"/>
      <c r="C2" s="312"/>
      <c r="D2" s="314">
        <v>2018</v>
      </c>
      <c r="E2" s="314"/>
      <c r="F2" s="314"/>
      <c r="G2" s="313"/>
      <c r="H2" s="314">
        <v>2018</v>
      </c>
      <c r="I2" s="314"/>
      <c r="J2" s="314"/>
      <c r="K2" s="312" t="s">
        <v>235</v>
      </c>
      <c r="L2" s="312"/>
      <c r="M2" s="312"/>
      <c r="N2" s="314">
        <v>2018</v>
      </c>
      <c r="O2" s="314"/>
      <c r="P2" s="314"/>
      <c r="Q2" s="313"/>
      <c r="R2" s="314">
        <v>2018</v>
      </c>
      <c r="S2" s="314"/>
      <c r="T2" s="314"/>
    </row>
    <row r="3" spans="1:20" x14ac:dyDescent="0.2">
      <c r="A3" s="312"/>
      <c r="B3" s="312"/>
      <c r="C3" s="312"/>
      <c r="D3" s="100" t="s">
        <v>189</v>
      </c>
      <c r="E3" s="100" t="s">
        <v>212</v>
      </c>
      <c r="F3" s="100" t="s">
        <v>191</v>
      </c>
      <c r="G3" s="313"/>
      <c r="H3" s="100" t="s">
        <v>189</v>
      </c>
      <c r="I3" s="100" t="s">
        <v>212</v>
      </c>
      <c r="J3" s="100" t="s">
        <v>191</v>
      </c>
      <c r="K3" s="312"/>
      <c r="L3" s="312"/>
      <c r="M3" s="312"/>
      <c r="N3" s="223" t="s">
        <v>189</v>
      </c>
      <c r="O3" s="223" t="s">
        <v>212</v>
      </c>
      <c r="P3" s="223" t="s">
        <v>191</v>
      </c>
      <c r="Q3" s="313"/>
      <c r="R3" s="223" t="s">
        <v>189</v>
      </c>
      <c r="S3" s="223" t="s">
        <v>212</v>
      </c>
      <c r="T3" s="223" t="s">
        <v>191</v>
      </c>
    </row>
    <row r="4" spans="1:20" x14ac:dyDescent="0.2">
      <c r="A4" s="311" t="s">
        <v>220</v>
      </c>
      <c r="B4" s="315" t="s">
        <v>221</v>
      </c>
      <c r="C4" s="11" t="s">
        <v>222</v>
      </c>
      <c r="D4" s="63"/>
      <c r="E4" s="176"/>
      <c r="F4" s="63"/>
      <c r="G4" s="11" t="s">
        <v>193</v>
      </c>
      <c r="H4" s="5"/>
      <c r="I4" s="176"/>
      <c r="J4" s="176"/>
      <c r="K4" s="311" t="s">
        <v>220</v>
      </c>
      <c r="L4" s="315" t="s">
        <v>221</v>
      </c>
      <c r="M4" s="11" t="s">
        <v>222</v>
      </c>
      <c r="N4" s="63">
        <v>45969040</v>
      </c>
      <c r="O4" s="176">
        <v>55150453</v>
      </c>
      <c r="P4" s="63">
        <v>55143819</v>
      </c>
      <c r="Q4" s="11" t="s">
        <v>193</v>
      </c>
      <c r="R4" s="5"/>
      <c r="S4" s="176"/>
      <c r="T4" s="176"/>
    </row>
    <row r="5" spans="1:20" x14ac:dyDescent="0.2">
      <c r="A5" s="311"/>
      <c r="B5" s="315"/>
      <c r="C5" s="11" t="s">
        <v>223</v>
      </c>
      <c r="D5" s="63"/>
      <c r="E5" s="176"/>
      <c r="F5" s="63"/>
      <c r="G5" s="11" t="s">
        <v>194</v>
      </c>
      <c r="H5" s="5">
        <v>22948681</v>
      </c>
      <c r="I5" s="176">
        <v>23762672</v>
      </c>
      <c r="J5" s="176">
        <v>23762672</v>
      </c>
      <c r="K5" s="311"/>
      <c r="L5" s="315"/>
      <c r="M5" s="11" t="s">
        <v>223</v>
      </c>
      <c r="N5" s="63">
        <v>9475121</v>
      </c>
      <c r="O5" s="176">
        <v>11918925</v>
      </c>
      <c r="P5" s="63">
        <v>11918925</v>
      </c>
      <c r="Q5" s="11" t="s">
        <v>194</v>
      </c>
      <c r="R5" s="5">
        <v>16554461</v>
      </c>
      <c r="S5" s="176">
        <v>12955000</v>
      </c>
      <c r="T5" s="176">
        <v>11002438</v>
      </c>
    </row>
    <row r="6" spans="1:20" x14ac:dyDescent="0.2">
      <c r="A6" s="311"/>
      <c r="B6" s="315"/>
      <c r="C6" s="11" t="s">
        <v>140</v>
      </c>
      <c r="D6" s="63">
        <v>30000</v>
      </c>
      <c r="E6" s="176">
        <v>60605</v>
      </c>
      <c r="F6" s="63">
        <v>60605</v>
      </c>
      <c r="G6" s="11" t="s">
        <v>200</v>
      </c>
      <c r="H6" s="5"/>
      <c r="I6" s="5"/>
      <c r="J6" s="63">
        <v>12</v>
      </c>
      <c r="K6" s="311"/>
      <c r="L6" s="315"/>
      <c r="M6" s="11" t="s">
        <v>140</v>
      </c>
      <c r="N6" s="63">
        <v>12518500</v>
      </c>
      <c r="O6" s="176">
        <v>21579883</v>
      </c>
      <c r="P6" s="63">
        <v>16978114</v>
      </c>
      <c r="Q6" s="11" t="s">
        <v>200</v>
      </c>
      <c r="R6" s="5"/>
      <c r="S6" s="5">
        <v>200587</v>
      </c>
      <c r="T6" s="63">
        <v>200582</v>
      </c>
    </row>
    <row r="7" spans="1:20" x14ac:dyDescent="0.2">
      <c r="A7" s="311"/>
      <c r="B7" s="315"/>
      <c r="C7" s="11" t="s">
        <v>70</v>
      </c>
      <c r="D7" s="63"/>
      <c r="E7" s="176"/>
      <c r="F7" s="63"/>
      <c r="G7" s="11" t="s">
        <v>199</v>
      </c>
      <c r="H7" s="5"/>
      <c r="I7" s="63"/>
      <c r="J7" s="63"/>
      <c r="K7" s="311"/>
      <c r="L7" s="315"/>
      <c r="M7" s="11" t="s">
        <v>70</v>
      </c>
      <c r="N7" s="63"/>
      <c r="O7" s="176"/>
      <c r="P7" s="63"/>
      <c r="Q7" s="11" t="s">
        <v>199</v>
      </c>
      <c r="R7" s="5"/>
      <c r="S7" s="63"/>
      <c r="T7" s="63"/>
    </row>
    <row r="8" spans="1:20" x14ac:dyDescent="0.2">
      <c r="A8" s="311"/>
      <c r="B8" s="315"/>
      <c r="C8" s="11" t="s">
        <v>72</v>
      </c>
      <c r="D8" s="63">
        <v>7595381</v>
      </c>
      <c r="E8" s="176">
        <v>3956</v>
      </c>
      <c r="F8" s="63"/>
      <c r="G8" s="11" t="s">
        <v>433</v>
      </c>
      <c r="H8" s="5"/>
      <c r="I8" s="63"/>
      <c r="J8" s="63"/>
      <c r="K8" s="311"/>
      <c r="L8" s="315"/>
      <c r="M8" s="11" t="s">
        <v>72</v>
      </c>
      <c r="N8" s="63">
        <v>0</v>
      </c>
      <c r="O8" s="176">
        <v>314930</v>
      </c>
      <c r="P8" s="63">
        <v>314930</v>
      </c>
      <c r="Q8" s="11" t="s">
        <v>433</v>
      </c>
      <c r="R8" s="5"/>
      <c r="S8" s="63"/>
      <c r="T8" s="63"/>
    </row>
    <row r="9" spans="1:20" x14ac:dyDescent="0.2">
      <c r="A9" s="311"/>
      <c r="B9" s="315"/>
      <c r="C9" s="11"/>
      <c r="D9" s="63"/>
      <c r="E9" s="63"/>
      <c r="F9" s="63"/>
      <c r="G9" s="66" t="s">
        <v>226</v>
      </c>
      <c r="H9" s="67">
        <f>SUM(H4:H8)</f>
        <v>22948681</v>
      </c>
      <c r="I9" s="67">
        <f>SUM(I4:I8)</f>
        <v>23762672</v>
      </c>
      <c r="J9" s="67">
        <f>SUM(J4:J8)</f>
        <v>23762684</v>
      </c>
      <c r="K9" s="311"/>
      <c r="L9" s="315"/>
      <c r="M9" s="11"/>
      <c r="N9" s="63"/>
      <c r="O9" s="63"/>
      <c r="P9" s="63"/>
      <c r="Q9" s="66" t="s">
        <v>226</v>
      </c>
      <c r="R9" s="67">
        <f>SUM(R4:R8)</f>
        <v>16554461</v>
      </c>
      <c r="S9" s="67">
        <f>SUM(S4:S8)</f>
        <v>13155587</v>
      </c>
      <c r="T9" s="67">
        <f>SUM(T4:T8)</f>
        <v>11203020</v>
      </c>
    </row>
    <row r="10" spans="1:20" x14ac:dyDescent="0.2">
      <c r="A10" s="311"/>
      <c r="B10" s="315" t="s">
        <v>225</v>
      </c>
      <c r="C10" s="72" t="s">
        <v>232</v>
      </c>
      <c r="D10" s="67">
        <f>SUM(D4:D8)</f>
        <v>7625381</v>
      </c>
      <c r="E10" s="67">
        <f>SUM(E4:E8)</f>
        <v>64561</v>
      </c>
      <c r="F10" s="67">
        <f>SUM(F4:F8)</f>
        <v>60605</v>
      </c>
      <c r="G10" s="11" t="s">
        <v>195</v>
      </c>
      <c r="H10" s="5"/>
      <c r="I10" s="176"/>
      <c r="J10" s="63"/>
      <c r="K10" s="311"/>
      <c r="L10" s="315" t="s">
        <v>225</v>
      </c>
      <c r="M10" s="72" t="s">
        <v>232</v>
      </c>
      <c r="N10" s="67">
        <f>SUM(N4:N8)</f>
        <v>67962661</v>
      </c>
      <c r="O10" s="67">
        <f>SUM(O4:O8)</f>
        <v>88964191</v>
      </c>
      <c r="P10" s="67">
        <f>SUM(P4:P8)</f>
        <v>84355788</v>
      </c>
      <c r="Q10" s="11" t="s">
        <v>195</v>
      </c>
      <c r="R10" s="5"/>
      <c r="S10" s="176"/>
      <c r="T10" s="63"/>
    </row>
    <row r="11" spans="1:20" x14ac:dyDescent="0.2">
      <c r="A11" s="311"/>
      <c r="B11" s="315"/>
      <c r="C11" s="11" t="s">
        <v>74</v>
      </c>
      <c r="D11" s="63"/>
      <c r="E11" s="176"/>
      <c r="F11" s="63"/>
      <c r="G11" s="11" t="s">
        <v>196</v>
      </c>
      <c r="H11" s="5"/>
      <c r="I11" s="63"/>
      <c r="J11" s="63"/>
      <c r="K11" s="311"/>
      <c r="L11" s="315"/>
      <c r="M11" s="11" t="s">
        <v>74</v>
      </c>
      <c r="N11" s="63">
        <v>300000</v>
      </c>
      <c r="O11" s="176">
        <v>943531</v>
      </c>
      <c r="P11" s="63">
        <v>943263</v>
      </c>
      <c r="Q11" s="11" t="s">
        <v>196</v>
      </c>
      <c r="R11" s="5"/>
      <c r="S11" s="63"/>
      <c r="T11" s="63"/>
    </row>
    <row r="12" spans="1:20" x14ac:dyDescent="0.2">
      <c r="A12" s="311"/>
      <c r="B12" s="315"/>
      <c r="C12" s="11" t="s">
        <v>141</v>
      </c>
      <c r="D12" s="63">
        <v>0</v>
      </c>
      <c r="E12" s="176"/>
      <c r="F12" s="63"/>
      <c r="G12" s="11" t="s">
        <v>92</v>
      </c>
      <c r="H12" s="5"/>
      <c r="I12" s="63"/>
      <c r="J12" s="63"/>
      <c r="K12" s="311"/>
      <c r="L12" s="315"/>
      <c r="M12" s="11" t="s">
        <v>141</v>
      </c>
      <c r="N12" s="63"/>
      <c r="O12" s="176"/>
      <c r="P12" s="63"/>
      <c r="Q12" s="11" t="s">
        <v>92</v>
      </c>
      <c r="R12" s="5"/>
      <c r="S12" s="63"/>
      <c r="T12" s="63"/>
    </row>
    <row r="13" spans="1:20" x14ac:dyDescent="0.2">
      <c r="A13" s="311"/>
      <c r="B13" s="315"/>
      <c r="C13" s="11" t="s">
        <v>669</v>
      </c>
      <c r="D13" s="63">
        <v>15323300</v>
      </c>
      <c r="E13" s="63">
        <v>23702672</v>
      </c>
      <c r="F13" s="63">
        <v>23702672</v>
      </c>
      <c r="G13" s="11" t="s">
        <v>197</v>
      </c>
      <c r="H13" s="5"/>
      <c r="I13" s="63"/>
      <c r="J13" s="63"/>
      <c r="K13" s="311"/>
      <c r="L13" s="315"/>
      <c r="M13" s="11" t="s">
        <v>192</v>
      </c>
      <c r="N13" s="63"/>
      <c r="O13" s="63"/>
      <c r="P13" s="63"/>
      <c r="Q13" s="11" t="s">
        <v>197</v>
      </c>
      <c r="R13" s="5"/>
      <c r="S13" s="63"/>
      <c r="T13" s="63"/>
    </row>
    <row r="14" spans="1:20" x14ac:dyDescent="0.2">
      <c r="A14" s="311"/>
      <c r="B14" s="315"/>
      <c r="C14" s="68" t="s">
        <v>81</v>
      </c>
      <c r="D14" s="207">
        <v>0</v>
      </c>
      <c r="E14" s="207"/>
      <c r="F14" s="207"/>
      <c r="G14" s="29" t="s">
        <v>198</v>
      </c>
      <c r="H14" s="5"/>
      <c r="I14" s="63"/>
      <c r="J14" s="63"/>
      <c r="K14" s="311"/>
      <c r="L14" s="315"/>
      <c r="M14" s="68" t="s">
        <v>81</v>
      </c>
      <c r="N14" s="207">
        <v>0</v>
      </c>
      <c r="O14" s="207"/>
      <c r="P14" s="207"/>
      <c r="Q14" s="29" t="s">
        <v>198</v>
      </c>
      <c r="R14" s="5"/>
      <c r="S14" s="63"/>
      <c r="T14" s="63"/>
    </row>
    <row r="15" spans="1:20" x14ac:dyDescent="0.2">
      <c r="A15" s="311"/>
      <c r="B15" s="315"/>
      <c r="C15" s="72" t="s">
        <v>232</v>
      </c>
      <c r="D15" s="67">
        <f>SUM(D11:D14)</f>
        <v>15323300</v>
      </c>
      <c r="E15" s="67">
        <f>SUM(E11:E14)</f>
        <v>23702672</v>
      </c>
      <c r="F15" s="67">
        <f>SUM(F11:F14)</f>
        <v>23702672</v>
      </c>
      <c r="G15" s="11" t="s">
        <v>224</v>
      </c>
      <c r="H15" s="5"/>
      <c r="I15" s="5">
        <v>4561</v>
      </c>
      <c r="J15" s="63">
        <v>4561</v>
      </c>
      <c r="K15" s="311"/>
      <c r="L15" s="315"/>
      <c r="M15" s="72" t="s">
        <v>232</v>
      </c>
      <c r="N15" s="67">
        <f>SUM(N11:N14)</f>
        <v>300000</v>
      </c>
      <c r="O15" s="67">
        <f>SUM(O11:O14)</f>
        <v>943531</v>
      </c>
      <c r="P15" s="67">
        <f>SUM(P11:P14)</f>
        <v>943263</v>
      </c>
      <c r="Q15" s="11" t="s">
        <v>224</v>
      </c>
      <c r="R15" s="5"/>
      <c r="S15" s="5">
        <v>12368382</v>
      </c>
      <c r="T15" s="63">
        <v>12368382</v>
      </c>
    </row>
    <row r="16" spans="1:20" x14ac:dyDescent="0.2">
      <c r="A16" s="311"/>
      <c r="B16" s="80"/>
      <c r="C16" s="80"/>
      <c r="D16" s="63"/>
      <c r="E16" s="63"/>
      <c r="F16" s="63"/>
      <c r="G16" s="66" t="s">
        <v>227</v>
      </c>
      <c r="H16" s="67">
        <f>SUM(H10:H15)</f>
        <v>0</v>
      </c>
      <c r="I16" s="67">
        <f>SUM(I10:I15)</f>
        <v>4561</v>
      </c>
      <c r="J16" s="67">
        <f>SUM(J10:J15)</f>
        <v>4561</v>
      </c>
      <c r="K16" s="311"/>
      <c r="L16" s="80"/>
      <c r="M16" s="80"/>
      <c r="N16" s="63"/>
      <c r="O16" s="63"/>
      <c r="P16" s="63"/>
      <c r="Q16" s="66" t="s">
        <v>227</v>
      </c>
      <c r="R16" s="67">
        <f>SUM(R10:R15)</f>
        <v>0</v>
      </c>
      <c r="S16" s="67">
        <f>SUM(S10:S15)</f>
        <v>12368382</v>
      </c>
      <c r="T16" s="67">
        <f>SUM(T10:T15)</f>
        <v>12368382</v>
      </c>
    </row>
    <row r="17" spans="1:20" x14ac:dyDescent="0.2">
      <c r="A17" s="311"/>
      <c r="B17" s="68"/>
      <c r="C17" s="68"/>
      <c r="D17" s="63"/>
      <c r="E17" s="63"/>
      <c r="F17" s="63"/>
      <c r="G17" s="11" t="s">
        <v>27</v>
      </c>
      <c r="H17" s="5"/>
      <c r="I17" s="67"/>
      <c r="J17" s="67"/>
      <c r="K17" s="311"/>
      <c r="L17" s="68"/>
      <c r="M17" s="68"/>
      <c r="N17" s="63"/>
      <c r="O17" s="63"/>
      <c r="P17" s="63"/>
      <c r="Q17" s="11" t="s">
        <v>27</v>
      </c>
      <c r="R17" s="5">
        <v>51708200</v>
      </c>
      <c r="S17" s="207">
        <v>64383753</v>
      </c>
      <c r="T17" s="207">
        <v>64383753</v>
      </c>
    </row>
    <row r="18" spans="1:20" x14ac:dyDescent="0.2">
      <c r="A18" s="311"/>
      <c r="B18" s="69" t="s">
        <v>257</v>
      </c>
      <c r="C18" s="69"/>
      <c r="D18" s="67">
        <f>D10+D15+D16+D17</f>
        <v>22948681</v>
      </c>
      <c r="E18" s="67">
        <f>E10+E15+E16+E17</f>
        <v>23767233</v>
      </c>
      <c r="F18" s="67">
        <f>F10+F15+F16+F17</f>
        <v>23763277</v>
      </c>
      <c r="G18" s="69" t="s">
        <v>259</v>
      </c>
      <c r="H18" s="67">
        <f>H16+H9+H17</f>
        <v>22948681</v>
      </c>
      <c r="I18" s="67">
        <f>SUM(I9+I16)</f>
        <v>23767233</v>
      </c>
      <c r="J18" s="67">
        <f>SUM(J9+J16)</f>
        <v>23767245</v>
      </c>
      <c r="K18" s="311"/>
      <c r="L18" s="69" t="s">
        <v>257</v>
      </c>
      <c r="M18" s="69"/>
      <c r="N18" s="67">
        <f>N10+N15+N16+N17</f>
        <v>68262661</v>
      </c>
      <c r="O18" s="67">
        <f>O10+O15+O16+O17</f>
        <v>89907722</v>
      </c>
      <c r="P18" s="67">
        <f>P10+P15+P16+P17</f>
        <v>85299051</v>
      </c>
      <c r="Q18" s="69" t="s">
        <v>259</v>
      </c>
      <c r="R18" s="67">
        <f>R16+R9+R17</f>
        <v>68262661</v>
      </c>
      <c r="S18" s="67">
        <f>S16+S9+S17</f>
        <v>89907722</v>
      </c>
      <c r="T18" s="67">
        <f>T16+T9+T17</f>
        <v>87955155</v>
      </c>
    </row>
    <row r="19" spans="1:20" x14ac:dyDescent="0.2">
      <c r="A19" s="311"/>
      <c r="B19" s="68"/>
      <c r="C19" s="68"/>
      <c r="D19" s="67"/>
      <c r="E19" s="67"/>
      <c r="F19" s="67"/>
      <c r="G19" s="13"/>
      <c r="H19" s="67"/>
      <c r="I19" s="67"/>
      <c r="J19" s="67"/>
      <c r="K19" s="311"/>
      <c r="L19" s="68"/>
      <c r="M19" s="68"/>
      <c r="N19" s="67"/>
      <c r="O19" s="67"/>
      <c r="P19" s="67"/>
      <c r="Q19" s="13"/>
      <c r="R19" s="67"/>
      <c r="S19" s="67"/>
      <c r="T19" s="67"/>
    </row>
    <row r="20" spans="1:20" x14ac:dyDescent="0.2">
      <c r="A20" s="311"/>
      <c r="B20" s="12"/>
      <c r="C20" s="66" t="s">
        <v>228</v>
      </c>
      <c r="D20" s="70"/>
      <c r="E20" s="70"/>
      <c r="F20" s="70"/>
      <c r="G20" s="66"/>
      <c r="H20" s="71"/>
      <c r="I20" s="71"/>
      <c r="J20" s="71"/>
      <c r="K20" s="311"/>
      <c r="L20" s="12"/>
      <c r="M20" s="66" t="s">
        <v>228</v>
      </c>
      <c r="N20" s="70">
        <v>16</v>
      </c>
      <c r="O20" s="70">
        <v>16</v>
      </c>
      <c r="P20" s="70">
        <v>16</v>
      </c>
      <c r="Q20" s="66"/>
      <c r="R20" s="71">
        <v>16</v>
      </c>
      <c r="S20" s="71">
        <v>16</v>
      </c>
      <c r="T20" s="71">
        <v>16</v>
      </c>
    </row>
    <row r="24" spans="1:20" ht="12.75" customHeight="1" x14ac:dyDescent="0.2"/>
    <row r="25" spans="1:20" ht="12.75" customHeight="1" x14ac:dyDescent="0.2"/>
    <row r="36" ht="13.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4:K20"/>
    <mergeCell ref="L4:L9"/>
    <mergeCell ref="L10:L15"/>
    <mergeCell ref="K1:T1"/>
    <mergeCell ref="K2:M3"/>
    <mergeCell ref="N2:P2"/>
    <mergeCell ref="Q2:Q3"/>
    <mergeCell ref="R2:T2"/>
    <mergeCell ref="A4:A20"/>
    <mergeCell ref="A1:J1"/>
    <mergeCell ref="A2:C3"/>
    <mergeCell ref="G2:G3"/>
    <mergeCell ref="D2:F2"/>
    <mergeCell ref="H2:J2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0" orientation="landscape" r:id="rId1"/>
  <headerFooter alignWithMargins="0">
    <oddHeader>&amp;L11. melléklet a 3/2019.(V.24.) önkormányzati rendelethez&amp;CErzsébet Község Önkormányzata</oddHeader>
  </headerFooter>
  <colBreaks count="1" manualBreakCount="1">
    <brk id="10" max="1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6"/>
  <sheetViews>
    <sheetView zoomScaleNormal="100" workbookViewId="0">
      <selection activeCell="E36" sqref="E36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6" t="s">
        <v>676</v>
      </c>
      <c r="B2" s="316"/>
      <c r="C2" s="316"/>
      <c r="D2" s="316"/>
      <c r="E2" s="316"/>
      <c r="F2" s="316"/>
    </row>
    <row r="3" spans="1:6" x14ac:dyDescent="0.2">
      <c r="A3" s="316" t="s">
        <v>218</v>
      </c>
      <c r="B3" s="316"/>
      <c r="C3" s="316"/>
      <c r="D3" s="316"/>
      <c r="E3" s="316"/>
      <c r="F3" s="316"/>
    </row>
    <row r="5" spans="1:6" x14ac:dyDescent="0.2">
      <c r="E5" s="273" t="s">
        <v>371</v>
      </c>
      <c r="F5" s="274"/>
    </row>
    <row r="6" spans="1:6" x14ac:dyDescent="0.2">
      <c r="A6" s="317" t="s">
        <v>372</v>
      </c>
      <c r="B6" s="311" t="s">
        <v>49</v>
      </c>
      <c r="C6" s="308" t="s">
        <v>373</v>
      </c>
      <c r="D6" s="308"/>
      <c r="E6" s="308"/>
      <c r="F6" s="308"/>
    </row>
    <row r="7" spans="1:6" x14ac:dyDescent="0.2">
      <c r="A7" s="317"/>
      <c r="B7" s="311"/>
      <c r="C7" s="318" t="s">
        <v>374</v>
      </c>
      <c r="D7" s="171">
        <v>2016</v>
      </c>
      <c r="E7" s="98">
        <v>2017</v>
      </c>
      <c r="F7" s="98">
        <v>2018</v>
      </c>
    </row>
    <row r="8" spans="1:6" x14ac:dyDescent="0.2">
      <c r="A8" s="317"/>
      <c r="B8" s="311"/>
      <c r="C8" s="307"/>
      <c r="D8" s="171" t="s">
        <v>375</v>
      </c>
      <c r="E8" s="308" t="s">
        <v>376</v>
      </c>
      <c r="F8" s="308"/>
    </row>
    <row r="9" spans="1:6" x14ac:dyDescent="0.2">
      <c r="A9" s="2" t="s">
        <v>377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5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4" t="s">
        <v>378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6"/>
      <c r="B14" s="186"/>
      <c r="C14" s="186"/>
      <c r="D14" s="186"/>
    </row>
    <row r="15" spans="1:6" x14ac:dyDescent="0.2">
      <c r="A15" s="187"/>
      <c r="B15" s="187"/>
      <c r="C15" s="187"/>
      <c r="D15" s="187"/>
    </row>
    <row r="16" spans="1:6" x14ac:dyDescent="0.2">
      <c r="A16" s="187"/>
      <c r="B16" s="187"/>
      <c r="C16" s="187"/>
      <c r="D16" s="187"/>
    </row>
    <row r="17" spans="1:6" x14ac:dyDescent="0.2">
      <c r="A17" s="187"/>
      <c r="B17" s="187"/>
      <c r="C17" s="187"/>
      <c r="D17" s="187"/>
    </row>
    <row r="18" spans="1:6" x14ac:dyDescent="0.2">
      <c r="A18" s="319" t="s">
        <v>379</v>
      </c>
      <c r="B18" s="319"/>
      <c r="C18" s="319"/>
      <c r="D18" s="319"/>
      <c r="E18" s="319"/>
    </row>
    <row r="19" spans="1:6" x14ac:dyDescent="0.2">
      <c r="A19" s="319" t="s">
        <v>380</v>
      </c>
      <c r="B19" s="319"/>
      <c r="C19" s="319"/>
      <c r="D19" s="319"/>
      <c r="E19" s="319"/>
    </row>
    <row r="20" spans="1:6" x14ac:dyDescent="0.2">
      <c r="A20" s="169"/>
      <c r="B20" s="169"/>
      <c r="C20" s="169"/>
      <c r="D20" s="169"/>
      <c r="E20" s="170" t="s">
        <v>371</v>
      </c>
    </row>
    <row r="21" spans="1:6" x14ac:dyDescent="0.2">
      <c r="A21" s="320" t="s">
        <v>372</v>
      </c>
      <c r="B21" s="323" t="s">
        <v>49</v>
      </c>
      <c r="C21" s="311" t="s">
        <v>204</v>
      </c>
      <c r="D21" s="311"/>
      <c r="E21" s="311"/>
    </row>
    <row r="22" spans="1:6" x14ac:dyDescent="0.2">
      <c r="A22" s="321"/>
      <c r="B22" s="323"/>
      <c r="C22" s="311"/>
      <c r="D22" s="311"/>
      <c r="E22" s="311"/>
    </row>
    <row r="23" spans="1:6" x14ac:dyDescent="0.2">
      <c r="A23" s="321"/>
      <c r="B23" s="323"/>
      <c r="C23" s="311"/>
      <c r="D23" s="311"/>
      <c r="E23" s="311"/>
    </row>
    <row r="24" spans="1:6" x14ac:dyDescent="0.2">
      <c r="A24" s="322"/>
      <c r="B24" s="323"/>
      <c r="C24" s="324" t="s">
        <v>235</v>
      </c>
      <c r="D24" s="325" t="s">
        <v>381</v>
      </c>
      <c r="E24" s="324"/>
    </row>
    <row r="25" spans="1:6" x14ac:dyDescent="0.2">
      <c r="A25" s="2" t="s">
        <v>377</v>
      </c>
      <c r="B25" s="323"/>
      <c r="C25" s="324"/>
      <c r="D25" s="188" t="s">
        <v>375</v>
      </c>
      <c r="E25" s="5"/>
    </row>
    <row r="26" spans="1:6" x14ac:dyDescent="0.2">
      <c r="A26" s="2"/>
      <c r="B26" s="189"/>
      <c r="C26" s="190"/>
      <c r="D26" s="63"/>
      <c r="E26" s="5"/>
      <c r="F26" s="187"/>
    </row>
    <row r="27" spans="1:6" x14ac:dyDescent="0.2">
      <c r="A27" s="12"/>
      <c r="B27" s="189"/>
      <c r="C27" s="63"/>
      <c r="D27" s="63"/>
      <c r="E27" s="5"/>
      <c r="F27" s="187"/>
    </row>
    <row r="28" spans="1:6" x14ac:dyDescent="0.2">
      <c r="A28" s="2"/>
      <c r="B28" s="15"/>
      <c r="C28" s="190"/>
      <c r="D28" s="63"/>
      <c r="E28" s="5"/>
      <c r="F28" s="187"/>
    </row>
    <row r="29" spans="1:6" x14ac:dyDescent="0.2">
      <c r="A29" s="11"/>
      <c r="B29" s="189"/>
      <c r="C29" s="63"/>
      <c r="D29" s="63"/>
      <c r="E29" s="5"/>
      <c r="F29" s="187"/>
    </row>
    <row r="30" spans="1:6" x14ac:dyDescent="0.2">
      <c r="A30" s="54" t="s">
        <v>378</v>
      </c>
      <c r="B30" s="4">
        <f>SUM(B26:B29)</f>
        <v>0</v>
      </c>
      <c r="C30" s="4">
        <f>SUM(C26:C29)</f>
        <v>0</v>
      </c>
      <c r="D30" s="4">
        <f>SUM(D26:D29)</f>
        <v>0</v>
      </c>
      <c r="E30" s="54"/>
    </row>
    <row r="36" ht="13.5" customHeight="1" x14ac:dyDescent="0.2"/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3/2019.(V.24.) önkormányzati rendelethez&amp;CErzsébet Község Önkormányzata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topLeftCell="A36" zoomScaleNormal="100" workbookViewId="0">
      <selection activeCell="E36" sqref="E36"/>
    </sheetView>
  </sheetViews>
  <sheetFormatPr defaultRowHeight="12.75" x14ac:dyDescent="0.2"/>
  <cols>
    <col min="1" max="1" width="6" style="20" customWidth="1"/>
    <col min="2" max="2" width="33.7109375" style="30" customWidth="1"/>
    <col min="4" max="5" width="10.85546875" style="3" bestFit="1" customWidth="1"/>
    <col min="6" max="7" width="10.28515625" style="3" bestFit="1" customWidth="1"/>
    <col min="8" max="11" width="10.140625" style="3" bestFit="1" customWidth="1"/>
    <col min="12" max="12" width="10.85546875" style="3" bestFit="1" customWidth="1"/>
    <col min="13" max="13" width="10.140625" style="3" bestFit="1" customWidth="1"/>
    <col min="14" max="15" width="10.85546875" style="3" bestFit="1" customWidth="1"/>
    <col min="16" max="17" width="11.28515625" style="3" bestFit="1" customWidth="1"/>
  </cols>
  <sheetData>
    <row r="2" spans="1:17" x14ac:dyDescent="0.2">
      <c r="A2" s="345" t="s">
        <v>280</v>
      </c>
      <c r="B2" s="345" t="s">
        <v>108</v>
      </c>
      <c r="C2" s="345" t="s">
        <v>163</v>
      </c>
      <c r="D2" s="344" t="s">
        <v>690</v>
      </c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7" x14ac:dyDescent="0.2">
      <c r="A3" s="345"/>
      <c r="B3" s="345"/>
      <c r="C3" s="311"/>
      <c r="D3" s="31" t="s">
        <v>151</v>
      </c>
      <c r="E3" s="31" t="s">
        <v>152</v>
      </c>
      <c r="F3" s="31" t="s">
        <v>153</v>
      </c>
      <c r="G3" s="31" t="s">
        <v>154</v>
      </c>
      <c r="H3" s="31" t="s">
        <v>155</v>
      </c>
      <c r="I3" s="31" t="s">
        <v>156</v>
      </c>
      <c r="J3" s="31" t="s">
        <v>157</v>
      </c>
      <c r="K3" s="31" t="s">
        <v>158</v>
      </c>
      <c r="L3" s="31" t="s">
        <v>159</v>
      </c>
      <c r="M3" s="31" t="s">
        <v>160</v>
      </c>
      <c r="N3" s="31" t="s">
        <v>161</v>
      </c>
      <c r="O3" s="31" t="s">
        <v>162</v>
      </c>
      <c r="P3" s="32" t="s">
        <v>235</v>
      </c>
    </row>
    <row r="4" spans="1:17" x14ac:dyDescent="0.2">
      <c r="A4" s="338" t="s">
        <v>82</v>
      </c>
      <c r="B4" s="337" t="s">
        <v>83</v>
      </c>
      <c r="C4" s="6" t="s">
        <v>149</v>
      </c>
      <c r="D4" s="5">
        <f>111715213/12</f>
        <v>9309601.083333334</v>
      </c>
      <c r="E4" s="5">
        <f t="shared" ref="E4:O4" si="0">111715213/12</f>
        <v>9309601.083333334</v>
      </c>
      <c r="F4" s="5">
        <f t="shared" si="0"/>
        <v>9309601.083333334</v>
      </c>
      <c r="G4" s="5">
        <f t="shared" si="0"/>
        <v>9309601.083333334</v>
      </c>
      <c r="H4" s="5">
        <f t="shared" si="0"/>
        <v>9309601.083333334</v>
      </c>
      <c r="I4" s="5">
        <f t="shared" si="0"/>
        <v>9309601.083333334</v>
      </c>
      <c r="J4" s="5">
        <f t="shared" si="0"/>
        <v>9309601.083333334</v>
      </c>
      <c r="K4" s="5">
        <f t="shared" si="0"/>
        <v>9309601.083333334</v>
      </c>
      <c r="L4" s="5">
        <f t="shared" si="0"/>
        <v>9309601.083333334</v>
      </c>
      <c r="M4" s="5">
        <f t="shared" si="0"/>
        <v>9309601.083333334</v>
      </c>
      <c r="N4" s="5">
        <f t="shared" si="0"/>
        <v>9309601.083333334</v>
      </c>
      <c r="O4" s="5">
        <f t="shared" si="0"/>
        <v>9309601.083333334</v>
      </c>
      <c r="P4" s="5">
        <f>SUM(D4:O4)</f>
        <v>111715212.99999999</v>
      </c>
      <c r="Q4" s="3">
        <f>'2.Műk+F mérlegek'!B5</f>
        <v>111715213</v>
      </c>
    </row>
    <row r="5" spans="1:17" x14ac:dyDescent="0.2">
      <c r="A5" s="338"/>
      <c r="B5" s="337"/>
      <c r="C5" s="6" t="s">
        <v>150</v>
      </c>
      <c r="D5" s="5">
        <f>120762273/12</f>
        <v>10063522.75</v>
      </c>
      <c r="E5" s="5">
        <f t="shared" ref="E5:O5" si="1">120762273/12</f>
        <v>10063522.75</v>
      </c>
      <c r="F5" s="5">
        <f t="shared" si="1"/>
        <v>10063522.75</v>
      </c>
      <c r="G5" s="5">
        <f t="shared" si="1"/>
        <v>10063522.75</v>
      </c>
      <c r="H5" s="5">
        <f t="shared" si="1"/>
        <v>10063522.75</v>
      </c>
      <c r="I5" s="5">
        <f t="shared" si="1"/>
        <v>10063522.75</v>
      </c>
      <c r="J5" s="5">
        <f t="shared" si="1"/>
        <v>10063522.75</v>
      </c>
      <c r="K5" s="5">
        <f t="shared" si="1"/>
        <v>10063522.75</v>
      </c>
      <c r="L5" s="5">
        <f t="shared" si="1"/>
        <v>10063522.75</v>
      </c>
      <c r="M5" s="5">
        <f t="shared" si="1"/>
        <v>10063522.75</v>
      </c>
      <c r="N5" s="5">
        <f t="shared" si="1"/>
        <v>10063522.75</v>
      </c>
      <c r="O5" s="5">
        <f t="shared" si="1"/>
        <v>10063522.75</v>
      </c>
      <c r="P5" s="5">
        <f t="shared" ref="P5:P35" si="2">SUM(D5:O5)</f>
        <v>120762273</v>
      </c>
      <c r="Q5" s="3">
        <f>'2.Műk+F mérlegek'!C5</f>
        <v>120762273</v>
      </c>
    </row>
    <row r="6" spans="1:17" x14ac:dyDescent="0.2">
      <c r="A6" s="338" t="s">
        <v>39</v>
      </c>
      <c r="B6" s="337" t="s">
        <v>114</v>
      </c>
      <c r="C6" s="6" t="s">
        <v>149</v>
      </c>
      <c r="D6" s="5">
        <f>5886400/12</f>
        <v>490533.33333333331</v>
      </c>
      <c r="E6" s="5">
        <f t="shared" ref="E6:O6" si="3">5886400/12</f>
        <v>490533.33333333331</v>
      </c>
      <c r="F6" s="5">
        <f t="shared" si="3"/>
        <v>490533.33333333331</v>
      </c>
      <c r="G6" s="5">
        <f t="shared" si="3"/>
        <v>490533.33333333331</v>
      </c>
      <c r="H6" s="5">
        <f t="shared" si="3"/>
        <v>490533.33333333331</v>
      </c>
      <c r="I6" s="5">
        <f t="shared" si="3"/>
        <v>490533.33333333331</v>
      </c>
      <c r="J6" s="5">
        <f t="shared" si="3"/>
        <v>490533.33333333331</v>
      </c>
      <c r="K6" s="5">
        <f t="shared" si="3"/>
        <v>490533.33333333331</v>
      </c>
      <c r="L6" s="5">
        <f t="shared" si="3"/>
        <v>490533.33333333331</v>
      </c>
      <c r="M6" s="5">
        <f t="shared" si="3"/>
        <v>490533.33333333331</v>
      </c>
      <c r="N6" s="5">
        <f t="shared" si="3"/>
        <v>490533.33333333331</v>
      </c>
      <c r="O6" s="5">
        <f t="shared" si="3"/>
        <v>490533.33333333331</v>
      </c>
      <c r="P6" s="5">
        <f t="shared" si="2"/>
        <v>5886399.9999999991</v>
      </c>
      <c r="Q6" s="3">
        <f>'3.Pü.mérleg'!B10</f>
        <v>5886400</v>
      </c>
    </row>
    <row r="7" spans="1:17" x14ac:dyDescent="0.2">
      <c r="A7" s="338"/>
      <c r="B7" s="337"/>
      <c r="C7" s="6" t="s">
        <v>150</v>
      </c>
      <c r="D7" s="5">
        <f>22285986/12</f>
        <v>1857165.5</v>
      </c>
      <c r="E7" s="5">
        <f t="shared" ref="E7:O7" si="4">22285986/12</f>
        <v>1857165.5</v>
      </c>
      <c r="F7" s="5">
        <f t="shared" si="4"/>
        <v>1857165.5</v>
      </c>
      <c r="G7" s="5">
        <f t="shared" si="4"/>
        <v>1857165.5</v>
      </c>
      <c r="H7" s="5">
        <f t="shared" si="4"/>
        <v>1857165.5</v>
      </c>
      <c r="I7" s="5">
        <f t="shared" si="4"/>
        <v>1857165.5</v>
      </c>
      <c r="J7" s="5">
        <f t="shared" si="4"/>
        <v>1857165.5</v>
      </c>
      <c r="K7" s="5">
        <f t="shared" si="4"/>
        <v>1857165.5</v>
      </c>
      <c r="L7" s="5">
        <f t="shared" si="4"/>
        <v>1857165.5</v>
      </c>
      <c r="M7" s="5">
        <f t="shared" si="4"/>
        <v>1857165.5</v>
      </c>
      <c r="N7" s="5">
        <f t="shared" si="4"/>
        <v>1857165.5</v>
      </c>
      <c r="O7" s="5">
        <f t="shared" si="4"/>
        <v>1857165.5</v>
      </c>
      <c r="P7" s="5">
        <f t="shared" si="2"/>
        <v>22285986</v>
      </c>
      <c r="Q7" s="3">
        <f>'3.Pü.mérleg'!C10</f>
        <v>22285986</v>
      </c>
    </row>
    <row r="8" spans="1:17" x14ac:dyDescent="0.2">
      <c r="A8" s="334" t="s">
        <v>84</v>
      </c>
      <c r="B8" s="333" t="s">
        <v>115</v>
      </c>
      <c r="C8" s="28" t="s">
        <v>149</v>
      </c>
      <c r="D8" s="26">
        <f>D4+D6</f>
        <v>9800134.4166666679</v>
      </c>
      <c r="E8" s="26">
        <f t="shared" ref="E8:O8" si="5">E4+E6</f>
        <v>9800134.4166666679</v>
      </c>
      <c r="F8" s="26">
        <f t="shared" si="5"/>
        <v>9800134.4166666679</v>
      </c>
      <c r="G8" s="26">
        <f t="shared" si="5"/>
        <v>9800134.4166666679</v>
      </c>
      <c r="H8" s="26">
        <f t="shared" si="5"/>
        <v>9800134.4166666679</v>
      </c>
      <c r="I8" s="26">
        <f t="shared" si="5"/>
        <v>9800134.4166666679</v>
      </c>
      <c r="J8" s="26">
        <f t="shared" si="5"/>
        <v>9800134.4166666679</v>
      </c>
      <c r="K8" s="26">
        <f t="shared" si="5"/>
        <v>9800134.4166666679</v>
      </c>
      <c r="L8" s="26">
        <f t="shared" si="5"/>
        <v>9800134.4166666679</v>
      </c>
      <c r="M8" s="26">
        <f t="shared" si="5"/>
        <v>9800134.4166666679</v>
      </c>
      <c r="N8" s="26">
        <f t="shared" si="5"/>
        <v>9800134.4166666679</v>
      </c>
      <c r="O8" s="26">
        <f t="shared" si="5"/>
        <v>9800134.4166666679</v>
      </c>
      <c r="P8" s="5">
        <f t="shared" si="2"/>
        <v>117601613.00000004</v>
      </c>
    </row>
    <row r="9" spans="1:17" x14ac:dyDescent="0.2">
      <c r="A9" s="334"/>
      <c r="B9" s="333"/>
      <c r="C9" s="28" t="s">
        <v>150</v>
      </c>
      <c r="D9" s="26">
        <f>D5+D7</f>
        <v>11920688.25</v>
      </c>
      <c r="E9" s="26">
        <f t="shared" ref="E9:O9" si="6">E5+E7</f>
        <v>11920688.25</v>
      </c>
      <c r="F9" s="26">
        <f t="shared" si="6"/>
        <v>11920688.25</v>
      </c>
      <c r="G9" s="26">
        <f t="shared" si="6"/>
        <v>11920688.25</v>
      </c>
      <c r="H9" s="26">
        <f t="shared" si="6"/>
        <v>11920688.25</v>
      </c>
      <c r="I9" s="26">
        <f t="shared" si="6"/>
        <v>11920688.25</v>
      </c>
      <c r="J9" s="26">
        <f t="shared" si="6"/>
        <v>11920688.25</v>
      </c>
      <c r="K9" s="26">
        <f t="shared" si="6"/>
        <v>11920688.25</v>
      </c>
      <c r="L9" s="26">
        <f t="shared" si="6"/>
        <v>11920688.25</v>
      </c>
      <c r="M9" s="26">
        <f t="shared" si="6"/>
        <v>11920688.25</v>
      </c>
      <c r="N9" s="26">
        <f t="shared" si="6"/>
        <v>11920688.25</v>
      </c>
      <c r="O9" s="26">
        <f t="shared" si="6"/>
        <v>11920688.25</v>
      </c>
      <c r="P9" s="5">
        <f t="shared" si="2"/>
        <v>143048259</v>
      </c>
    </row>
    <row r="10" spans="1:17" x14ac:dyDescent="0.2">
      <c r="A10" s="334" t="s">
        <v>116</v>
      </c>
      <c r="B10" s="333" t="s">
        <v>117</v>
      </c>
      <c r="C10" s="28" t="s">
        <v>149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5">
        <f t="shared" si="2"/>
        <v>0</v>
      </c>
      <c r="Q10" s="3">
        <f>'3.Pü.mérleg'!B12</f>
        <v>0</v>
      </c>
    </row>
    <row r="11" spans="1:17" x14ac:dyDescent="0.2">
      <c r="A11" s="334"/>
      <c r="B11" s="333"/>
      <c r="C11" s="28" t="s">
        <v>150</v>
      </c>
      <c r="D11" s="26">
        <f>29160442/12</f>
        <v>2430036.8333333335</v>
      </c>
      <c r="E11" s="26">
        <f t="shared" ref="E11:O11" si="7">29160442/12</f>
        <v>2430036.8333333335</v>
      </c>
      <c r="F11" s="26">
        <f t="shared" si="7"/>
        <v>2430036.8333333335</v>
      </c>
      <c r="G11" s="26">
        <f t="shared" si="7"/>
        <v>2430036.8333333335</v>
      </c>
      <c r="H11" s="26">
        <f t="shared" si="7"/>
        <v>2430036.8333333335</v>
      </c>
      <c r="I11" s="26">
        <f t="shared" si="7"/>
        <v>2430036.8333333335</v>
      </c>
      <c r="J11" s="26">
        <f t="shared" si="7"/>
        <v>2430036.8333333335</v>
      </c>
      <c r="K11" s="26">
        <f t="shared" si="7"/>
        <v>2430036.8333333335</v>
      </c>
      <c r="L11" s="26">
        <f t="shared" si="7"/>
        <v>2430036.8333333335</v>
      </c>
      <c r="M11" s="26">
        <f t="shared" si="7"/>
        <v>2430036.8333333335</v>
      </c>
      <c r="N11" s="26">
        <f t="shared" si="7"/>
        <v>2430036.8333333335</v>
      </c>
      <c r="O11" s="26">
        <f t="shared" si="7"/>
        <v>2430036.8333333335</v>
      </c>
      <c r="P11" s="5">
        <f t="shared" si="2"/>
        <v>29160441.999999996</v>
      </c>
      <c r="Q11" s="3">
        <f>'3.Pü.mérleg'!C12</f>
        <v>29160442</v>
      </c>
    </row>
    <row r="12" spans="1:17" x14ac:dyDescent="0.2">
      <c r="A12" s="327" t="s">
        <v>391</v>
      </c>
      <c r="B12" s="329" t="s">
        <v>392</v>
      </c>
      <c r="C12" s="6" t="s">
        <v>149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5">
        <f>SUM(D12:O12)</f>
        <v>0</v>
      </c>
    </row>
    <row r="13" spans="1:17" x14ac:dyDescent="0.2">
      <c r="A13" s="328"/>
      <c r="B13" s="330"/>
      <c r="C13" s="6" t="s">
        <v>150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5">
        <f>SUM(D13:O13)</f>
        <v>0</v>
      </c>
    </row>
    <row r="14" spans="1:17" x14ac:dyDescent="0.2">
      <c r="A14" s="338" t="s">
        <v>36</v>
      </c>
      <c r="B14" s="337" t="s">
        <v>40</v>
      </c>
      <c r="C14" s="6" t="s">
        <v>149</v>
      </c>
      <c r="D14" s="5">
        <f>1100000/12</f>
        <v>91666.666666666672</v>
      </c>
      <c r="E14" s="5">
        <f t="shared" ref="E14:O15" si="8">1100000/12</f>
        <v>91666.666666666672</v>
      </c>
      <c r="F14" s="5">
        <f t="shared" si="8"/>
        <v>91666.666666666672</v>
      </c>
      <c r="G14" s="5">
        <f t="shared" si="8"/>
        <v>91666.666666666672</v>
      </c>
      <c r="H14" s="5">
        <f t="shared" si="8"/>
        <v>91666.666666666672</v>
      </c>
      <c r="I14" s="5">
        <f t="shared" si="8"/>
        <v>91666.666666666672</v>
      </c>
      <c r="J14" s="5">
        <f t="shared" si="8"/>
        <v>91666.666666666672</v>
      </c>
      <c r="K14" s="5">
        <f t="shared" si="8"/>
        <v>91666.666666666672</v>
      </c>
      <c r="L14" s="5">
        <f t="shared" si="8"/>
        <v>91666.666666666672</v>
      </c>
      <c r="M14" s="5">
        <f t="shared" si="8"/>
        <v>91666.666666666672</v>
      </c>
      <c r="N14" s="5">
        <f t="shared" si="8"/>
        <v>91666.666666666672</v>
      </c>
      <c r="O14" s="5">
        <f t="shared" si="8"/>
        <v>91666.666666666672</v>
      </c>
      <c r="P14" s="5">
        <f t="shared" si="2"/>
        <v>1099999.9999999998</v>
      </c>
      <c r="Q14" s="3">
        <f>'2.Műk+F mérlegek'!B10</f>
        <v>1100000</v>
      </c>
    </row>
    <row r="15" spans="1:17" x14ac:dyDescent="0.2">
      <c r="A15" s="338"/>
      <c r="B15" s="337"/>
      <c r="C15" s="6" t="s">
        <v>150</v>
      </c>
      <c r="D15" s="5">
        <f>1100000/12</f>
        <v>91666.666666666672</v>
      </c>
      <c r="E15" s="5">
        <f t="shared" si="8"/>
        <v>91666.666666666672</v>
      </c>
      <c r="F15" s="5">
        <f t="shared" si="8"/>
        <v>91666.666666666672</v>
      </c>
      <c r="G15" s="5">
        <f t="shared" si="8"/>
        <v>91666.666666666672</v>
      </c>
      <c r="H15" s="5">
        <f t="shared" si="8"/>
        <v>91666.666666666672</v>
      </c>
      <c r="I15" s="5">
        <f t="shared" si="8"/>
        <v>91666.666666666672</v>
      </c>
      <c r="J15" s="5">
        <f t="shared" si="8"/>
        <v>91666.666666666672</v>
      </c>
      <c r="K15" s="5">
        <f t="shared" si="8"/>
        <v>91666.666666666672</v>
      </c>
      <c r="L15" s="5">
        <f t="shared" si="8"/>
        <v>91666.666666666672</v>
      </c>
      <c r="M15" s="5">
        <f t="shared" si="8"/>
        <v>91666.666666666672</v>
      </c>
      <c r="N15" s="5">
        <f t="shared" si="8"/>
        <v>91666.666666666672</v>
      </c>
      <c r="O15" s="5">
        <f t="shared" si="8"/>
        <v>91666.666666666672</v>
      </c>
      <c r="P15" s="5">
        <f t="shared" si="2"/>
        <v>1099999.9999999998</v>
      </c>
      <c r="Q15" s="3">
        <f>'3.Pü.mérleg'!C15</f>
        <v>1100000</v>
      </c>
    </row>
    <row r="16" spans="1:17" x14ac:dyDescent="0.2">
      <c r="A16" s="338" t="s">
        <v>37</v>
      </c>
      <c r="B16" s="337" t="s">
        <v>41</v>
      </c>
      <c r="C16" s="6" t="s">
        <v>149</v>
      </c>
      <c r="D16" s="5"/>
      <c r="E16" s="5"/>
      <c r="F16" s="5">
        <f>2200000/2</f>
        <v>1100000</v>
      </c>
      <c r="G16" s="5"/>
      <c r="H16" s="5"/>
      <c r="I16" s="5"/>
      <c r="J16" s="5"/>
      <c r="K16" s="5"/>
      <c r="L16" s="5">
        <f>2200000/2</f>
        <v>1100000</v>
      </c>
      <c r="M16" s="5"/>
      <c r="N16" s="5"/>
      <c r="O16" s="5"/>
      <c r="P16" s="5">
        <f t="shared" si="2"/>
        <v>2200000</v>
      </c>
      <c r="Q16" s="3">
        <f>'2.Műk+F mérlegek'!B11</f>
        <v>2200000</v>
      </c>
    </row>
    <row r="17" spans="1:17" x14ac:dyDescent="0.2">
      <c r="A17" s="338"/>
      <c r="B17" s="337"/>
      <c r="C17" s="6" t="s">
        <v>150</v>
      </c>
      <c r="D17" s="5"/>
      <c r="E17" s="5"/>
      <c r="F17" s="5">
        <f>2700000/2</f>
        <v>1350000</v>
      </c>
      <c r="G17" s="5"/>
      <c r="H17" s="5"/>
      <c r="I17" s="5"/>
      <c r="J17" s="5"/>
      <c r="K17" s="5"/>
      <c r="L17" s="5">
        <f>2700000/2</f>
        <v>1350000</v>
      </c>
      <c r="M17" s="5"/>
      <c r="N17" s="5"/>
      <c r="O17" s="5"/>
      <c r="P17" s="5">
        <f t="shared" si="2"/>
        <v>2700000</v>
      </c>
      <c r="Q17" s="3">
        <f>'2.Műk+F mérlegek'!C11</f>
        <v>2700000</v>
      </c>
    </row>
    <row r="18" spans="1:17" x14ac:dyDescent="0.2">
      <c r="A18" s="338" t="s">
        <v>35</v>
      </c>
      <c r="B18" s="337" t="s">
        <v>118</v>
      </c>
      <c r="C18" s="6" t="s">
        <v>149</v>
      </c>
      <c r="D18" s="5"/>
      <c r="E18" s="5"/>
      <c r="F18" s="5">
        <f>520000/2</f>
        <v>260000</v>
      </c>
      <c r="G18" s="5"/>
      <c r="H18" s="5"/>
      <c r="I18" s="5"/>
      <c r="J18" s="5"/>
      <c r="K18" s="5"/>
      <c r="L18" s="5">
        <f>520000/2</f>
        <v>260000</v>
      </c>
      <c r="M18" s="5"/>
      <c r="N18" s="5"/>
      <c r="O18" s="5"/>
      <c r="P18" s="5">
        <f t="shared" si="2"/>
        <v>520000</v>
      </c>
      <c r="Q18" s="3">
        <f>'3.Pü.mérleg'!B17</f>
        <v>520000</v>
      </c>
    </row>
    <row r="19" spans="1:17" x14ac:dyDescent="0.2">
      <c r="A19" s="338"/>
      <c r="B19" s="337"/>
      <c r="C19" s="6" t="s">
        <v>150</v>
      </c>
      <c r="D19" s="5"/>
      <c r="E19" s="5"/>
      <c r="F19" s="5">
        <f>645000/2</f>
        <v>322500</v>
      </c>
      <c r="G19" s="5"/>
      <c r="H19" s="5"/>
      <c r="I19" s="5"/>
      <c r="J19" s="5"/>
      <c r="K19" s="5"/>
      <c r="L19" s="5">
        <f>645000/2</f>
        <v>322500</v>
      </c>
      <c r="M19" s="5"/>
      <c r="N19" s="5"/>
      <c r="O19" s="5"/>
      <c r="P19" s="5">
        <f t="shared" si="2"/>
        <v>645000</v>
      </c>
      <c r="Q19" s="3">
        <f>'3.Pü.mérleg'!C17</f>
        <v>645000</v>
      </c>
    </row>
    <row r="20" spans="1:17" x14ac:dyDescent="0.2">
      <c r="A20" s="338" t="s">
        <v>38</v>
      </c>
      <c r="B20" s="337" t="s">
        <v>119</v>
      </c>
      <c r="C20" s="6" t="s">
        <v>149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2"/>
        <v>0</v>
      </c>
    </row>
    <row r="21" spans="1:17" x14ac:dyDescent="0.2">
      <c r="A21" s="338"/>
      <c r="B21" s="337"/>
      <c r="C21" s="6" t="s">
        <v>150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2"/>
        <v>0</v>
      </c>
    </row>
    <row r="22" spans="1:17" x14ac:dyDescent="0.2">
      <c r="A22" s="338" t="s">
        <v>86</v>
      </c>
      <c r="B22" s="337" t="s">
        <v>87</v>
      </c>
      <c r="C22" s="6" t="s">
        <v>149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2"/>
        <v>0</v>
      </c>
      <c r="Q22" s="3">
        <f>'3.Pü.mérleg'!B16</f>
        <v>2200000</v>
      </c>
    </row>
    <row r="23" spans="1:17" x14ac:dyDescent="0.2">
      <c r="A23" s="338"/>
      <c r="B23" s="337"/>
      <c r="C23" s="6" t="s">
        <v>150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2"/>
        <v>0</v>
      </c>
      <c r="Q23" s="3">
        <f>'3.Pü.mérleg'!C16</f>
        <v>2700000</v>
      </c>
    </row>
    <row r="24" spans="1:17" x14ac:dyDescent="0.2">
      <c r="A24" s="338" t="s">
        <v>120</v>
      </c>
      <c r="B24" s="337" t="s">
        <v>121</v>
      </c>
      <c r="C24" s="6" t="s">
        <v>149</v>
      </c>
      <c r="D24" s="5">
        <f>1250000/12</f>
        <v>104166.66666666667</v>
      </c>
      <c r="E24" s="5">
        <f t="shared" ref="E24:O25" si="9">1250000/12</f>
        <v>104166.66666666667</v>
      </c>
      <c r="F24" s="5">
        <f t="shared" si="9"/>
        <v>104166.66666666667</v>
      </c>
      <c r="G24" s="5">
        <f t="shared" si="9"/>
        <v>104166.66666666667</v>
      </c>
      <c r="H24" s="5">
        <f t="shared" si="9"/>
        <v>104166.66666666667</v>
      </c>
      <c r="I24" s="5">
        <f t="shared" si="9"/>
        <v>104166.66666666667</v>
      </c>
      <c r="J24" s="5">
        <f t="shared" si="9"/>
        <v>104166.66666666667</v>
      </c>
      <c r="K24" s="5">
        <f t="shared" si="9"/>
        <v>104166.66666666667</v>
      </c>
      <c r="L24" s="5">
        <f t="shared" si="9"/>
        <v>104166.66666666667</v>
      </c>
      <c r="M24" s="5">
        <f t="shared" si="9"/>
        <v>104166.66666666667</v>
      </c>
      <c r="N24" s="5">
        <f t="shared" si="9"/>
        <v>104166.66666666667</v>
      </c>
      <c r="O24" s="5">
        <f t="shared" si="9"/>
        <v>104166.66666666667</v>
      </c>
      <c r="P24" s="5">
        <f t="shared" si="2"/>
        <v>1250000</v>
      </c>
      <c r="Q24" s="3">
        <f>'2.Műk+F mérlegek'!B13</f>
        <v>1250000</v>
      </c>
    </row>
    <row r="25" spans="1:17" x14ac:dyDescent="0.2">
      <c r="A25" s="338"/>
      <c r="B25" s="337"/>
      <c r="C25" s="6" t="s">
        <v>150</v>
      </c>
      <c r="D25" s="5">
        <f>1250000/12</f>
        <v>104166.66666666667</v>
      </c>
      <c r="E25" s="5">
        <f t="shared" si="9"/>
        <v>104166.66666666667</v>
      </c>
      <c r="F25" s="5">
        <f t="shared" si="9"/>
        <v>104166.66666666667</v>
      </c>
      <c r="G25" s="5">
        <f t="shared" si="9"/>
        <v>104166.66666666667</v>
      </c>
      <c r="H25" s="5">
        <f t="shared" si="9"/>
        <v>104166.66666666667</v>
      </c>
      <c r="I25" s="5">
        <f t="shared" si="9"/>
        <v>104166.66666666667</v>
      </c>
      <c r="J25" s="5">
        <f t="shared" si="9"/>
        <v>104166.66666666667</v>
      </c>
      <c r="K25" s="5">
        <f t="shared" si="9"/>
        <v>104166.66666666667</v>
      </c>
      <c r="L25" s="5">
        <f t="shared" si="9"/>
        <v>104166.66666666667</v>
      </c>
      <c r="M25" s="5">
        <f t="shared" si="9"/>
        <v>104166.66666666667</v>
      </c>
      <c r="N25" s="5">
        <f t="shared" si="9"/>
        <v>104166.66666666667</v>
      </c>
      <c r="O25" s="5">
        <f t="shared" si="9"/>
        <v>104166.66666666667</v>
      </c>
      <c r="P25" s="5">
        <f t="shared" si="2"/>
        <v>1250000</v>
      </c>
      <c r="Q25" s="3">
        <f>'2.Műk+F mérlegek'!C13</f>
        <v>1250000</v>
      </c>
    </row>
    <row r="26" spans="1:17" x14ac:dyDescent="0.2">
      <c r="A26" s="334" t="s">
        <v>88</v>
      </c>
      <c r="B26" s="333" t="s">
        <v>89</v>
      </c>
      <c r="C26" s="24" t="s">
        <v>149</v>
      </c>
      <c r="D26" s="25">
        <f>D12+D14+D16+D18+D20+D22+D24</f>
        <v>195833.33333333334</v>
      </c>
      <c r="E26" s="25">
        <f>E12+E14+E16+E18+E20+E22+E24</f>
        <v>195833.33333333334</v>
      </c>
      <c r="F26" s="25">
        <f t="shared" ref="F26:O26" si="10">F12+F14+F16+F18+F20+F22+F24</f>
        <v>1555833.3333333335</v>
      </c>
      <c r="G26" s="25">
        <f t="shared" si="10"/>
        <v>195833.33333333334</v>
      </c>
      <c r="H26" s="25">
        <f t="shared" si="10"/>
        <v>195833.33333333334</v>
      </c>
      <c r="I26" s="25">
        <f t="shared" si="10"/>
        <v>195833.33333333334</v>
      </c>
      <c r="J26" s="25">
        <f t="shared" si="10"/>
        <v>195833.33333333334</v>
      </c>
      <c r="K26" s="25">
        <f t="shared" si="10"/>
        <v>195833.33333333334</v>
      </c>
      <c r="L26" s="25">
        <f t="shared" si="10"/>
        <v>1555833.3333333335</v>
      </c>
      <c r="M26" s="25">
        <f t="shared" si="10"/>
        <v>195833.33333333334</v>
      </c>
      <c r="N26" s="25">
        <f t="shared" si="10"/>
        <v>195833.33333333334</v>
      </c>
      <c r="O26" s="25">
        <f t="shared" si="10"/>
        <v>195833.33333333334</v>
      </c>
      <c r="P26" s="5">
        <f t="shared" si="2"/>
        <v>5070000</v>
      </c>
    </row>
    <row r="27" spans="1:17" x14ac:dyDescent="0.2">
      <c r="A27" s="334"/>
      <c r="B27" s="333"/>
      <c r="C27" s="24" t="s">
        <v>150</v>
      </c>
      <c r="D27" s="25">
        <f>D13+D15+D17+D19+D21+D23+D25</f>
        <v>195833.33333333334</v>
      </c>
      <c r="E27" s="25">
        <f t="shared" ref="E27:O27" si="11">E13+E15+E17+E19+E21+E23+E25</f>
        <v>195833.33333333334</v>
      </c>
      <c r="F27" s="25">
        <f t="shared" si="11"/>
        <v>1868333.3333333335</v>
      </c>
      <c r="G27" s="25">
        <f t="shared" si="11"/>
        <v>195833.33333333334</v>
      </c>
      <c r="H27" s="25">
        <f t="shared" si="11"/>
        <v>195833.33333333334</v>
      </c>
      <c r="I27" s="25">
        <f t="shared" si="11"/>
        <v>195833.33333333334</v>
      </c>
      <c r="J27" s="25">
        <f t="shared" si="11"/>
        <v>195833.33333333334</v>
      </c>
      <c r="K27" s="25">
        <f t="shared" si="11"/>
        <v>195833.33333333334</v>
      </c>
      <c r="L27" s="25">
        <f t="shared" si="11"/>
        <v>1868333.3333333335</v>
      </c>
      <c r="M27" s="25">
        <f t="shared" si="11"/>
        <v>195833.33333333334</v>
      </c>
      <c r="N27" s="25">
        <f t="shared" si="11"/>
        <v>195833.33333333334</v>
      </c>
      <c r="O27" s="25">
        <f t="shared" si="11"/>
        <v>195833.33333333334</v>
      </c>
      <c r="P27" s="5">
        <f t="shared" si="2"/>
        <v>5695000</v>
      </c>
    </row>
    <row r="28" spans="1:17" x14ac:dyDescent="0.2">
      <c r="A28" s="334" t="s">
        <v>90</v>
      </c>
      <c r="B28" s="333" t="s">
        <v>91</v>
      </c>
      <c r="C28" s="24" t="s">
        <v>149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">
        <f t="shared" si="2"/>
        <v>0</v>
      </c>
      <c r="Q28" s="3">
        <f>'3.Pü.mérleg'!B19</f>
        <v>0</v>
      </c>
    </row>
    <row r="29" spans="1:17" x14ac:dyDescent="0.2">
      <c r="A29" s="334"/>
      <c r="B29" s="333"/>
      <c r="C29" s="24" t="s">
        <v>150</v>
      </c>
      <c r="D29" s="25">
        <f>3643831/12</f>
        <v>303652.58333333331</v>
      </c>
      <c r="E29" s="25">
        <f t="shared" ref="E29:O29" si="12">3643831/12</f>
        <v>303652.58333333331</v>
      </c>
      <c r="F29" s="25">
        <f t="shared" si="12"/>
        <v>303652.58333333331</v>
      </c>
      <c r="G29" s="25">
        <f t="shared" si="12"/>
        <v>303652.58333333331</v>
      </c>
      <c r="H29" s="25">
        <f t="shared" si="12"/>
        <v>303652.58333333331</v>
      </c>
      <c r="I29" s="25">
        <f t="shared" si="12"/>
        <v>303652.58333333331</v>
      </c>
      <c r="J29" s="25">
        <f t="shared" si="12"/>
        <v>303652.58333333331</v>
      </c>
      <c r="K29" s="25">
        <f t="shared" si="12"/>
        <v>303652.58333333331</v>
      </c>
      <c r="L29" s="25">
        <f t="shared" si="12"/>
        <v>303652.58333333331</v>
      </c>
      <c r="M29" s="25">
        <f t="shared" si="12"/>
        <v>303652.58333333331</v>
      </c>
      <c r="N29" s="25">
        <f t="shared" si="12"/>
        <v>303652.58333333331</v>
      </c>
      <c r="O29" s="25">
        <f t="shared" si="12"/>
        <v>303652.58333333331</v>
      </c>
      <c r="P29" s="5">
        <f t="shared" si="2"/>
        <v>3643831.0000000005</v>
      </c>
      <c r="Q29" s="3">
        <f>'3.Pü.mérleg'!C19</f>
        <v>3643831</v>
      </c>
    </row>
    <row r="30" spans="1:17" x14ac:dyDescent="0.2">
      <c r="A30" s="334" t="s">
        <v>93</v>
      </c>
      <c r="B30" s="333" t="s">
        <v>92</v>
      </c>
      <c r="C30" s="24" t="s">
        <v>149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5">
        <f t="shared" si="2"/>
        <v>0</v>
      </c>
      <c r="Q30" s="3">
        <f>'2.Műk+F mérlegek'!B24</f>
        <v>0</v>
      </c>
    </row>
    <row r="31" spans="1:17" x14ac:dyDescent="0.2">
      <c r="A31" s="334"/>
      <c r="B31" s="333"/>
      <c r="C31" s="24" t="s">
        <v>150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">
        <f t="shared" si="2"/>
        <v>0</v>
      </c>
    </row>
    <row r="32" spans="1:17" x14ac:dyDescent="0.2">
      <c r="A32" s="334" t="s">
        <v>122</v>
      </c>
      <c r="B32" s="333" t="s">
        <v>123</v>
      </c>
      <c r="C32" s="24" t="s">
        <v>149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">
        <f t="shared" si="2"/>
        <v>0</v>
      </c>
      <c r="Q32" s="3">
        <f>'2.Műk+F mérlegek'!B15</f>
        <v>0</v>
      </c>
    </row>
    <row r="33" spans="1:17" x14ac:dyDescent="0.2">
      <c r="A33" s="334"/>
      <c r="B33" s="333"/>
      <c r="C33" s="24" t="s">
        <v>150</v>
      </c>
      <c r="D33" s="25"/>
      <c r="E33" s="25"/>
      <c r="F33" s="25"/>
      <c r="G33" s="25"/>
      <c r="H33" s="25"/>
      <c r="I33" s="25"/>
      <c r="J33" s="25"/>
      <c r="K33" s="25"/>
      <c r="L33" s="25"/>
      <c r="M33" s="25">
        <v>500001</v>
      </c>
      <c r="N33" s="25"/>
      <c r="O33" s="25"/>
      <c r="P33" s="5">
        <f t="shared" si="2"/>
        <v>500001</v>
      </c>
      <c r="Q33" s="3">
        <f>'2.Műk+F mérlegek'!C15</f>
        <v>500001</v>
      </c>
    </row>
    <row r="34" spans="1:17" x14ac:dyDescent="0.2">
      <c r="A34" s="334" t="s">
        <v>94</v>
      </c>
      <c r="B34" s="333" t="s">
        <v>95</v>
      </c>
      <c r="C34" s="24" t="s">
        <v>149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">
        <f t="shared" si="2"/>
        <v>0</v>
      </c>
    </row>
    <row r="35" spans="1:17" x14ac:dyDescent="0.2">
      <c r="A35" s="334"/>
      <c r="B35" s="333"/>
      <c r="C35" s="24" t="s">
        <v>150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">
        <f t="shared" si="2"/>
        <v>0</v>
      </c>
    </row>
    <row r="36" spans="1:17" ht="13.5" customHeight="1" x14ac:dyDescent="0.2">
      <c r="A36" s="342" t="s">
        <v>124</v>
      </c>
      <c r="B36" s="339" t="s">
        <v>125</v>
      </c>
      <c r="C36" s="87" t="s">
        <v>149</v>
      </c>
      <c r="D36" s="74">
        <f>D34+D32+D30+D28+D26+D10+D8</f>
        <v>9995967.7500000019</v>
      </c>
      <c r="E36" s="74">
        <f t="shared" ref="E36:P37" si="13">E34+E32+E30+E28+E26+E10+E8</f>
        <v>9995967.7500000019</v>
      </c>
      <c r="F36" s="74">
        <f t="shared" si="13"/>
        <v>11355967.750000002</v>
      </c>
      <c r="G36" s="74">
        <f t="shared" si="13"/>
        <v>9995967.7500000019</v>
      </c>
      <c r="H36" s="74">
        <f t="shared" si="13"/>
        <v>9995967.7500000019</v>
      </c>
      <c r="I36" s="74">
        <f t="shared" si="13"/>
        <v>9995967.7500000019</v>
      </c>
      <c r="J36" s="74">
        <f t="shared" si="13"/>
        <v>9995967.7500000019</v>
      </c>
      <c r="K36" s="74">
        <f t="shared" si="13"/>
        <v>9995967.7500000019</v>
      </c>
      <c r="L36" s="74">
        <f t="shared" si="13"/>
        <v>11355967.750000002</v>
      </c>
      <c r="M36" s="74">
        <f t="shared" si="13"/>
        <v>9995967.7500000019</v>
      </c>
      <c r="N36" s="74">
        <f t="shared" si="13"/>
        <v>9995967.7500000019</v>
      </c>
      <c r="O36" s="74">
        <f t="shared" si="13"/>
        <v>9995967.7500000019</v>
      </c>
      <c r="P36" s="74">
        <f t="shared" si="13"/>
        <v>122671613.00000004</v>
      </c>
    </row>
    <row r="37" spans="1:17" x14ac:dyDescent="0.2">
      <c r="A37" s="342"/>
      <c r="B37" s="339"/>
      <c r="C37" s="87" t="s">
        <v>150</v>
      </c>
      <c r="D37" s="74">
        <f>D35+D33+D31+D29+D27+D11+D9</f>
        <v>14850211</v>
      </c>
      <c r="E37" s="74">
        <f t="shared" ref="E37:O37" si="14">E35+E33+E31+E29+E27+E11+E9</f>
        <v>14850211</v>
      </c>
      <c r="F37" s="74">
        <f t="shared" si="14"/>
        <v>16522711</v>
      </c>
      <c r="G37" s="74">
        <f t="shared" si="14"/>
        <v>14850211</v>
      </c>
      <c r="H37" s="74">
        <f t="shared" si="14"/>
        <v>14850211</v>
      </c>
      <c r="I37" s="74">
        <f t="shared" si="14"/>
        <v>14850211</v>
      </c>
      <c r="J37" s="74">
        <f t="shared" si="14"/>
        <v>14850211</v>
      </c>
      <c r="K37" s="74">
        <f t="shared" si="14"/>
        <v>14850211</v>
      </c>
      <c r="L37" s="74">
        <f t="shared" si="14"/>
        <v>16522711</v>
      </c>
      <c r="M37" s="74">
        <f t="shared" si="14"/>
        <v>15350212</v>
      </c>
      <c r="N37" s="74">
        <f t="shared" si="14"/>
        <v>14850211</v>
      </c>
      <c r="O37" s="74">
        <f t="shared" si="14"/>
        <v>14850211</v>
      </c>
      <c r="P37" s="74">
        <f t="shared" si="13"/>
        <v>182047533</v>
      </c>
    </row>
    <row r="38" spans="1:17" x14ac:dyDescent="0.2">
      <c r="A38" s="338" t="s">
        <v>126</v>
      </c>
      <c r="B38" s="337" t="s">
        <v>127</v>
      </c>
      <c r="C38" s="6" t="s">
        <v>149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>SUM(D38:O38)</f>
        <v>0</v>
      </c>
    </row>
    <row r="39" spans="1:17" x14ac:dyDescent="0.2">
      <c r="A39" s="338"/>
      <c r="B39" s="337"/>
      <c r="C39" s="6" t="s">
        <v>150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ref="P39:P51" si="15">SUM(D39:O39)</f>
        <v>0</v>
      </c>
    </row>
    <row r="40" spans="1:17" x14ac:dyDescent="0.2">
      <c r="A40" s="338" t="s">
        <v>128</v>
      </c>
      <c r="B40" s="337" t="s">
        <v>129</v>
      </c>
      <c r="C40" s="6" t="s">
        <v>149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15"/>
        <v>0</v>
      </c>
    </row>
    <row r="41" spans="1:17" x14ac:dyDescent="0.2">
      <c r="A41" s="338"/>
      <c r="B41" s="337"/>
      <c r="C41" s="6" t="s">
        <v>150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15"/>
        <v>0</v>
      </c>
    </row>
    <row r="42" spans="1:17" ht="17.45" customHeight="1" x14ac:dyDescent="0.2">
      <c r="A42" s="338" t="s">
        <v>130</v>
      </c>
      <c r="B42" s="337" t="s">
        <v>131</v>
      </c>
      <c r="C42" s="6" t="s">
        <v>149</v>
      </c>
      <c r="D42" s="5">
        <v>3835003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f t="shared" si="15"/>
        <v>3835003</v>
      </c>
      <c r="Q42" s="3">
        <f>'3.Pü.mérleg'!B25</f>
        <v>2835003</v>
      </c>
    </row>
    <row r="43" spans="1:17" x14ac:dyDescent="0.2">
      <c r="A43" s="338"/>
      <c r="B43" s="337"/>
      <c r="C43" s="6" t="s">
        <v>150</v>
      </c>
      <c r="D43" s="5">
        <v>7000692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f t="shared" si="15"/>
        <v>7000692</v>
      </c>
      <c r="Q43" s="3">
        <f>'3.Pü.mérleg'!C25</f>
        <v>7000692</v>
      </c>
    </row>
    <row r="44" spans="1:17" x14ac:dyDescent="0.2">
      <c r="A44" s="338" t="s">
        <v>424</v>
      </c>
      <c r="B44" s="337" t="s">
        <v>425</v>
      </c>
      <c r="C44" s="6" t="s">
        <v>149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15"/>
        <v>0</v>
      </c>
    </row>
    <row r="45" spans="1:17" x14ac:dyDescent="0.2">
      <c r="A45" s="338"/>
      <c r="B45" s="337"/>
      <c r="C45" s="6" t="s">
        <v>150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f t="shared" si="15"/>
        <v>0</v>
      </c>
    </row>
    <row r="46" spans="1:17" x14ac:dyDescent="0.2">
      <c r="A46" s="338" t="s">
        <v>26</v>
      </c>
      <c r="B46" s="337" t="s">
        <v>132</v>
      </c>
      <c r="C46" s="6" t="s">
        <v>149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 t="shared" si="15"/>
        <v>0</v>
      </c>
    </row>
    <row r="47" spans="1:17" x14ac:dyDescent="0.2">
      <c r="A47" s="338"/>
      <c r="B47" s="337"/>
      <c r="C47" s="6" t="s">
        <v>150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15"/>
        <v>0</v>
      </c>
    </row>
    <row r="48" spans="1:17" x14ac:dyDescent="0.2">
      <c r="A48" s="334" t="s">
        <v>96</v>
      </c>
      <c r="B48" s="333" t="s">
        <v>97</v>
      </c>
      <c r="C48" s="24" t="s">
        <v>149</v>
      </c>
      <c r="D48" s="25">
        <f>D38+D40+D42+D44+D46</f>
        <v>3835003</v>
      </c>
      <c r="E48" s="25">
        <f t="shared" ref="E48:O48" si="16">SUM(E38:E47)</f>
        <v>0</v>
      </c>
      <c r="F48" s="25">
        <f t="shared" si="16"/>
        <v>0</v>
      </c>
      <c r="G48" s="25">
        <f t="shared" si="16"/>
        <v>0</v>
      </c>
      <c r="H48" s="25">
        <f t="shared" si="16"/>
        <v>0</v>
      </c>
      <c r="I48" s="25">
        <f t="shared" si="16"/>
        <v>0</v>
      </c>
      <c r="J48" s="25">
        <f t="shared" si="16"/>
        <v>0</v>
      </c>
      <c r="K48" s="25">
        <f t="shared" si="16"/>
        <v>0</v>
      </c>
      <c r="L48" s="25">
        <f t="shared" si="16"/>
        <v>0</v>
      </c>
      <c r="M48" s="25">
        <f t="shared" si="16"/>
        <v>0</v>
      </c>
      <c r="N48" s="25">
        <f t="shared" si="16"/>
        <v>0</v>
      </c>
      <c r="O48" s="25">
        <f t="shared" si="16"/>
        <v>0</v>
      </c>
      <c r="P48" s="5">
        <f>SUM(D48:O48)</f>
        <v>3835003</v>
      </c>
    </row>
    <row r="49" spans="1:17" x14ac:dyDescent="0.2">
      <c r="A49" s="334"/>
      <c r="B49" s="333"/>
      <c r="C49" s="24" t="s">
        <v>150</v>
      </c>
      <c r="D49" s="25">
        <f>D39+D41+D43+D45+D47</f>
        <v>7000692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5">
        <f t="shared" si="15"/>
        <v>7000692</v>
      </c>
    </row>
    <row r="50" spans="1:17" x14ac:dyDescent="0.2">
      <c r="A50" s="334" t="s">
        <v>133</v>
      </c>
      <c r="B50" s="333" t="s">
        <v>134</v>
      </c>
      <c r="C50" s="24" t="s">
        <v>149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">
        <f t="shared" si="15"/>
        <v>0</v>
      </c>
    </row>
    <row r="51" spans="1:17" x14ac:dyDescent="0.2">
      <c r="A51" s="334"/>
      <c r="B51" s="333"/>
      <c r="C51" s="24" t="s">
        <v>150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">
        <f t="shared" si="15"/>
        <v>0</v>
      </c>
    </row>
    <row r="52" spans="1:17" x14ac:dyDescent="0.2">
      <c r="A52" s="342" t="s">
        <v>98</v>
      </c>
      <c r="B52" s="339" t="s">
        <v>99</v>
      </c>
      <c r="C52" s="87" t="s">
        <v>149</v>
      </c>
      <c r="D52" s="74">
        <f>D50+D48</f>
        <v>3835003</v>
      </c>
      <c r="E52" s="74">
        <f t="shared" ref="E52:O52" si="17">E50+E48</f>
        <v>0</v>
      </c>
      <c r="F52" s="74">
        <f t="shared" si="17"/>
        <v>0</v>
      </c>
      <c r="G52" s="74">
        <f t="shared" si="17"/>
        <v>0</v>
      </c>
      <c r="H52" s="74">
        <f t="shared" si="17"/>
        <v>0</v>
      </c>
      <c r="I52" s="74">
        <f t="shared" si="17"/>
        <v>0</v>
      </c>
      <c r="J52" s="74">
        <f t="shared" si="17"/>
        <v>0</v>
      </c>
      <c r="K52" s="74">
        <f t="shared" si="17"/>
        <v>0</v>
      </c>
      <c r="L52" s="74">
        <f t="shared" si="17"/>
        <v>0</v>
      </c>
      <c r="M52" s="74">
        <f t="shared" si="17"/>
        <v>0</v>
      </c>
      <c r="N52" s="74">
        <f t="shared" si="17"/>
        <v>0</v>
      </c>
      <c r="O52" s="74">
        <f t="shared" si="17"/>
        <v>0</v>
      </c>
      <c r="P52" s="74">
        <f>SUM(D52:O52)</f>
        <v>3835003</v>
      </c>
    </row>
    <row r="53" spans="1:17" x14ac:dyDescent="0.2">
      <c r="A53" s="342"/>
      <c r="B53" s="339"/>
      <c r="C53" s="87" t="s">
        <v>150</v>
      </c>
      <c r="D53" s="74">
        <f>D51+D49</f>
        <v>7000692</v>
      </c>
      <c r="E53" s="74">
        <f t="shared" ref="E53:O53" si="18">E51+E49</f>
        <v>0</v>
      </c>
      <c r="F53" s="74">
        <f t="shared" si="18"/>
        <v>0</v>
      </c>
      <c r="G53" s="74">
        <f t="shared" si="18"/>
        <v>0</v>
      </c>
      <c r="H53" s="74">
        <f t="shared" si="18"/>
        <v>0</v>
      </c>
      <c r="I53" s="74">
        <f t="shared" si="18"/>
        <v>0</v>
      </c>
      <c r="J53" s="74">
        <f t="shared" si="18"/>
        <v>0</v>
      </c>
      <c r="K53" s="74">
        <f t="shared" si="18"/>
        <v>0</v>
      </c>
      <c r="L53" s="74">
        <f t="shared" si="18"/>
        <v>0</v>
      </c>
      <c r="M53" s="74">
        <f t="shared" si="18"/>
        <v>0</v>
      </c>
      <c r="N53" s="74">
        <f t="shared" si="18"/>
        <v>0</v>
      </c>
      <c r="O53" s="74">
        <f t="shared" si="18"/>
        <v>0</v>
      </c>
      <c r="P53" s="74">
        <f>SUM(D53:O53)</f>
        <v>7000692</v>
      </c>
    </row>
    <row r="54" spans="1:17" x14ac:dyDescent="0.2">
      <c r="A54" s="336" t="s">
        <v>34</v>
      </c>
      <c r="B54" s="335" t="s">
        <v>135</v>
      </c>
      <c r="C54" s="93" t="s">
        <v>149</v>
      </c>
      <c r="D54" s="96">
        <f>D36+D52</f>
        <v>13830970.750000002</v>
      </c>
      <c r="E54" s="96">
        <f t="shared" ref="E54:O54" si="19">E36+E52</f>
        <v>9995967.7500000019</v>
      </c>
      <c r="F54" s="96">
        <f t="shared" si="19"/>
        <v>11355967.750000002</v>
      </c>
      <c r="G54" s="96">
        <f t="shared" si="19"/>
        <v>9995967.7500000019</v>
      </c>
      <c r="H54" s="96">
        <f t="shared" si="19"/>
        <v>9995967.7500000019</v>
      </c>
      <c r="I54" s="96">
        <f t="shared" si="19"/>
        <v>9995967.7500000019</v>
      </c>
      <c r="J54" s="96">
        <f t="shared" si="19"/>
        <v>9995967.7500000019</v>
      </c>
      <c r="K54" s="96">
        <f t="shared" si="19"/>
        <v>9995967.7500000019</v>
      </c>
      <c r="L54" s="96">
        <f t="shared" si="19"/>
        <v>11355967.750000002</v>
      </c>
      <c r="M54" s="96">
        <f t="shared" si="19"/>
        <v>9995967.7500000019</v>
      </c>
      <c r="N54" s="96">
        <f t="shared" si="19"/>
        <v>9995967.7500000019</v>
      </c>
      <c r="O54" s="96">
        <f t="shared" si="19"/>
        <v>9995967.7500000019</v>
      </c>
      <c r="P54" s="96">
        <f>SUM(D54:O54)</f>
        <v>126506616.00000001</v>
      </c>
    </row>
    <row r="55" spans="1:17" x14ac:dyDescent="0.2">
      <c r="A55" s="336"/>
      <c r="B55" s="335"/>
      <c r="C55" s="93" t="s">
        <v>150</v>
      </c>
      <c r="D55" s="96">
        <f>D37+D53</f>
        <v>21850903</v>
      </c>
      <c r="E55" s="96">
        <f t="shared" ref="E55:O55" si="20">E37+E53</f>
        <v>14850211</v>
      </c>
      <c r="F55" s="96">
        <f t="shared" si="20"/>
        <v>16522711</v>
      </c>
      <c r="G55" s="96">
        <f t="shared" si="20"/>
        <v>14850211</v>
      </c>
      <c r="H55" s="96">
        <f t="shared" si="20"/>
        <v>14850211</v>
      </c>
      <c r="I55" s="96">
        <f t="shared" si="20"/>
        <v>14850211</v>
      </c>
      <c r="J55" s="96">
        <f t="shared" si="20"/>
        <v>14850211</v>
      </c>
      <c r="K55" s="96">
        <f t="shared" si="20"/>
        <v>14850211</v>
      </c>
      <c r="L55" s="96">
        <f t="shared" si="20"/>
        <v>16522711</v>
      </c>
      <c r="M55" s="96">
        <f t="shared" si="20"/>
        <v>15350212</v>
      </c>
      <c r="N55" s="96">
        <f t="shared" si="20"/>
        <v>14850211</v>
      </c>
      <c r="O55" s="96">
        <f t="shared" si="20"/>
        <v>14850211</v>
      </c>
      <c r="P55" s="96">
        <f>SUM(D55:O55)</f>
        <v>189048225</v>
      </c>
    </row>
    <row r="56" spans="1:17" x14ac:dyDescent="0.2">
      <c r="A56" s="33"/>
      <c r="B56" s="34"/>
      <c r="C56" s="3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x14ac:dyDescent="0.2">
      <c r="A57" s="343" t="s">
        <v>51</v>
      </c>
      <c r="B57" s="337" t="s">
        <v>52</v>
      </c>
      <c r="C57" s="6" t="s">
        <v>149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f>SUM(D57:O57)</f>
        <v>0</v>
      </c>
    </row>
    <row r="58" spans="1:17" x14ac:dyDescent="0.2">
      <c r="A58" s="343"/>
      <c r="B58" s="337"/>
      <c r="C58" s="6" t="s">
        <v>150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>
        <f t="shared" ref="P58:P86" si="21">SUM(D58:O58)</f>
        <v>0</v>
      </c>
    </row>
    <row r="59" spans="1:17" x14ac:dyDescent="0.2">
      <c r="A59" s="343" t="s">
        <v>53</v>
      </c>
      <c r="B59" s="337" t="s">
        <v>54</v>
      </c>
      <c r="C59" s="6" t="s">
        <v>149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>
        <f t="shared" si="21"/>
        <v>0</v>
      </c>
    </row>
    <row r="60" spans="1:17" x14ac:dyDescent="0.2">
      <c r="A60" s="343"/>
      <c r="B60" s="337"/>
      <c r="C60" s="6" t="s">
        <v>150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f t="shared" si="21"/>
        <v>0</v>
      </c>
    </row>
    <row r="61" spans="1:17" x14ac:dyDescent="0.2">
      <c r="A61" s="331" t="s">
        <v>55</v>
      </c>
      <c r="B61" s="333" t="s">
        <v>136</v>
      </c>
      <c r="C61" s="24" t="s">
        <v>149</v>
      </c>
      <c r="D61" s="25">
        <f>7533000/12</f>
        <v>627750</v>
      </c>
      <c r="E61" s="25">
        <f t="shared" ref="E61:O61" si="22">7533000/12</f>
        <v>627750</v>
      </c>
      <c r="F61" s="25">
        <f t="shared" si="22"/>
        <v>627750</v>
      </c>
      <c r="G61" s="25">
        <f t="shared" si="22"/>
        <v>627750</v>
      </c>
      <c r="H61" s="25">
        <f t="shared" si="22"/>
        <v>627750</v>
      </c>
      <c r="I61" s="25">
        <f t="shared" si="22"/>
        <v>627750</v>
      </c>
      <c r="J61" s="25">
        <f t="shared" si="22"/>
        <v>627750</v>
      </c>
      <c r="K61" s="25">
        <f t="shared" si="22"/>
        <v>627750</v>
      </c>
      <c r="L61" s="25">
        <f t="shared" si="22"/>
        <v>627750</v>
      </c>
      <c r="M61" s="25">
        <f t="shared" si="22"/>
        <v>627750</v>
      </c>
      <c r="N61" s="25">
        <f t="shared" si="22"/>
        <v>627750</v>
      </c>
      <c r="O61" s="25">
        <f t="shared" si="22"/>
        <v>627750</v>
      </c>
      <c r="P61" s="5">
        <f t="shared" si="21"/>
        <v>7533000</v>
      </c>
      <c r="Q61" s="3">
        <f>'3.Pü.mérleg'!H9</f>
        <v>7533000</v>
      </c>
    </row>
    <row r="62" spans="1:17" x14ac:dyDescent="0.2">
      <c r="A62" s="331"/>
      <c r="B62" s="333"/>
      <c r="C62" s="24" t="s">
        <v>150</v>
      </c>
      <c r="D62" s="25">
        <f>13910197/12</f>
        <v>1159183.0833333333</v>
      </c>
      <c r="E62" s="25">
        <f t="shared" ref="E62:O62" si="23">13910197/12</f>
        <v>1159183.0833333333</v>
      </c>
      <c r="F62" s="25">
        <f t="shared" si="23"/>
        <v>1159183.0833333333</v>
      </c>
      <c r="G62" s="25">
        <f t="shared" si="23"/>
        <v>1159183.0833333333</v>
      </c>
      <c r="H62" s="25">
        <f t="shared" si="23"/>
        <v>1159183.0833333333</v>
      </c>
      <c r="I62" s="25">
        <f t="shared" si="23"/>
        <v>1159183.0833333333</v>
      </c>
      <c r="J62" s="25">
        <f t="shared" si="23"/>
        <v>1159183.0833333333</v>
      </c>
      <c r="K62" s="25">
        <f t="shared" si="23"/>
        <v>1159183.0833333333</v>
      </c>
      <c r="L62" s="25">
        <f t="shared" si="23"/>
        <v>1159183.0833333333</v>
      </c>
      <c r="M62" s="25">
        <f t="shared" si="23"/>
        <v>1159183.0833333333</v>
      </c>
      <c r="N62" s="25">
        <f t="shared" si="23"/>
        <v>1159183.0833333333</v>
      </c>
      <c r="O62" s="25">
        <f t="shared" si="23"/>
        <v>1159183.0833333333</v>
      </c>
      <c r="P62" s="5">
        <f t="shared" si="21"/>
        <v>13910197.000000002</v>
      </c>
      <c r="Q62" s="3">
        <f>'3.Pü.mérleg'!I9</f>
        <v>13910197</v>
      </c>
    </row>
    <row r="63" spans="1:17" x14ac:dyDescent="0.2">
      <c r="A63" s="331" t="s">
        <v>246</v>
      </c>
      <c r="B63" s="333" t="s">
        <v>137</v>
      </c>
      <c r="C63" s="24" t="s">
        <v>149</v>
      </c>
      <c r="D63" s="25">
        <f>1782150/12</f>
        <v>148512.5</v>
      </c>
      <c r="E63" s="25">
        <f t="shared" ref="E63:O63" si="24">1782150/12</f>
        <v>148512.5</v>
      </c>
      <c r="F63" s="25">
        <f t="shared" si="24"/>
        <v>148512.5</v>
      </c>
      <c r="G63" s="25">
        <f t="shared" si="24"/>
        <v>148512.5</v>
      </c>
      <c r="H63" s="25">
        <f t="shared" si="24"/>
        <v>148512.5</v>
      </c>
      <c r="I63" s="25">
        <f t="shared" si="24"/>
        <v>148512.5</v>
      </c>
      <c r="J63" s="25">
        <f t="shared" si="24"/>
        <v>148512.5</v>
      </c>
      <c r="K63" s="25">
        <f t="shared" si="24"/>
        <v>148512.5</v>
      </c>
      <c r="L63" s="25">
        <f t="shared" si="24"/>
        <v>148512.5</v>
      </c>
      <c r="M63" s="25">
        <f t="shared" si="24"/>
        <v>148512.5</v>
      </c>
      <c r="N63" s="25">
        <f t="shared" si="24"/>
        <v>148512.5</v>
      </c>
      <c r="O63" s="25">
        <f t="shared" si="24"/>
        <v>148512.5</v>
      </c>
      <c r="P63" s="5">
        <f t="shared" si="21"/>
        <v>1782150</v>
      </c>
      <c r="Q63" s="3">
        <f>'3.Pü.mérleg'!H10</f>
        <v>1782150</v>
      </c>
    </row>
    <row r="64" spans="1:17" x14ac:dyDescent="0.2">
      <c r="A64" s="331"/>
      <c r="B64" s="333"/>
      <c r="C64" s="24" t="s">
        <v>150</v>
      </c>
      <c r="D64" s="25">
        <f>2229085/12</f>
        <v>185757.08333333334</v>
      </c>
      <c r="E64" s="25">
        <f t="shared" ref="E64:O64" si="25">2229085/12</f>
        <v>185757.08333333334</v>
      </c>
      <c r="F64" s="25">
        <f t="shared" si="25"/>
        <v>185757.08333333334</v>
      </c>
      <c r="G64" s="25">
        <f t="shared" si="25"/>
        <v>185757.08333333334</v>
      </c>
      <c r="H64" s="25">
        <f t="shared" si="25"/>
        <v>185757.08333333334</v>
      </c>
      <c r="I64" s="25">
        <f t="shared" si="25"/>
        <v>185757.08333333334</v>
      </c>
      <c r="J64" s="25">
        <f t="shared" si="25"/>
        <v>185757.08333333334</v>
      </c>
      <c r="K64" s="25">
        <f t="shared" si="25"/>
        <v>185757.08333333334</v>
      </c>
      <c r="L64" s="25">
        <f t="shared" si="25"/>
        <v>185757.08333333334</v>
      </c>
      <c r="M64" s="25">
        <f t="shared" si="25"/>
        <v>185757.08333333334</v>
      </c>
      <c r="N64" s="25">
        <f t="shared" si="25"/>
        <v>185757.08333333334</v>
      </c>
      <c r="O64" s="25">
        <f t="shared" si="25"/>
        <v>185757.08333333334</v>
      </c>
      <c r="P64" s="5">
        <f t="shared" si="21"/>
        <v>2229084.9999999995</v>
      </c>
      <c r="Q64" s="3">
        <f>'3.Pü.mérleg'!I10</f>
        <v>2229085</v>
      </c>
    </row>
    <row r="65" spans="1:17" x14ac:dyDescent="0.2">
      <c r="A65" s="343" t="s">
        <v>57</v>
      </c>
      <c r="B65" s="337" t="s">
        <v>58</v>
      </c>
      <c r="C65" s="6" t="s">
        <v>149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1"/>
        <v>0</v>
      </c>
    </row>
    <row r="66" spans="1:17" x14ac:dyDescent="0.2">
      <c r="A66" s="343"/>
      <c r="B66" s="337"/>
      <c r="C66" s="6" t="s">
        <v>150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1"/>
        <v>0</v>
      </c>
    </row>
    <row r="67" spans="1:17" x14ac:dyDescent="0.2">
      <c r="A67" s="343" t="s">
        <v>59</v>
      </c>
      <c r="B67" s="337" t="s">
        <v>138</v>
      </c>
      <c r="C67" s="6" t="s">
        <v>149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>
        <f t="shared" si="21"/>
        <v>0</v>
      </c>
    </row>
    <row r="68" spans="1:17" x14ac:dyDescent="0.2">
      <c r="A68" s="343"/>
      <c r="B68" s="337"/>
      <c r="C68" s="6" t="s">
        <v>150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f t="shared" si="21"/>
        <v>0</v>
      </c>
    </row>
    <row r="69" spans="1:17" x14ac:dyDescent="0.2">
      <c r="A69" s="343" t="s">
        <v>61</v>
      </c>
      <c r="B69" s="337" t="s">
        <v>62</v>
      </c>
      <c r="C69" s="6" t="s">
        <v>149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f t="shared" si="21"/>
        <v>0</v>
      </c>
    </row>
    <row r="70" spans="1:17" x14ac:dyDescent="0.2">
      <c r="A70" s="343"/>
      <c r="B70" s="337"/>
      <c r="C70" s="6" t="s">
        <v>150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f t="shared" si="21"/>
        <v>0</v>
      </c>
    </row>
    <row r="71" spans="1:17" x14ac:dyDescent="0.2">
      <c r="A71" s="343" t="s">
        <v>63</v>
      </c>
      <c r="B71" s="337" t="s">
        <v>139</v>
      </c>
      <c r="C71" s="6" t="s">
        <v>149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1"/>
        <v>0</v>
      </c>
    </row>
    <row r="72" spans="1:17" x14ac:dyDescent="0.2">
      <c r="A72" s="343"/>
      <c r="B72" s="337"/>
      <c r="C72" s="6" t="s">
        <v>150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1"/>
        <v>0</v>
      </c>
    </row>
    <row r="73" spans="1:17" x14ac:dyDescent="0.2">
      <c r="A73" s="343" t="s">
        <v>65</v>
      </c>
      <c r="B73" s="337" t="s">
        <v>66</v>
      </c>
      <c r="C73" s="6" t="s">
        <v>149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1"/>
        <v>0</v>
      </c>
    </row>
    <row r="74" spans="1:17" x14ac:dyDescent="0.2">
      <c r="A74" s="343"/>
      <c r="B74" s="337"/>
      <c r="C74" s="6" t="s">
        <v>150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1"/>
        <v>0</v>
      </c>
    </row>
    <row r="75" spans="1:17" x14ac:dyDescent="0.2">
      <c r="A75" s="331" t="s">
        <v>67</v>
      </c>
      <c r="B75" s="333" t="s">
        <v>140</v>
      </c>
      <c r="C75" s="24" t="s">
        <v>149</v>
      </c>
      <c r="D75" s="25">
        <f>10883140/12</f>
        <v>906928.33333333337</v>
      </c>
      <c r="E75" s="25">
        <f t="shared" ref="E75:O75" si="26">10883140/12</f>
        <v>906928.33333333337</v>
      </c>
      <c r="F75" s="25">
        <f t="shared" si="26"/>
        <v>906928.33333333337</v>
      </c>
      <c r="G75" s="25">
        <f t="shared" si="26"/>
        <v>906928.33333333337</v>
      </c>
      <c r="H75" s="25">
        <f t="shared" si="26"/>
        <v>906928.33333333337</v>
      </c>
      <c r="I75" s="25">
        <f t="shared" si="26"/>
        <v>906928.33333333337</v>
      </c>
      <c r="J75" s="25">
        <f t="shared" si="26"/>
        <v>906928.33333333337</v>
      </c>
      <c r="K75" s="25">
        <f t="shared" si="26"/>
        <v>906928.33333333337</v>
      </c>
      <c r="L75" s="25">
        <f t="shared" si="26"/>
        <v>906928.33333333337</v>
      </c>
      <c r="M75" s="25">
        <f t="shared" si="26"/>
        <v>906928.33333333337</v>
      </c>
      <c r="N75" s="25">
        <f t="shared" si="26"/>
        <v>906928.33333333337</v>
      </c>
      <c r="O75" s="25">
        <f t="shared" si="26"/>
        <v>906928.33333333337</v>
      </c>
      <c r="P75" s="5">
        <f t="shared" si="21"/>
        <v>10883140</v>
      </c>
      <c r="Q75" s="3">
        <f>'3.Pü.mérleg'!H11</f>
        <v>10883140</v>
      </c>
    </row>
    <row r="76" spans="1:17" x14ac:dyDescent="0.2">
      <c r="A76" s="331"/>
      <c r="B76" s="333"/>
      <c r="C76" s="24" t="s">
        <v>150</v>
      </c>
      <c r="D76" s="25">
        <f>21772531/12</f>
        <v>1814377.5833333333</v>
      </c>
      <c r="E76" s="25">
        <f t="shared" ref="E76:O76" si="27">21772531/12</f>
        <v>1814377.5833333333</v>
      </c>
      <c r="F76" s="25">
        <f t="shared" si="27"/>
        <v>1814377.5833333333</v>
      </c>
      <c r="G76" s="25">
        <f t="shared" si="27"/>
        <v>1814377.5833333333</v>
      </c>
      <c r="H76" s="25">
        <f t="shared" si="27"/>
        <v>1814377.5833333333</v>
      </c>
      <c r="I76" s="25">
        <f t="shared" si="27"/>
        <v>1814377.5833333333</v>
      </c>
      <c r="J76" s="25">
        <f t="shared" si="27"/>
        <v>1814377.5833333333</v>
      </c>
      <c r="K76" s="25">
        <f t="shared" si="27"/>
        <v>1814377.5833333333</v>
      </c>
      <c r="L76" s="25">
        <f t="shared" si="27"/>
        <v>1814377.5833333333</v>
      </c>
      <c r="M76" s="25">
        <f t="shared" si="27"/>
        <v>1814377.5833333333</v>
      </c>
      <c r="N76" s="25">
        <f t="shared" si="27"/>
        <v>1814377.5833333333</v>
      </c>
      <c r="O76" s="25">
        <f t="shared" si="27"/>
        <v>1814377.5833333333</v>
      </c>
      <c r="P76" s="5">
        <f t="shared" si="21"/>
        <v>21772531</v>
      </c>
      <c r="Q76" s="3">
        <f>'3.Pü.mérleg'!I11</f>
        <v>21772531</v>
      </c>
    </row>
    <row r="77" spans="1:17" x14ac:dyDescent="0.2">
      <c r="A77" s="331" t="s">
        <v>69</v>
      </c>
      <c r="B77" s="332" t="s">
        <v>70</v>
      </c>
      <c r="C77" s="24" t="s">
        <v>149</v>
      </c>
      <c r="D77" s="25">
        <f>3146000/12</f>
        <v>262166.66666666669</v>
      </c>
      <c r="E77" s="25">
        <f t="shared" ref="E77:O77" si="28">3146000/12</f>
        <v>262166.66666666669</v>
      </c>
      <c r="F77" s="25">
        <f t="shared" si="28"/>
        <v>262166.66666666669</v>
      </c>
      <c r="G77" s="25">
        <f t="shared" si="28"/>
        <v>262166.66666666669</v>
      </c>
      <c r="H77" s="25">
        <f t="shared" si="28"/>
        <v>262166.66666666669</v>
      </c>
      <c r="I77" s="25">
        <f t="shared" si="28"/>
        <v>262166.66666666669</v>
      </c>
      <c r="J77" s="25">
        <f t="shared" si="28"/>
        <v>262166.66666666669</v>
      </c>
      <c r="K77" s="25">
        <f t="shared" si="28"/>
        <v>262166.66666666669</v>
      </c>
      <c r="L77" s="25">
        <f t="shared" si="28"/>
        <v>262166.66666666669</v>
      </c>
      <c r="M77" s="25">
        <f t="shared" si="28"/>
        <v>262166.66666666669</v>
      </c>
      <c r="N77" s="25">
        <f t="shared" si="28"/>
        <v>262166.66666666669</v>
      </c>
      <c r="O77" s="25">
        <f t="shared" si="28"/>
        <v>262166.66666666669</v>
      </c>
      <c r="P77" s="5">
        <f t="shared" si="21"/>
        <v>3145999.9999999995</v>
      </c>
      <c r="Q77" s="3">
        <f>'3.Pü.mérleg'!H12</f>
        <v>3146000</v>
      </c>
    </row>
    <row r="78" spans="1:17" x14ac:dyDescent="0.2">
      <c r="A78" s="331"/>
      <c r="B78" s="332"/>
      <c r="C78" s="24" t="s">
        <v>150</v>
      </c>
      <c r="D78" s="25">
        <f>3340500/12</f>
        <v>278375</v>
      </c>
      <c r="E78" s="25">
        <f t="shared" ref="E78:O78" si="29">3340500/12</f>
        <v>278375</v>
      </c>
      <c r="F78" s="25">
        <f t="shared" si="29"/>
        <v>278375</v>
      </c>
      <c r="G78" s="25">
        <f t="shared" si="29"/>
        <v>278375</v>
      </c>
      <c r="H78" s="25">
        <f t="shared" si="29"/>
        <v>278375</v>
      </c>
      <c r="I78" s="25">
        <f t="shared" si="29"/>
        <v>278375</v>
      </c>
      <c r="J78" s="25">
        <f t="shared" si="29"/>
        <v>278375</v>
      </c>
      <c r="K78" s="25">
        <f t="shared" si="29"/>
        <v>278375</v>
      </c>
      <c r="L78" s="25">
        <f t="shared" si="29"/>
        <v>278375</v>
      </c>
      <c r="M78" s="25">
        <f t="shared" si="29"/>
        <v>278375</v>
      </c>
      <c r="N78" s="25">
        <f t="shared" si="29"/>
        <v>278375</v>
      </c>
      <c r="O78" s="25">
        <f t="shared" si="29"/>
        <v>278375</v>
      </c>
      <c r="P78" s="5">
        <f t="shared" si="21"/>
        <v>3340500</v>
      </c>
      <c r="Q78" s="3">
        <f>'3.Pü.mérleg'!I12</f>
        <v>3340500</v>
      </c>
    </row>
    <row r="79" spans="1:17" x14ac:dyDescent="0.2">
      <c r="A79" s="331" t="s">
        <v>71</v>
      </c>
      <c r="B79" s="332" t="s">
        <v>72</v>
      </c>
      <c r="C79" s="24" t="s">
        <v>149</v>
      </c>
      <c r="D79" s="25">
        <f>48936313/12</f>
        <v>4078026.0833333335</v>
      </c>
      <c r="E79" s="25">
        <f t="shared" ref="E79:O79" si="30">48936313/12</f>
        <v>4078026.0833333335</v>
      </c>
      <c r="F79" s="25">
        <f t="shared" si="30"/>
        <v>4078026.0833333335</v>
      </c>
      <c r="G79" s="25">
        <f t="shared" si="30"/>
        <v>4078026.0833333335</v>
      </c>
      <c r="H79" s="25">
        <f t="shared" si="30"/>
        <v>4078026.0833333335</v>
      </c>
      <c r="I79" s="25">
        <f t="shared" si="30"/>
        <v>4078026.0833333335</v>
      </c>
      <c r="J79" s="25">
        <f t="shared" si="30"/>
        <v>4078026.0833333335</v>
      </c>
      <c r="K79" s="25">
        <f t="shared" si="30"/>
        <v>4078026.0833333335</v>
      </c>
      <c r="L79" s="25">
        <f t="shared" si="30"/>
        <v>4078026.0833333335</v>
      </c>
      <c r="M79" s="25">
        <f t="shared" si="30"/>
        <v>4078026.0833333335</v>
      </c>
      <c r="N79" s="25">
        <f t="shared" si="30"/>
        <v>4078026.0833333335</v>
      </c>
      <c r="O79" s="25">
        <f t="shared" si="30"/>
        <v>4078026.0833333335</v>
      </c>
      <c r="P79" s="5">
        <f t="shared" si="21"/>
        <v>48936313.000000007</v>
      </c>
      <c r="Q79" s="3">
        <f>'3.Pü.mérleg'!H13</f>
        <v>48936313</v>
      </c>
    </row>
    <row r="80" spans="1:17" x14ac:dyDescent="0.2">
      <c r="A80" s="331"/>
      <c r="B80" s="332"/>
      <c r="C80" s="24" t="s">
        <v>150</v>
      </c>
      <c r="D80" s="25">
        <f>75774585/12</f>
        <v>6314548.75</v>
      </c>
      <c r="E80" s="25">
        <f t="shared" ref="E80:O80" si="31">75774585/12</f>
        <v>6314548.75</v>
      </c>
      <c r="F80" s="25">
        <f t="shared" si="31"/>
        <v>6314548.75</v>
      </c>
      <c r="G80" s="25">
        <f t="shared" si="31"/>
        <v>6314548.75</v>
      </c>
      <c r="H80" s="25">
        <f t="shared" si="31"/>
        <v>6314548.75</v>
      </c>
      <c r="I80" s="25">
        <f t="shared" si="31"/>
        <v>6314548.75</v>
      </c>
      <c r="J80" s="25">
        <f t="shared" si="31"/>
        <v>6314548.75</v>
      </c>
      <c r="K80" s="25">
        <f t="shared" si="31"/>
        <v>6314548.75</v>
      </c>
      <c r="L80" s="25">
        <f t="shared" si="31"/>
        <v>6314548.75</v>
      </c>
      <c r="M80" s="25">
        <f t="shared" si="31"/>
        <v>6314548.75</v>
      </c>
      <c r="N80" s="25">
        <f t="shared" si="31"/>
        <v>6314548.75</v>
      </c>
      <c r="O80" s="25">
        <f t="shared" si="31"/>
        <v>6314548.75</v>
      </c>
      <c r="P80" s="5">
        <f t="shared" si="21"/>
        <v>75774585</v>
      </c>
      <c r="Q80" s="3">
        <f>'3.Pü.mérleg'!I13</f>
        <v>75774585</v>
      </c>
    </row>
    <row r="81" spans="1:17" x14ac:dyDescent="0.2">
      <c r="A81" s="331" t="s">
        <v>73</v>
      </c>
      <c r="B81" s="333" t="s">
        <v>74</v>
      </c>
      <c r="C81" s="24" t="s">
        <v>149</v>
      </c>
      <c r="D81" s="25">
        <f>0</f>
        <v>0</v>
      </c>
      <c r="E81" s="25">
        <f>0</f>
        <v>0</v>
      </c>
      <c r="F81" s="25">
        <f>0</f>
        <v>0</v>
      </c>
      <c r="G81" s="25">
        <f>0</f>
        <v>0</v>
      </c>
      <c r="H81" s="25">
        <f>0</f>
        <v>0</v>
      </c>
      <c r="I81" s="25">
        <f>0</f>
        <v>0</v>
      </c>
      <c r="J81" s="25">
        <f>0</f>
        <v>0</v>
      </c>
      <c r="K81" s="25">
        <f>0</f>
        <v>0</v>
      </c>
      <c r="L81" s="25">
        <f>0</f>
        <v>0</v>
      </c>
      <c r="M81" s="25">
        <f>0</f>
        <v>0</v>
      </c>
      <c r="N81" s="25">
        <f>0</f>
        <v>0</v>
      </c>
      <c r="O81" s="25"/>
      <c r="P81" s="5">
        <f t="shared" si="21"/>
        <v>0</v>
      </c>
      <c r="Q81" s="3">
        <f>'3.Pü.mérleg'!H15</f>
        <v>0</v>
      </c>
    </row>
    <row r="82" spans="1:17" x14ac:dyDescent="0.2">
      <c r="A82" s="331"/>
      <c r="B82" s="333"/>
      <c r="C82" s="24" t="s">
        <v>150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>
        <v>1861148</v>
      </c>
      <c r="P82" s="5">
        <f t="shared" si="21"/>
        <v>1861148</v>
      </c>
      <c r="Q82" s="3">
        <f>'3.Pü.mérleg'!I15</f>
        <v>1861148</v>
      </c>
    </row>
    <row r="83" spans="1:17" x14ac:dyDescent="0.2">
      <c r="A83" s="331" t="s">
        <v>75</v>
      </c>
      <c r="B83" s="332" t="s">
        <v>141</v>
      </c>
      <c r="C83" s="24" t="s">
        <v>149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>
        <v>1517813</v>
      </c>
      <c r="O83" s="25"/>
      <c r="P83" s="5">
        <f t="shared" si="21"/>
        <v>1517813</v>
      </c>
      <c r="Q83" s="3">
        <f>'2.Műk+F mérlegek'!H24</f>
        <v>1517813</v>
      </c>
    </row>
    <row r="84" spans="1:17" x14ac:dyDescent="0.2">
      <c r="A84" s="331"/>
      <c r="B84" s="332"/>
      <c r="C84" s="24" t="s">
        <v>150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>
        <v>1455414</v>
      </c>
      <c r="O84" s="25"/>
      <c r="P84" s="5">
        <f t="shared" si="21"/>
        <v>1455414</v>
      </c>
      <c r="Q84" s="3">
        <f>'2.Műk+F mérlegek'!I24</f>
        <v>1455414</v>
      </c>
    </row>
    <row r="85" spans="1:17" x14ac:dyDescent="0.2">
      <c r="A85" s="331" t="s">
        <v>76</v>
      </c>
      <c r="B85" s="332" t="s">
        <v>77</v>
      </c>
      <c r="C85" s="24" t="s">
        <v>149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5">
        <f t="shared" si="21"/>
        <v>0</v>
      </c>
      <c r="Q85" s="3">
        <f>'3.Pü.mérleg'!H17</f>
        <v>0</v>
      </c>
    </row>
    <row r="86" spans="1:17" x14ac:dyDescent="0.2">
      <c r="A86" s="331"/>
      <c r="B86" s="332"/>
      <c r="C86" s="24" t="s">
        <v>150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5">
        <f t="shared" si="21"/>
        <v>0</v>
      </c>
      <c r="Q86" s="3">
        <f>'3.Pü.mérleg'!I17</f>
        <v>0</v>
      </c>
    </row>
    <row r="87" spans="1:17" x14ac:dyDescent="0.2">
      <c r="A87" s="340" t="s">
        <v>142</v>
      </c>
      <c r="B87" s="339" t="s">
        <v>143</v>
      </c>
      <c r="C87" s="87" t="s">
        <v>149</v>
      </c>
      <c r="D87" s="74">
        <f>D61+D63+D75+D77+D79+D81+D83+D85</f>
        <v>6023383.583333334</v>
      </c>
      <c r="E87" s="74">
        <f t="shared" ref="E87:O87" si="32">E61+E63+E75+E77+E79+E81+E83+E85</f>
        <v>6023383.583333334</v>
      </c>
      <c r="F87" s="74">
        <f t="shared" si="32"/>
        <v>6023383.583333334</v>
      </c>
      <c r="G87" s="74">
        <f t="shared" si="32"/>
        <v>6023383.583333334</v>
      </c>
      <c r="H87" s="74">
        <f t="shared" si="32"/>
        <v>6023383.583333334</v>
      </c>
      <c r="I87" s="74">
        <f t="shared" si="32"/>
        <v>6023383.583333334</v>
      </c>
      <c r="J87" s="74">
        <f t="shared" si="32"/>
        <v>6023383.583333334</v>
      </c>
      <c r="K87" s="74">
        <f t="shared" si="32"/>
        <v>6023383.583333334</v>
      </c>
      <c r="L87" s="74">
        <f t="shared" si="32"/>
        <v>6023383.583333334</v>
      </c>
      <c r="M87" s="74">
        <f t="shared" si="32"/>
        <v>6023383.583333334</v>
      </c>
      <c r="N87" s="74">
        <f t="shared" si="32"/>
        <v>7541196.583333334</v>
      </c>
      <c r="O87" s="74">
        <f t="shared" si="32"/>
        <v>6023383.583333334</v>
      </c>
      <c r="P87" s="74">
        <f>SUM(D87:O87)</f>
        <v>73798416.000000015</v>
      </c>
    </row>
    <row r="88" spans="1:17" x14ac:dyDescent="0.2">
      <c r="A88" s="340"/>
      <c r="B88" s="339"/>
      <c r="C88" s="87" t="s">
        <v>150</v>
      </c>
      <c r="D88" s="74">
        <f>D62+D64+D76+D78+D80+D82+D84+D86</f>
        <v>9752241.5</v>
      </c>
      <c r="E88" s="74">
        <f t="shared" ref="E88:O88" si="33">E62+E64+E76+E78+E80+E82+E84+E86</f>
        <v>9752241.5</v>
      </c>
      <c r="F88" s="74">
        <f t="shared" si="33"/>
        <v>9752241.5</v>
      </c>
      <c r="G88" s="74">
        <f t="shared" si="33"/>
        <v>9752241.5</v>
      </c>
      <c r="H88" s="74">
        <f t="shared" si="33"/>
        <v>9752241.5</v>
      </c>
      <c r="I88" s="74">
        <f t="shared" si="33"/>
        <v>9752241.5</v>
      </c>
      <c r="J88" s="74">
        <f t="shared" si="33"/>
        <v>9752241.5</v>
      </c>
      <c r="K88" s="74">
        <f t="shared" si="33"/>
        <v>9752241.5</v>
      </c>
      <c r="L88" s="74">
        <f t="shared" si="33"/>
        <v>9752241.5</v>
      </c>
      <c r="M88" s="74">
        <f t="shared" si="33"/>
        <v>9752241.5</v>
      </c>
      <c r="N88" s="74">
        <f t="shared" si="33"/>
        <v>11207655.5</v>
      </c>
      <c r="O88" s="74">
        <f t="shared" si="33"/>
        <v>11613389.5</v>
      </c>
      <c r="P88" s="74">
        <f>SUM(D88:O88)</f>
        <v>120343460</v>
      </c>
    </row>
    <row r="89" spans="1:17" x14ac:dyDescent="0.2">
      <c r="A89" s="338" t="s">
        <v>144</v>
      </c>
      <c r="B89" s="337" t="s">
        <v>145</v>
      </c>
      <c r="C89" s="6" t="s">
        <v>149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f>SUM(D89:O89)</f>
        <v>0</v>
      </c>
    </row>
    <row r="90" spans="1:17" x14ac:dyDescent="0.2">
      <c r="A90" s="338"/>
      <c r="B90" s="337"/>
      <c r="C90" s="6" t="s">
        <v>150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f t="shared" ref="P90:P98" si="34">SUM(D90:O90)</f>
        <v>0</v>
      </c>
    </row>
    <row r="91" spans="1:17" x14ac:dyDescent="0.2">
      <c r="A91" s="338" t="s">
        <v>146</v>
      </c>
      <c r="B91" s="337" t="s">
        <v>147</v>
      </c>
      <c r="C91" s="6" t="s">
        <v>149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f t="shared" si="34"/>
        <v>0</v>
      </c>
    </row>
    <row r="92" spans="1:17" x14ac:dyDescent="0.2">
      <c r="A92" s="338"/>
      <c r="B92" s="337"/>
      <c r="C92" s="6" t="s">
        <v>150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f t="shared" si="34"/>
        <v>0</v>
      </c>
    </row>
    <row r="93" spans="1:17" x14ac:dyDescent="0.2">
      <c r="A93" s="327" t="s">
        <v>409</v>
      </c>
      <c r="B93" s="329" t="s">
        <v>411</v>
      </c>
      <c r="C93" s="6" t="s">
        <v>149</v>
      </c>
      <c r="D93" s="5">
        <v>51708200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f>SUM(D93:O93)</f>
        <v>51708200</v>
      </c>
      <c r="Q93" s="3">
        <f>'2.Műk+F mérlegek'!H26</f>
        <v>51708200</v>
      </c>
    </row>
    <row r="94" spans="1:17" x14ac:dyDescent="0.2">
      <c r="A94" s="328"/>
      <c r="B94" s="330"/>
      <c r="C94" s="6" t="s">
        <v>150</v>
      </c>
      <c r="D94" s="5">
        <f>68704765/12</f>
        <v>5725397.083333333</v>
      </c>
      <c r="E94" s="5">
        <f t="shared" ref="E94:O94" si="35">68704765/12</f>
        <v>5725397.083333333</v>
      </c>
      <c r="F94" s="5">
        <f t="shared" si="35"/>
        <v>5725397.083333333</v>
      </c>
      <c r="G94" s="5">
        <f t="shared" si="35"/>
        <v>5725397.083333333</v>
      </c>
      <c r="H94" s="5">
        <f t="shared" si="35"/>
        <v>5725397.083333333</v>
      </c>
      <c r="I94" s="5">
        <f t="shared" si="35"/>
        <v>5725397.083333333</v>
      </c>
      <c r="J94" s="5">
        <f t="shared" si="35"/>
        <v>5725397.083333333</v>
      </c>
      <c r="K94" s="5">
        <f t="shared" si="35"/>
        <v>5725397.083333333</v>
      </c>
      <c r="L94" s="5">
        <f t="shared" si="35"/>
        <v>5725397.083333333</v>
      </c>
      <c r="M94" s="5">
        <f t="shared" si="35"/>
        <v>5725397.083333333</v>
      </c>
      <c r="N94" s="5">
        <f t="shared" si="35"/>
        <v>5725397.083333333</v>
      </c>
      <c r="O94" s="5">
        <f t="shared" si="35"/>
        <v>5725397.083333333</v>
      </c>
      <c r="P94" s="5">
        <f>SUM(D94:O94)</f>
        <v>68704765.000000015</v>
      </c>
      <c r="Q94" s="3">
        <f>'3.Pü.mérleg'!I18</f>
        <v>68704765</v>
      </c>
    </row>
    <row r="95" spans="1:17" x14ac:dyDescent="0.2">
      <c r="A95" s="338" t="s">
        <v>31</v>
      </c>
      <c r="B95" s="337" t="s">
        <v>148</v>
      </c>
      <c r="C95" s="6" t="s">
        <v>149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 t="shared" si="34"/>
        <v>0</v>
      </c>
    </row>
    <row r="96" spans="1:17" x14ac:dyDescent="0.2">
      <c r="A96" s="338"/>
      <c r="B96" s="337"/>
      <c r="C96" s="6" t="s">
        <v>150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si="34"/>
        <v>0</v>
      </c>
    </row>
    <row r="97" spans="1:17" s="27" customFormat="1" x14ac:dyDescent="0.2">
      <c r="A97" s="334" t="s">
        <v>78</v>
      </c>
      <c r="B97" s="333" t="s">
        <v>79</v>
      </c>
      <c r="C97" s="24" t="s">
        <v>149</v>
      </c>
      <c r="D97" s="25">
        <f>D89+D91+D93+D95</f>
        <v>51708200</v>
      </c>
      <c r="E97" s="25">
        <f t="shared" ref="E97:O97" si="36">E89+E91+E93+E95</f>
        <v>0</v>
      </c>
      <c r="F97" s="25">
        <f t="shared" si="36"/>
        <v>0</v>
      </c>
      <c r="G97" s="25">
        <f t="shared" si="36"/>
        <v>0</v>
      </c>
      <c r="H97" s="25">
        <f t="shared" si="36"/>
        <v>0</v>
      </c>
      <c r="I97" s="25">
        <f t="shared" si="36"/>
        <v>0</v>
      </c>
      <c r="J97" s="25">
        <f t="shared" si="36"/>
        <v>0</v>
      </c>
      <c r="K97" s="25">
        <f t="shared" si="36"/>
        <v>0</v>
      </c>
      <c r="L97" s="25">
        <f t="shared" si="36"/>
        <v>0</v>
      </c>
      <c r="M97" s="25">
        <f t="shared" si="36"/>
        <v>0</v>
      </c>
      <c r="N97" s="25">
        <f t="shared" si="36"/>
        <v>0</v>
      </c>
      <c r="O97" s="25">
        <f t="shared" si="36"/>
        <v>0</v>
      </c>
      <c r="P97" s="25">
        <f t="shared" si="34"/>
        <v>51708200</v>
      </c>
      <c r="Q97" s="36"/>
    </row>
    <row r="98" spans="1:17" s="27" customFormat="1" x14ac:dyDescent="0.2">
      <c r="A98" s="334"/>
      <c r="B98" s="333"/>
      <c r="C98" s="24" t="s">
        <v>150</v>
      </c>
      <c r="D98" s="25">
        <f>D90+D92+D94+D96</f>
        <v>5725397.083333333</v>
      </c>
      <c r="E98" s="25">
        <f t="shared" ref="E98:O98" si="37">E90+E92+E94+E96</f>
        <v>5725397.083333333</v>
      </c>
      <c r="F98" s="25">
        <f t="shared" si="37"/>
        <v>5725397.083333333</v>
      </c>
      <c r="G98" s="25">
        <f t="shared" si="37"/>
        <v>5725397.083333333</v>
      </c>
      <c r="H98" s="25">
        <f t="shared" si="37"/>
        <v>5725397.083333333</v>
      </c>
      <c r="I98" s="25">
        <f t="shared" si="37"/>
        <v>5725397.083333333</v>
      </c>
      <c r="J98" s="25">
        <f t="shared" si="37"/>
        <v>5725397.083333333</v>
      </c>
      <c r="K98" s="25">
        <f t="shared" si="37"/>
        <v>5725397.083333333</v>
      </c>
      <c r="L98" s="25">
        <f t="shared" si="37"/>
        <v>5725397.083333333</v>
      </c>
      <c r="M98" s="25">
        <f t="shared" si="37"/>
        <v>5725397.083333333</v>
      </c>
      <c r="N98" s="25">
        <f t="shared" si="37"/>
        <v>5725397.083333333</v>
      </c>
      <c r="O98" s="25">
        <f t="shared" si="37"/>
        <v>5725397.083333333</v>
      </c>
      <c r="P98" s="25">
        <f t="shared" si="34"/>
        <v>68704765.000000015</v>
      </c>
      <c r="Q98" s="36"/>
    </row>
    <row r="99" spans="1:17" x14ac:dyDescent="0.2">
      <c r="A99" s="342" t="s">
        <v>80</v>
      </c>
      <c r="B99" s="339" t="s">
        <v>81</v>
      </c>
      <c r="C99" s="87" t="s">
        <v>149</v>
      </c>
      <c r="D99" s="74">
        <f>D97</f>
        <v>51708200</v>
      </c>
      <c r="E99" s="74">
        <f t="shared" ref="E99:O99" si="38">E97</f>
        <v>0</v>
      </c>
      <c r="F99" s="74">
        <f t="shared" si="38"/>
        <v>0</v>
      </c>
      <c r="G99" s="74">
        <f t="shared" si="38"/>
        <v>0</v>
      </c>
      <c r="H99" s="74">
        <f t="shared" si="38"/>
        <v>0</v>
      </c>
      <c r="I99" s="74">
        <f t="shared" si="38"/>
        <v>0</v>
      </c>
      <c r="J99" s="74">
        <f t="shared" si="38"/>
        <v>0</v>
      </c>
      <c r="K99" s="74">
        <f t="shared" si="38"/>
        <v>0</v>
      </c>
      <c r="L99" s="74">
        <f t="shared" si="38"/>
        <v>0</v>
      </c>
      <c r="M99" s="74">
        <f t="shared" si="38"/>
        <v>0</v>
      </c>
      <c r="N99" s="74">
        <f t="shared" si="38"/>
        <v>0</v>
      </c>
      <c r="O99" s="74">
        <f t="shared" si="38"/>
        <v>0</v>
      </c>
      <c r="P99" s="74">
        <f>SUM(D99:O99)</f>
        <v>51708200</v>
      </c>
    </row>
    <row r="100" spans="1:17" x14ac:dyDescent="0.2">
      <c r="A100" s="342"/>
      <c r="B100" s="339"/>
      <c r="C100" s="87" t="s">
        <v>150</v>
      </c>
      <c r="D100" s="74">
        <f>D98</f>
        <v>5725397.083333333</v>
      </c>
      <c r="E100" s="74">
        <f t="shared" ref="E100:O100" si="39">E98</f>
        <v>5725397.083333333</v>
      </c>
      <c r="F100" s="74">
        <f t="shared" si="39"/>
        <v>5725397.083333333</v>
      </c>
      <c r="G100" s="74">
        <f t="shared" si="39"/>
        <v>5725397.083333333</v>
      </c>
      <c r="H100" s="74">
        <f t="shared" si="39"/>
        <v>5725397.083333333</v>
      </c>
      <c r="I100" s="74">
        <f t="shared" si="39"/>
        <v>5725397.083333333</v>
      </c>
      <c r="J100" s="74">
        <f t="shared" si="39"/>
        <v>5725397.083333333</v>
      </c>
      <c r="K100" s="74">
        <f t="shared" si="39"/>
        <v>5725397.083333333</v>
      </c>
      <c r="L100" s="74">
        <f t="shared" si="39"/>
        <v>5725397.083333333</v>
      </c>
      <c r="M100" s="74">
        <f t="shared" si="39"/>
        <v>5725397.083333333</v>
      </c>
      <c r="N100" s="74">
        <f t="shared" si="39"/>
        <v>5725397.083333333</v>
      </c>
      <c r="O100" s="74">
        <f t="shared" si="39"/>
        <v>5725397.083333333</v>
      </c>
      <c r="P100" s="74">
        <f>SUM(D100:O100)</f>
        <v>68704765.000000015</v>
      </c>
    </row>
    <row r="101" spans="1:17" x14ac:dyDescent="0.2">
      <c r="A101" s="336" t="s">
        <v>164</v>
      </c>
      <c r="B101" s="335" t="s">
        <v>165</v>
      </c>
      <c r="C101" s="93" t="s">
        <v>149</v>
      </c>
      <c r="D101" s="96">
        <f>D99+D87</f>
        <v>57731583.583333336</v>
      </c>
      <c r="E101" s="96">
        <f t="shared" ref="E101:O101" si="40">E99+E87</f>
        <v>6023383.583333334</v>
      </c>
      <c r="F101" s="96">
        <f t="shared" si="40"/>
        <v>6023383.583333334</v>
      </c>
      <c r="G101" s="96">
        <f t="shared" si="40"/>
        <v>6023383.583333334</v>
      </c>
      <c r="H101" s="96">
        <f t="shared" si="40"/>
        <v>6023383.583333334</v>
      </c>
      <c r="I101" s="96">
        <f t="shared" si="40"/>
        <v>6023383.583333334</v>
      </c>
      <c r="J101" s="96">
        <f t="shared" si="40"/>
        <v>6023383.583333334</v>
      </c>
      <c r="K101" s="96">
        <f t="shared" si="40"/>
        <v>6023383.583333334</v>
      </c>
      <c r="L101" s="96">
        <f t="shared" si="40"/>
        <v>6023383.583333334</v>
      </c>
      <c r="M101" s="96">
        <f t="shared" si="40"/>
        <v>6023383.583333334</v>
      </c>
      <c r="N101" s="96">
        <f t="shared" si="40"/>
        <v>7541196.583333334</v>
      </c>
      <c r="O101" s="96">
        <f t="shared" si="40"/>
        <v>6023383.583333334</v>
      </c>
      <c r="P101" s="96">
        <f>SUM(D101:O101)</f>
        <v>125506615.99999996</v>
      </c>
    </row>
    <row r="102" spans="1:17" x14ac:dyDescent="0.2">
      <c r="A102" s="336"/>
      <c r="B102" s="335"/>
      <c r="C102" s="93" t="s">
        <v>150</v>
      </c>
      <c r="D102" s="96">
        <f>D100+D88</f>
        <v>15477638.583333332</v>
      </c>
      <c r="E102" s="96">
        <f t="shared" ref="E102:O102" si="41">E100+E88</f>
        <v>15477638.583333332</v>
      </c>
      <c r="F102" s="96">
        <f t="shared" si="41"/>
        <v>15477638.583333332</v>
      </c>
      <c r="G102" s="96">
        <f t="shared" si="41"/>
        <v>15477638.583333332</v>
      </c>
      <c r="H102" s="96">
        <f t="shared" si="41"/>
        <v>15477638.583333332</v>
      </c>
      <c r="I102" s="96">
        <f t="shared" si="41"/>
        <v>15477638.583333332</v>
      </c>
      <c r="J102" s="96">
        <f t="shared" si="41"/>
        <v>15477638.583333332</v>
      </c>
      <c r="K102" s="96">
        <f t="shared" si="41"/>
        <v>15477638.583333332</v>
      </c>
      <c r="L102" s="96">
        <f t="shared" si="41"/>
        <v>15477638.583333332</v>
      </c>
      <c r="M102" s="96">
        <f t="shared" si="41"/>
        <v>15477638.583333332</v>
      </c>
      <c r="N102" s="96">
        <f t="shared" si="41"/>
        <v>16933052.583333332</v>
      </c>
      <c r="O102" s="96">
        <f t="shared" si="41"/>
        <v>17338786.583333332</v>
      </c>
      <c r="P102" s="96">
        <f>SUM(D102:O102)</f>
        <v>189048225</v>
      </c>
    </row>
    <row r="105" spans="1:17" x14ac:dyDescent="0.2">
      <c r="B105" s="268" t="s">
        <v>166</v>
      </c>
      <c r="C105" s="268"/>
    </row>
    <row r="106" spans="1:17" x14ac:dyDescent="0.2">
      <c r="B106" s="326" t="s">
        <v>167</v>
      </c>
      <c r="C106" s="326"/>
      <c r="D106" s="5">
        <v>0</v>
      </c>
      <c r="E106" s="5">
        <f>2835003/11</f>
        <v>257727.54545454544</v>
      </c>
      <c r="F106" s="5">
        <f t="shared" ref="F106:O106" si="42">2835003/11</f>
        <v>257727.54545454544</v>
      </c>
      <c r="G106" s="5">
        <f t="shared" si="42"/>
        <v>257727.54545454544</v>
      </c>
      <c r="H106" s="5">
        <f t="shared" si="42"/>
        <v>257727.54545454544</v>
      </c>
      <c r="I106" s="5">
        <f t="shared" si="42"/>
        <v>257727.54545454544</v>
      </c>
      <c r="J106" s="5">
        <f t="shared" si="42"/>
        <v>257727.54545454544</v>
      </c>
      <c r="K106" s="5">
        <f t="shared" si="42"/>
        <v>257727.54545454544</v>
      </c>
      <c r="L106" s="5">
        <f t="shared" si="42"/>
        <v>257727.54545454544</v>
      </c>
      <c r="M106" s="5">
        <f t="shared" si="42"/>
        <v>257727.54545454544</v>
      </c>
      <c r="N106" s="5">
        <f t="shared" si="42"/>
        <v>257727.54545454544</v>
      </c>
      <c r="O106" s="5">
        <f t="shared" si="42"/>
        <v>257727.54545454544</v>
      </c>
      <c r="P106" s="5">
        <f>SUM(D106:O106)</f>
        <v>2835003</v>
      </c>
      <c r="Q106" s="3">
        <f>'3.Pü.mérleg'!B25</f>
        <v>2835003</v>
      </c>
    </row>
    <row r="107" spans="1:17" x14ac:dyDescent="0.2">
      <c r="B107" s="326" t="s">
        <v>168</v>
      </c>
      <c r="C107" s="326"/>
      <c r="D107" s="5">
        <f>122671613/12</f>
        <v>10222634.416666666</v>
      </c>
      <c r="E107" s="5">
        <f t="shared" ref="E107:O107" si="43">122671613/12</f>
        <v>10222634.416666666</v>
      </c>
      <c r="F107" s="5">
        <f t="shared" si="43"/>
        <v>10222634.416666666</v>
      </c>
      <c r="G107" s="5">
        <f t="shared" si="43"/>
        <v>10222634.416666666</v>
      </c>
      <c r="H107" s="5">
        <f t="shared" si="43"/>
        <v>10222634.416666666</v>
      </c>
      <c r="I107" s="5">
        <f t="shared" si="43"/>
        <v>10222634.416666666</v>
      </c>
      <c r="J107" s="5">
        <f t="shared" si="43"/>
        <v>10222634.416666666</v>
      </c>
      <c r="K107" s="5">
        <f t="shared" si="43"/>
        <v>10222634.416666666</v>
      </c>
      <c r="L107" s="5">
        <f t="shared" si="43"/>
        <v>10222634.416666666</v>
      </c>
      <c r="M107" s="5">
        <f t="shared" si="43"/>
        <v>10222634.416666666</v>
      </c>
      <c r="N107" s="5">
        <f t="shared" si="43"/>
        <v>10222634.416666666</v>
      </c>
      <c r="O107" s="5">
        <f t="shared" si="43"/>
        <v>10222634.416666666</v>
      </c>
      <c r="P107" s="5">
        <f>SUM(D107:O107)</f>
        <v>122671613.00000001</v>
      </c>
      <c r="Q107" s="3">
        <f>'2.Műk+F mérlegek'!B16</f>
        <v>122671613</v>
      </c>
    </row>
    <row r="108" spans="1:17" x14ac:dyDescent="0.2">
      <c r="B108" s="326" t="s">
        <v>169</v>
      </c>
      <c r="C108" s="326"/>
      <c r="D108" s="5">
        <f>72280603/12</f>
        <v>6023383.583333333</v>
      </c>
      <c r="E108" s="5">
        <f t="shared" ref="E108:O108" si="44">72280603/12</f>
        <v>6023383.583333333</v>
      </c>
      <c r="F108" s="5">
        <f t="shared" si="44"/>
        <v>6023383.583333333</v>
      </c>
      <c r="G108" s="5">
        <f t="shared" si="44"/>
        <v>6023383.583333333</v>
      </c>
      <c r="H108" s="5">
        <f t="shared" si="44"/>
        <v>6023383.583333333</v>
      </c>
      <c r="I108" s="5">
        <f t="shared" si="44"/>
        <v>6023383.583333333</v>
      </c>
      <c r="J108" s="5">
        <f t="shared" si="44"/>
        <v>6023383.583333333</v>
      </c>
      <c r="K108" s="5">
        <f t="shared" si="44"/>
        <v>6023383.583333333</v>
      </c>
      <c r="L108" s="5">
        <f t="shared" si="44"/>
        <v>6023383.583333333</v>
      </c>
      <c r="M108" s="5">
        <f t="shared" si="44"/>
        <v>6023383.583333333</v>
      </c>
      <c r="N108" s="5">
        <f t="shared" si="44"/>
        <v>6023383.583333333</v>
      </c>
      <c r="O108" s="5">
        <f t="shared" si="44"/>
        <v>6023383.583333333</v>
      </c>
      <c r="P108" s="5">
        <f>SUM(D108:O108)</f>
        <v>72280603.000000015</v>
      </c>
      <c r="Q108" s="3">
        <f>'2.Műk+F mérlegek'!H16</f>
        <v>72280603</v>
      </c>
    </row>
    <row r="109" spans="1:17" x14ac:dyDescent="0.2">
      <c r="B109" s="326" t="s">
        <v>170</v>
      </c>
      <c r="C109" s="326"/>
      <c r="D109" s="5">
        <f>D106+D107-D108</f>
        <v>4199250.833333333</v>
      </c>
      <c r="E109" s="5">
        <f>E106+E107-E108</f>
        <v>4456978.378787878</v>
      </c>
      <c r="F109" s="5">
        <f t="shared" ref="F109:O109" si="45">F106+F107-F108</f>
        <v>4456978.378787878</v>
      </c>
      <c r="G109" s="5">
        <f t="shared" si="45"/>
        <v>4456978.378787878</v>
      </c>
      <c r="H109" s="5">
        <f t="shared" si="45"/>
        <v>4456978.378787878</v>
      </c>
      <c r="I109" s="5">
        <f t="shared" si="45"/>
        <v>4456978.378787878</v>
      </c>
      <c r="J109" s="5">
        <f>J106+J107-J108</f>
        <v>4456978.378787878</v>
      </c>
      <c r="K109" s="5">
        <f t="shared" si="45"/>
        <v>4456978.378787878</v>
      </c>
      <c r="L109" s="5">
        <f t="shared" si="45"/>
        <v>4456978.378787878</v>
      </c>
      <c r="M109" s="5">
        <f t="shared" si="45"/>
        <v>4456978.378787878</v>
      </c>
      <c r="N109" s="5">
        <f t="shared" si="45"/>
        <v>4456978.378787878</v>
      </c>
      <c r="O109" s="5">
        <f t="shared" si="45"/>
        <v>4456978.378787878</v>
      </c>
      <c r="P109" s="37">
        <v>0</v>
      </c>
    </row>
    <row r="111" spans="1:17" x14ac:dyDescent="0.2">
      <c r="B111" s="341" t="s">
        <v>418</v>
      </c>
      <c r="C111" s="268"/>
    </row>
    <row r="112" spans="1:17" x14ac:dyDescent="0.2">
      <c r="B112" s="326" t="s">
        <v>167</v>
      </c>
      <c r="C112" s="326"/>
      <c r="D112" s="5">
        <v>0</v>
      </c>
      <c r="E112" s="5">
        <f>7000692/11</f>
        <v>636426.54545454541</v>
      </c>
      <c r="F112" s="5">
        <f t="shared" ref="F112:O112" si="46">7000692/11</f>
        <v>636426.54545454541</v>
      </c>
      <c r="G112" s="5">
        <f t="shared" si="46"/>
        <v>636426.54545454541</v>
      </c>
      <c r="H112" s="5">
        <f t="shared" si="46"/>
        <v>636426.54545454541</v>
      </c>
      <c r="I112" s="5">
        <f t="shared" si="46"/>
        <v>636426.54545454541</v>
      </c>
      <c r="J112" s="5">
        <f t="shared" si="46"/>
        <v>636426.54545454541</v>
      </c>
      <c r="K112" s="5">
        <f t="shared" si="46"/>
        <v>636426.54545454541</v>
      </c>
      <c r="L112" s="5">
        <f t="shared" si="46"/>
        <v>636426.54545454541</v>
      </c>
      <c r="M112" s="5">
        <f t="shared" si="46"/>
        <v>636426.54545454541</v>
      </c>
      <c r="N112" s="5">
        <f t="shared" si="46"/>
        <v>636426.54545454541</v>
      </c>
      <c r="O112" s="5">
        <f t="shared" si="46"/>
        <v>636426.54545454541</v>
      </c>
      <c r="P112" s="5">
        <f>SUM(D112:O112)</f>
        <v>7000691.9999999981</v>
      </c>
      <c r="Q112" s="3">
        <f>'3.Pü.mérleg'!C25</f>
        <v>7000692</v>
      </c>
    </row>
    <row r="113" spans="2:17" x14ac:dyDescent="0.2">
      <c r="B113" s="326" t="s">
        <v>168</v>
      </c>
      <c r="C113" s="326"/>
      <c r="D113" s="5">
        <f>152887091/12</f>
        <v>12740590.916666666</v>
      </c>
      <c r="E113" s="5">
        <f t="shared" ref="E113:O113" si="47">152887091/12</f>
        <v>12740590.916666666</v>
      </c>
      <c r="F113" s="5">
        <f t="shared" si="47"/>
        <v>12740590.916666666</v>
      </c>
      <c r="G113" s="5">
        <f t="shared" si="47"/>
        <v>12740590.916666666</v>
      </c>
      <c r="H113" s="5">
        <f t="shared" si="47"/>
        <v>12740590.916666666</v>
      </c>
      <c r="I113" s="5">
        <f t="shared" si="47"/>
        <v>12740590.916666666</v>
      </c>
      <c r="J113" s="5">
        <f t="shared" si="47"/>
        <v>12740590.916666666</v>
      </c>
      <c r="K113" s="5">
        <f t="shared" si="47"/>
        <v>12740590.916666666</v>
      </c>
      <c r="L113" s="5">
        <f t="shared" si="47"/>
        <v>12740590.916666666</v>
      </c>
      <c r="M113" s="5">
        <f t="shared" si="47"/>
        <v>12740590.916666666</v>
      </c>
      <c r="N113" s="5">
        <f t="shared" si="47"/>
        <v>12740590.916666666</v>
      </c>
      <c r="O113" s="5">
        <f t="shared" si="47"/>
        <v>12740590.916666666</v>
      </c>
      <c r="P113" s="5">
        <f>SUM(D113:O113)</f>
        <v>152887091</v>
      </c>
      <c r="Q113" s="3">
        <f>'2.Műk+F mérlegek'!C16</f>
        <v>152887091</v>
      </c>
    </row>
    <row r="114" spans="2:17" x14ac:dyDescent="0.2">
      <c r="B114" s="326" t="s">
        <v>169</v>
      </c>
      <c r="C114" s="326"/>
      <c r="D114" s="5">
        <f>117026898/12</f>
        <v>9752241.5</v>
      </c>
      <c r="E114" s="5">
        <f t="shared" ref="E114:O114" si="48">117026898/12</f>
        <v>9752241.5</v>
      </c>
      <c r="F114" s="5">
        <f t="shared" si="48"/>
        <v>9752241.5</v>
      </c>
      <c r="G114" s="5">
        <f t="shared" si="48"/>
        <v>9752241.5</v>
      </c>
      <c r="H114" s="5">
        <f t="shared" si="48"/>
        <v>9752241.5</v>
      </c>
      <c r="I114" s="5">
        <f t="shared" si="48"/>
        <v>9752241.5</v>
      </c>
      <c r="J114" s="5">
        <f t="shared" si="48"/>
        <v>9752241.5</v>
      </c>
      <c r="K114" s="5">
        <f t="shared" si="48"/>
        <v>9752241.5</v>
      </c>
      <c r="L114" s="5">
        <f t="shared" si="48"/>
        <v>9752241.5</v>
      </c>
      <c r="M114" s="5">
        <f t="shared" si="48"/>
        <v>9752241.5</v>
      </c>
      <c r="N114" s="5">
        <f t="shared" si="48"/>
        <v>9752241.5</v>
      </c>
      <c r="O114" s="5">
        <f t="shared" si="48"/>
        <v>9752241.5</v>
      </c>
      <c r="P114" s="5">
        <f>SUM(D114:O114)</f>
        <v>117026898</v>
      </c>
      <c r="Q114" s="3">
        <f>'2.Műk+F mérlegek'!I16</f>
        <v>117026898</v>
      </c>
    </row>
    <row r="115" spans="2:17" x14ac:dyDescent="0.2">
      <c r="B115" s="326" t="s">
        <v>170</v>
      </c>
      <c r="C115" s="326"/>
      <c r="D115" s="5">
        <f t="shared" ref="D115:O115" si="49">D112+D113-D114</f>
        <v>2988349.416666666</v>
      </c>
      <c r="E115" s="5">
        <f t="shared" si="49"/>
        <v>3624775.962121211</v>
      </c>
      <c r="F115" s="5">
        <f t="shared" si="49"/>
        <v>3624775.962121211</v>
      </c>
      <c r="G115" s="5">
        <f t="shared" si="49"/>
        <v>3624775.962121211</v>
      </c>
      <c r="H115" s="5">
        <f t="shared" si="49"/>
        <v>3624775.962121211</v>
      </c>
      <c r="I115" s="5">
        <f t="shared" si="49"/>
        <v>3624775.962121211</v>
      </c>
      <c r="J115" s="5">
        <f t="shared" si="49"/>
        <v>3624775.962121211</v>
      </c>
      <c r="K115" s="5">
        <f t="shared" si="49"/>
        <v>3624775.962121211</v>
      </c>
      <c r="L115" s="5">
        <f t="shared" si="49"/>
        <v>3624775.962121211</v>
      </c>
      <c r="M115" s="5">
        <f t="shared" si="49"/>
        <v>3624775.962121211</v>
      </c>
      <c r="N115" s="5">
        <f t="shared" si="49"/>
        <v>3624775.962121211</v>
      </c>
      <c r="O115" s="5">
        <f t="shared" si="49"/>
        <v>3624775.962121211</v>
      </c>
      <c r="P115" s="37">
        <v>0</v>
      </c>
    </row>
  </sheetData>
  <mergeCells count="112">
    <mergeCell ref="A6:A7"/>
    <mergeCell ref="B4:B5"/>
    <mergeCell ref="A44:A45"/>
    <mergeCell ref="B44:B45"/>
    <mergeCell ref="A4:A5"/>
    <mergeCell ref="B18:B19"/>
    <mergeCell ref="A75:A76"/>
    <mergeCell ref="B65:B66"/>
    <mergeCell ref="A65:A66"/>
    <mergeCell ref="B69:B70"/>
    <mergeCell ref="A69:A70"/>
    <mergeCell ref="B59:B60"/>
    <mergeCell ref="A59:A60"/>
    <mergeCell ref="B63:B64"/>
    <mergeCell ref="A63:A64"/>
    <mergeCell ref="B61:B62"/>
    <mergeCell ref="A61:A62"/>
    <mergeCell ref="B54:B55"/>
    <mergeCell ref="A71:A72"/>
    <mergeCell ref="A32:A33"/>
    <mergeCell ref="B30:B31"/>
    <mergeCell ref="A30:A31"/>
    <mergeCell ref="D2:P2"/>
    <mergeCell ref="A2:A3"/>
    <mergeCell ref="B2:B3"/>
    <mergeCell ref="C2:C3"/>
    <mergeCell ref="B46:B47"/>
    <mergeCell ref="B50:B51"/>
    <mergeCell ref="A50:A51"/>
    <mergeCell ref="B24:B25"/>
    <mergeCell ref="A24:A25"/>
    <mergeCell ref="B32:B33"/>
    <mergeCell ref="B42:B43"/>
    <mergeCell ref="A42:A43"/>
    <mergeCell ref="B40:B41"/>
    <mergeCell ref="A40:A41"/>
    <mergeCell ref="B38:B39"/>
    <mergeCell ref="B34:B35"/>
    <mergeCell ref="A22:A23"/>
    <mergeCell ref="A34:A35"/>
    <mergeCell ref="B8:B9"/>
    <mergeCell ref="A8:A9"/>
    <mergeCell ref="B16:B17"/>
    <mergeCell ref="A16:A17"/>
    <mergeCell ref="B14:B15"/>
    <mergeCell ref="B6:B7"/>
    <mergeCell ref="B113:C113"/>
    <mergeCell ref="B73:B74"/>
    <mergeCell ref="A73:A74"/>
    <mergeCell ref="B67:B68"/>
    <mergeCell ref="A67:A68"/>
    <mergeCell ref="A38:A39"/>
    <mergeCell ref="B36:B37"/>
    <mergeCell ref="A36:A37"/>
    <mergeCell ref="A54:A55"/>
    <mergeCell ref="B52:B53"/>
    <mergeCell ref="A52:A53"/>
    <mergeCell ref="B48:B49"/>
    <mergeCell ref="A48:A49"/>
    <mergeCell ref="A46:A47"/>
    <mergeCell ref="B106:C106"/>
    <mergeCell ref="B107:C107"/>
    <mergeCell ref="B57:B58"/>
    <mergeCell ref="A57:A58"/>
    <mergeCell ref="B75:B76"/>
    <mergeCell ref="A91:A92"/>
    <mergeCell ref="B95:B96"/>
    <mergeCell ref="A95:A96"/>
    <mergeCell ref="A85:A86"/>
    <mergeCell ref="B91:B92"/>
    <mergeCell ref="B77:B78"/>
    <mergeCell ref="A77:A78"/>
    <mergeCell ref="B71:B72"/>
    <mergeCell ref="B99:B100"/>
    <mergeCell ref="A99:A100"/>
    <mergeCell ref="B10:B11"/>
    <mergeCell ref="A10:A11"/>
    <mergeCell ref="B20:B21"/>
    <mergeCell ref="A20:A21"/>
    <mergeCell ref="A28:A29"/>
    <mergeCell ref="B26:B27"/>
    <mergeCell ref="A26:A27"/>
    <mergeCell ref="A14:A15"/>
    <mergeCell ref="A12:A13"/>
    <mergeCell ref="B12:B13"/>
    <mergeCell ref="A18:A19"/>
    <mergeCell ref="B22:B23"/>
    <mergeCell ref="B28:B29"/>
    <mergeCell ref="B114:C114"/>
    <mergeCell ref="B115:C115"/>
    <mergeCell ref="A93:A94"/>
    <mergeCell ref="B93:B94"/>
    <mergeCell ref="A81:A82"/>
    <mergeCell ref="B79:B80"/>
    <mergeCell ref="A79:A80"/>
    <mergeCell ref="B97:B98"/>
    <mergeCell ref="A97:A98"/>
    <mergeCell ref="B83:B84"/>
    <mergeCell ref="A83:A84"/>
    <mergeCell ref="B108:C108"/>
    <mergeCell ref="B109:C109"/>
    <mergeCell ref="B105:C105"/>
    <mergeCell ref="B101:B102"/>
    <mergeCell ref="A101:A102"/>
    <mergeCell ref="B85:B86"/>
    <mergeCell ref="B89:B90"/>
    <mergeCell ref="A89:A90"/>
    <mergeCell ref="B87:B88"/>
    <mergeCell ref="A87:A88"/>
    <mergeCell ref="B81:B82"/>
    <mergeCell ref="B111:C111"/>
    <mergeCell ref="B112:C112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4" fitToHeight="0" orientation="landscape" r:id="rId1"/>
  <headerFooter>
    <oddHeader xml:space="preserve">&amp;L13. melléklet a 3/2019.(V.24.) önkormányzati rendelethez&amp;CErzsébet Község Önkormányzata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86"/>
  <sheetViews>
    <sheetView tabSelected="1" view="pageBreakPreview" zoomScale="70" zoomScaleNormal="100" zoomScaleSheetLayoutView="70" workbookViewId="0">
      <pane ySplit="3" topLeftCell="A58" activePane="bottomLeft" state="frozen"/>
      <selection activeCell="E36" sqref="E36"/>
      <selection pane="bottomLeft" activeCell="I1" sqref="I1:AF1048576"/>
    </sheetView>
  </sheetViews>
  <sheetFormatPr defaultRowHeight="18" x14ac:dyDescent="0.25"/>
  <cols>
    <col min="1" max="1" width="8.28515625" style="241" customWidth="1"/>
    <col min="2" max="2" width="41" style="241" customWidth="1"/>
    <col min="3" max="3" width="21.7109375" style="241" customWidth="1"/>
    <col min="4" max="4" width="23.5703125" style="241" customWidth="1"/>
    <col min="5" max="5" width="23.85546875" style="241" customWidth="1"/>
    <col min="6" max="6" width="16.85546875" style="241" customWidth="1"/>
    <col min="7" max="7" width="16.28515625" style="241" customWidth="1"/>
    <col min="8" max="8" width="18.7109375" style="241" customWidth="1"/>
    <col min="9" max="232" width="8.85546875" style="241"/>
    <col min="233" max="233" width="8.28515625" style="241" customWidth="1"/>
    <col min="234" max="234" width="41" style="241" customWidth="1"/>
    <col min="235" max="240" width="32.7109375" style="241" customWidth="1"/>
    <col min="241" max="488" width="8.85546875" style="241"/>
    <col min="489" max="489" width="8.28515625" style="241" customWidth="1"/>
    <col min="490" max="490" width="41" style="241" customWidth="1"/>
    <col min="491" max="496" width="32.7109375" style="241" customWidth="1"/>
    <col min="497" max="744" width="8.85546875" style="241"/>
    <col min="745" max="745" width="8.28515625" style="241" customWidth="1"/>
    <col min="746" max="746" width="41" style="241" customWidth="1"/>
    <col min="747" max="752" width="32.7109375" style="241" customWidth="1"/>
    <col min="753" max="1000" width="8.85546875" style="241"/>
    <col min="1001" max="1001" width="8.28515625" style="241" customWidth="1"/>
    <col min="1002" max="1002" width="41" style="241" customWidth="1"/>
    <col min="1003" max="1008" width="32.7109375" style="241" customWidth="1"/>
    <col min="1009" max="1256" width="8.85546875" style="241"/>
    <col min="1257" max="1257" width="8.28515625" style="241" customWidth="1"/>
    <col min="1258" max="1258" width="41" style="241" customWidth="1"/>
    <col min="1259" max="1264" width="32.7109375" style="241" customWidth="1"/>
    <col min="1265" max="1512" width="8.85546875" style="241"/>
    <col min="1513" max="1513" width="8.28515625" style="241" customWidth="1"/>
    <col min="1514" max="1514" width="41" style="241" customWidth="1"/>
    <col min="1515" max="1520" width="32.7109375" style="241" customWidth="1"/>
    <col min="1521" max="1768" width="8.85546875" style="241"/>
    <col min="1769" max="1769" width="8.28515625" style="241" customWidth="1"/>
    <col min="1770" max="1770" width="41" style="241" customWidth="1"/>
    <col min="1771" max="1776" width="32.7109375" style="241" customWidth="1"/>
    <col min="1777" max="2024" width="8.85546875" style="241"/>
    <col min="2025" max="2025" width="8.28515625" style="241" customWidth="1"/>
    <col min="2026" max="2026" width="41" style="241" customWidth="1"/>
    <col min="2027" max="2032" width="32.7109375" style="241" customWidth="1"/>
    <col min="2033" max="2280" width="8.85546875" style="241"/>
    <col min="2281" max="2281" width="8.28515625" style="241" customWidth="1"/>
    <col min="2282" max="2282" width="41" style="241" customWidth="1"/>
    <col min="2283" max="2288" width="32.7109375" style="241" customWidth="1"/>
    <col min="2289" max="2536" width="8.85546875" style="241"/>
    <col min="2537" max="2537" width="8.28515625" style="241" customWidth="1"/>
    <col min="2538" max="2538" width="41" style="241" customWidth="1"/>
    <col min="2539" max="2544" width="32.7109375" style="241" customWidth="1"/>
    <col min="2545" max="2792" width="8.85546875" style="241"/>
    <col min="2793" max="2793" width="8.28515625" style="241" customWidth="1"/>
    <col min="2794" max="2794" width="41" style="241" customWidth="1"/>
    <col min="2795" max="2800" width="32.7109375" style="241" customWidth="1"/>
    <col min="2801" max="3048" width="8.85546875" style="241"/>
    <col min="3049" max="3049" width="8.28515625" style="241" customWidth="1"/>
    <col min="3050" max="3050" width="41" style="241" customWidth="1"/>
    <col min="3051" max="3056" width="32.7109375" style="241" customWidth="1"/>
    <col min="3057" max="3304" width="8.85546875" style="241"/>
    <col min="3305" max="3305" width="8.28515625" style="241" customWidth="1"/>
    <col min="3306" max="3306" width="41" style="241" customWidth="1"/>
    <col min="3307" max="3312" width="32.7109375" style="241" customWidth="1"/>
    <col min="3313" max="3560" width="8.85546875" style="241"/>
    <col min="3561" max="3561" width="8.28515625" style="241" customWidth="1"/>
    <col min="3562" max="3562" width="41" style="241" customWidth="1"/>
    <col min="3563" max="3568" width="32.7109375" style="241" customWidth="1"/>
    <col min="3569" max="3816" width="8.85546875" style="241"/>
    <col min="3817" max="3817" width="8.28515625" style="241" customWidth="1"/>
    <col min="3818" max="3818" width="41" style="241" customWidth="1"/>
    <col min="3819" max="3824" width="32.7109375" style="241" customWidth="1"/>
    <col min="3825" max="4072" width="8.85546875" style="241"/>
    <col min="4073" max="4073" width="8.28515625" style="241" customWidth="1"/>
    <col min="4074" max="4074" width="41" style="241" customWidth="1"/>
    <col min="4075" max="4080" width="32.7109375" style="241" customWidth="1"/>
    <col min="4081" max="4328" width="8.85546875" style="241"/>
    <col min="4329" max="4329" width="8.28515625" style="241" customWidth="1"/>
    <col min="4330" max="4330" width="41" style="241" customWidth="1"/>
    <col min="4331" max="4336" width="32.7109375" style="241" customWidth="1"/>
    <col min="4337" max="4584" width="8.85546875" style="241"/>
    <col min="4585" max="4585" width="8.28515625" style="241" customWidth="1"/>
    <col min="4586" max="4586" width="41" style="241" customWidth="1"/>
    <col min="4587" max="4592" width="32.7109375" style="241" customWidth="1"/>
    <col min="4593" max="4840" width="8.85546875" style="241"/>
    <col min="4841" max="4841" width="8.28515625" style="241" customWidth="1"/>
    <col min="4842" max="4842" width="41" style="241" customWidth="1"/>
    <col min="4843" max="4848" width="32.7109375" style="241" customWidth="1"/>
    <col min="4849" max="5096" width="8.85546875" style="241"/>
    <col min="5097" max="5097" width="8.28515625" style="241" customWidth="1"/>
    <col min="5098" max="5098" width="41" style="241" customWidth="1"/>
    <col min="5099" max="5104" width="32.7109375" style="241" customWidth="1"/>
    <col min="5105" max="5352" width="8.85546875" style="241"/>
    <col min="5353" max="5353" width="8.28515625" style="241" customWidth="1"/>
    <col min="5354" max="5354" width="41" style="241" customWidth="1"/>
    <col min="5355" max="5360" width="32.7109375" style="241" customWidth="1"/>
    <col min="5361" max="5608" width="8.85546875" style="241"/>
    <col min="5609" max="5609" width="8.28515625" style="241" customWidth="1"/>
    <col min="5610" max="5610" width="41" style="241" customWidth="1"/>
    <col min="5611" max="5616" width="32.7109375" style="241" customWidth="1"/>
    <col min="5617" max="5864" width="8.85546875" style="241"/>
    <col min="5865" max="5865" width="8.28515625" style="241" customWidth="1"/>
    <col min="5866" max="5866" width="41" style="241" customWidth="1"/>
    <col min="5867" max="5872" width="32.7109375" style="241" customWidth="1"/>
    <col min="5873" max="6120" width="8.85546875" style="241"/>
    <col min="6121" max="6121" width="8.28515625" style="241" customWidth="1"/>
    <col min="6122" max="6122" width="41" style="241" customWidth="1"/>
    <col min="6123" max="6128" width="32.7109375" style="241" customWidth="1"/>
    <col min="6129" max="6376" width="8.85546875" style="241"/>
    <col min="6377" max="6377" width="8.28515625" style="241" customWidth="1"/>
    <col min="6378" max="6378" width="41" style="241" customWidth="1"/>
    <col min="6379" max="6384" width="32.7109375" style="241" customWidth="1"/>
    <col min="6385" max="6632" width="8.85546875" style="241"/>
    <col min="6633" max="6633" width="8.28515625" style="241" customWidth="1"/>
    <col min="6634" max="6634" width="41" style="241" customWidth="1"/>
    <col min="6635" max="6640" width="32.7109375" style="241" customWidth="1"/>
    <col min="6641" max="6888" width="8.85546875" style="241"/>
    <col min="6889" max="6889" width="8.28515625" style="241" customWidth="1"/>
    <col min="6890" max="6890" width="41" style="241" customWidth="1"/>
    <col min="6891" max="6896" width="32.7109375" style="241" customWidth="1"/>
    <col min="6897" max="7144" width="8.85546875" style="241"/>
    <col min="7145" max="7145" width="8.28515625" style="241" customWidth="1"/>
    <col min="7146" max="7146" width="41" style="241" customWidth="1"/>
    <col min="7147" max="7152" width="32.7109375" style="241" customWidth="1"/>
    <col min="7153" max="7400" width="8.85546875" style="241"/>
    <col min="7401" max="7401" width="8.28515625" style="241" customWidth="1"/>
    <col min="7402" max="7402" width="41" style="241" customWidth="1"/>
    <col min="7403" max="7408" width="32.7109375" style="241" customWidth="1"/>
    <col min="7409" max="7656" width="8.85546875" style="241"/>
    <col min="7657" max="7657" width="8.28515625" style="241" customWidth="1"/>
    <col min="7658" max="7658" width="41" style="241" customWidth="1"/>
    <col min="7659" max="7664" width="32.7109375" style="241" customWidth="1"/>
    <col min="7665" max="7912" width="8.85546875" style="241"/>
    <col min="7913" max="7913" width="8.28515625" style="241" customWidth="1"/>
    <col min="7914" max="7914" width="41" style="241" customWidth="1"/>
    <col min="7915" max="7920" width="32.7109375" style="241" customWidth="1"/>
    <col min="7921" max="8168" width="8.85546875" style="241"/>
    <col min="8169" max="8169" width="8.28515625" style="241" customWidth="1"/>
    <col min="8170" max="8170" width="41" style="241" customWidth="1"/>
    <col min="8171" max="8176" width="32.7109375" style="241" customWidth="1"/>
    <col min="8177" max="8424" width="8.85546875" style="241"/>
    <col min="8425" max="8425" width="8.28515625" style="241" customWidth="1"/>
    <col min="8426" max="8426" width="41" style="241" customWidth="1"/>
    <col min="8427" max="8432" width="32.7109375" style="241" customWidth="1"/>
    <col min="8433" max="8680" width="8.85546875" style="241"/>
    <col min="8681" max="8681" width="8.28515625" style="241" customWidth="1"/>
    <col min="8682" max="8682" width="41" style="241" customWidth="1"/>
    <col min="8683" max="8688" width="32.7109375" style="241" customWidth="1"/>
    <col min="8689" max="8936" width="8.85546875" style="241"/>
    <col min="8937" max="8937" width="8.28515625" style="241" customWidth="1"/>
    <col min="8938" max="8938" width="41" style="241" customWidth="1"/>
    <col min="8939" max="8944" width="32.7109375" style="241" customWidth="1"/>
    <col min="8945" max="9192" width="8.85546875" style="241"/>
    <col min="9193" max="9193" width="8.28515625" style="241" customWidth="1"/>
    <col min="9194" max="9194" width="41" style="241" customWidth="1"/>
    <col min="9195" max="9200" width="32.7109375" style="241" customWidth="1"/>
    <col min="9201" max="9448" width="8.85546875" style="241"/>
    <col min="9449" max="9449" width="8.28515625" style="241" customWidth="1"/>
    <col min="9450" max="9450" width="41" style="241" customWidth="1"/>
    <col min="9451" max="9456" width="32.7109375" style="241" customWidth="1"/>
    <col min="9457" max="9704" width="8.85546875" style="241"/>
    <col min="9705" max="9705" width="8.28515625" style="241" customWidth="1"/>
    <col min="9706" max="9706" width="41" style="241" customWidth="1"/>
    <col min="9707" max="9712" width="32.7109375" style="241" customWidth="1"/>
    <col min="9713" max="9960" width="8.85546875" style="241"/>
    <col min="9961" max="9961" width="8.28515625" style="241" customWidth="1"/>
    <col min="9962" max="9962" width="41" style="241" customWidth="1"/>
    <col min="9963" max="9968" width="32.7109375" style="241" customWidth="1"/>
    <col min="9969" max="10216" width="8.85546875" style="241"/>
    <col min="10217" max="10217" width="8.28515625" style="241" customWidth="1"/>
    <col min="10218" max="10218" width="41" style="241" customWidth="1"/>
    <col min="10219" max="10224" width="32.7109375" style="241" customWidth="1"/>
    <col min="10225" max="10472" width="8.85546875" style="241"/>
    <col min="10473" max="10473" width="8.28515625" style="241" customWidth="1"/>
    <col min="10474" max="10474" width="41" style="241" customWidth="1"/>
    <col min="10475" max="10480" width="32.7109375" style="241" customWidth="1"/>
    <col min="10481" max="10728" width="8.85546875" style="241"/>
    <col min="10729" max="10729" width="8.28515625" style="241" customWidth="1"/>
    <col min="10730" max="10730" width="41" style="241" customWidth="1"/>
    <col min="10731" max="10736" width="32.7109375" style="241" customWidth="1"/>
    <col min="10737" max="10984" width="8.85546875" style="241"/>
    <col min="10985" max="10985" width="8.28515625" style="241" customWidth="1"/>
    <col min="10986" max="10986" width="41" style="241" customWidth="1"/>
    <col min="10987" max="10992" width="32.7109375" style="241" customWidth="1"/>
    <col min="10993" max="11240" width="8.85546875" style="241"/>
    <col min="11241" max="11241" width="8.28515625" style="241" customWidth="1"/>
    <col min="11242" max="11242" width="41" style="241" customWidth="1"/>
    <col min="11243" max="11248" width="32.7109375" style="241" customWidth="1"/>
    <col min="11249" max="11496" width="8.85546875" style="241"/>
    <col min="11497" max="11497" width="8.28515625" style="241" customWidth="1"/>
    <col min="11498" max="11498" width="41" style="241" customWidth="1"/>
    <col min="11499" max="11504" width="32.7109375" style="241" customWidth="1"/>
    <col min="11505" max="11752" width="8.85546875" style="241"/>
    <col min="11753" max="11753" width="8.28515625" style="241" customWidth="1"/>
    <col min="11754" max="11754" width="41" style="241" customWidth="1"/>
    <col min="11755" max="11760" width="32.7109375" style="241" customWidth="1"/>
    <col min="11761" max="12008" width="8.85546875" style="241"/>
    <col min="12009" max="12009" width="8.28515625" style="241" customWidth="1"/>
    <col min="12010" max="12010" width="41" style="241" customWidth="1"/>
    <col min="12011" max="12016" width="32.7109375" style="241" customWidth="1"/>
    <col min="12017" max="12264" width="8.85546875" style="241"/>
    <col min="12265" max="12265" width="8.28515625" style="241" customWidth="1"/>
    <col min="12266" max="12266" width="41" style="241" customWidth="1"/>
    <col min="12267" max="12272" width="32.7109375" style="241" customWidth="1"/>
    <col min="12273" max="12520" width="8.85546875" style="241"/>
    <col min="12521" max="12521" width="8.28515625" style="241" customWidth="1"/>
    <col min="12522" max="12522" width="41" style="241" customWidth="1"/>
    <col min="12523" max="12528" width="32.7109375" style="241" customWidth="1"/>
    <col min="12529" max="12776" width="8.85546875" style="241"/>
    <col min="12777" max="12777" width="8.28515625" style="241" customWidth="1"/>
    <col min="12778" max="12778" width="41" style="241" customWidth="1"/>
    <col min="12779" max="12784" width="32.7109375" style="241" customWidth="1"/>
    <col min="12785" max="13032" width="8.85546875" style="241"/>
    <col min="13033" max="13033" width="8.28515625" style="241" customWidth="1"/>
    <col min="13034" max="13034" width="41" style="241" customWidth="1"/>
    <col min="13035" max="13040" width="32.7109375" style="241" customWidth="1"/>
    <col min="13041" max="13288" width="8.85546875" style="241"/>
    <col min="13289" max="13289" width="8.28515625" style="241" customWidth="1"/>
    <col min="13290" max="13290" width="41" style="241" customWidth="1"/>
    <col min="13291" max="13296" width="32.7109375" style="241" customWidth="1"/>
    <col min="13297" max="13544" width="8.85546875" style="241"/>
    <col min="13545" max="13545" width="8.28515625" style="241" customWidth="1"/>
    <col min="13546" max="13546" width="41" style="241" customWidth="1"/>
    <col min="13547" max="13552" width="32.7109375" style="241" customWidth="1"/>
    <col min="13553" max="13800" width="8.85546875" style="241"/>
    <col min="13801" max="13801" width="8.28515625" style="241" customWidth="1"/>
    <col min="13802" max="13802" width="41" style="241" customWidth="1"/>
    <col min="13803" max="13808" width="32.7109375" style="241" customWidth="1"/>
    <col min="13809" max="14056" width="8.85546875" style="241"/>
    <col min="14057" max="14057" width="8.28515625" style="241" customWidth="1"/>
    <col min="14058" max="14058" width="41" style="241" customWidth="1"/>
    <col min="14059" max="14064" width="32.7109375" style="241" customWidth="1"/>
    <col min="14065" max="14312" width="8.85546875" style="241"/>
    <col min="14313" max="14313" width="8.28515625" style="241" customWidth="1"/>
    <col min="14314" max="14314" width="41" style="241" customWidth="1"/>
    <col min="14315" max="14320" width="32.7109375" style="241" customWidth="1"/>
    <col min="14321" max="14568" width="8.85546875" style="241"/>
    <col min="14569" max="14569" width="8.28515625" style="241" customWidth="1"/>
    <col min="14570" max="14570" width="41" style="241" customWidth="1"/>
    <col min="14571" max="14576" width="32.7109375" style="241" customWidth="1"/>
    <col min="14577" max="14824" width="8.85546875" style="241"/>
    <col min="14825" max="14825" width="8.28515625" style="241" customWidth="1"/>
    <col min="14826" max="14826" width="41" style="241" customWidth="1"/>
    <col min="14827" max="14832" width="32.7109375" style="241" customWidth="1"/>
    <col min="14833" max="15080" width="8.85546875" style="241"/>
    <col min="15081" max="15081" width="8.28515625" style="241" customWidth="1"/>
    <col min="15082" max="15082" width="41" style="241" customWidth="1"/>
    <col min="15083" max="15088" width="32.7109375" style="241" customWidth="1"/>
    <col min="15089" max="15336" width="8.85546875" style="241"/>
    <col min="15337" max="15337" width="8.28515625" style="241" customWidth="1"/>
    <col min="15338" max="15338" width="41" style="241" customWidth="1"/>
    <col min="15339" max="15344" width="32.7109375" style="241" customWidth="1"/>
    <col min="15345" max="15592" width="8.85546875" style="241"/>
    <col min="15593" max="15593" width="8.28515625" style="241" customWidth="1"/>
    <col min="15594" max="15594" width="41" style="241" customWidth="1"/>
    <col min="15595" max="15600" width="32.7109375" style="241" customWidth="1"/>
    <col min="15601" max="15848" width="8.85546875" style="241"/>
    <col min="15849" max="15849" width="8.28515625" style="241" customWidth="1"/>
    <col min="15850" max="15850" width="41" style="241" customWidth="1"/>
    <col min="15851" max="15856" width="32.7109375" style="241" customWidth="1"/>
    <col min="15857" max="16104" width="8.85546875" style="241"/>
    <col min="16105" max="16105" width="8.28515625" style="241" customWidth="1"/>
    <col min="16106" max="16106" width="41" style="241" customWidth="1"/>
    <col min="16107" max="16112" width="32.7109375" style="241" customWidth="1"/>
    <col min="16113" max="16360" width="8.85546875" style="241"/>
    <col min="16361" max="16384" width="8.85546875" style="241" customWidth="1"/>
  </cols>
  <sheetData>
    <row r="1" spans="1:8" ht="28.15" customHeight="1" x14ac:dyDescent="0.25">
      <c r="A1" s="346" t="s">
        <v>701</v>
      </c>
      <c r="B1" s="347"/>
      <c r="C1" s="347"/>
      <c r="D1" s="347"/>
      <c r="E1" s="347"/>
      <c r="F1" s="347"/>
      <c r="G1" s="347"/>
      <c r="H1" s="347"/>
    </row>
    <row r="2" spans="1:8" ht="72" x14ac:dyDescent="0.25">
      <c r="A2" s="240" t="s">
        <v>558</v>
      </c>
      <c r="B2" s="240" t="s">
        <v>108</v>
      </c>
      <c r="C2" s="240" t="s">
        <v>557</v>
      </c>
      <c r="D2" s="240" t="s">
        <v>556</v>
      </c>
      <c r="E2" s="240" t="s">
        <v>555</v>
      </c>
      <c r="F2" s="240" t="s">
        <v>554</v>
      </c>
      <c r="G2" s="240" t="s">
        <v>553</v>
      </c>
      <c r="H2" s="240" t="s">
        <v>552</v>
      </c>
    </row>
    <row r="3" spans="1:8" x14ac:dyDescent="0.25">
      <c r="A3" s="240">
        <v>1</v>
      </c>
      <c r="B3" s="240">
        <v>2</v>
      </c>
      <c r="C3" s="240">
        <v>3</v>
      </c>
      <c r="D3" s="240">
        <v>4</v>
      </c>
      <c r="E3" s="240">
        <v>5</v>
      </c>
      <c r="F3" s="240">
        <v>6</v>
      </c>
      <c r="G3" s="240">
        <v>7</v>
      </c>
      <c r="H3" s="240">
        <v>8</v>
      </c>
    </row>
    <row r="4" spans="1:8" x14ac:dyDescent="0.25">
      <c r="A4" s="242" t="s">
        <v>620</v>
      </c>
      <c r="B4" s="243" t="s">
        <v>621</v>
      </c>
      <c r="C4" s="244">
        <v>139299</v>
      </c>
      <c r="D4" s="244"/>
      <c r="E4" s="244">
        <v>-139299</v>
      </c>
      <c r="F4" s="244"/>
      <c r="G4" s="244"/>
      <c r="H4" s="244"/>
    </row>
    <row r="5" spans="1:8" x14ac:dyDescent="0.25">
      <c r="A5" s="242" t="s">
        <v>551</v>
      </c>
      <c r="B5" s="243" t="s">
        <v>550</v>
      </c>
      <c r="C5" s="244">
        <v>707492</v>
      </c>
      <c r="D5" s="244">
        <v>0</v>
      </c>
      <c r="E5" s="244">
        <v>-191324</v>
      </c>
      <c r="F5" s="244"/>
      <c r="G5" s="244"/>
      <c r="H5" s="244">
        <v>516168</v>
      </c>
    </row>
    <row r="6" spans="1:8" ht="36" x14ac:dyDescent="0.25">
      <c r="A6" s="245" t="s">
        <v>549</v>
      </c>
      <c r="B6" s="246" t="s">
        <v>548</v>
      </c>
      <c r="C6" s="247">
        <f>C4+C5</f>
        <v>846791</v>
      </c>
      <c r="D6" s="247">
        <f t="shared" ref="D6:H6" si="0">D4+D5</f>
        <v>0</v>
      </c>
      <c r="E6" s="247">
        <f t="shared" si="0"/>
        <v>-330623</v>
      </c>
      <c r="F6" s="247">
        <f t="shared" si="0"/>
        <v>0</v>
      </c>
      <c r="G6" s="247">
        <f t="shared" si="0"/>
        <v>0</v>
      </c>
      <c r="H6" s="247">
        <f t="shared" si="0"/>
        <v>516168</v>
      </c>
    </row>
    <row r="7" spans="1:8" ht="54" x14ac:dyDescent="0.25">
      <c r="A7" s="242" t="s">
        <v>547</v>
      </c>
      <c r="B7" s="243" t="s">
        <v>546</v>
      </c>
      <c r="C7" s="244">
        <v>245097653</v>
      </c>
      <c r="D7" s="244">
        <v>0</v>
      </c>
      <c r="E7" s="244">
        <v>-7919579</v>
      </c>
      <c r="F7" s="244">
        <v>0</v>
      </c>
      <c r="G7" s="244">
        <v>0</v>
      </c>
      <c r="H7" s="244">
        <v>237178074</v>
      </c>
    </row>
    <row r="8" spans="1:8" ht="36" x14ac:dyDescent="0.25">
      <c r="A8" s="242" t="s">
        <v>545</v>
      </c>
      <c r="B8" s="243" t="s">
        <v>544</v>
      </c>
      <c r="C8" s="244">
        <v>8701955</v>
      </c>
      <c r="D8" s="244">
        <v>0</v>
      </c>
      <c r="E8" s="244">
        <v>-1296743</v>
      </c>
      <c r="F8" s="244">
        <v>0</v>
      </c>
      <c r="G8" s="244">
        <v>0</v>
      </c>
      <c r="H8" s="244">
        <v>7405212</v>
      </c>
    </row>
    <row r="9" spans="1:8" x14ac:dyDescent="0.25">
      <c r="A9" s="242" t="s">
        <v>543</v>
      </c>
      <c r="B9" s="243" t="s">
        <v>542</v>
      </c>
      <c r="C9" s="244"/>
      <c r="D9" s="244">
        <v>0</v>
      </c>
      <c r="E9" s="244"/>
      <c r="F9" s="244">
        <v>0</v>
      </c>
      <c r="G9" s="244">
        <v>0</v>
      </c>
      <c r="H9" s="244">
        <v>0</v>
      </c>
    </row>
    <row r="10" spans="1:8" ht="36" x14ac:dyDescent="0.25">
      <c r="A10" s="245" t="s">
        <v>541</v>
      </c>
      <c r="B10" s="246" t="s">
        <v>540</v>
      </c>
      <c r="C10" s="247">
        <f>C7+C8+C9</f>
        <v>253799608</v>
      </c>
      <c r="D10" s="247">
        <f t="shared" ref="D10:H10" si="1">D7+D8+D9</f>
        <v>0</v>
      </c>
      <c r="E10" s="247">
        <f t="shared" si="1"/>
        <v>-9216322</v>
      </c>
      <c r="F10" s="247">
        <f t="shared" si="1"/>
        <v>0</v>
      </c>
      <c r="G10" s="247">
        <f t="shared" si="1"/>
        <v>0</v>
      </c>
      <c r="H10" s="247">
        <f t="shared" si="1"/>
        <v>244583286</v>
      </c>
    </row>
    <row r="11" spans="1:8" ht="36" x14ac:dyDescent="0.25">
      <c r="A11" s="242" t="s">
        <v>622</v>
      </c>
      <c r="B11" s="243" t="s">
        <v>623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</row>
    <row r="12" spans="1:8" ht="36" x14ac:dyDescent="0.25">
      <c r="A12" s="242" t="s">
        <v>624</v>
      </c>
      <c r="B12" s="243" t="s">
        <v>625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</row>
    <row r="13" spans="1:8" ht="54" x14ac:dyDescent="0.25">
      <c r="A13" s="245" t="s">
        <v>626</v>
      </c>
      <c r="B13" s="246" t="s">
        <v>627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8" ht="72" x14ac:dyDescent="0.25">
      <c r="A14" s="245" t="s">
        <v>539</v>
      </c>
      <c r="B14" s="246" t="s">
        <v>538</v>
      </c>
      <c r="C14" s="247">
        <v>254646399</v>
      </c>
      <c r="D14" s="247">
        <f t="shared" ref="D14:G14" si="2">D6+D10+D13</f>
        <v>0</v>
      </c>
      <c r="E14" s="247">
        <v>-9546945</v>
      </c>
      <c r="F14" s="247">
        <f t="shared" si="2"/>
        <v>0</v>
      </c>
      <c r="G14" s="247">
        <f t="shared" si="2"/>
        <v>0</v>
      </c>
      <c r="H14" s="247">
        <v>245099454</v>
      </c>
    </row>
    <row r="15" spans="1:8" ht="72" x14ac:dyDescent="0.25">
      <c r="A15" s="242" t="s">
        <v>628</v>
      </c>
      <c r="B15" s="243" t="s">
        <v>629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</row>
    <row r="16" spans="1:8" ht="36" x14ac:dyDescent="0.25">
      <c r="A16" s="242" t="s">
        <v>630</v>
      </c>
      <c r="B16" s="243" t="s">
        <v>631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  <c r="H16" s="244">
        <v>0</v>
      </c>
    </row>
    <row r="17" spans="1:8" ht="36" x14ac:dyDescent="0.25">
      <c r="A17" s="245" t="s">
        <v>632</v>
      </c>
      <c r="B17" s="246" t="s">
        <v>633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</row>
    <row r="18" spans="1:8" ht="72" x14ac:dyDescent="0.25">
      <c r="A18" s="245" t="s">
        <v>634</v>
      </c>
      <c r="B18" s="246" t="s">
        <v>635</v>
      </c>
      <c r="C18" s="247">
        <v>659052</v>
      </c>
      <c r="D18" s="247">
        <v>0</v>
      </c>
      <c r="E18" s="247">
        <v>-659052</v>
      </c>
      <c r="F18" s="247">
        <v>0</v>
      </c>
      <c r="G18" s="247">
        <v>0</v>
      </c>
      <c r="H18" s="247">
        <v>0</v>
      </c>
    </row>
    <row r="19" spans="1:8" x14ac:dyDescent="0.25">
      <c r="A19" s="242" t="s">
        <v>537</v>
      </c>
      <c r="B19" s="243" t="s">
        <v>536</v>
      </c>
      <c r="C19" s="244">
        <v>254335</v>
      </c>
      <c r="D19" s="244">
        <v>-132137</v>
      </c>
      <c r="E19" s="244"/>
      <c r="F19" s="244">
        <v>0</v>
      </c>
      <c r="G19" s="244">
        <v>0</v>
      </c>
      <c r="H19" s="244">
        <v>122198</v>
      </c>
    </row>
    <row r="20" spans="1:8" ht="54" x14ac:dyDescent="0.25">
      <c r="A20" s="245" t="s">
        <v>535</v>
      </c>
      <c r="B20" s="246" t="s">
        <v>534</v>
      </c>
      <c r="C20" s="247">
        <v>3</v>
      </c>
      <c r="D20" s="247">
        <v>0</v>
      </c>
      <c r="E20" s="247">
        <f t="shared" ref="E20:G20" si="3">E19</f>
        <v>0</v>
      </c>
      <c r="F20" s="247">
        <f t="shared" si="3"/>
        <v>0</v>
      </c>
      <c r="G20" s="247">
        <f t="shared" si="3"/>
        <v>0</v>
      </c>
      <c r="H20" s="247">
        <v>0</v>
      </c>
    </row>
    <row r="21" spans="1:8" ht="36" x14ac:dyDescent="0.25">
      <c r="A21" s="242" t="s">
        <v>533</v>
      </c>
      <c r="B21" s="243" t="s">
        <v>532</v>
      </c>
      <c r="C21" s="244">
        <v>9475432</v>
      </c>
      <c r="D21" s="244">
        <v>44747132</v>
      </c>
      <c r="E21" s="244">
        <v>0</v>
      </c>
      <c r="F21" s="244">
        <v>0</v>
      </c>
      <c r="G21" s="244">
        <v>0</v>
      </c>
      <c r="H21" s="244">
        <v>54222564</v>
      </c>
    </row>
    <row r="22" spans="1:8" ht="36" x14ac:dyDescent="0.25">
      <c r="A22" s="245" t="s">
        <v>531</v>
      </c>
      <c r="B22" s="246" t="s">
        <v>530</v>
      </c>
      <c r="C22" s="247">
        <f>C21</f>
        <v>9475432</v>
      </c>
      <c r="D22" s="247">
        <f t="shared" ref="D22:H22" si="4">D21</f>
        <v>44747132</v>
      </c>
      <c r="E22" s="247">
        <f t="shared" si="4"/>
        <v>0</v>
      </c>
      <c r="F22" s="247">
        <f t="shared" si="4"/>
        <v>0</v>
      </c>
      <c r="G22" s="247">
        <f t="shared" si="4"/>
        <v>0</v>
      </c>
      <c r="H22" s="247">
        <f t="shared" si="4"/>
        <v>54222564</v>
      </c>
    </row>
    <row r="23" spans="1:8" ht="36" x14ac:dyDescent="0.25">
      <c r="A23" s="245" t="s">
        <v>529</v>
      </c>
      <c r="B23" s="246" t="s">
        <v>528</v>
      </c>
      <c r="C23" s="247">
        <f>C20+C22</f>
        <v>9475435</v>
      </c>
      <c r="D23" s="247">
        <f t="shared" ref="D23:H23" si="5">D20+D22</f>
        <v>44747132</v>
      </c>
      <c r="E23" s="247">
        <f t="shared" si="5"/>
        <v>0</v>
      </c>
      <c r="F23" s="247">
        <f t="shared" si="5"/>
        <v>0</v>
      </c>
      <c r="G23" s="247">
        <f t="shared" si="5"/>
        <v>0</v>
      </c>
      <c r="H23" s="247">
        <f t="shared" si="5"/>
        <v>54222564</v>
      </c>
    </row>
    <row r="24" spans="1:8" ht="90" x14ac:dyDescent="0.25">
      <c r="A24" s="242" t="s">
        <v>527</v>
      </c>
      <c r="B24" s="243" t="s">
        <v>526</v>
      </c>
      <c r="C24" s="244">
        <v>703365</v>
      </c>
      <c r="D24" s="244">
        <v>-134155396</v>
      </c>
      <c r="E24" s="244">
        <v>134155396</v>
      </c>
      <c r="F24" s="244">
        <v>0</v>
      </c>
      <c r="G24" s="244">
        <v>0</v>
      </c>
      <c r="H24" s="244">
        <v>703365</v>
      </c>
    </row>
    <row r="25" spans="1:8" ht="90" x14ac:dyDescent="0.25">
      <c r="A25" s="242" t="s">
        <v>525</v>
      </c>
      <c r="B25" s="243" t="s">
        <v>524</v>
      </c>
      <c r="C25" s="244">
        <v>0</v>
      </c>
      <c r="D25" s="244">
        <v>-29160442</v>
      </c>
      <c r="E25" s="244">
        <v>29160442</v>
      </c>
      <c r="F25" s="244">
        <v>0</v>
      </c>
      <c r="G25" s="244">
        <v>0</v>
      </c>
      <c r="H25" s="244">
        <v>0</v>
      </c>
    </row>
    <row r="26" spans="1:8" ht="72" x14ac:dyDescent="0.25">
      <c r="A26" s="242" t="s">
        <v>523</v>
      </c>
      <c r="B26" s="243" t="s">
        <v>522</v>
      </c>
      <c r="C26" s="244">
        <v>732997</v>
      </c>
      <c r="D26" s="244">
        <v>-5946013</v>
      </c>
      <c r="E26" s="244">
        <v>5946013</v>
      </c>
      <c r="F26" s="244">
        <v>0</v>
      </c>
      <c r="G26" s="244">
        <v>0</v>
      </c>
      <c r="H26" s="244">
        <v>732997</v>
      </c>
    </row>
    <row r="27" spans="1:8" ht="54" x14ac:dyDescent="0.25">
      <c r="A27" s="242" t="s">
        <v>521</v>
      </c>
      <c r="B27" s="243" t="s">
        <v>520</v>
      </c>
      <c r="C27" s="244">
        <v>143852</v>
      </c>
      <c r="D27" s="244">
        <v>-1584500</v>
      </c>
      <c r="E27" s="244">
        <v>1584500</v>
      </c>
      <c r="F27" s="244">
        <v>0</v>
      </c>
      <c r="G27" s="244">
        <v>0</v>
      </c>
      <c r="H27" s="244">
        <v>143852</v>
      </c>
    </row>
    <row r="28" spans="1:8" ht="72" x14ac:dyDescent="0.25">
      <c r="A28" s="242" t="s">
        <v>519</v>
      </c>
      <c r="B28" s="243" t="s">
        <v>518</v>
      </c>
      <c r="C28" s="244">
        <v>377268</v>
      </c>
      <c r="D28" s="244">
        <v>-3063040</v>
      </c>
      <c r="E28" s="244">
        <v>3063040</v>
      </c>
      <c r="F28" s="244">
        <v>0</v>
      </c>
      <c r="G28" s="244">
        <v>0</v>
      </c>
      <c r="H28" s="244">
        <v>377268</v>
      </c>
    </row>
    <row r="29" spans="1:8" ht="54" x14ac:dyDescent="0.25">
      <c r="A29" s="242" t="s">
        <v>517</v>
      </c>
      <c r="B29" s="243" t="s">
        <v>516</v>
      </c>
      <c r="C29" s="244">
        <v>211877</v>
      </c>
      <c r="D29" s="244">
        <v>-1298473</v>
      </c>
      <c r="E29" s="244">
        <v>1298473</v>
      </c>
      <c r="F29" s="244">
        <v>0</v>
      </c>
      <c r="G29" s="244">
        <v>0</v>
      </c>
      <c r="H29" s="244">
        <v>211877</v>
      </c>
    </row>
    <row r="30" spans="1:8" ht="72" x14ac:dyDescent="0.25">
      <c r="A30" s="242" t="s">
        <v>515</v>
      </c>
      <c r="B30" s="243" t="s">
        <v>514</v>
      </c>
      <c r="C30" s="244">
        <v>1</v>
      </c>
      <c r="D30" s="244">
        <v>-2115099</v>
      </c>
      <c r="E30" s="244">
        <v>2220099</v>
      </c>
      <c r="F30" s="244">
        <v>0</v>
      </c>
      <c r="G30" s="244">
        <v>0</v>
      </c>
      <c r="H30" s="244">
        <v>105001</v>
      </c>
    </row>
    <row r="31" spans="1:8" ht="108" x14ac:dyDescent="0.25">
      <c r="A31" s="242" t="s">
        <v>513</v>
      </c>
      <c r="B31" s="243" t="s">
        <v>512</v>
      </c>
      <c r="C31" s="244">
        <v>0</v>
      </c>
      <c r="D31" s="244">
        <v>-1470935</v>
      </c>
      <c r="E31" s="244">
        <v>1575935</v>
      </c>
      <c r="F31" s="244">
        <v>0</v>
      </c>
      <c r="G31" s="244">
        <v>0</v>
      </c>
      <c r="H31" s="244">
        <v>105000</v>
      </c>
    </row>
    <row r="32" spans="1:8" ht="54" x14ac:dyDescent="0.25">
      <c r="A32" s="242" t="s">
        <v>511</v>
      </c>
      <c r="B32" s="243" t="s">
        <v>510</v>
      </c>
      <c r="C32" s="244">
        <v>0</v>
      </c>
      <c r="D32" s="244">
        <v>-327105</v>
      </c>
      <c r="E32" s="244">
        <v>327105</v>
      </c>
      <c r="F32" s="244">
        <v>0</v>
      </c>
      <c r="G32" s="244">
        <v>0</v>
      </c>
      <c r="H32" s="244">
        <v>0</v>
      </c>
    </row>
    <row r="33" spans="1:8" ht="54" x14ac:dyDescent="0.25">
      <c r="A33" s="242" t="s">
        <v>509</v>
      </c>
      <c r="B33" s="243" t="s">
        <v>508</v>
      </c>
      <c r="C33" s="244">
        <v>0</v>
      </c>
      <c r="D33" s="244">
        <v>0</v>
      </c>
      <c r="E33" s="244">
        <v>0</v>
      </c>
      <c r="F33" s="244">
        <v>0</v>
      </c>
      <c r="G33" s="244">
        <v>0</v>
      </c>
      <c r="H33" s="244">
        <v>0</v>
      </c>
    </row>
    <row r="34" spans="1:8" ht="72" x14ac:dyDescent="0.25">
      <c r="A34" s="242" t="s">
        <v>507</v>
      </c>
      <c r="B34" s="243" t="s">
        <v>506</v>
      </c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</row>
    <row r="35" spans="1:8" ht="72" x14ac:dyDescent="0.25">
      <c r="A35" s="242" t="s">
        <v>505</v>
      </c>
      <c r="B35" s="243" t="s">
        <v>504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</row>
    <row r="36" spans="1:8" ht="13.5" customHeight="1" x14ac:dyDescent="0.25">
      <c r="A36" s="242" t="s">
        <v>636</v>
      </c>
      <c r="B36" s="243" t="s">
        <v>637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</row>
    <row r="37" spans="1:8" ht="54" x14ac:dyDescent="0.25">
      <c r="A37" s="242" t="s">
        <v>503</v>
      </c>
      <c r="B37" s="243" t="s">
        <v>502</v>
      </c>
      <c r="C37" s="244">
        <v>1</v>
      </c>
      <c r="D37" s="244">
        <v>-644164</v>
      </c>
      <c r="E37" s="244">
        <v>644164</v>
      </c>
      <c r="F37" s="244">
        <v>0</v>
      </c>
      <c r="G37" s="244">
        <v>0</v>
      </c>
      <c r="H37" s="244">
        <v>1</v>
      </c>
    </row>
    <row r="38" spans="1:8" ht="72" x14ac:dyDescent="0.25">
      <c r="A38" s="242" t="s">
        <v>638</v>
      </c>
      <c r="B38" s="243" t="s">
        <v>639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</row>
    <row r="39" spans="1:8" ht="54" x14ac:dyDescent="0.25">
      <c r="A39" s="242" t="s">
        <v>640</v>
      </c>
      <c r="B39" s="243" t="s">
        <v>641</v>
      </c>
      <c r="C39" s="244">
        <v>0</v>
      </c>
      <c r="D39" s="244">
        <v>0</v>
      </c>
      <c r="E39" s="244">
        <v>0</v>
      </c>
      <c r="F39" s="244">
        <v>0</v>
      </c>
      <c r="G39" s="244">
        <v>0</v>
      </c>
      <c r="H39" s="244">
        <v>0</v>
      </c>
    </row>
    <row r="40" spans="1:8" ht="90" x14ac:dyDescent="0.25">
      <c r="A40" s="242" t="s">
        <v>642</v>
      </c>
      <c r="B40" s="243" t="s">
        <v>643</v>
      </c>
      <c r="C40" s="244">
        <v>0</v>
      </c>
      <c r="D40" s="244">
        <v>-1592100</v>
      </c>
      <c r="E40" s="244">
        <v>1592100</v>
      </c>
      <c r="F40" s="244">
        <v>0</v>
      </c>
      <c r="G40" s="244">
        <v>0</v>
      </c>
      <c r="H40" s="244">
        <v>0</v>
      </c>
    </row>
    <row r="41" spans="1:8" ht="72" x14ac:dyDescent="0.25">
      <c r="A41" s="242" t="s">
        <v>644</v>
      </c>
      <c r="B41" s="243" t="s">
        <v>645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</row>
    <row r="42" spans="1:8" ht="90" x14ac:dyDescent="0.25">
      <c r="A42" s="242" t="s">
        <v>646</v>
      </c>
      <c r="B42" s="243" t="s">
        <v>647</v>
      </c>
      <c r="C42" s="244">
        <v>0</v>
      </c>
      <c r="D42" s="244">
        <v>0</v>
      </c>
      <c r="E42" s="244">
        <v>0</v>
      </c>
      <c r="F42" s="244">
        <v>0</v>
      </c>
      <c r="G42" s="244">
        <v>0</v>
      </c>
      <c r="H42" s="244">
        <v>0</v>
      </c>
    </row>
    <row r="43" spans="1:8" ht="54" x14ac:dyDescent="0.25">
      <c r="A43" s="245" t="s">
        <v>501</v>
      </c>
      <c r="B43" s="246" t="s">
        <v>500</v>
      </c>
      <c r="C43" s="247">
        <v>1436363</v>
      </c>
      <c r="D43" s="247">
        <v>-172969050</v>
      </c>
      <c r="E43" s="247">
        <v>173074050</v>
      </c>
      <c r="F43" s="247">
        <v>0</v>
      </c>
      <c r="G43" s="247">
        <v>0</v>
      </c>
      <c r="H43" s="247">
        <v>1541363</v>
      </c>
    </row>
    <row r="44" spans="1:8" ht="36" x14ac:dyDescent="0.25">
      <c r="A44" s="242" t="s">
        <v>499</v>
      </c>
      <c r="B44" s="243" t="s">
        <v>498</v>
      </c>
      <c r="C44" s="244">
        <v>0</v>
      </c>
      <c r="D44" s="244">
        <v>-231072</v>
      </c>
      <c r="E44" s="244">
        <v>231072</v>
      </c>
      <c r="F44" s="244">
        <v>0</v>
      </c>
      <c r="G44" s="244">
        <v>0</v>
      </c>
      <c r="H44" s="244">
        <v>0</v>
      </c>
    </row>
    <row r="45" spans="1:8" ht="54" x14ac:dyDescent="0.25">
      <c r="A45" s="242" t="s">
        <v>497</v>
      </c>
      <c r="B45" s="243" t="s">
        <v>496</v>
      </c>
      <c r="C45" s="244">
        <v>0</v>
      </c>
      <c r="D45" s="244">
        <v>-231072</v>
      </c>
      <c r="E45" s="244">
        <v>231072</v>
      </c>
      <c r="F45" s="244">
        <v>0</v>
      </c>
      <c r="G45" s="244">
        <v>0</v>
      </c>
      <c r="H45" s="244">
        <v>0</v>
      </c>
    </row>
    <row r="46" spans="1:8" x14ac:dyDescent="0.25">
      <c r="A46" s="242" t="s">
        <v>495</v>
      </c>
      <c r="B46" s="243" t="s">
        <v>494</v>
      </c>
      <c r="C46" s="244">
        <v>339637</v>
      </c>
      <c r="D46" s="244">
        <v>71435</v>
      </c>
      <c r="E46" s="244">
        <v>-231072</v>
      </c>
      <c r="F46" s="244">
        <v>0</v>
      </c>
      <c r="G46" s="244">
        <v>0</v>
      </c>
      <c r="H46" s="244">
        <v>180000</v>
      </c>
    </row>
    <row r="47" spans="1:8" ht="90" x14ac:dyDescent="0.25">
      <c r="A47" s="242" t="s">
        <v>648</v>
      </c>
      <c r="B47" s="243" t="s">
        <v>649</v>
      </c>
      <c r="C47" s="244">
        <v>0</v>
      </c>
      <c r="D47" s="244">
        <v>0</v>
      </c>
      <c r="E47" s="244">
        <v>0</v>
      </c>
      <c r="F47" s="244">
        <v>0</v>
      </c>
      <c r="G47" s="244">
        <v>0</v>
      </c>
      <c r="H47" s="244">
        <v>0</v>
      </c>
    </row>
    <row r="48" spans="1:8" ht="54" x14ac:dyDescent="0.25">
      <c r="A48" s="245" t="s">
        <v>493</v>
      </c>
      <c r="B48" s="246" t="s">
        <v>492</v>
      </c>
      <c r="C48" s="247">
        <v>339637</v>
      </c>
      <c r="D48" s="247">
        <v>-159637</v>
      </c>
      <c r="E48" s="247">
        <v>0</v>
      </c>
      <c r="F48" s="247">
        <v>0</v>
      </c>
      <c r="G48" s="247">
        <v>0</v>
      </c>
      <c r="H48" s="247">
        <v>180000</v>
      </c>
    </row>
    <row r="49" spans="1:8" ht="36" x14ac:dyDescent="0.25">
      <c r="A49" s="245" t="s">
        <v>491</v>
      </c>
      <c r="B49" s="246" t="s">
        <v>490</v>
      </c>
      <c r="C49" s="247">
        <v>1776000</v>
      </c>
      <c r="D49" s="247">
        <v>-173128687</v>
      </c>
      <c r="E49" s="247">
        <v>173074050</v>
      </c>
      <c r="F49" s="247">
        <v>0</v>
      </c>
      <c r="G49" s="247">
        <v>0</v>
      </c>
      <c r="H49" s="247">
        <v>1721363</v>
      </c>
    </row>
    <row r="50" spans="1:8" ht="54" x14ac:dyDescent="0.25">
      <c r="A50" s="242" t="s">
        <v>650</v>
      </c>
      <c r="B50" s="243" t="s">
        <v>651</v>
      </c>
      <c r="C50" s="244">
        <v>0</v>
      </c>
      <c r="D50" s="244">
        <v>0</v>
      </c>
      <c r="E50" s="244">
        <v>-1819</v>
      </c>
      <c r="F50" s="244">
        <v>0</v>
      </c>
      <c r="G50" s="244">
        <v>0</v>
      </c>
      <c r="H50" s="244"/>
    </row>
    <row r="51" spans="1:8" ht="54" x14ac:dyDescent="0.25">
      <c r="A51" s="242" t="s">
        <v>652</v>
      </c>
      <c r="B51" s="243" t="s">
        <v>653</v>
      </c>
      <c r="C51" s="244">
        <v>0</v>
      </c>
      <c r="D51" s="244">
        <v>0</v>
      </c>
      <c r="E51" s="244">
        <v>0</v>
      </c>
      <c r="F51" s="244">
        <v>0</v>
      </c>
      <c r="G51" s="244">
        <v>0</v>
      </c>
      <c r="H51" s="244">
        <v>0</v>
      </c>
    </row>
    <row r="52" spans="1:8" ht="54" x14ac:dyDescent="0.25">
      <c r="A52" s="245" t="s">
        <v>654</v>
      </c>
      <c r="B52" s="246" t="s">
        <v>655</v>
      </c>
      <c r="C52" s="247">
        <v>0</v>
      </c>
      <c r="D52" s="247">
        <v>0</v>
      </c>
      <c r="E52" s="247">
        <v>-1819</v>
      </c>
      <c r="F52" s="247">
        <v>0</v>
      </c>
      <c r="G52" s="247">
        <v>0</v>
      </c>
      <c r="H52" s="247">
        <v>0</v>
      </c>
    </row>
    <row r="53" spans="1:8" ht="36" x14ac:dyDescent="0.25">
      <c r="A53" s="242" t="s">
        <v>656</v>
      </c>
      <c r="B53" s="243" t="s">
        <v>657</v>
      </c>
      <c r="C53" s="244">
        <v>0</v>
      </c>
      <c r="D53" s="244">
        <v>0</v>
      </c>
      <c r="E53" s="244">
        <v>0</v>
      </c>
      <c r="F53" s="244">
        <v>0</v>
      </c>
      <c r="G53" s="244">
        <v>0</v>
      </c>
      <c r="H53" s="244">
        <v>0</v>
      </c>
    </row>
    <row r="54" spans="1:8" ht="54" x14ac:dyDescent="0.25">
      <c r="A54" s="245" t="s">
        <v>658</v>
      </c>
      <c r="B54" s="246" t="s">
        <v>659</v>
      </c>
      <c r="C54" s="247">
        <v>0</v>
      </c>
      <c r="D54" s="247">
        <v>0</v>
      </c>
      <c r="E54" s="247">
        <v>0</v>
      </c>
      <c r="F54" s="247">
        <v>0</v>
      </c>
      <c r="G54" s="247">
        <v>0</v>
      </c>
      <c r="H54" s="247">
        <v>0</v>
      </c>
    </row>
    <row r="55" spans="1:8" ht="54" x14ac:dyDescent="0.25">
      <c r="A55" s="242" t="s">
        <v>489</v>
      </c>
      <c r="B55" s="243" t="s">
        <v>488</v>
      </c>
      <c r="C55" s="244"/>
      <c r="D55" s="244"/>
      <c r="E55" s="244">
        <v>0</v>
      </c>
      <c r="F55" s="244">
        <v>0</v>
      </c>
      <c r="G55" s="244">
        <v>0</v>
      </c>
      <c r="H55" s="244">
        <v>0</v>
      </c>
    </row>
    <row r="56" spans="1:8" ht="54" x14ac:dyDescent="0.25">
      <c r="A56" s="245" t="s">
        <v>487</v>
      </c>
      <c r="B56" s="246" t="s">
        <v>486</v>
      </c>
      <c r="C56" s="247"/>
      <c r="D56" s="247"/>
      <c r="E56" s="247">
        <v>0</v>
      </c>
      <c r="F56" s="247">
        <v>0</v>
      </c>
      <c r="G56" s="247">
        <v>0</v>
      </c>
      <c r="H56" s="247">
        <v>0</v>
      </c>
    </row>
    <row r="57" spans="1:8" ht="72" x14ac:dyDescent="0.25">
      <c r="A57" s="245" t="s">
        <v>485</v>
      </c>
      <c r="B57" s="246" t="s">
        <v>484</v>
      </c>
      <c r="C57" s="247"/>
      <c r="D57" s="247"/>
      <c r="E57" s="247">
        <v>0</v>
      </c>
      <c r="F57" s="247">
        <v>0</v>
      </c>
      <c r="G57" s="247">
        <v>0</v>
      </c>
      <c r="H57" s="247">
        <v>0</v>
      </c>
    </row>
    <row r="58" spans="1:8" ht="36" x14ac:dyDescent="0.25">
      <c r="A58" s="245" t="s">
        <v>483</v>
      </c>
      <c r="B58" s="246" t="s">
        <v>482</v>
      </c>
      <c r="C58" s="247">
        <v>266558705</v>
      </c>
      <c r="D58" s="247">
        <v>-128381558</v>
      </c>
      <c r="E58" s="247">
        <v>162866234</v>
      </c>
      <c r="F58" s="247">
        <v>0</v>
      </c>
      <c r="G58" s="247">
        <v>0</v>
      </c>
      <c r="H58" s="247">
        <v>301043381</v>
      </c>
    </row>
    <row r="59" spans="1:8" ht="36" x14ac:dyDescent="0.25">
      <c r="A59" s="242" t="s">
        <v>481</v>
      </c>
      <c r="B59" s="243" t="s">
        <v>480</v>
      </c>
      <c r="C59" s="244">
        <v>209324055</v>
      </c>
      <c r="D59" s="244">
        <v>0</v>
      </c>
      <c r="E59" s="244">
        <v>0</v>
      </c>
      <c r="F59" s="244">
        <v>0</v>
      </c>
      <c r="G59" s="244">
        <v>0</v>
      </c>
      <c r="H59" s="244">
        <v>209324055</v>
      </c>
    </row>
    <row r="60" spans="1:8" ht="54" x14ac:dyDescent="0.25">
      <c r="A60" s="242" t="s">
        <v>479</v>
      </c>
      <c r="B60" s="243" t="s">
        <v>478</v>
      </c>
      <c r="C60" s="244">
        <v>0</v>
      </c>
      <c r="D60" s="244">
        <v>0</v>
      </c>
      <c r="E60" s="244">
        <v>0</v>
      </c>
      <c r="F60" s="244">
        <v>0</v>
      </c>
      <c r="G60" s="244">
        <v>0</v>
      </c>
      <c r="H60" s="244">
        <v>0</v>
      </c>
    </row>
    <row r="61" spans="1:8" ht="72" x14ac:dyDescent="0.25">
      <c r="A61" s="245" t="s">
        <v>477</v>
      </c>
      <c r="B61" s="246" t="s">
        <v>476</v>
      </c>
      <c r="C61" s="247">
        <v>3770945</v>
      </c>
      <c r="D61" s="247">
        <v>0</v>
      </c>
      <c r="E61" s="247">
        <v>0</v>
      </c>
      <c r="F61" s="247">
        <v>0</v>
      </c>
      <c r="G61" s="247">
        <v>0</v>
      </c>
      <c r="H61" s="247">
        <v>3770945</v>
      </c>
    </row>
    <row r="62" spans="1:8" x14ac:dyDescent="0.25">
      <c r="A62" s="242" t="s">
        <v>475</v>
      </c>
      <c r="B62" s="243" t="s">
        <v>474</v>
      </c>
      <c r="C62" s="244">
        <v>29353500</v>
      </c>
      <c r="D62" s="244">
        <v>0</v>
      </c>
      <c r="E62" s="244">
        <v>-5671558</v>
      </c>
      <c r="F62" s="244">
        <v>0</v>
      </c>
      <c r="G62" s="244">
        <v>0</v>
      </c>
      <c r="H62" s="244">
        <v>23681942</v>
      </c>
    </row>
    <row r="63" spans="1:8" x14ac:dyDescent="0.25">
      <c r="A63" s="242" t="s">
        <v>473</v>
      </c>
      <c r="B63" s="243" t="s">
        <v>472</v>
      </c>
      <c r="C63" s="244">
        <v>-5671558</v>
      </c>
      <c r="D63" s="244">
        <v>0</v>
      </c>
      <c r="E63" s="244">
        <v>38093968</v>
      </c>
      <c r="F63" s="244">
        <v>0</v>
      </c>
      <c r="G63" s="244">
        <v>0</v>
      </c>
      <c r="H63" s="244">
        <v>32422410</v>
      </c>
    </row>
    <row r="64" spans="1:8" ht="36" x14ac:dyDescent="0.25">
      <c r="A64" s="245" t="s">
        <v>471</v>
      </c>
      <c r="B64" s="246" t="s">
        <v>470</v>
      </c>
      <c r="C64" s="247">
        <v>257318891</v>
      </c>
      <c r="D64" s="247">
        <v>0</v>
      </c>
      <c r="E64" s="247">
        <v>32422410</v>
      </c>
      <c r="F64" s="247">
        <v>0</v>
      </c>
      <c r="G64" s="247">
        <v>0</v>
      </c>
      <c r="H64" s="247">
        <v>289741301</v>
      </c>
    </row>
    <row r="65" spans="1:8" ht="54" x14ac:dyDescent="0.25">
      <c r="A65" s="242" t="s">
        <v>469</v>
      </c>
      <c r="B65" s="243" t="s">
        <v>468</v>
      </c>
      <c r="C65" s="244">
        <v>1199669</v>
      </c>
      <c r="D65" s="244">
        <v>-12289223</v>
      </c>
      <c r="E65" s="244">
        <v>12289223</v>
      </c>
      <c r="F65" s="244">
        <v>0</v>
      </c>
      <c r="G65" s="244">
        <v>0</v>
      </c>
      <c r="H65" s="244">
        <v>1199669</v>
      </c>
    </row>
    <row r="66" spans="1:8" ht="72" x14ac:dyDescent="0.25">
      <c r="A66" s="242" t="s">
        <v>660</v>
      </c>
      <c r="B66" s="243" t="s">
        <v>661</v>
      </c>
      <c r="C66" s="244">
        <v>278893</v>
      </c>
      <c r="D66" s="244">
        <v>-1950192</v>
      </c>
      <c r="E66" s="244">
        <v>1950192</v>
      </c>
      <c r="F66" s="244">
        <v>0</v>
      </c>
      <c r="G66" s="244">
        <v>0</v>
      </c>
      <c r="H66" s="244">
        <v>278893</v>
      </c>
    </row>
    <row r="67" spans="1:8" ht="54" x14ac:dyDescent="0.25">
      <c r="A67" s="242" t="s">
        <v>467</v>
      </c>
      <c r="B67" s="243" t="s">
        <v>466</v>
      </c>
      <c r="C67" s="244">
        <v>56665</v>
      </c>
      <c r="D67" s="244">
        <v>-17867704</v>
      </c>
      <c r="E67" s="244">
        <v>17900456</v>
      </c>
      <c r="F67" s="244">
        <v>0</v>
      </c>
      <c r="G67" s="244">
        <v>0</v>
      </c>
      <c r="H67" s="244">
        <v>89417</v>
      </c>
    </row>
    <row r="68" spans="1:8" ht="54" x14ac:dyDescent="0.25">
      <c r="A68" s="242" t="s">
        <v>465</v>
      </c>
      <c r="B68" s="243" t="s">
        <v>464</v>
      </c>
      <c r="C68" s="244">
        <v>0</v>
      </c>
      <c r="D68" s="244">
        <v>-2917500</v>
      </c>
      <c r="E68" s="244">
        <v>2917500</v>
      </c>
      <c r="F68" s="244">
        <v>0</v>
      </c>
      <c r="G68" s="244">
        <v>0</v>
      </c>
      <c r="H68" s="244">
        <v>0</v>
      </c>
    </row>
    <row r="69" spans="1:8" ht="72" x14ac:dyDescent="0.25">
      <c r="A69" s="242" t="s">
        <v>463</v>
      </c>
      <c r="B69" s="243" t="s">
        <v>462</v>
      </c>
      <c r="C69" s="244">
        <v>707041</v>
      </c>
      <c r="D69" s="244">
        <v>-26703253</v>
      </c>
      <c r="E69" s="244">
        <v>29</v>
      </c>
      <c r="F69" s="244">
        <v>0</v>
      </c>
      <c r="G69" s="244">
        <v>0</v>
      </c>
      <c r="H69" s="244">
        <v>0</v>
      </c>
    </row>
    <row r="70" spans="1:8" ht="54" x14ac:dyDescent="0.25">
      <c r="A70" s="242" t="s">
        <v>461</v>
      </c>
      <c r="B70" s="243" t="s">
        <v>460</v>
      </c>
      <c r="C70" s="244">
        <v>0</v>
      </c>
      <c r="D70" s="244">
        <v>-1861148</v>
      </c>
      <c r="E70" s="244">
        <v>29964319</v>
      </c>
      <c r="F70" s="244">
        <v>0</v>
      </c>
      <c r="G70" s="244">
        <v>0</v>
      </c>
      <c r="H70" s="244">
        <v>3968107</v>
      </c>
    </row>
    <row r="71" spans="1:8" ht="54" x14ac:dyDescent="0.25">
      <c r="A71" s="242" t="s">
        <v>459</v>
      </c>
      <c r="B71" s="243" t="s">
        <v>458</v>
      </c>
      <c r="C71" s="244">
        <v>0</v>
      </c>
      <c r="D71" s="244">
        <v>-500001</v>
      </c>
      <c r="E71" s="244">
        <v>500001</v>
      </c>
      <c r="F71" s="244">
        <v>0</v>
      </c>
      <c r="G71" s="244">
        <v>0</v>
      </c>
      <c r="H71" s="244">
        <v>0</v>
      </c>
    </row>
    <row r="72" spans="1:8" ht="72" x14ac:dyDescent="0.25">
      <c r="A72" s="242" t="s">
        <v>457</v>
      </c>
      <c r="B72" s="243" t="s">
        <v>456</v>
      </c>
      <c r="C72" s="244">
        <v>0</v>
      </c>
      <c r="D72" s="244">
        <v>-68704765</v>
      </c>
      <c r="E72" s="244">
        <v>68704765</v>
      </c>
      <c r="F72" s="244">
        <v>0</v>
      </c>
      <c r="G72" s="244">
        <v>0</v>
      </c>
      <c r="H72" s="244">
        <v>0</v>
      </c>
    </row>
    <row r="73" spans="1:8" ht="90" x14ac:dyDescent="0.25">
      <c r="A73" s="242" t="s">
        <v>662</v>
      </c>
      <c r="B73" s="243" t="s">
        <v>663</v>
      </c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</row>
    <row r="74" spans="1:8" ht="108" x14ac:dyDescent="0.25">
      <c r="A74" s="242" t="s">
        <v>455</v>
      </c>
      <c r="B74" s="243" t="s">
        <v>454</v>
      </c>
      <c r="C74" s="244">
        <v>0</v>
      </c>
      <c r="D74" s="244">
        <v>-4321012</v>
      </c>
      <c r="E74" s="244">
        <v>4321012</v>
      </c>
      <c r="F74" s="244">
        <v>0</v>
      </c>
      <c r="G74" s="244">
        <v>0</v>
      </c>
      <c r="H74" s="244">
        <v>0</v>
      </c>
    </row>
    <row r="75" spans="1:8" ht="54" x14ac:dyDescent="0.25">
      <c r="A75" s="245" t="s">
        <v>453</v>
      </c>
      <c r="B75" s="246" t="s">
        <v>452</v>
      </c>
      <c r="C75" s="247">
        <v>2242268</v>
      </c>
      <c r="D75" s="247">
        <v>-132793786</v>
      </c>
      <c r="E75" s="247">
        <v>136087604</v>
      </c>
      <c r="F75" s="247">
        <v>0</v>
      </c>
      <c r="G75" s="247">
        <v>0</v>
      </c>
      <c r="H75" s="247">
        <v>5536086</v>
      </c>
    </row>
    <row r="76" spans="1:8" ht="90" x14ac:dyDescent="0.25">
      <c r="A76" s="242" t="s">
        <v>451</v>
      </c>
      <c r="B76" s="243" t="s">
        <v>450</v>
      </c>
      <c r="C76" s="244">
        <v>4321012</v>
      </c>
      <c r="D76" s="244">
        <v>4412228</v>
      </c>
      <c r="E76" s="244">
        <v>-4321012</v>
      </c>
      <c r="F76" s="244">
        <v>0</v>
      </c>
      <c r="G76" s="244">
        <v>0</v>
      </c>
      <c r="H76" s="244">
        <v>4412228</v>
      </c>
    </row>
    <row r="77" spans="1:8" ht="90" x14ac:dyDescent="0.25">
      <c r="A77" s="242" t="s">
        <v>664</v>
      </c>
      <c r="B77" s="243" t="s">
        <v>665</v>
      </c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</row>
    <row r="78" spans="1:8" ht="108" x14ac:dyDescent="0.25">
      <c r="A78" s="242" t="s">
        <v>449</v>
      </c>
      <c r="B78" s="243" t="s">
        <v>448</v>
      </c>
      <c r="C78" s="244">
        <v>4321012</v>
      </c>
      <c r="D78" s="244">
        <v>4412228</v>
      </c>
      <c r="E78" s="244">
        <v>-4321012</v>
      </c>
      <c r="F78" s="244">
        <v>0</v>
      </c>
      <c r="G78" s="244">
        <v>0</v>
      </c>
      <c r="H78" s="244">
        <v>4412228</v>
      </c>
    </row>
    <row r="79" spans="1:8" ht="72" x14ac:dyDescent="0.25">
      <c r="A79" s="245" t="s">
        <v>447</v>
      </c>
      <c r="B79" s="246" t="s">
        <v>446</v>
      </c>
      <c r="C79" s="247">
        <v>4321012</v>
      </c>
      <c r="D79" s="247">
        <v>4412228</v>
      </c>
      <c r="E79" s="247">
        <v>-4321012</v>
      </c>
      <c r="F79" s="247">
        <v>0</v>
      </c>
      <c r="G79" s="247">
        <v>0</v>
      </c>
      <c r="H79" s="247">
        <v>4412228</v>
      </c>
    </row>
    <row r="80" spans="1:8" x14ac:dyDescent="0.25">
      <c r="A80" s="242" t="s">
        <v>445</v>
      </c>
      <c r="B80" s="243" t="s">
        <v>444</v>
      </c>
      <c r="C80" s="244">
        <v>249299</v>
      </c>
      <c r="D80" s="244">
        <v>0</v>
      </c>
      <c r="E80" s="244">
        <v>0</v>
      </c>
      <c r="F80" s="244">
        <v>0</v>
      </c>
      <c r="G80" s="244">
        <v>0</v>
      </c>
      <c r="H80" s="244">
        <v>249299</v>
      </c>
    </row>
    <row r="81" spans="1:8" ht="54" x14ac:dyDescent="0.25">
      <c r="A81" s="245" t="s">
        <v>443</v>
      </c>
      <c r="B81" s="246" t="s">
        <v>442</v>
      </c>
      <c r="C81" s="247">
        <v>249299</v>
      </c>
      <c r="D81" s="247">
        <v>0</v>
      </c>
      <c r="E81" s="247">
        <v>0</v>
      </c>
      <c r="F81" s="247">
        <v>0</v>
      </c>
      <c r="G81" s="247">
        <v>0</v>
      </c>
      <c r="H81" s="247">
        <v>249299</v>
      </c>
    </row>
    <row r="82" spans="1:8" ht="36" x14ac:dyDescent="0.25">
      <c r="A82" s="245" t="s">
        <v>441</v>
      </c>
      <c r="B82" s="246" t="s">
        <v>440</v>
      </c>
      <c r="C82" s="247">
        <v>6812579</v>
      </c>
      <c r="D82" s="247">
        <v>-128381558</v>
      </c>
      <c r="E82" s="247">
        <v>131766592</v>
      </c>
      <c r="F82" s="247">
        <v>0</v>
      </c>
      <c r="G82" s="247">
        <v>0</v>
      </c>
      <c r="H82" s="247">
        <v>10197613</v>
      </c>
    </row>
    <row r="83" spans="1:8" ht="36" x14ac:dyDescent="0.25">
      <c r="A83" s="242" t="s">
        <v>439</v>
      </c>
      <c r="B83" s="243" t="s">
        <v>438</v>
      </c>
      <c r="C83" s="244">
        <v>1282235</v>
      </c>
      <c r="D83" s="244">
        <v>0</v>
      </c>
      <c r="E83" s="244">
        <v>-177768</v>
      </c>
      <c r="F83" s="244">
        <v>0</v>
      </c>
      <c r="G83" s="244">
        <v>0</v>
      </c>
      <c r="H83" s="244">
        <v>1104467</v>
      </c>
    </row>
    <row r="84" spans="1:8" ht="36" x14ac:dyDescent="0.25">
      <c r="A84" s="242" t="s">
        <v>666</v>
      </c>
      <c r="B84" s="243" t="s">
        <v>667</v>
      </c>
      <c r="C84" s="244">
        <v>1145000</v>
      </c>
      <c r="D84" s="244">
        <v>0</v>
      </c>
      <c r="E84" s="244">
        <v>-1145000</v>
      </c>
      <c r="F84" s="244">
        <v>0</v>
      </c>
      <c r="G84" s="244">
        <v>0</v>
      </c>
      <c r="H84" s="244">
        <v>0</v>
      </c>
    </row>
    <row r="85" spans="1:8" ht="54" x14ac:dyDescent="0.25">
      <c r="A85" s="245" t="s">
        <v>437</v>
      </c>
      <c r="B85" s="246" t="s">
        <v>436</v>
      </c>
      <c r="C85" s="247">
        <f>C83+C84</f>
        <v>2427235</v>
      </c>
      <c r="D85" s="247">
        <f t="shared" ref="D85:H85" si="6">D83+D84</f>
        <v>0</v>
      </c>
      <c r="E85" s="247">
        <f t="shared" si="6"/>
        <v>-1322768</v>
      </c>
      <c r="F85" s="247">
        <f t="shared" si="6"/>
        <v>0</v>
      </c>
      <c r="G85" s="247">
        <f t="shared" si="6"/>
        <v>0</v>
      </c>
      <c r="H85" s="247">
        <f t="shared" si="6"/>
        <v>1104467</v>
      </c>
    </row>
    <row r="86" spans="1:8" ht="36" x14ac:dyDescent="0.25">
      <c r="A86" s="245" t="s">
        <v>435</v>
      </c>
      <c r="B86" s="246" t="s">
        <v>434</v>
      </c>
      <c r="C86" s="247">
        <v>266558705</v>
      </c>
      <c r="D86" s="247">
        <v>-128381558</v>
      </c>
      <c r="E86" s="247">
        <v>162866234</v>
      </c>
      <c r="F86" s="247">
        <v>0</v>
      </c>
      <c r="G86" s="247">
        <v>0</v>
      </c>
      <c r="H86" s="247">
        <v>301043381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scale="30" orientation="portrait" horizontalDpi="300" verticalDpi="300" r:id="rId1"/>
  <headerFooter alignWithMargins="0">
    <oddHeader>&amp;L14. melléklet a 3/2019.(V.24.) önkormányzati rendelethez&amp;CErzsébet Község Önkormányzata</oddHeader>
    <oddFooter>&amp;C&amp;LAdatellenőrző kód: -2359-7e-7c-7a1b-57661174-3c6b-2d13f-1113114a-3a&amp;R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0000"/>
    <pageSetUpPr fitToPage="1"/>
  </sheetPr>
  <dimension ref="A1:M36"/>
  <sheetViews>
    <sheetView zoomScaleNormal="100" workbookViewId="0">
      <selection activeCell="E36" sqref="E36"/>
    </sheetView>
  </sheetViews>
  <sheetFormatPr defaultRowHeight="12.75" x14ac:dyDescent="0.2"/>
  <cols>
    <col min="1" max="1" width="46.42578125" customWidth="1"/>
    <col min="2" max="2" width="12.28515625" customWidth="1"/>
    <col min="3" max="3" width="11.140625" bestFit="1" customWidth="1"/>
    <col min="4" max="4" width="12.7109375" customWidth="1"/>
    <col min="5" max="5" width="8.42578125" customWidth="1"/>
    <col min="6" max="6" width="1.7109375" customWidth="1"/>
    <col min="7" max="7" width="31.42578125" bestFit="1" customWidth="1"/>
    <col min="8" max="8" width="11.7109375" customWidth="1"/>
    <col min="9" max="9" width="12.7109375" customWidth="1"/>
    <col min="10" max="10" width="12.5703125" customWidth="1"/>
    <col min="11" max="11" width="9.85546875" customWidth="1"/>
  </cols>
  <sheetData>
    <row r="1" spans="1:11" ht="15.75" customHeight="1" x14ac:dyDescent="0.2">
      <c r="A1" s="260" t="s">
        <v>677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.75" customHeight="1" x14ac:dyDescent="0.2">
      <c r="A2" s="41"/>
      <c r="B2" s="41"/>
      <c r="C2" s="41"/>
      <c r="D2" s="41"/>
      <c r="E2" s="41"/>
      <c r="F2" s="41"/>
      <c r="G2" s="41"/>
    </row>
    <row r="3" spans="1:11" ht="15.75" x14ac:dyDescent="0.25">
      <c r="A3" s="262" t="s">
        <v>248</v>
      </c>
      <c r="B3" s="262"/>
      <c r="C3" s="262"/>
      <c r="D3" s="262"/>
      <c r="E3" s="262"/>
      <c r="F3" s="266"/>
      <c r="G3" s="262" t="s">
        <v>249</v>
      </c>
      <c r="H3" s="262"/>
      <c r="I3" s="262"/>
      <c r="J3" s="262"/>
      <c r="K3" s="262"/>
    </row>
    <row r="4" spans="1:11" ht="12.75" customHeight="1" x14ac:dyDescent="0.2">
      <c r="A4" s="81" t="s">
        <v>188</v>
      </c>
      <c r="B4" s="172" t="s">
        <v>189</v>
      </c>
      <c r="C4" s="172" t="s">
        <v>367</v>
      </c>
      <c r="D4" s="172" t="s">
        <v>368</v>
      </c>
      <c r="E4" s="172" t="s">
        <v>369</v>
      </c>
      <c r="F4" s="267"/>
      <c r="G4" s="81" t="s">
        <v>188</v>
      </c>
      <c r="H4" s="172" t="s">
        <v>189</v>
      </c>
      <c r="I4" s="172" t="s">
        <v>367</v>
      </c>
      <c r="J4" s="172" t="s">
        <v>368</v>
      </c>
      <c r="K4" s="172" t="s">
        <v>369</v>
      </c>
    </row>
    <row r="5" spans="1:11" ht="12.75" customHeight="1" x14ac:dyDescent="0.2">
      <c r="A5" s="83" t="s">
        <v>250</v>
      </c>
      <c r="B5" s="173">
        <v>111715213</v>
      </c>
      <c r="C5" s="176">
        <v>120762273</v>
      </c>
      <c r="D5" s="176">
        <v>120762273</v>
      </c>
      <c r="E5" s="191">
        <f>D5/C5</f>
        <v>1</v>
      </c>
      <c r="F5" s="267"/>
      <c r="G5" s="82" t="s">
        <v>311</v>
      </c>
      <c r="H5" s="174">
        <v>7533000</v>
      </c>
      <c r="I5" s="4">
        <v>13910197</v>
      </c>
      <c r="J5" s="4">
        <v>12289223</v>
      </c>
      <c r="K5" s="192">
        <f>J5/I5</f>
        <v>0.88346865252878881</v>
      </c>
    </row>
    <row r="6" spans="1:11" ht="25.5" x14ac:dyDescent="0.2">
      <c r="A6" s="83" t="s">
        <v>251</v>
      </c>
      <c r="B6" s="173">
        <v>5886400</v>
      </c>
      <c r="C6" s="176">
        <v>22285986</v>
      </c>
      <c r="D6" s="176">
        <v>13393123</v>
      </c>
      <c r="E6" s="191">
        <f t="shared" ref="E6:E16" si="0">D6/C6</f>
        <v>0.60096614078461685</v>
      </c>
      <c r="F6" s="267"/>
      <c r="G6" s="82" t="s">
        <v>312</v>
      </c>
      <c r="H6" s="174">
        <v>1782150</v>
      </c>
      <c r="I6" s="4">
        <v>2229085</v>
      </c>
      <c r="J6" s="4">
        <v>1950192</v>
      </c>
      <c r="K6" s="192">
        <f t="shared" ref="K6:K16" si="1">J6/I6</f>
        <v>0.87488453782605868</v>
      </c>
    </row>
    <row r="7" spans="1:11" ht="12.75" customHeight="1" x14ac:dyDescent="0.2">
      <c r="A7" s="82" t="s">
        <v>302</v>
      </c>
      <c r="B7" s="174">
        <f>SUM(B5:B6)</f>
        <v>117601613</v>
      </c>
      <c r="C7" s="174">
        <f>SUM(C5:C6)</f>
        <v>143048259</v>
      </c>
      <c r="D7" s="174">
        <f>SUM(D5:D6)</f>
        <v>134155396</v>
      </c>
      <c r="E7" s="192">
        <f t="shared" si="0"/>
        <v>0.93783312665133522</v>
      </c>
      <c r="F7" s="267"/>
      <c r="G7" s="82" t="s">
        <v>313</v>
      </c>
      <c r="H7" s="174">
        <v>10883140</v>
      </c>
      <c r="I7" s="4">
        <v>21772531</v>
      </c>
      <c r="J7" s="4">
        <v>17867704</v>
      </c>
      <c r="K7" s="192">
        <f t="shared" si="1"/>
        <v>0.82065351060930858</v>
      </c>
    </row>
    <row r="8" spans="1:11" x14ac:dyDescent="0.2">
      <c r="A8" s="82" t="s">
        <v>304</v>
      </c>
      <c r="B8" s="174">
        <f>B9+B10+B11+B12+B13</f>
        <v>5070000</v>
      </c>
      <c r="C8" s="174">
        <f>C9+C10+C11+C12+C13</f>
        <v>5695000</v>
      </c>
      <c r="D8" s="174">
        <f>D9+D10+D11+D12+D13</f>
        <v>5946013</v>
      </c>
      <c r="E8" s="192">
        <f t="shared" si="0"/>
        <v>1.0440760316066726</v>
      </c>
      <c r="F8" s="267"/>
      <c r="G8" s="82" t="s">
        <v>356</v>
      </c>
      <c r="H8" s="174">
        <v>3146000</v>
      </c>
      <c r="I8" s="4">
        <v>3340500</v>
      </c>
      <c r="J8" s="4">
        <v>2917500</v>
      </c>
      <c r="K8" s="192">
        <f t="shared" si="1"/>
        <v>0.87337224966322402</v>
      </c>
    </row>
    <row r="9" spans="1:11" x14ac:dyDescent="0.2">
      <c r="A9" s="83" t="s">
        <v>384</v>
      </c>
      <c r="B9" s="173"/>
      <c r="C9" s="176"/>
      <c r="D9" s="176">
        <v>0</v>
      </c>
      <c r="E9" s="191"/>
      <c r="F9" s="267"/>
      <c r="G9" s="82"/>
      <c r="H9" s="174"/>
      <c r="I9" s="4"/>
      <c r="J9" s="4"/>
      <c r="K9" s="192"/>
    </row>
    <row r="10" spans="1:11" x14ac:dyDescent="0.2">
      <c r="A10" s="83" t="s">
        <v>355</v>
      </c>
      <c r="B10" s="173">
        <v>1100000</v>
      </c>
      <c r="C10" s="176">
        <v>1100000</v>
      </c>
      <c r="D10" s="176">
        <v>1584500</v>
      </c>
      <c r="E10" s="191">
        <f t="shared" si="0"/>
        <v>1.4404545454545454</v>
      </c>
      <c r="F10" s="267"/>
      <c r="G10" s="82" t="s">
        <v>314</v>
      </c>
      <c r="H10" s="174">
        <v>48936313</v>
      </c>
      <c r="I10" s="4">
        <v>75774585</v>
      </c>
      <c r="J10" s="4">
        <v>26703253</v>
      </c>
      <c r="K10" s="192">
        <f t="shared" si="1"/>
        <v>0.35240381719015684</v>
      </c>
    </row>
    <row r="11" spans="1:11" x14ac:dyDescent="0.2">
      <c r="A11" s="83" t="s">
        <v>190</v>
      </c>
      <c r="B11" s="173">
        <v>2200000</v>
      </c>
      <c r="C11" s="176">
        <v>2700000</v>
      </c>
      <c r="D11" s="176">
        <v>2499655</v>
      </c>
      <c r="E11" s="191">
        <f t="shared" si="0"/>
        <v>0.9257981481481482</v>
      </c>
      <c r="F11" s="267"/>
      <c r="G11" s="83" t="s">
        <v>318</v>
      </c>
      <c r="H11" s="173">
        <v>6561196</v>
      </c>
      <c r="I11" s="5">
        <v>37069425</v>
      </c>
      <c r="J11" s="5">
        <v>0</v>
      </c>
      <c r="K11" s="193">
        <f t="shared" si="1"/>
        <v>0</v>
      </c>
    </row>
    <row r="12" spans="1:11" x14ac:dyDescent="0.2">
      <c r="A12" s="83" t="s">
        <v>301</v>
      </c>
      <c r="B12" s="173">
        <v>520000</v>
      </c>
      <c r="C12" s="176">
        <v>645000</v>
      </c>
      <c r="D12" s="176">
        <v>563385</v>
      </c>
      <c r="E12" s="191">
        <f t="shared" si="0"/>
        <v>0.87346511627906975</v>
      </c>
      <c r="F12" s="267"/>
      <c r="G12" s="83"/>
      <c r="H12" s="177"/>
      <c r="I12" s="5"/>
      <c r="J12" s="5"/>
      <c r="K12" s="193"/>
    </row>
    <row r="13" spans="1:11" x14ac:dyDescent="0.2">
      <c r="A13" s="83" t="s">
        <v>559</v>
      </c>
      <c r="B13" s="173">
        <v>1250000</v>
      </c>
      <c r="C13" s="176">
        <v>1250000</v>
      </c>
      <c r="D13" s="176">
        <v>1298473</v>
      </c>
      <c r="E13" s="191">
        <f t="shared" si="0"/>
        <v>1.0387784</v>
      </c>
      <c r="F13" s="267"/>
      <c r="G13" s="83"/>
      <c r="H13" s="177"/>
      <c r="I13" s="5"/>
      <c r="J13" s="5"/>
      <c r="K13" s="193"/>
    </row>
    <row r="14" spans="1:11" x14ac:dyDescent="0.2">
      <c r="A14" s="82" t="s">
        <v>305</v>
      </c>
      <c r="B14" s="174">
        <v>0</v>
      </c>
      <c r="C14" s="4">
        <v>3643831</v>
      </c>
      <c r="D14" s="4">
        <v>2115099</v>
      </c>
      <c r="E14" s="192">
        <f t="shared" si="0"/>
        <v>0.58046023539511027</v>
      </c>
      <c r="F14" s="267"/>
      <c r="G14" s="83"/>
      <c r="H14" s="177"/>
      <c r="I14" s="5"/>
      <c r="J14" s="5"/>
      <c r="K14" s="193"/>
    </row>
    <row r="15" spans="1:11" x14ac:dyDescent="0.2">
      <c r="A15" s="82" t="s">
        <v>560</v>
      </c>
      <c r="B15" s="174"/>
      <c r="C15" s="4">
        <v>500001</v>
      </c>
      <c r="D15" s="4">
        <v>1592100</v>
      </c>
      <c r="E15" s="191">
        <f t="shared" si="0"/>
        <v>3.1841936316127368</v>
      </c>
      <c r="F15" s="267"/>
      <c r="G15" s="83"/>
      <c r="H15" s="177"/>
      <c r="I15" s="5"/>
      <c r="J15" s="5"/>
      <c r="K15" s="193"/>
    </row>
    <row r="16" spans="1:11" ht="13.5" thickBot="1" x14ac:dyDescent="0.25">
      <c r="A16" s="166" t="s">
        <v>253</v>
      </c>
      <c r="B16" s="175">
        <f>B7+B8+B14+B15</f>
        <v>122671613</v>
      </c>
      <c r="C16" s="175">
        <f>C7+C8+C14+C15</f>
        <v>152887091</v>
      </c>
      <c r="D16" s="175">
        <f>D7+D8+D14+D15</f>
        <v>143808608</v>
      </c>
      <c r="E16" s="192">
        <f t="shared" si="0"/>
        <v>0.94061968907499194</v>
      </c>
      <c r="F16" s="268"/>
      <c r="G16" s="166" t="s">
        <v>254</v>
      </c>
      <c r="H16" s="178">
        <f>SUM(H5:H14)-H11</f>
        <v>72280603</v>
      </c>
      <c r="I16" s="178">
        <f>SUM(I5:I14)-I11</f>
        <v>117026898</v>
      </c>
      <c r="J16" s="178">
        <f>SUM(J5:J14)-J11</f>
        <v>61727872</v>
      </c>
      <c r="K16" s="192">
        <f t="shared" si="1"/>
        <v>0.52746738617304889</v>
      </c>
    </row>
    <row r="17" spans="1:13" x14ac:dyDescent="0.2">
      <c r="A17" s="42"/>
      <c r="B17" s="44"/>
      <c r="C17" s="44"/>
      <c r="D17" s="44"/>
      <c r="E17" s="44"/>
      <c r="G17" s="42"/>
    </row>
    <row r="18" spans="1:13" x14ac:dyDescent="0.2">
      <c r="A18" s="42"/>
      <c r="B18" s="44"/>
      <c r="C18" s="44"/>
      <c r="D18" s="44"/>
      <c r="E18" s="44"/>
      <c r="G18" s="42"/>
    </row>
    <row r="19" spans="1:13" ht="15.75" x14ac:dyDescent="0.25">
      <c r="A19" s="261" t="s">
        <v>691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45"/>
      <c r="M19" s="45"/>
    </row>
    <row r="20" spans="1:13" ht="15.7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5.75" x14ac:dyDescent="0.25">
      <c r="A21" s="262" t="s">
        <v>248</v>
      </c>
      <c r="B21" s="262"/>
      <c r="C21" s="262"/>
      <c r="D21" s="262"/>
      <c r="E21" s="262"/>
      <c r="F21" s="264"/>
      <c r="G21" s="263" t="s">
        <v>249</v>
      </c>
      <c r="H21" s="263"/>
      <c r="I21" s="263"/>
      <c r="J21" s="263"/>
      <c r="K21" s="263"/>
    </row>
    <row r="22" spans="1:13" ht="15.75" customHeight="1" x14ac:dyDescent="0.2">
      <c r="A22" s="167" t="s">
        <v>188</v>
      </c>
      <c r="B22" s="172" t="s">
        <v>189</v>
      </c>
      <c r="C22" s="172" t="s">
        <v>367</v>
      </c>
      <c r="D22" s="172" t="s">
        <v>368</v>
      </c>
      <c r="E22" s="172" t="s">
        <v>369</v>
      </c>
      <c r="F22" s="265"/>
      <c r="G22" s="167" t="s">
        <v>188</v>
      </c>
      <c r="H22" s="172" t="s">
        <v>189</v>
      </c>
      <c r="I22" s="172" t="s">
        <v>367</v>
      </c>
      <c r="J22" s="172" t="s">
        <v>368</v>
      </c>
      <c r="K22" s="172" t="s">
        <v>369</v>
      </c>
    </row>
    <row r="23" spans="1:13" ht="15.75" customHeight="1" x14ac:dyDescent="0.2">
      <c r="A23" s="82" t="s">
        <v>303</v>
      </c>
      <c r="B23" s="174">
        <v>0</v>
      </c>
      <c r="C23" s="4">
        <v>29160442</v>
      </c>
      <c r="D23" s="4">
        <v>29160442</v>
      </c>
      <c r="E23" s="192">
        <f>D23/C23</f>
        <v>1</v>
      </c>
      <c r="F23" s="265"/>
      <c r="G23" s="82" t="s">
        <v>315</v>
      </c>
      <c r="H23" s="174">
        <v>0</v>
      </c>
      <c r="I23" s="4">
        <v>1861148</v>
      </c>
      <c r="J23" s="4">
        <v>1861148</v>
      </c>
      <c r="K23" s="192">
        <f>J23/I23</f>
        <v>1</v>
      </c>
    </row>
    <row r="24" spans="1:13" ht="15.75" customHeight="1" x14ac:dyDescent="0.2">
      <c r="A24" s="82" t="s">
        <v>306</v>
      </c>
      <c r="B24" s="174">
        <v>0</v>
      </c>
      <c r="C24" s="4">
        <v>0</v>
      </c>
      <c r="D24" s="4">
        <v>0</v>
      </c>
      <c r="E24" s="192"/>
      <c r="F24" s="265"/>
      <c r="G24" s="82" t="s">
        <v>316</v>
      </c>
      <c r="H24" s="174">
        <v>1517813</v>
      </c>
      <c r="I24" s="4">
        <v>1455414</v>
      </c>
      <c r="J24" s="4">
        <v>500001</v>
      </c>
      <c r="K24" s="192">
        <f>J24/I24</f>
        <v>0.34354554786473129</v>
      </c>
    </row>
    <row r="25" spans="1:13" ht="15.75" customHeight="1" x14ac:dyDescent="0.2">
      <c r="A25" s="82" t="s">
        <v>678</v>
      </c>
      <c r="B25" s="174"/>
      <c r="C25" s="4"/>
      <c r="D25" s="4"/>
      <c r="E25" s="192"/>
      <c r="F25" s="265"/>
      <c r="G25" s="82" t="s">
        <v>317</v>
      </c>
      <c r="H25" s="174"/>
      <c r="I25" s="4"/>
      <c r="J25" s="4">
        <v>0</v>
      </c>
      <c r="K25" s="192"/>
    </row>
    <row r="26" spans="1:13" ht="15.75" customHeight="1" x14ac:dyDescent="0.2">
      <c r="A26" s="83" t="s">
        <v>308</v>
      </c>
      <c r="B26" s="174">
        <v>0</v>
      </c>
      <c r="C26" s="4"/>
      <c r="D26" s="4"/>
      <c r="E26" s="192"/>
      <c r="F26" s="265"/>
      <c r="G26" s="82" t="s">
        <v>383</v>
      </c>
      <c r="H26" s="195">
        <v>51708200</v>
      </c>
      <c r="I26" s="4">
        <v>68704765</v>
      </c>
      <c r="J26" s="4">
        <v>68704765</v>
      </c>
      <c r="K26" s="192">
        <f>J26/I26</f>
        <v>1</v>
      </c>
    </row>
    <row r="27" spans="1:13" ht="15.75" customHeight="1" x14ac:dyDescent="0.2">
      <c r="A27" s="82" t="s">
        <v>309</v>
      </c>
      <c r="B27" s="174">
        <v>2835003</v>
      </c>
      <c r="C27" s="174">
        <v>7000692</v>
      </c>
      <c r="D27" s="174">
        <v>7000692</v>
      </c>
      <c r="E27" s="192"/>
      <c r="F27" s="265"/>
      <c r="G27" s="82"/>
      <c r="H27" s="177"/>
      <c r="I27" s="5"/>
      <c r="J27" s="5"/>
      <c r="K27" s="193"/>
    </row>
    <row r="28" spans="1:13" ht="15.75" customHeight="1" x14ac:dyDescent="0.2">
      <c r="A28" s="83" t="s">
        <v>310</v>
      </c>
      <c r="B28" s="174">
        <v>2835003</v>
      </c>
      <c r="C28" s="4">
        <v>7000692</v>
      </c>
      <c r="D28" s="4">
        <f>D27</f>
        <v>7000692</v>
      </c>
      <c r="E28" s="192">
        <f>D28/C28</f>
        <v>1</v>
      </c>
      <c r="F28" s="265"/>
      <c r="G28" s="83"/>
      <c r="H28" s="177"/>
      <c r="I28" s="5"/>
      <c r="J28" s="5"/>
      <c r="K28" s="193"/>
    </row>
    <row r="29" spans="1:13" ht="12.75" customHeight="1" thickBot="1" x14ac:dyDescent="0.25">
      <c r="A29" s="166" t="s">
        <v>255</v>
      </c>
      <c r="B29" s="175">
        <f>B23+B24+B25+B27</f>
        <v>2835003</v>
      </c>
      <c r="C29" s="175">
        <f>C23+C24+C27</f>
        <v>36161134</v>
      </c>
      <c r="D29" s="175">
        <f>D23+D24+D27</f>
        <v>36161134</v>
      </c>
      <c r="E29" s="192">
        <f>D29/C29</f>
        <v>1</v>
      </c>
      <c r="F29" s="265"/>
      <c r="G29" s="168" t="s">
        <v>256</v>
      </c>
      <c r="H29" s="178">
        <f>SUM(H23:H28)</f>
        <v>53226013</v>
      </c>
      <c r="I29" s="178">
        <f>SUM(I23:I28)</f>
        <v>72021327</v>
      </c>
      <c r="J29" s="178">
        <f>SUM(J23:J28)</f>
        <v>71065914</v>
      </c>
      <c r="K29" s="192">
        <f>J29/I29</f>
        <v>0.98673430440958132</v>
      </c>
    </row>
    <row r="31" spans="1:13" x14ac:dyDescent="0.2">
      <c r="H31" s="9"/>
    </row>
    <row r="34" spans="1:11" x14ac:dyDescent="0.2">
      <c r="A34" s="93" t="s">
        <v>21</v>
      </c>
      <c r="B34" s="96">
        <f>B16+B29</f>
        <v>125506616</v>
      </c>
      <c r="C34" s="96">
        <f>C16+C29</f>
        <v>189048225</v>
      </c>
      <c r="D34" s="96">
        <f>D16+D29</f>
        <v>179969742</v>
      </c>
      <c r="E34" s="194">
        <f>D34/C34</f>
        <v>0.95197795165757304</v>
      </c>
      <c r="G34" s="93" t="s">
        <v>22</v>
      </c>
      <c r="H34" s="96">
        <f>H16+H29</f>
        <v>125506616</v>
      </c>
      <c r="I34" s="96">
        <f>I16+I29</f>
        <v>189048225</v>
      </c>
      <c r="J34" s="96">
        <f>J16+J29</f>
        <v>132793786</v>
      </c>
      <c r="K34" s="194">
        <f>J34/I34</f>
        <v>0.70243339232621727</v>
      </c>
    </row>
    <row r="36" spans="1:11" ht="13.5" customHeight="1" x14ac:dyDescent="0.2">
      <c r="D36" s="3"/>
      <c r="H36" s="3"/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4" orientation="landscape" horizontalDpi="300" verticalDpi="300" r:id="rId1"/>
  <headerFooter alignWithMargins="0">
    <oddHeader>&amp;L2. melléklet a 3/2019.(V.24.) önkormányzati rendelethez&amp;CErzsébet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FF0000"/>
  </sheetPr>
  <dimension ref="A3:K36"/>
  <sheetViews>
    <sheetView zoomScaleNormal="100" workbookViewId="0">
      <selection activeCell="E36" sqref="E36"/>
    </sheetView>
  </sheetViews>
  <sheetFormatPr defaultRowHeight="12.75" x14ac:dyDescent="0.2"/>
  <cols>
    <col min="1" max="1" width="43.42578125" customWidth="1"/>
    <col min="2" max="2" width="12.140625" customWidth="1"/>
    <col min="3" max="4" width="11.28515625" bestFit="1" customWidth="1"/>
    <col min="5" max="5" width="14.140625" bestFit="1" customWidth="1"/>
    <col min="6" max="6" width="1.42578125" customWidth="1"/>
    <col min="7" max="7" width="29.28515625" bestFit="1" customWidth="1"/>
    <col min="8" max="10" width="11.28515625" bestFit="1" customWidth="1"/>
    <col min="11" max="11" width="9.28515625" bestFit="1" customWidth="1"/>
  </cols>
  <sheetData>
    <row r="3" spans="1:11" ht="15.75" x14ac:dyDescent="0.25">
      <c r="A3" s="261" t="s">
        <v>679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5.75" x14ac:dyDescent="0.25">
      <c r="A4" s="39"/>
      <c r="B4" s="39"/>
      <c r="C4" s="39"/>
      <c r="D4" s="39"/>
      <c r="E4" s="39"/>
      <c r="F4" s="39"/>
      <c r="G4" s="39"/>
    </row>
    <row r="5" spans="1:11" x14ac:dyDescent="0.2">
      <c r="A5" s="269"/>
      <c r="B5" s="269"/>
      <c r="C5" s="269"/>
      <c r="D5" s="269"/>
      <c r="E5" s="269"/>
      <c r="F5" s="269"/>
      <c r="G5" s="269"/>
    </row>
    <row r="6" spans="1:11" x14ac:dyDescent="0.2">
      <c r="A6" s="272" t="s">
        <v>186</v>
      </c>
      <c r="B6" s="272"/>
      <c r="C6" s="272"/>
      <c r="D6" s="272"/>
      <c r="E6" s="272"/>
      <c r="F6" s="270"/>
      <c r="G6" s="272" t="s">
        <v>187</v>
      </c>
      <c r="H6" s="272"/>
      <c r="I6" s="272"/>
      <c r="J6" s="272"/>
      <c r="K6" s="272"/>
    </row>
    <row r="7" spans="1:11" x14ac:dyDescent="0.2">
      <c r="A7" s="272"/>
      <c r="B7" s="272"/>
      <c r="C7" s="272"/>
      <c r="D7" s="272"/>
      <c r="E7" s="272"/>
      <c r="F7" s="271"/>
      <c r="G7" s="272"/>
      <c r="H7" s="272"/>
      <c r="I7" s="272"/>
      <c r="J7" s="272"/>
      <c r="K7" s="272"/>
    </row>
    <row r="8" spans="1:11" x14ac:dyDescent="0.2">
      <c r="A8" s="81" t="s">
        <v>188</v>
      </c>
      <c r="B8" s="172" t="s">
        <v>189</v>
      </c>
      <c r="C8" s="172" t="s">
        <v>367</v>
      </c>
      <c r="D8" s="172" t="s">
        <v>368</v>
      </c>
      <c r="E8" s="172" t="s">
        <v>369</v>
      </c>
      <c r="F8" s="271"/>
      <c r="G8" s="180" t="s">
        <v>188</v>
      </c>
      <c r="H8" s="172" t="s">
        <v>189</v>
      </c>
      <c r="I8" s="172" t="s">
        <v>367</v>
      </c>
      <c r="J8" s="172" t="s">
        <v>368</v>
      </c>
      <c r="K8" s="172" t="s">
        <v>369</v>
      </c>
    </row>
    <row r="9" spans="1:11" x14ac:dyDescent="0.2">
      <c r="A9" s="83" t="s">
        <v>250</v>
      </c>
      <c r="B9" s="173">
        <f>'2.Műk+F mérlegek'!B5</f>
        <v>111715213</v>
      </c>
      <c r="C9" s="176">
        <f>'2.Műk+F mérlegek'!C5</f>
        <v>120762273</v>
      </c>
      <c r="D9" s="176">
        <f>'2.Műk+F mérlegek'!D5</f>
        <v>120762273</v>
      </c>
      <c r="E9" s="191">
        <f>D9/C9</f>
        <v>1</v>
      </c>
      <c r="F9" s="271"/>
      <c r="G9" s="181" t="s">
        <v>311</v>
      </c>
      <c r="H9" s="4">
        <f>'2.Műk+F mérlegek'!H5</f>
        <v>7533000</v>
      </c>
      <c r="I9" s="4">
        <f>'2.Műk+F mérlegek'!I5</f>
        <v>13910197</v>
      </c>
      <c r="J9" s="4">
        <f>'2.Műk+F mérlegek'!J5</f>
        <v>12289223</v>
      </c>
      <c r="K9" s="192">
        <f>J9/I9</f>
        <v>0.88346865252878881</v>
      </c>
    </row>
    <row r="10" spans="1:11" ht="25.5" x14ac:dyDescent="0.2">
      <c r="A10" s="83" t="s">
        <v>251</v>
      </c>
      <c r="B10" s="173">
        <f>'2.Műk+F mérlegek'!B6</f>
        <v>5886400</v>
      </c>
      <c r="C10" s="176">
        <f>'2.Műk+F mérlegek'!C6</f>
        <v>22285986</v>
      </c>
      <c r="D10" s="176">
        <f>'2.Műk+F mérlegek'!D6</f>
        <v>13393123</v>
      </c>
      <c r="E10" s="191">
        <f t="shared" ref="E10:E26" si="0">D10/C10</f>
        <v>0.60096614078461685</v>
      </c>
      <c r="F10" s="271"/>
      <c r="G10" s="82" t="s">
        <v>312</v>
      </c>
      <c r="H10" s="174">
        <f>'2.Műk+F mérlegek'!H6</f>
        <v>1782150</v>
      </c>
      <c r="I10" s="4">
        <f>'2.Műk+F mérlegek'!I6</f>
        <v>2229085</v>
      </c>
      <c r="J10" s="4">
        <f>'2.Műk+F mérlegek'!J6</f>
        <v>1950192</v>
      </c>
      <c r="K10" s="192">
        <f t="shared" ref="K10:K26" si="1">J10/I10</f>
        <v>0.87488453782605868</v>
      </c>
    </row>
    <row r="11" spans="1:11" ht="25.5" x14ac:dyDescent="0.2">
      <c r="A11" s="82" t="s">
        <v>302</v>
      </c>
      <c r="B11" s="174">
        <f>SUM(B9:B10)</f>
        <v>117601613</v>
      </c>
      <c r="C11" s="174">
        <f>SUM(C9:C10)</f>
        <v>143048259</v>
      </c>
      <c r="D11" s="174">
        <f>SUM(D9:D10)</f>
        <v>134155396</v>
      </c>
      <c r="E11" s="192">
        <f t="shared" si="0"/>
        <v>0.93783312665133522</v>
      </c>
      <c r="F11" s="271"/>
      <c r="G11" s="82" t="s">
        <v>313</v>
      </c>
      <c r="H11" s="174">
        <f>'2.Műk+F mérlegek'!H7</f>
        <v>10883140</v>
      </c>
      <c r="I11" s="4">
        <f>'2.Műk+F mérlegek'!I7</f>
        <v>21772531</v>
      </c>
      <c r="J11" s="4">
        <f>'2.Műk+F mérlegek'!J7</f>
        <v>17867704</v>
      </c>
      <c r="K11" s="192">
        <f t="shared" si="1"/>
        <v>0.82065351060930858</v>
      </c>
    </row>
    <row r="12" spans="1:11" x14ac:dyDescent="0.2">
      <c r="A12" s="82" t="s">
        <v>303</v>
      </c>
      <c r="B12" s="174">
        <f>'2.Műk+F mérlegek'!B23</f>
        <v>0</v>
      </c>
      <c r="C12" s="4">
        <f>'2.Műk+F mérlegek'!C23</f>
        <v>29160442</v>
      </c>
      <c r="D12" s="4">
        <f>'2.Műk+F mérlegek'!D23</f>
        <v>29160442</v>
      </c>
      <c r="E12" s="192"/>
      <c r="F12" s="271"/>
      <c r="G12" s="82" t="s">
        <v>356</v>
      </c>
      <c r="H12" s="174">
        <f>'2.Műk+F mérlegek'!H8</f>
        <v>3146000</v>
      </c>
      <c r="I12" s="4">
        <f>'2.Műk+F mérlegek'!I8</f>
        <v>3340500</v>
      </c>
      <c r="J12" s="4">
        <f>'2.Műk+F mérlegek'!J8</f>
        <v>2917500</v>
      </c>
      <c r="K12" s="192">
        <f t="shared" si="1"/>
        <v>0.87337224966322402</v>
      </c>
    </row>
    <row r="13" spans="1:11" x14ac:dyDescent="0.2">
      <c r="A13" s="82" t="s">
        <v>304</v>
      </c>
      <c r="B13" s="174">
        <f>B14+B15+B16+B17+B18</f>
        <v>5070000</v>
      </c>
      <c r="C13" s="174">
        <f>C14+C15+C16+C17+C18</f>
        <v>5695000</v>
      </c>
      <c r="D13" s="174">
        <f>D14+D15+D16+D17+D18</f>
        <v>5946013</v>
      </c>
      <c r="E13" s="192">
        <f t="shared" si="0"/>
        <v>1.0440760316066726</v>
      </c>
      <c r="F13" s="271"/>
      <c r="G13" s="82" t="s">
        <v>314</v>
      </c>
      <c r="H13" s="174">
        <f>'2.Műk+F mérlegek'!H10</f>
        <v>48936313</v>
      </c>
      <c r="I13" s="4">
        <f>'2.Műk+F mérlegek'!I10</f>
        <v>75774585</v>
      </c>
      <c r="J13" s="4">
        <f>'2.Műk+F mérlegek'!J10</f>
        <v>26703253</v>
      </c>
      <c r="K13" s="192">
        <f t="shared" si="1"/>
        <v>0.35240381719015684</v>
      </c>
    </row>
    <row r="14" spans="1:11" x14ac:dyDescent="0.2">
      <c r="A14" s="83" t="s">
        <v>384</v>
      </c>
      <c r="B14" s="173"/>
      <c r="C14" s="176"/>
      <c r="D14" s="176"/>
      <c r="E14" s="191"/>
      <c r="F14" s="271"/>
      <c r="G14" s="83" t="s">
        <v>318</v>
      </c>
      <c r="H14" s="173">
        <f>'2.Műk+F mérlegek'!H11</f>
        <v>6561196</v>
      </c>
      <c r="I14" s="4">
        <f>'2.Műk+F mérlegek'!I11</f>
        <v>37069425</v>
      </c>
      <c r="J14" s="54"/>
      <c r="K14" s="192"/>
    </row>
    <row r="15" spans="1:11" x14ac:dyDescent="0.2">
      <c r="A15" s="83" t="s">
        <v>355</v>
      </c>
      <c r="B15" s="173">
        <f>'2.Műk+F mérlegek'!B10</f>
        <v>1100000</v>
      </c>
      <c r="C15" s="176">
        <f>'2.Műk+F mérlegek'!C10</f>
        <v>1100000</v>
      </c>
      <c r="D15" s="176">
        <f>'2.Műk+F mérlegek'!D10</f>
        <v>1584500</v>
      </c>
      <c r="E15" s="191">
        <f t="shared" si="0"/>
        <v>1.4404545454545454</v>
      </c>
      <c r="F15" s="271"/>
      <c r="G15" s="82" t="s">
        <v>315</v>
      </c>
      <c r="H15" s="174">
        <f>'2.Műk+F mérlegek'!H23</f>
        <v>0</v>
      </c>
      <c r="I15" s="4">
        <f>'2.Műk+F mérlegek'!I23</f>
        <v>1861148</v>
      </c>
      <c r="J15" s="4">
        <f>'2.Műk+F mérlegek'!J23</f>
        <v>1861148</v>
      </c>
      <c r="K15" s="192">
        <f t="shared" si="1"/>
        <v>1</v>
      </c>
    </row>
    <row r="16" spans="1:11" x14ac:dyDescent="0.2">
      <c r="A16" s="83" t="s">
        <v>190</v>
      </c>
      <c r="B16" s="173">
        <f>'2.Műk+F mérlegek'!B11</f>
        <v>2200000</v>
      </c>
      <c r="C16" s="176">
        <f>'2.Műk+F mérlegek'!C11</f>
        <v>2700000</v>
      </c>
      <c r="D16" s="176">
        <f>'2.Műk+F mérlegek'!D11</f>
        <v>2499655</v>
      </c>
      <c r="E16" s="191">
        <f t="shared" si="0"/>
        <v>0.9257981481481482</v>
      </c>
      <c r="F16" s="271"/>
      <c r="G16" s="82" t="s">
        <v>316</v>
      </c>
      <c r="H16" s="174">
        <f>'2.Műk+F mérlegek'!H24</f>
        <v>1517813</v>
      </c>
      <c r="I16" s="4">
        <f>'2.Műk+F mérlegek'!I24</f>
        <v>1455414</v>
      </c>
      <c r="J16" s="4">
        <f>'2.Műk+F mérlegek'!J24</f>
        <v>500001</v>
      </c>
      <c r="K16" s="192">
        <f t="shared" si="1"/>
        <v>0.34354554786473129</v>
      </c>
    </row>
    <row r="17" spans="1:11" x14ac:dyDescent="0.2">
      <c r="A17" s="83" t="s">
        <v>301</v>
      </c>
      <c r="B17" s="173">
        <f>'2.Műk+F mérlegek'!B12</f>
        <v>520000</v>
      </c>
      <c r="C17" s="176">
        <f>'2.Műk+F mérlegek'!C12</f>
        <v>645000</v>
      </c>
      <c r="D17" s="176">
        <f>'2.Műk+F mérlegek'!D12</f>
        <v>563385</v>
      </c>
      <c r="E17" s="191">
        <f t="shared" si="0"/>
        <v>0.87346511627906975</v>
      </c>
      <c r="F17" s="271"/>
      <c r="G17" s="82" t="s">
        <v>317</v>
      </c>
      <c r="H17" s="174">
        <f>'2.Műk+F mérlegek'!H25</f>
        <v>0</v>
      </c>
      <c r="I17" s="4">
        <f>'2.Műk+F mérlegek'!I25</f>
        <v>0</v>
      </c>
      <c r="J17" s="4">
        <f>'2.Műk+F mérlegek'!J25</f>
        <v>0</v>
      </c>
      <c r="K17" s="192"/>
    </row>
    <row r="18" spans="1:11" x14ac:dyDescent="0.2">
      <c r="A18" s="83" t="s">
        <v>670</v>
      </c>
      <c r="B18" s="173">
        <f>'2.Műk+F mérlegek'!B13</f>
        <v>1250000</v>
      </c>
      <c r="C18" s="176">
        <f>'2.Műk+F mérlegek'!C13</f>
        <v>1250000</v>
      </c>
      <c r="D18" s="176">
        <f>'2.Műk+F mérlegek'!D13</f>
        <v>1298473</v>
      </c>
      <c r="E18" s="191">
        <f t="shared" si="0"/>
        <v>1.0387784</v>
      </c>
      <c r="F18" s="271"/>
      <c r="G18" s="82" t="s">
        <v>383</v>
      </c>
      <c r="H18" s="174">
        <f>'2.Műk+F mérlegek'!H26</f>
        <v>51708200</v>
      </c>
      <c r="I18" s="4">
        <f>'2.Műk+F mérlegek'!I26</f>
        <v>68704765</v>
      </c>
      <c r="J18" s="4">
        <f>'2.Műk+F mérlegek'!J26</f>
        <v>68704765</v>
      </c>
      <c r="K18" s="192">
        <f t="shared" si="1"/>
        <v>1</v>
      </c>
    </row>
    <row r="19" spans="1:11" x14ac:dyDescent="0.2">
      <c r="A19" s="82" t="s">
        <v>305</v>
      </c>
      <c r="B19" s="174">
        <f>'2.Műk+F mérlegek'!B14</f>
        <v>0</v>
      </c>
      <c r="C19" s="4">
        <f>'2.Műk+F mérlegek'!C14</f>
        <v>3643831</v>
      </c>
      <c r="D19" s="4">
        <f>'2.Műk+F mérlegek'!D14</f>
        <v>2115099</v>
      </c>
      <c r="E19" s="192">
        <f t="shared" si="0"/>
        <v>0.58046023539511027</v>
      </c>
      <c r="F19" s="271"/>
      <c r="G19" s="84"/>
      <c r="H19" s="35"/>
      <c r="I19" s="2"/>
      <c r="J19" s="2"/>
      <c r="K19" s="192"/>
    </row>
    <row r="20" spans="1:11" x14ac:dyDescent="0.2">
      <c r="A20" s="82" t="s">
        <v>306</v>
      </c>
      <c r="B20" s="174">
        <f>'2.Műk+F mérlegek'!B24</f>
        <v>0</v>
      </c>
      <c r="C20" s="174">
        <f>'2.Műk+F mérlegek'!C24</f>
        <v>0</v>
      </c>
      <c r="D20" s="174">
        <f>'2.Műk+F mérlegek'!D24</f>
        <v>0</v>
      </c>
      <c r="E20" s="192" t="e">
        <f t="shared" si="0"/>
        <v>#DIV/0!</v>
      </c>
      <c r="F20" s="271"/>
      <c r="G20" s="84"/>
      <c r="H20" s="35"/>
      <c r="I20" s="2"/>
      <c r="J20" s="2"/>
      <c r="K20" s="192"/>
    </row>
    <row r="21" spans="1:11" x14ac:dyDescent="0.2">
      <c r="A21" s="82" t="s">
        <v>560</v>
      </c>
      <c r="B21" s="174">
        <f>'2.Műk+F mérlegek'!B15</f>
        <v>0</v>
      </c>
      <c r="C21" s="4">
        <f>'2.Műk+F mérlegek'!C15</f>
        <v>500001</v>
      </c>
      <c r="D21" s="4">
        <f>'2.Műk+F mérlegek'!D15</f>
        <v>1592100</v>
      </c>
      <c r="E21" s="192">
        <f t="shared" si="0"/>
        <v>3.1841936316127368</v>
      </c>
      <c r="F21" s="271"/>
      <c r="G21" s="84"/>
      <c r="H21" s="35"/>
      <c r="I21" s="2"/>
      <c r="J21" s="2"/>
      <c r="K21" s="192"/>
    </row>
    <row r="22" spans="1:11" x14ac:dyDescent="0.2">
      <c r="A22" s="82" t="s">
        <v>307</v>
      </c>
      <c r="B22" s="174">
        <f>'2.Műk+F mérlegek'!B25</f>
        <v>0</v>
      </c>
      <c r="C22" s="174">
        <f>'2.Műk+F mérlegek'!C25</f>
        <v>0</v>
      </c>
      <c r="D22" s="174">
        <f>'2.Műk+F mérlegek'!D25</f>
        <v>0</v>
      </c>
      <c r="E22" s="192"/>
      <c r="F22" s="271"/>
      <c r="G22" s="84"/>
      <c r="H22" s="35"/>
      <c r="I22" s="2"/>
      <c r="J22" s="2"/>
      <c r="K22" s="192"/>
    </row>
    <row r="23" spans="1:11" x14ac:dyDescent="0.2">
      <c r="A23" s="83" t="s">
        <v>308</v>
      </c>
      <c r="B23" s="174">
        <v>0</v>
      </c>
      <c r="C23" s="4"/>
      <c r="D23" s="4"/>
      <c r="E23" s="192"/>
      <c r="F23" s="271"/>
      <c r="G23" s="84"/>
      <c r="H23" s="35"/>
      <c r="I23" s="2"/>
      <c r="J23" s="2"/>
      <c r="K23" s="192"/>
    </row>
    <row r="24" spans="1:11" x14ac:dyDescent="0.2">
      <c r="A24" s="82" t="s">
        <v>309</v>
      </c>
      <c r="B24" s="174">
        <f>'2.Műk+F mérlegek'!B27</f>
        <v>2835003</v>
      </c>
      <c r="C24" s="4">
        <f>'2.Műk+F mérlegek'!C27</f>
        <v>7000692</v>
      </c>
      <c r="D24" s="4">
        <f>'2.Műk+F mérlegek'!D27</f>
        <v>7000692</v>
      </c>
      <c r="E24" s="192">
        <f t="shared" si="0"/>
        <v>1</v>
      </c>
      <c r="F24" s="271"/>
      <c r="G24" s="84"/>
      <c r="H24" s="35"/>
      <c r="I24" s="2"/>
      <c r="J24" s="2"/>
      <c r="K24" s="192"/>
    </row>
    <row r="25" spans="1:11" x14ac:dyDescent="0.2">
      <c r="A25" s="83" t="s">
        <v>310</v>
      </c>
      <c r="B25" s="174">
        <f>'2.Műk+F mérlegek'!B28</f>
        <v>2835003</v>
      </c>
      <c r="C25" s="4">
        <f>'2.Műk+F mérlegek'!C28</f>
        <v>7000692</v>
      </c>
      <c r="D25" s="4">
        <f>'2.Műk+F mérlegek'!D28</f>
        <v>7000692</v>
      </c>
      <c r="E25" s="192">
        <f t="shared" si="0"/>
        <v>1</v>
      </c>
      <c r="F25" s="271"/>
      <c r="G25" s="84"/>
      <c r="H25" s="35"/>
      <c r="I25" s="2"/>
      <c r="J25" s="2"/>
      <c r="K25" s="192"/>
    </row>
    <row r="26" spans="1:11" ht="13.5" thickBot="1" x14ac:dyDescent="0.25">
      <c r="A26" s="85" t="s">
        <v>252</v>
      </c>
      <c r="B26" s="179">
        <f>B11+B12+B13+B19+B20+B23+B24+B21</f>
        <v>125506616</v>
      </c>
      <c r="C26" s="179">
        <f>C11+C12+C13+C19+C20+C23+C24+C21</f>
        <v>189048225</v>
      </c>
      <c r="D26" s="179">
        <f>D11+D12+D13+D19+D20+D23+D24+D21</f>
        <v>179969742</v>
      </c>
      <c r="E26" s="192">
        <f t="shared" si="0"/>
        <v>0.95197795165757304</v>
      </c>
      <c r="F26" s="271"/>
      <c r="G26" s="86" t="s">
        <v>257</v>
      </c>
      <c r="H26" s="179">
        <f>SUM(H9:H18)-H14</f>
        <v>125506616</v>
      </c>
      <c r="I26" s="179">
        <f>SUM(I9:I18)-I14</f>
        <v>189048225</v>
      </c>
      <c r="J26" s="179">
        <f>SUM(J9:J18)-J14</f>
        <v>132793786</v>
      </c>
      <c r="K26" s="192">
        <f t="shared" si="1"/>
        <v>0.70243339232621727</v>
      </c>
    </row>
    <row r="27" spans="1:11" x14ac:dyDescent="0.2">
      <c r="F27" s="46"/>
    </row>
    <row r="28" spans="1:11" x14ac:dyDescent="0.2">
      <c r="F28" s="46"/>
      <c r="H28" s="9"/>
    </row>
    <row r="29" spans="1:11" x14ac:dyDescent="0.2">
      <c r="F29" s="46"/>
    </row>
    <row r="30" spans="1:11" x14ac:dyDescent="0.2">
      <c r="F30" s="46"/>
    </row>
    <row r="31" spans="1:11" x14ac:dyDescent="0.2">
      <c r="F31" s="46"/>
    </row>
    <row r="32" spans="1:11" x14ac:dyDescent="0.2">
      <c r="F32" s="46"/>
    </row>
    <row r="33" spans="6:6" x14ac:dyDescent="0.2">
      <c r="F33" s="46"/>
    </row>
    <row r="36" spans="6:6" ht="13.5" customHeight="1" x14ac:dyDescent="0.2"/>
  </sheetData>
  <mergeCells count="5">
    <mergeCell ref="A5:G5"/>
    <mergeCell ref="F6:F26"/>
    <mergeCell ref="A3:K3"/>
    <mergeCell ref="G6:K7"/>
    <mergeCell ref="A6:E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87" orientation="landscape" r:id="rId1"/>
  <headerFooter>
    <oddHeader xml:space="preserve">&amp;L3. melléklet a ../2018.(....) önkormányzati rendelethez&amp;CErzsébet Község Önkormányzat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E36"/>
  <sheetViews>
    <sheetView zoomScaleNormal="100" workbookViewId="0">
      <selection activeCell="E36" sqref="E36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61" t="s">
        <v>693</v>
      </c>
      <c r="B1" s="261"/>
      <c r="C1" s="261"/>
      <c r="D1" s="261"/>
    </row>
    <row r="2" spans="1:5" ht="15.75" x14ac:dyDescent="0.25">
      <c r="A2" s="276" t="s">
        <v>680</v>
      </c>
      <c r="B2" s="276"/>
      <c r="C2" s="276"/>
      <c r="D2" s="276"/>
    </row>
    <row r="3" spans="1:5" ht="18.75" x14ac:dyDescent="0.3">
      <c r="A3" s="52"/>
      <c r="B3" s="52"/>
      <c r="C3" s="52"/>
      <c r="D3" s="52"/>
    </row>
    <row r="5" spans="1:5" ht="15.75" x14ac:dyDescent="0.25">
      <c r="A5" s="47" t="s">
        <v>561</v>
      </c>
      <c r="C5" s="273" t="s">
        <v>357</v>
      </c>
      <c r="D5" s="274"/>
    </row>
    <row r="7" spans="1:5" ht="15.75" x14ac:dyDescent="0.25">
      <c r="A7" s="48" t="s">
        <v>233</v>
      </c>
      <c r="B7" s="5">
        <f>'2.Műk+F mérlegek'!B28</f>
        <v>2835003</v>
      </c>
    </row>
    <row r="8" spans="1:5" ht="15.75" x14ac:dyDescent="0.25">
      <c r="A8" s="49"/>
    </row>
    <row r="9" spans="1:5" x14ac:dyDescent="0.2">
      <c r="A9" s="275" t="s">
        <v>260</v>
      </c>
      <c r="B9" s="277" t="s">
        <v>230</v>
      </c>
      <c r="C9" s="278"/>
      <c r="D9" s="278"/>
      <c r="E9" s="279"/>
    </row>
    <row r="10" spans="1:5" ht="31.5" x14ac:dyDescent="0.25">
      <c r="A10" s="275"/>
      <c r="B10" s="196" t="s">
        <v>235</v>
      </c>
      <c r="C10" s="197" t="s">
        <v>261</v>
      </c>
      <c r="D10" s="197" t="s">
        <v>234</v>
      </c>
      <c r="E10" s="199" t="s">
        <v>385</v>
      </c>
    </row>
    <row r="11" spans="1:5" ht="15.75" x14ac:dyDescent="0.25">
      <c r="A11" s="261" t="s">
        <v>698</v>
      </c>
      <c r="B11" s="261"/>
      <c r="C11" s="261"/>
      <c r="D11" s="261"/>
      <c r="E11" s="198"/>
    </row>
    <row r="12" spans="1:5" x14ac:dyDescent="0.2">
      <c r="A12" s="8" t="s">
        <v>229</v>
      </c>
      <c r="B12" s="4">
        <f>B7</f>
        <v>2835003</v>
      </c>
      <c r="C12" s="4">
        <f>SUM(C11:C11)</f>
        <v>0</v>
      </c>
      <c r="D12" s="4">
        <f>B12-C12</f>
        <v>2835003</v>
      </c>
      <c r="E12" s="4">
        <f>'2.Műk+F mérlegek'!D27</f>
        <v>7000692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81" t="s">
        <v>262</v>
      </c>
      <c r="B15" s="281"/>
      <c r="C15" s="281"/>
      <c r="D15" s="4">
        <f>D12</f>
        <v>2835003</v>
      </c>
      <c r="E15" s="4">
        <f>E12</f>
        <v>7000692</v>
      </c>
    </row>
    <row r="16" spans="1:5" x14ac:dyDescent="0.2">
      <c r="A16" s="50"/>
      <c r="E16" s="3"/>
    </row>
    <row r="17" spans="1:5" x14ac:dyDescent="0.2">
      <c r="A17" s="50"/>
      <c r="E17" s="3"/>
    </row>
    <row r="18" spans="1:5" x14ac:dyDescent="0.2">
      <c r="A18" s="50"/>
      <c r="E18" s="3"/>
    </row>
    <row r="19" spans="1:5" x14ac:dyDescent="0.2">
      <c r="A19" s="50"/>
      <c r="E19" s="3"/>
    </row>
    <row r="20" spans="1:5" x14ac:dyDescent="0.2">
      <c r="A20" s="50"/>
      <c r="E20" s="3"/>
    </row>
    <row r="21" spans="1:5" ht="15.75" customHeight="1" x14ac:dyDescent="0.2">
      <c r="A21" s="267"/>
      <c r="B21" s="267"/>
      <c r="C21" s="267"/>
      <c r="D21" s="267"/>
      <c r="E21" s="23"/>
    </row>
    <row r="22" spans="1:5" ht="15.75" x14ac:dyDescent="0.25">
      <c r="A22" s="35"/>
      <c r="B22" s="35"/>
      <c r="C22" s="237"/>
      <c r="D22" s="35"/>
      <c r="E22" s="23"/>
    </row>
    <row r="23" spans="1:5" ht="15.75" x14ac:dyDescent="0.25">
      <c r="A23" s="283"/>
      <c r="B23" s="283"/>
      <c r="C23" s="283"/>
      <c r="D23" s="283"/>
      <c r="E23" s="283"/>
    </row>
    <row r="24" spans="1:5" ht="15.75" x14ac:dyDescent="0.25">
      <c r="A24" s="238"/>
      <c r="B24" s="282"/>
      <c r="C24" s="267"/>
      <c r="D24" s="239"/>
      <c r="E24" s="23"/>
    </row>
    <row r="25" spans="1:5" ht="15.75" x14ac:dyDescent="0.25">
      <c r="A25" s="238"/>
      <c r="B25" s="282"/>
      <c r="C25" s="267"/>
      <c r="D25" s="239"/>
      <c r="E25" s="23"/>
    </row>
    <row r="26" spans="1:5" ht="15.75" x14ac:dyDescent="0.25">
      <c r="A26" s="238"/>
      <c r="B26" s="282"/>
      <c r="C26" s="282"/>
      <c r="D26" s="239"/>
      <c r="E26" s="23"/>
    </row>
    <row r="27" spans="1:5" ht="15.75" x14ac:dyDescent="0.25">
      <c r="A27" s="238"/>
      <c r="B27" s="282"/>
      <c r="C27" s="282"/>
      <c r="D27" s="239"/>
      <c r="E27" s="23"/>
    </row>
    <row r="28" spans="1:5" ht="15.75" x14ac:dyDescent="0.25">
      <c r="A28" s="238"/>
      <c r="B28" s="282"/>
      <c r="C28" s="282"/>
      <c r="D28" s="239"/>
      <c r="E28" s="23"/>
    </row>
    <row r="29" spans="1:5" ht="15.75" x14ac:dyDescent="0.25">
      <c r="A29" s="238"/>
      <c r="B29" s="282"/>
      <c r="C29" s="282"/>
      <c r="D29" s="239"/>
      <c r="E29" s="23"/>
    </row>
    <row r="30" spans="1:5" x14ac:dyDescent="0.2">
      <c r="A30" s="280"/>
      <c r="B30" s="280"/>
      <c r="C30" s="280"/>
      <c r="D30" s="43"/>
      <c r="E30" s="43"/>
    </row>
    <row r="31" spans="1:5" x14ac:dyDescent="0.2">
      <c r="A31" s="51"/>
      <c r="B31" s="35"/>
      <c r="C31" s="35"/>
      <c r="D31" s="43"/>
      <c r="E31" s="35"/>
    </row>
    <row r="32" spans="1:5" x14ac:dyDescent="0.2">
      <c r="A32" s="51"/>
      <c r="B32" s="35"/>
      <c r="C32" s="35"/>
      <c r="D32" s="43"/>
    </row>
    <row r="36" ht="13.5" customHeight="1" x14ac:dyDescent="0.2"/>
  </sheetData>
  <mergeCells count="16"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  <mergeCell ref="A11:D11"/>
    <mergeCell ref="A1:D1"/>
    <mergeCell ref="C5:D5"/>
    <mergeCell ref="A9:A10"/>
    <mergeCell ref="A2:D2"/>
    <mergeCell ref="B9:E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91" orientation="portrait" r:id="rId1"/>
  <headerFooter alignWithMargins="0">
    <oddHeader>&amp;L4. melléklet a 3/2019.(V.24.) önkormányzati rendelethez&amp;CErzsébet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Z36"/>
  <sheetViews>
    <sheetView topLeftCell="D1" zoomScaleNormal="100" workbookViewId="0">
      <selection activeCell="E36" sqref="E36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7109375" bestFit="1" customWidth="1"/>
    <col min="4" max="5" width="11.42578125" customWidth="1"/>
    <col min="6" max="8" width="13" customWidth="1"/>
    <col min="9" max="9" width="10.7109375" bestFit="1" customWidth="1"/>
    <col min="10" max="11" width="11" customWidth="1"/>
    <col min="12" max="12" width="8.140625" bestFit="1" customWidth="1"/>
    <col min="13" max="14" width="11.7109375" customWidth="1"/>
    <col min="15" max="17" width="10.140625" customWidth="1"/>
    <col min="18" max="20" width="13.28515625" customWidth="1"/>
    <col min="21" max="23" width="10.85546875" customWidth="1"/>
    <col min="24" max="26" width="11.7109375" bestFit="1" customWidth="1"/>
  </cols>
  <sheetData>
    <row r="1" spans="1:26" x14ac:dyDescent="0.2">
      <c r="B1" s="289" t="s">
        <v>694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6" s="9" customFormat="1" ht="43.5" customHeight="1" x14ac:dyDescent="0.2">
      <c r="A2" s="291" t="s">
        <v>319</v>
      </c>
      <c r="B2" s="291" t="s">
        <v>320</v>
      </c>
      <c r="C2" s="284" t="s">
        <v>321</v>
      </c>
      <c r="D2" s="285"/>
      <c r="E2" s="286"/>
      <c r="F2" s="284" t="s">
        <v>322</v>
      </c>
      <c r="G2" s="285"/>
      <c r="H2" s="286"/>
      <c r="I2" s="284" t="s">
        <v>323</v>
      </c>
      <c r="J2" s="285"/>
      <c r="K2" s="286"/>
      <c r="L2" s="284" t="s">
        <v>305</v>
      </c>
      <c r="M2" s="285"/>
      <c r="N2" s="286"/>
      <c r="O2" s="284" t="s">
        <v>324</v>
      </c>
      <c r="P2" s="285"/>
      <c r="Q2" s="286"/>
      <c r="R2" s="284" t="s">
        <v>325</v>
      </c>
      <c r="S2" s="285"/>
      <c r="T2" s="286"/>
      <c r="U2" s="284" t="s">
        <v>326</v>
      </c>
      <c r="V2" s="285"/>
      <c r="W2" s="286"/>
      <c r="X2" s="293" t="s">
        <v>235</v>
      </c>
      <c r="Y2" s="293"/>
      <c r="Z2" s="293"/>
    </row>
    <row r="3" spans="1:26" s="9" customFormat="1" x14ac:dyDescent="0.2">
      <c r="A3" s="292"/>
      <c r="B3" s="292"/>
      <c r="C3" s="172" t="s">
        <v>189</v>
      </c>
      <c r="D3" s="172" t="s">
        <v>212</v>
      </c>
      <c r="E3" s="172" t="s">
        <v>370</v>
      </c>
      <c r="F3" s="172" t="s">
        <v>189</v>
      </c>
      <c r="G3" s="172" t="s">
        <v>212</v>
      </c>
      <c r="H3" s="172" t="s">
        <v>370</v>
      </c>
      <c r="I3" s="172" t="s">
        <v>189</v>
      </c>
      <c r="J3" s="172" t="s">
        <v>212</v>
      </c>
      <c r="K3" s="172" t="s">
        <v>370</v>
      </c>
      <c r="L3" s="172" t="s">
        <v>189</v>
      </c>
      <c r="M3" s="172" t="s">
        <v>212</v>
      </c>
      <c r="N3" s="172" t="s">
        <v>370</v>
      </c>
      <c r="O3" s="172" t="s">
        <v>189</v>
      </c>
      <c r="P3" s="172" t="s">
        <v>212</v>
      </c>
      <c r="Q3" s="172" t="s">
        <v>370</v>
      </c>
      <c r="R3" s="172" t="s">
        <v>189</v>
      </c>
      <c r="S3" s="172" t="s">
        <v>212</v>
      </c>
      <c r="T3" s="172" t="s">
        <v>370</v>
      </c>
      <c r="U3" s="172" t="s">
        <v>189</v>
      </c>
      <c r="V3" s="172" t="s">
        <v>212</v>
      </c>
      <c r="W3" s="172" t="s">
        <v>370</v>
      </c>
      <c r="X3" s="172" t="s">
        <v>189</v>
      </c>
      <c r="Y3" s="172" t="s">
        <v>212</v>
      </c>
      <c r="Z3" s="172" t="s">
        <v>370</v>
      </c>
    </row>
    <row r="4" spans="1:26" s="9" customFormat="1" x14ac:dyDescent="0.2">
      <c r="A4" s="287" t="s">
        <v>239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54"/>
      <c r="Z4" s="54"/>
    </row>
    <row r="5" spans="1:26" ht="15" x14ac:dyDescent="0.25">
      <c r="A5" s="137" t="s">
        <v>102</v>
      </c>
      <c r="B5" s="138" t="s">
        <v>237</v>
      </c>
      <c r="C5" s="15"/>
      <c r="D5" s="15"/>
      <c r="E5" s="15">
        <v>2150162</v>
      </c>
      <c r="F5" s="15"/>
      <c r="G5" s="15"/>
      <c r="H5" s="15"/>
      <c r="I5" s="15"/>
      <c r="J5" s="15"/>
      <c r="K5" s="15"/>
      <c r="L5" s="15"/>
      <c r="M5" s="15"/>
      <c r="N5" s="15">
        <f>2115099+1092100</f>
        <v>3207199</v>
      </c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5">
        <f>SUM(D5,G5,J5,M5,P5,S5,V5)</f>
        <v>0</v>
      </c>
      <c r="Z5" s="5">
        <f t="shared" ref="Z5:Z15" si="0">SUM(E5,H5,K5,N5,Q5,T5,W5)</f>
        <v>5357361</v>
      </c>
    </row>
    <row r="6" spans="1:26" ht="15" x14ac:dyDescent="0.25">
      <c r="A6" s="137" t="s">
        <v>101</v>
      </c>
      <c r="B6" s="138" t="s">
        <v>387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f>SUM(C6,F6,I6,O6,R6,U6)</f>
        <v>0</v>
      </c>
      <c r="Y6" s="5">
        <f t="shared" ref="Y6:Y15" si="1">SUM(D6,G6,J6,M6,P6,S6,V6)</f>
        <v>0</v>
      </c>
      <c r="Z6" s="5">
        <f t="shared" si="0"/>
        <v>0</v>
      </c>
    </row>
    <row r="7" spans="1:26" ht="15" x14ac:dyDescent="0.25">
      <c r="A7" s="104" t="s">
        <v>104</v>
      </c>
      <c r="B7" s="102" t="s">
        <v>177</v>
      </c>
      <c r="C7" s="15"/>
      <c r="D7" s="15"/>
      <c r="E7" s="15">
        <v>120762273</v>
      </c>
      <c r="F7" s="15"/>
      <c r="G7" s="15"/>
      <c r="H7" s="15">
        <v>0</v>
      </c>
      <c r="I7" s="15"/>
      <c r="J7" s="15"/>
      <c r="K7" s="15"/>
      <c r="L7" s="15"/>
      <c r="M7" s="15"/>
      <c r="N7" s="15"/>
      <c r="O7" s="15"/>
      <c r="P7" s="15"/>
      <c r="Q7" s="15">
        <v>29160442</v>
      </c>
      <c r="R7" s="17"/>
      <c r="S7" s="17"/>
      <c r="T7" s="17"/>
      <c r="U7" s="15"/>
      <c r="V7" s="15"/>
      <c r="W7" s="15">
        <v>4412228</v>
      </c>
      <c r="X7" s="15">
        <f>SUM(C7,F7,I7,O7,R7,U7)</f>
        <v>0</v>
      </c>
      <c r="Y7" s="5">
        <f t="shared" si="1"/>
        <v>0</v>
      </c>
      <c r="Z7" s="5">
        <f t="shared" si="0"/>
        <v>154334943</v>
      </c>
    </row>
    <row r="8" spans="1:26" ht="15" x14ac:dyDescent="0.25">
      <c r="A8" s="104" t="s">
        <v>178</v>
      </c>
      <c r="B8" s="102" t="s">
        <v>386</v>
      </c>
      <c r="C8" s="15"/>
      <c r="D8" s="15"/>
      <c r="E8" s="15">
        <v>9112367</v>
      </c>
      <c r="F8" s="15"/>
      <c r="G8" s="15"/>
      <c r="H8" s="15"/>
      <c r="I8" s="15"/>
      <c r="J8" s="15"/>
      <c r="K8" s="15"/>
      <c r="L8" s="15"/>
      <c r="M8" s="15"/>
      <c r="N8" s="15">
        <v>500000</v>
      </c>
      <c r="O8" s="15"/>
      <c r="P8" s="15"/>
      <c r="Q8" s="15"/>
      <c r="R8" s="17"/>
      <c r="S8" s="17"/>
      <c r="T8" s="17"/>
      <c r="U8" s="15">
        <v>0</v>
      </c>
      <c r="V8" s="15"/>
      <c r="W8" s="15">
        <v>7000692</v>
      </c>
      <c r="X8" s="15">
        <f t="shared" ref="X8:X15" si="2">SUM(C8,F8,I8,O8,R8,U8)</f>
        <v>0</v>
      </c>
      <c r="Y8" s="5">
        <f t="shared" si="1"/>
        <v>0</v>
      </c>
      <c r="Z8" s="5">
        <f t="shared" si="0"/>
        <v>16613059</v>
      </c>
    </row>
    <row r="9" spans="1:26" ht="15" x14ac:dyDescent="0.25">
      <c r="A9" s="104" t="s">
        <v>182</v>
      </c>
      <c r="B9" s="113" t="s">
        <v>348</v>
      </c>
      <c r="C9" s="15"/>
      <c r="D9" s="15"/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2"/>
        <v>0</v>
      </c>
      <c r="Y9" s="5">
        <f t="shared" si="1"/>
        <v>0</v>
      </c>
      <c r="Z9" s="5">
        <f t="shared" si="0"/>
        <v>0</v>
      </c>
    </row>
    <row r="10" spans="1:26" ht="15" x14ac:dyDescent="0.25">
      <c r="A10" s="104" t="s">
        <v>183</v>
      </c>
      <c r="B10" s="113" t="s">
        <v>349</v>
      </c>
      <c r="C10" s="15"/>
      <c r="D10" s="15"/>
      <c r="E10" s="15">
        <v>2130594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2"/>
        <v>0</v>
      </c>
      <c r="Y10" s="5">
        <f t="shared" si="1"/>
        <v>0</v>
      </c>
      <c r="Z10" s="5">
        <f t="shared" si="0"/>
        <v>2130594</v>
      </c>
    </row>
    <row r="11" spans="1:26" ht="15" x14ac:dyDescent="0.25">
      <c r="A11" s="104" t="s">
        <v>343</v>
      </c>
      <c r="B11" s="123" t="s">
        <v>344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2"/>
        <v>0</v>
      </c>
      <c r="Y11" s="5">
        <f t="shared" si="1"/>
        <v>0</v>
      </c>
      <c r="Z11" s="5">
        <f t="shared" si="0"/>
        <v>0</v>
      </c>
    </row>
    <row r="12" spans="1:26" ht="15" x14ac:dyDescent="0.25">
      <c r="A12" s="104" t="s">
        <v>105</v>
      </c>
      <c r="B12" s="131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2"/>
        <v>0</v>
      </c>
      <c r="Y12" s="5">
        <f t="shared" si="1"/>
        <v>0</v>
      </c>
      <c r="Z12" s="5">
        <f t="shared" si="0"/>
        <v>0</v>
      </c>
    </row>
    <row r="13" spans="1:26" ht="15" x14ac:dyDescent="0.25">
      <c r="A13" s="104" t="s">
        <v>113</v>
      </c>
      <c r="B13" s="131" t="s">
        <v>236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2"/>
        <v>0</v>
      </c>
      <c r="Y13" s="5">
        <f t="shared" si="1"/>
        <v>0</v>
      </c>
      <c r="Z13" s="5">
        <f t="shared" si="0"/>
        <v>0</v>
      </c>
    </row>
    <row r="14" spans="1:26" ht="15" x14ac:dyDescent="0.25">
      <c r="A14" s="104" t="s">
        <v>327</v>
      </c>
      <c r="B14" s="131" t="s">
        <v>346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>
        <f t="shared" si="2"/>
        <v>0</v>
      </c>
      <c r="Y14" s="5">
        <f t="shared" si="1"/>
        <v>0</v>
      </c>
      <c r="Z14" s="5">
        <f t="shared" si="0"/>
        <v>0</v>
      </c>
    </row>
    <row r="15" spans="1:26" ht="15" x14ac:dyDescent="0.25">
      <c r="A15" s="104" t="s">
        <v>335</v>
      </c>
      <c r="B15" s="102" t="s">
        <v>336</v>
      </c>
      <c r="C15" s="15"/>
      <c r="D15" s="15"/>
      <c r="E15" s="15"/>
      <c r="F15" s="15"/>
      <c r="G15" s="15"/>
      <c r="H15" s="15"/>
      <c r="I15" s="15"/>
      <c r="J15" s="15"/>
      <c r="K15" s="15">
        <v>5946013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f t="shared" si="2"/>
        <v>0</v>
      </c>
      <c r="Y15" s="5">
        <f t="shared" si="1"/>
        <v>0</v>
      </c>
      <c r="Z15" s="5">
        <f t="shared" si="0"/>
        <v>5946013</v>
      </c>
    </row>
    <row r="16" spans="1:26" s="27" customFormat="1" x14ac:dyDescent="0.2">
      <c r="A16" s="24"/>
      <c r="B16" s="38" t="s">
        <v>202</v>
      </c>
      <c r="C16" s="26">
        <f t="shared" ref="C16:W16" si="3">SUM(C5:C15)</f>
        <v>0</v>
      </c>
      <c r="D16" s="26">
        <f t="shared" si="3"/>
        <v>0</v>
      </c>
      <c r="E16" s="26">
        <f t="shared" si="3"/>
        <v>134155396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5946013</v>
      </c>
      <c r="L16" s="26">
        <f t="shared" si="3"/>
        <v>0</v>
      </c>
      <c r="M16" s="26">
        <f t="shared" si="3"/>
        <v>0</v>
      </c>
      <c r="N16" s="26">
        <f t="shared" si="3"/>
        <v>3707199</v>
      </c>
      <c r="O16" s="26">
        <f t="shared" si="3"/>
        <v>0</v>
      </c>
      <c r="P16" s="26">
        <f t="shared" si="3"/>
        <v>0</v>
      </c>
      <c r="Q16" s="26">
        <f t="shared" si="3"/>
        <v>29160442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11412920</v>
      </c>
      <c r="X16" s="26">
        <f>SUM(C16,F16,I16,L16,O16,R16,U16)</f>
        <v>0</v>
      </c>
      <c r="Y16" s="5">
        <f>SUM(D16,G16,J16,M16,P16,S16,V16)</f>
        <v>0</v>
      </c>
      <c r="Z16" s="5">
        <f>SUM(C16:Y16)</f>
        <v>184381970</v>
      </c>
    </row>
    <row r="17" spans="1:26" s="27" customFormat="1" x14ac:dyDescent="0.2">
      <c r="A17" s="87"/>
      <c r="B17" s="73" t="s">
        <v>203</v>
      </c>
      <c r="C17" s="74">
        <f t="shared" ref="C17:O17" si="4">C16</f>
        <v>0</v>
      </c>
      <c r="D17" s="74">
        <f t="shared" si="4"/>
        <v>0</v>
      </c>
      <c r="E17" s="74">
        <f t="shared" si="4"/>
        <v>134155396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0</v>
      </c>
      <c r="J17" s="74">
        <f t="shared" si="4"/>
        <v>0</v>
      </c>
      <c r="K17" s="74">
        <f t="shared" si="4"/>
        <v>5946013</v>
      </c>
      <c r="L17" s="74">
        <f t="shared" si="4"/>
        <v>0</v>
      </c>
      <c r="M17" s="74">
        <f t="shared" si="4"/>
        <v>0</v>
      </c>
      <c r="N17" s="74">
        <f t="shared" si="4"/>
        <v>3707199</v>
      </c>
      <c r="O17" s="74">
        <f t="shared" si="4"/>
        <v>0</v>
      </c>
      <c r="P17" s="74"/>
      <c r="Q17" s="74"/>
      <c r="R17" s="74">
        <f>R16</f>
        <v>0</v>
      </c>
      <c r="S17" s="74"/>
      <c r="T17" s="74"/>
      <c r="U17" s="74">
        <f t="shared" ref="U17:Z17" si="5">U16</f>
        <v>0</v>
      </c>
      <c r="V17" s="74">
        <f t="shared" si="5"/>
        <v>0</v>
      </c>
      <c r="W17" s="74">
        <f t="shared" si="5"/>
        <v>11412920</v>
      </c>
      <c r="X17" s="74">
        <f t="shared" si="5"/>
        <v>0</v>
      </c>
      <c r="Y17" s="74">
        <f t="shared" si="5"/>
        <v>0</v>
      </c>
      <c r="Z17" s="74">
        <f t="shared" si="5"/>
        <v>184381970</v>
      </c>
    </row>
    <row r="20" spans="1:26" x14ac:dyDescent="0.2">
      <c r="Z20" s="3">
        <f>184381970-Z17</f>
        <v>0</v>
      </c>
    </row>
    <row r="36" ht="13.5" customHeight="1" x14ac:dyDescent="0.2"/>
  </sheetData>
  <mergeCells count="12">
    <mergeCell ref="O2:Q2"/>
    <mergeCell ref="R2:T2"/>
    <mergeCell ref="A4:B4"/>
    <mergeCell ref="B1:X1"/>
    <mergeCell ref="A2:A3"/>
    <mergeCell ref="B2:B3"/>
    <mergeCell ref="U2:W2"/>
    <mergeCell ref="X2:Z2"/>
    <mergeCell ref="C2:E2"/>
    <mergeCell ref="F2:H2"/>
    <mergeCell ref="I2:K2"/>
    <mergeCell ref="L2:N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 3/2019.(V.24.) önkormányzati rendelethez&amp;CErzsébet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5FD7-1EBF-4D74-849F-98B837612CE9}">
  <dimension ref="A1"/>
  <sheetViews>
    <sheetView workbookViewId="0">
      <selection activeCell="J32" sqref="J32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C67A-153D-4FA0-B752-F8735F82078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AF36"/>
  <sheetViews>
    <sheetView topLeftCell="E1" zoomScaleNormal="100" workbookViewId="0">
      <selection activeCell="E36" sqref="E36"/>
    </sheetView>
  </sheetViews>
  <sheetFormatPr defaultRowHeight="12.75" x14ac:dyDescent="0.2"/>
  <cols>
    <col min="1" max="1" width="8" bestFit="1" customWidth="1"/>
    <col min="2" max="2" width="64.42578125" bestFit="1" customWidth="1"/>
    <col min="3" max="5" width="10.140625" customWidth="1"/>
    <col min="6" max="8" width="11" customWidth="1"/>
    <col min="9" max="9" width="10.7109375" bestFit="1" customWidth="1"/>
    <col min="10" max="11" width="10.7109375" customWidth="1"/>
    <col min="12" max="14" width="9.5703125" customWidth="1"/>
    <col min="15" max="15" width="10.7109375" bestFit="1" customWidth="1"/>
    <col min="16" max="17" width="10.7109375" customWidth="1"/>
    <col min="18" max="20" width="10.42578125" customWidth="1"/>
    <col min="21" max="22" width="8.28515625" customWidth="1"/>
    <col min="23" max="23" width="10.140625" bestFit="1" customWidth="1"/>
    <col min="24" max="26" width="10" customWidth="1"/>
    <col min="27" max="28" width="9.5703125" customWidth="1"/>
    <col min="29" max="29" width="10.7109375" bestFit="1" customWidth="1"/>
    <col min="30" max="31" width="11.7109375" bestFit="1" customWidth="1"/>
    <col min="32" max="32" width="10.7109375" bestFit="1" customWidth="1"/>
  </cols>
  <sheetData>
    <row r="1" spans="1:32" x14ac:dyDescent="0.2">
      <c r="B1" s="289" t="s">
        <v>695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32" s="9" customFormat="1" ht="39.75" customHeight="1" x14ac:dyDescent="0.2">
      <c r="A2" s="291" t="s">
        <v>319</v>
      </c>
      <c r="B2" s="291" t="s">
        <v>205</v>
      </c>
      <c r="C2" s="294" t="s">
        <v>311</v>
      </c>
      <c r="D2" s="295"/>
      <c r="E2" s="296"/>
      <c r="F2" s="294" t="s">
        <v>331</v>
      </c>
      <c r="G2" s="295"/>
      <c r="H2" s="296"/>
      <c r="I2" s="294" t="s">
        <v>313</v>
      </c>
      <c r="J2" s="295"/>
      <c r="K2" s="296"/>
      <c r="L2" s="294" t="s">
        <v>358</v>
      </c>
      <c r="M2" s="295"/>
      <c r="N2" s="296"/>
      <c r="O2" s="294" t="s">
        <v>329</v>
      </c>
      <c r="P2" s="295"/>
      <c r="Q2" s="296"/>
      <c r="R2" s="294" t="s">
        <v>315</v>
      </c>
      <c r="S2" s="295"/>
      <c r="T2" s="296"/>
      <c r="U2" s="294" t="s">
        <v>316</v>
      </c>
      <c r="V2" s="295"/>
      <c r="W2" s="296"/>
      <c r="X2" s="294" t="s">
        <v>330</v>
      </c>
      <c r="Y2" s="295"/>
      <c r="Z2" s="296"/>
      <c r="AA2" s="294" t="s">
        <v>383</v>
      </c>
      <c r="AB2" s="295"/>
      <c r="AC2" s="296"/>
      <c r="AD2" s="297" t="s">
        <v>235</v>
      </c>
      <c r="AE2" s="297"/>
      <c r="AF2" s="297"/>
    </row>
    <row r="3" spans="1:32" s="9" customFormat="1" x14ac:dyDescent="0.2">
      <c r="A3" s="292"/>
      <c r="B3" s="292"/>
      <c r="C3" s="172" t="s">
        <v>189</v>
      </c>
      <c r="D3" s="172" t="s">
        <v>212</v>
      </c>
      <c r="E3" s="172" t="s">
        <v>370</v>
      </c>
      <c r="F3" s="172" t="s">
        <v>189</v>
      </c>
      <c r="G3" s="172" t="s">
        <v>212</v>
      </c>
      <c r="H3" s="172" t="s">
        <v>370</v>
      </c>
      <c r="I3" s="172" t="s">
        <v>189</v>
      </c>
      <c r="J3" s="172" t="s">
        <v>212</v>
      </c>
      <c r="K3" s="172" t="s">
        <v>370</v>
      </c>
      <c r="L3" s="172" t="s">
        <v>189</v>
      </c>
      <c r="M3" s="172" t="s">
        <v>212</v>
      </c>
      <c r="N3" s="172" t="s">
        <v>370</v>
      </c>
      <c r="O3" s="172" t="s">
        <v>189</v>
      </c>
      <c r="P3" s="172" t="s">
        <v>212</v>
      </c>
      <c r="Q3" s="172" t="s">
        <v>370</v>
      </c>
      <c r="R3" s="172" t="s">
        <v>189</v>
      </c>
      <c r="S3" s="172" t="s">
        <v>212</v>
      </c>
      <c r="T3" s="172" t="s">
        <v>370</v>
      </c>
      <c r="U3" s="172" t="s">
        <v>189</v>
      </c>
      <c r="V3" s="172" t="s">
        <v>212</v>
      </c>
      <c r="W3" s="172" t="s">
        <v>370</v>
      </c>
      <c r="X3" s="172" t="s">
        <v>189</v>
      </c>
      <c r="Y3" s="172" t="s">
        <v>212</v>
      </c>
      <c r="Z3" s="172" t="s">
        <v>370</v>
      </c>
      <c r="AA3" s="172" t="s">
        <v>189</v>
      </c>
      <c r="AB3" s="172" t="s">
        <v>212</v>
      </c>
      <c r="AC3" s="172" t="s">
        <v>370</v>
      </c>
      <c r="AD3" s="172" t="s">
        <v>189</v>
      </c>
      <c r="AE3" s="172" t="s">
        <v>212</v>
      </c>
      <c r="AF3" s="172" t="s">
        <v>370</v>
      </c>
    </row>
    <row r="4" spans="1:32" s="9" customFormat="1" x14ac:dyDescent="0.2">
      <c r="A4" s="287" t="s">
        <v>239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54"/>
      <c r="AF4" s="5">
        <f>SUM(E4,H4,K4,N4,Q4,T4,W4,Z4,AC4)</f>
        <v>0</v>
      </c>
    </row>
    <row r="5" spans="1:32" x14ac:dyDescent="0.2">
      <c r="A5" s="133" t="s">
        <v>102</v>
      </c>
      <c r="B5" s="134" t="s">
        <v>237</v>
      </c>
      <c r="C5" s="15"/>
      <c r="D5" s="15"/>
      <c r="E5" s="15">
        <v>3414276</v>
      </c>
      <c r="F5" s="15"/>
      <c r="G5" s="15"/>
      <c r="H5" s="15">
        <v>595797</v>
      </c>
      <c r="I5" s="15"/>
      <c r="J5" s="15"/>
      <c r="K5" s="15">
        <v>7622719</v>
      </c>
      <c r="L5" s="15"/>
      <c r="M5" s="15"/>
      <c r="N5" s="15"/>
      <c r="O5" s="15"/>
      <c r="P5" s="15"/>
      <c r="Q5" s="15">
        <v>1564092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82">
        <f>SUM(C5,F5,I5,L5,O5,R5,U5,X5,AA5)</f>
        <v>0</v>
      </c>
      <c r="AE5" s="5">
        <f>SUM(D5,G5,J5,,M5,P5,S5,V5,Y5,AB5)</f>
        <v>0</v>
      </c>
      <c r="AF5" s="5">
        <f>SUM(E5,H5,K5,N5,Q5,T5,W5,Z5,AC5)</f>
        <v>13196884</v>
      </c>
    </row>
    <row r="6" spans="1:32" ht="15" x14ac:dyDescent="0.25">
      <c r="A6" s="130" t="s">
        <v>106</v>
      </c>
      <c r="B6" s="104" t="s">
        <v>10</v>
      </c>
      <c r="C6" s="15"/>
      <c r="D6" s="15"/>
      <c r="E6" s="15"/>
      <c r="F6" s="15"/>
      <c r="G6" s="15"/>
      <c r="H6" s="15"/>
      <c r="I6" s="15"/>
      <c r="J6" s="15"/>
      <c r="K6" s="15">
        <v>488718</v>
      </c>
      <c r="L6" s="15"/>
      <c r="M6" s="15"/>
      <c r="N6" s="15"/>
      <c r="O6" s="15"/>
      <c r="P6" s="15"/>
      <c r="Q6" s="15"/>
      <c r="R6" s="15"/>
      <c r="S6" s="15"/>
      <c r="T6" s="15">
        <v>1000000</v>
      </c>
      <c r="U6" s="15"/>
      <c r="V6" s="15"/>
      <c r="W6" s="15"/>
      <c r="X6" s="15"/>
      <c r="Y6" s="15"/>
      <c r="Z6" s="15"/>
      <c r="AA6" s="15"/>
      <c r="AB6" s="15"/>
      <c r="AC6" s="15"/>
      <c r="AD6" s="182">
        <f t="shared" ref="AD6:AD28" si="0">SUM(C6,F6,I6,L6,O6,R6,U6,X6,AA6)</f>
        <v>0</v>
      </c>
      <c r="AE6" s="5">
        <f t="shared" ref="AE6:AE28" si="1">SUM(D6,G6,J6,,M6,P6,S6,V6,Y6,AB6)</f>
        <v>0</v>
      </c>
      <c r="AF6" s="5">
        <f t="shared" ref="AF6:AF28" si="2">SUM(E6,H6,K6,N6,Q6,T6,W6,Z6,AC6)</f>
        <v>1488718</v>
      </c>
    </row>
    <row r="7" spans="1:32" ht="15" x14ac:dyDescent="0.25">
      <c r="A7" s="130" t="s">
        <v>101</v>
      </c>
      <c r="B7" s="104" t="s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82">
        <f t="shared" si="0"/>
        <v>0</v>
      </c>
      <c r="AE7" s="5">
        <f t="shared" si="1"/>
        <v>0</v>
      </c>
      <c r="AF7" s="5">
        <f t="shared" si="2"/>
        <v>0</v>
      </c>
    </row>
    <row r="8" spans="1:32" ht="30" x14ac:dyDescent="0.2">
      <c r="A8" s="130" t="s">
        <v>101</v>
      </c>
      <c r="B8" s="136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82">
        <f t="shared" si="0"/>
        <v>0</v>
      </c>
      <c r="AE8" s="5">
        <f t="shared" si="1"/>
        <v>0</v>
      </c>
      <c r="AF8" s="5">
        <f t="shared" si="2"/>
        <v>0</v>
      </c>
    </row>
    <row r="9" spans="1:32" ht="15" x14ac:dyDescent="0.25">
      <c r="A9" s="130" t="s">
        <v>104</v>
      </c>
      <c r="B9" s="102" t="s">
        <v>177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263890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82">
        <f t="shared" si="0"/>
        <v>0</v>
      </c>
      <c r="AE9" s="5">
        <f t="shared" si="1"/>
        <v>0</v>
      </c>
      <c r="AF9" s="5">
        <f t="shared" si="2"/>
        <v>263890</v>
      </c>
    </row>
    <row r="10" spans="1:32" ht="15" x14ac:dyDescent="0.25">
      <c r="A10" s="130" t="s">
        <v>178</v>
      </c>
      <c r="B10" s="102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24875271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82">
        <f t="shared" si="0"/>
        <v>0</v>
      </c>
      <c r="AE10" s="5">
        <f t="shared" si="1"/>
        <v>0</v>
      </c>
      <c r="AF10" s="5">
        <f t="shared" si="2"/>
        <v>24875271</v>
      </c>
    </row>
    <row r="11" spans="1:32" ht="15" x14ac:dyDescent="0.25">
      <c r="A11" s="130" t="s">
        <v>182</v>
      </c>
      <c r="B11" s="113" t="s">
        <v>348</v>
      </c>
      <c r="C11" s="15"/>
      <c r="D11" s="15"/>
      <c r="E11" s="15">
        <v>2008712</v>
      </c>
      <c r="F11" s="15"/>
      <c r="G11" s="15"/>
      <c r="H11" s="15">
        <v>402408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82">
        <f t="shared" si="0"/>
        <v>0</v>
      </c>
      <c r="AE11" s="5">
        <f t="shared" si="1"/>
        <v>0</v>
      </c>
      <c r="AF11" s="5">
        <f t="shared" si="2"/>
        <v>2411120</v>
      </c>
    </row>
    <row r="12" spans="1:32" ht="15" x14ac:dyDescent="0.25">
      <c r="A12" s="130" t="s">
        <v>183</v>
      </c>
      <c r="B12" s="113" t="s">
        <v>349</v>
      </c>
      <c r="C12" s="15"/>
      <c r="D12" s="15"/>
      <c r="E12" s="15">
        <v>4810743</v>
      </c>
      <c r="F12" s="15"/>
      <c r="G12" s="15"/>
      <c r="H12" s="15">
        <v>469044</v>
      </c>
      <c r="I12" s="15"/>
      <c r="J12" s="15"/>
      <c r="K12" s="15">
        <v>923058</v>
      </c>
      <c r="L12" s="15"/>
      <c r="M12" s="15"/>
      <c r="N12" s="15"/>
      <c r="O12" s="15"/>
      <c r="P12" s="15"/>
      <c r="Q12" s="15"/>
      <c r="R12" s="15"/>
      <c r="S12" s="15"/>
      <c r="T12" s="15">
        <v>570148</v>
      </c>
      <c r="U12" s="15"/>
      <c r="V12" s="15"/>
      <c r="W12" s="15"/>
      <c r="X12" s="15"/>
      <c r="Y12" s="15"/>
      <c r="Z12" s="15"/>
      <c r="AA12" s="15"/>
      <c r="AB12" s="15"/>
      <c r="AC12" s="15"/>
      <c r="AD12" s="182">
        <f t="shared" si="0"/>
        <v>0</v>
      </c>
      <c r="AE12" s="5">
        <f t="shared" si="1"/>
        <v>0</v>
      </c>
      <c r="AF12" s="5">
        <f t="shared" si="2"/>
        <v>6772993</v>
      </c>
    </row>
    <row r="13" spans="1:32" ht="15" x14ac:dyDescent="0.25">
      <c r="A13" s="130" t="s">
        <v>110</v>
      </c>
      <c r="B13" s="102" t="s">
        <v>11</v>
      </c>
      <c r="C13" s="15"/>
      <c r="D13" s="15"/>
      <c r="E13" s="15"/>
      <c r="F13" s="15"/>
      <c r="G13" s="15"/>
      <c r="H13" s="15"/>
      <c r="I13" s="15"/>
      <c r="J13" s="15"/>
      <c r="K13" s="15">
        <v>698500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82">
        <f t="shared" si="0"/>
        <v>0</v>
      </c>
      <c r="AE13" s="5">
        <f t="shared" si="1"/>
        <v>0</v>
      </c>
      <c r="AF13" s="5">
        <f t="shared" si="2"/>
        <v>698500</v>
      </c>
    </row>
    <row r="14" spans="1:32" ht="15" x14ac:dyDescent="0.25">
      <c r="A14" s="130" t="s">
        <v>109</v>
      </c>
      <c r="B14" s="113" t="s">
        <v>14</v>
      </c>
      <c r="C14" s="15"/>
      <c r="D14" s="15"/>
      <c r="E14" s="15"/>
      <c r="F14" s="15"/>
      <c r="G14" s="15"/>
      <c r="H14" s="15"/>
      <c r="I14" s="15"/>
      <c r="J14" s="15"/>
      <c r="K14" s="15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82">
        <f t="shared" si="0"/>
        <v>0</v>
      </c>
      <c r="AE14" s="5">
        <f t="shared" si="1"/>
        <v>0</v>
      </c>
      <c r="AF14" s="5">
        <f t="shared" si="2"/>
        <v>0</v>
      </c>
    </row>
    <row r="15" spans="1:32" ht="15" x14ac:dyDescent="0.25">
      <c r="A15" s="130" t="s">
        <v>112</v>
      </c>
      <c r="B15" s="102" t="s">
        <v>238</v>
      </c>
      <c r="C15" s="15"/>
      <c r="D15" s="15"/>
      <c r="E15" s="15"/>
      <c r="F15" s="15"/>
      <c r="G15" s="15"/>
      <c r="H15" s="15"/>
      <c r="I15" s="15"/>
      <c r="J15" s="15"/>
      <c r="K15" s="15">
        <v>1160960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82">
        <f t="shared" si="0"/>
        <v>0</v>
      </c>
      <c r="AE15" s="5">
        <f t="shared" si="1"/>
        <v>0</v>
      </c>
      <c r="AF15" s="5">
        <f t="shared" si="2"/>
        <v>1160960</v>
      </c>
    </row>
    <row r="16" spans="1:32" ht="15" x14ac:dyDescent="0.25">
      <c r="A16" s="130" t="s">
        <v>111</v>
      </c>
      <c r="B16" s="113" t="s">
        <v>179</v>
      </c>
      <c r="C16" s="15"/>
      <c r="D16" s="15"/>
      <c r="E16" s="15">
        <v>240810</v>
      </c>
      <c r="F16" s="15"/>
      <c r="G16" s="15"/>
      <c r="H16" s="15">
        <v>42263</v>
      </c>
      <c r="I16" s="15"/>
      <c r="J16" s="15"/>
      <c r="K16" s="15">
        <v>822738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82">
        <f t="shared" si="0"/>
        <v>0</v>
      </c>
      <c r="AE16" s="5">
        <f t="shared" si="1"/>
        <v>0</v>
      </c>
      <c r="AF16" s="5">
        <f t="shared" si="2"/>
        <v>1105811</v>
      </c>
    </row>
    <row r="17" spans="1:32" ht="15" x14ac:dyDescent="0.25">
      <c r="A17" s="130" t="s">
        <v>103</v>
      </c>
      <c r="B17" s="104" t="s">
        <v>7</v>
      </c>
      <c r="C17" s="15"/>
      <c r="D17" s="15"/>
      <c r="E17" s="15"/>
      <c r="F17" s="15"/>
      <c r="G17" s="15"/>
      <c r="H17" s="15"/>
      <c r="I17" s="15"/>
      <c r="J17" s="15"/>
      <c r="K17" s="15">
        <v>2792979</v>
      </c>
      <c r="L17" s="15"/>
      <c r="M17" s="15"/>
      <c r="N17" s="15"/>
      <c r="O17" s="15"/>
      <c r="P17" s="15"/>
      <c r="Q17" s="15"/>
      <c r="R17" s="15"/>
      <c r="S17" s="15"/>
      <c r="T17" s="15">
        <v>148000</v>
      </c>
      <c r="U17" s="15"/>
      <c r="V17" s="15"/>
      <c r="W17" s="15">
        <v>500001</v>
      </c>
      <c r="X17" s="15"/>
      <c r="Y17" s="15"/>
      <c r="Z17" s="15"/>
      <c r="AA17" s="15"/>
      <c r="AB17" s="15"/>
      <c r="AC17" s="15"/>
      <c r="AD17" s="182">
        <f t="shared" si="0"/>
        <v>0</v>
      </c>
      <c r="AE17" s="5">
        <f t="shared" si="1"/>
        <v>0</v>
      </c>
      <c r="AF17" s="5">
        <f t="shared" si="2"/>
        <v>3440980</v>
      </c>
    </row>
    <row r="18" spans="1:32" ht="15" x14ac:dyDescent="0.25">
      <c r="A18" s="130" t="s">
        <v>343</v>
      </c>
      <c r="B18" s="113" t="s">
        <v>344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82">
        <f t="shared" si="0"/>
        <v>0</v>
      </c>
      <c r="AE18" s="5">
        <f t="shared" si="1"/>
        <v>0</v>
      </c>
      <c r="AF18" s="5">
        <f t="shared" si="2"/>
        <v>0</v>
      </c>
    </row>
    <row r="19" spans="1:32" ht="18.75" customHeight="1" x14ac:dyDescent="0.25">
      <c r="A19" s="130" t="s">
        <v>105</v>
      </c>
      <c r="B19" s="131" t="s">
        <v>15</v>
      </c>
      <c r="C19" s="15"/>
      <c r="D19" s="15"/>
      <c r="E19" s="15">
        <v>1234500</v>
      </c>
      <c r="F19" s="15"/>
      <c r="G19" s="15"/>
      <c r="H19" s="15">
        <v>218565</v>
      </c>
      <c r="I19" s="15"/>
      <c r="J19" s="15"/>
      <c r="K19" s="15">
        <v>135325</v>
      </c>
      <c r="L19" s="15"/>
      <c r="M19" s="15"/>
      <c r="N19" s="15"/>
      <c r="O19" s="15"/>
      <c r="P19" s="15"/>
      <c r="Q19" s="15"/>
      <c r="R19" s="15"/>
      <c r="S19" s="15"/>
      <c r="T19" s="15">
        <v>143000</v>
      </c>
      <c r="U19" s="15"/>
      <c r="V19" s="15"/>
      <c r="W19" s="15"/>
      <c r="X19" s="15"/>
      <c r="Y19" s="15"/>
      <c r="Z19" s="15"/>
      <c r="AA19" s="15"/>
      <c r="AB19" s="15"/>
      <c r="AC19" s="15"/>
      <c r="AD19" s="182">
        <f t="shared" si="0"/>
        <v>0</v>
      </c>
      <c r="AE19" s="5">
        <f t="shared" si="1"/>
        <v>0</v>
      </c>
      <c r="AF19" s="5">
        <f t="shared" si="2"/>
        <v>1731390</v>
      </c>
    </row>
    <row r="20" spans="1:32" ht="15" x14ac:dyDescent="0.25">
      <c r="A20" s="130" t="s">
        <v>333</v>
      </c>
      <c r="B20" s="102" t="s">
        <v>334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82">
        <f t="shared" si="0"/>
        <v>0</v>
      </c>
      <c r="AE20" s="5">
        <f t="shared" si="1"/>
        <v>0</v>
      </c>
      <c r="AF20" s="5">
        <f t="shared" si="2"/>
        <v>0</v>
      </c>
    </row>
    <row r="21" spans="1:32" ht="15" x14ac:dyDescent="0.25">
      <c r="A21" s="130" t="s">
        <v>113</v>
      </c>
      <c r="B21" s="120" t="s">
        <v>236</v>
      </c>
      <c r="C21" s="15"/>
      <c r="D21" s="15"/>
      <c r="E21" s="15">
        <v>252000</v>
      </c>
      <c r="F21" s="15"/>
      <c r="G21" s="15"/>
      <c r="H21" s="15">
        <v>93340</v>
      </c>
      <c r="I21" s="15"/>
      <c r="J21" s="15"/>
      <c r="K21" s="15">
        <v>1477815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82">
        <f t="shared" si="0"/>
        <v>0</v>
      </c>
      <c r="AE21" s="5">
        <f t="shared" si="1"/>
        <v>0</v>
      </c>
      <c r="AF21" s="5">
        <f t="shared" si="2"/>
        <v>1823155</v>
      </c>
    </row>
    <row r="22" spans="1:32" ht="15" x14ac:dyDescent="0.25">
      <c r="A22" s="130" t="s">
        <v>107</v>
      </c>
      <c r="B22" s="135" t="s">
        <v>337</v>
      </c>
      <c r="C22" s="15"/>
      <c r="D22" s="15"/>
      <c r="E22" s="15"/>
      <c r="F22" s="15"/>
      <c r="G22" s="15"/>
      <c r="H22" s="15"/>
      <c r="I22" s="15"/>
      <c r="J22" s="15"/>
      <c r="K22" s="15">
        <v>604842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82">
        <f t="shared" si="0"/>
        <v>0</v>
      </c>
      <c r="AE22" s="5">
        <f t="shared" si="1"/>
        <v>0</v>
      </c>
      <c r="AF22" s="5">
        <f t="shared" si="2"/>
        <v>604842</v>
      </c>
    </row>
    <row r="23" spans="1:32" ht="15" x14ac:dyDescent="0.25">
      <c r="A23" s="130" t="s">
        <v>184</v>
      </c>
      <c r="B23" s="135" t="s">
        <v>185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82">
        <f t="shared" si="0"/>
        <v>0</v>
      </c>
      <c r="AE23" s="5">
        <f t="shared" si="1"/>
        <v>0</v>
      </c>
      <c r="AF23" s="5">
        <f t="shared" si="2"/>
        <v>0</v>
      </c>
    </row>
    <row r="24" spans="1:32" ht="15" x14ac:dyDescent="0.25">
      <c r="A24" s="248" t="s">
        <v>605</v>
      </c>
      <c r="B24" s="135" t="s">
        <v>606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82">
        <f t="shared" si="0"/>
        <v>0</v>
      </c>
      <c r="AE24" s="5">
        <f t="shared" si="1"/>
        <v>0</v>
      </c>
      <c r="AF24" s="5">
        <f t="shared" si="2"/>
        <v>0</v>
      </c>
    </row>
    <row r="25" spans="1:32" ht="15" x14ac:dyDescent="0.25">
      <c r="A25" s="248" t="s">
        <v>686</v>
      </c>
      <c r="B25" s="113" t="s">
        <v>687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194500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82">
        <f t="shared" si="0"/>
        <v>0</v>
      </c>
      <c r="AE25" s="5">
        <f t="shared" si="1"/>
        <v>0</v>
      </c>
      <c r="AF25" s="5">
        <f t="shared" si="2"/>
        <v>194500</v>
      </c>
    </row>
    <row r="26" spans="1:32" ht="15" x14ac:dyDescent="0.25">
      <c r="A26" s="130" t="s">
        <v>339</v>
      </c>
      <c r="B26" s="102" t="s">
        <v>341</v>
      </c>
      <c r="C26" s="15"/>
      <c r="D26" s="15"/>
      <c r="E26" s="15">
        <v>328182</v>
      </c>
      <c r="F26" s="15"/>
      <c r="G26" s="15"/>
      <c r="H26" s="15">
        <v>63996</v>
      </c>
      <c r="I26" s="15"/>
      <c r="J26" s="15"/>
      <c r="K26" s="15">
        <v>654553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82">
        <f t="shared" si="0"/>
        <v>0</v>
      </c>
      <c r="AE26" s="5">
        <f t="shared" si="1"/>
        <v>0</v>
      </c>
      <c r="AF26" s="5">
        <f t="shared" si="2"/>
        <v>1046731</v>
      </c>
    </row>
    <row r="27" spans="1:32" ht="15" x14ac:dyDescent="0.25">
      <c r="A27" s="130" t="s">
        <v>181</v>
      </c>
      <c r="B27" s="128" t="s">
        <v>352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82">
        <f t="shared" si="0"/>
        <v>0</v>
      </c>
      <c r="AE27" s="5">
        <f t="shared" si="1"/>
        <v>0</v>
      </c>
      <c r="AF27" s="5">
        <f t="shared" si="2"/>
        <v>0</v>
      </c>
    </row>
    <row r="28" spans="1:32" ht="15" x14ac:dyDescent="0.25">
      <c r="A28" s="104" t="s">
        <v>335</v>
      </c>
      <c r="B28" s="102" t="s">
        <v>336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3273276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82">
        <f t="shared" si="0"/>
        <v>0</v>
      </c>
      <c r="AE28" s="5">
        <f t="shared" si="1"/>
        <v>0</v>
      </c>
      <c r="AF28" s="5">
        <f t="shared" si="2"/>
        <v>3273276</v>
      </c>
    </row>
    <row r="29" spans="1:32" s="27" customFormat="1" x14ac:dyDescent="0.2">
      <c r="A29" s="64"/>
      <c r="B29" s="132" t="s">
        <v>202</v>
      </c>
      <c r="C29" s="26">
        <f>SUM(C5:C28)</f>
        <v>0</v>
      </c>
      <c r="D29" s="26">
        <f t="shared" ref="D29:AB29" si="3">SUM(D5:D28)</f>
        <v>0</v>
      </c>
      <c r="E29" s="26">
        <f t="shared" si="3"/>
        <v>12289223</v>
      </c>
      <c r="F29" s="26">
        <f t="shared" si="3"/>
        <v>0</v>
      </c>
      <c r="G29" s="26">
        <f t="shared" si="3"/>
        <v>0</v>
      </c>
      <c r="H29" s="26">
        <f t="shared" si="3"/>
        <v>1885413</v>
      </c>
      <c r="I29" s="26">
        <f t="shared" si="3"/>
        <v>0</v>
      </c>
      <c r="J29" s="26">
        <f t="shared" si="3"/>
        <v>0</v>
      </c>
      <c r="K29" s="26">
        <f t="shared" si="3"/>
        <v>17382207</v>
      </c>
      <c r="L29" s="26">
        <f t="shared" si="3"/>
        <v>0</v>
      </c>
      <c r="M29" s="26">
        <f t="shared" si="3"/>
        <v>0</v>
      </c>
      <c r="N29" s="26">
        <f t="shared" si="3"/>
        <v>3467776</v>
      </c>
      <c r="O29" s="26">
        <f t="shared" si="3"/>
        <v>0</v>
      </c>
      <c r="P29" s="26">
        <f>SUM(P5:P28)</f>
        <v>0</v>
      </c>
      <c r="Q29" s="26">
        <f t="shared" si="3"/>
        <v>26703253</v>
      </c>
      <c r="R29" s="26">
        <f t="shared" si="3"/>
        <v>0</v>
      </c>
      <c r="S29" s="26">
        <f t="shared" si="3"/>
        <v>0</v>
      </c>
      <c r="T29" s="26">
        <f t="shared" si="3"/>
        <v>1861148</v>
      </c>
      <c r="U29" s="26">
        <f t="shared" si="3"/>
        <v>0</v>
      </c>
      <c r="V29" s="26">
        <f t="shared" si="3"/>
        <v>0</v>
      </c>
      <c r="W29" s="26">
        <f t="shared" si="3"/>
        <v>500001</v>
      </c>
      <c r="X29" s="26">
        <f t="shared" si="3"/>
        <v>0</v>
      </c>
      <c r="Y29" s="26">
        <f t="shared" si="3"/>
        <v>0</v>
      </c>
      <c r="Z29" s="26">
        <f t="shared" si="3"/>
        <v>0</v>
      </c>
      <c r="AA29" s="26">
        <f t="shared" si="3"/>
        <v>0</v>
      </c>
      <c r="AB29" s="26">
        <f t="shared" si="3"/>
        <v>0</v>
      </c>
      <c r="AC29" s="26">
        <f>SUM(AC5:AC28)</f>
        <v>0</v>
      </c>
      <c r="AD29" s="26">
        <f>SUM(AD5:AD28)</f>
        <v>0</v>
      </c>
      <c r="AE29" s="26">
        <f>SUM(AE5:AE28)</f>
        <v>0</v>
      </c>
      <c r="AF29" s="26">
        <f>SUM(AF5:AF28)</f>
        <v>64089021</v>
      </c>
    </row>
    <row r="30" spans="1:32" ht="15" x14ac:dyDescent="0.25">
      <c r="A30" s="88"/>
      <c r="B30" s="75" t="s">
        <v>258</v>
      </c>
      <c r="C30" s="76">
        <f t="shared" ref="C30:AF30" si="4">C29</f>
        <v>0</v>
      </c>
      <c r="D30" s="76">
        <f t="shared" si="4"/>
        <v>0</v>
      </c>
      <c r="E30" s="76">
        <f t="shared" si="4"/>
        <v>12289223</v>
      </c>
      <c r="F30" s="76">
        <f t="shared" si="4"/>
        <v>0</v>
      </c>
      <c r="G30" s="76">
        <f t="shared" si="4"/>
        <v>0</v>
      </c>
      <c r="H30" s="76">
        <f t="shared" si="4"/>
        <v>1885413</v>
      </c>
      <c r="I30" s="76">
        <f t="shared" si="4"/>
        <v>0</v>
      </c>
      <c r="J30" s="76">
        <f t="shared" si="4"/>
        <v>0</v>
      </c>
      <c r="K30" s="76">
        <f t="shared" si="4"/>
        <v>17382207</v>
      </c>
      <c r="L30" s="76">
        <f t="shared" si="4"/>
        <v>0</v>
      </c>
      <c r="M30" s="76">
        <f t="shared" si="4"/>
        <v>0</v>
      </c>
      <c r="N30" s="76">
        <f t="shared" si="4"/>
        <v>3467776</v>
      </c>
      <c r="O30" s="76">
        <f t="shared" si="4"/>
        <v>0</v>
      </c>
      <c r="P30" s="76">
        <f t="shared" si="4"/>
        <v>0</v>
      </c>
      <c r="Q30" s="76">
        <f t="shared" si="4"/>
        <v>26703253</v>
      </c>
      <c r="R30" s="76">
        <f t="shared" si="4"/>
        <v>0</v>
      </c>
      <c r="S30" s="76">
        <f t="shared" si="4"/>
        <v>0</v>
      </c>
      <c r="T30" s="76">
        <f t="shared" si="4"/>
        <v>1861148</v>
      </c>
      <c r="U30" s="76">
        <f t="shared" si="4"/>
        <v>0</v>
      </c>
      <c r="V30" s="76">
        <f t="shared" si="4"/>
        <v>0</v>
      </c>
      <c r="W30" s="76">
        <f t="shared" si="4"/>
        <v>500001</v>
      </c>
      <c r="X30" s="76">
        <f t="shared" si="4"/>
        <v>0</v>
      </c>
      <c r="Y30" s="76">
        <f t="shared" si="4"/>
        <v>0</v>
      </c>
      <c r="Z30" s="76">
        <f t="shared" si="4"/>
        <v>0</v>
      </c>
      <c r="AA30" s="76">
        <f t="shared" si="4"/>
        <v>0</v>
      </c>
      <c r="AB30" s="76">
        <f t="shared" si="4"/>
        <v>0</v>
      </c>
      <c r="AC30" s="76">
        <f t="shared" si="4"/>
        <v>0</v>
      </c>
      <c r="AD30" s="183">
        <f t="shared" si="4"/>
        <v>0</v>
      </c>
      <c r="AE30" s="76">
        <f t="shared" si="4"/>
        <v>0</v>
      </c>
      <c r="AF30" s="76">
        <f t="shared" si="4"/>
        <v>64089021</v>
      </c>
    </row>
    <row r="36" ht="13.5" customHeight="1" x14ac:dyDescent="0.2"/>
  </sheetData>
  <mergeCells count="14">
    <mergeCell ref="AA2:AC2"/>
    <mergeCell ref="AD2:AF2"/>
    <mergeCell ref="A2:A3"/>
    <mergeCell ref="C2:E2"/>
    <mergeCell ref="F2:H2"/>
    <mergeCell ref="I2:K2"/>
    <mergeCell ref="L2:N2"/>
    <mergeCell ref="O2:Q2"/>
    <mergeCell ref="R2:T2"/>
    <mergeCell ref="B1:X1"/>
    <mergeCell ref="A4:B4"/>
    <mergeCell ref="B2:B3"/>
    <mergeCell ref="U2:W2"/>
    <mergeCell ref="X2:Z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7" fitToHeight="2" orientation="landscape" r:id="rId1"/>
  <headerFooter>
    <oddHeader>&amp;L6. melléklet a 3/2019.(V.24.) önkormányzati rendelethez&amp;CErzsébet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rgb="FFFF0000"/>
  </sheetPr>
  <dimension ref="A1:F103"/>
  <sheetViews>
    <sheetView topLeftCell="A22" zoomScaleNormal="100" workbookViewId="0">
      <selection activeCell="E36" sqref="E36"/>
    </sheetView>
  </sheetViews>
  <sheetFormatPr defaultRowHeight="12.75" x14ac:dyDescent="0.2"/>
  <cols>
    <col min="1" max="1" width="7" bestFit="1" customWidth="1"/>
    <col min="2" max="2" width="47.42578125" customWidth="1"/>
    <col min="3" max="3" width="11.140625" customWidth="1"/>
    <col min="4" max="4" width="11.140625" bestFit="1" customWidth="1"/>
    <col min="5" max="5" width="11.7109375" bestFit="1" customWidth="1"/>
    <col min="6" max="6" width="9.7109375" customWidth="1"/>
  </cols>
  <sheetData>
    <row r="1" spans="1:6" x14ac:dyDescent="0.2">
      <c r="A1" s="298" t="s">
        <v>681</v>
      </c>
      <c r="B1" s="298"/>
      <c r="C1" s="298"/>
      <c r="D1" s="298"/>
      <c r="E1" s="298"/>
      <c r="F1" s="298"/>
    </row>
    <row r="2" spans="1:6" ht="15" x14ac:dyDescent="0.2">
      <c r="A2" s="91" t="s">
        <v>280</v>
      </c>
      <c r="B2" s="91" t="s">
        <v>281</v>
      </c>
      <c r="C2" s="172" t="s">
        <v>189</v>
      </c>
      <c r="D2" s="172" t="s">
        <v>367</v>
      </c>
      <c r="E2" s="172" t="s">
        <v>368</v>
      </c>
      <c r="F2" s="184" t="s">
        <v>369</v>
      </c>
    </row>
    <row r="3" spans="1:6" s="27" customFormat="1" x14ac:dyDescent="0.2">
      <c r="A3" s="17" t="s">
        <v>43</v>
      </c>
      <c r="B3" s="17" t="s">
        <v>42</v>
      </c>
      <c r="C3" s="15">
        <v>86904983</v>
      </c>
      <c r="D3" s="200">
        <v>86937435</v>
      </c>
      <c r="E3" s="200">
        <v>86937435</v>
      </c>
      <c r="F3" s="206">
        <f>E3/D3</f>
        <v>1</v>
      </c>
    </row>
    <row r="4" spans="1:6" x14ac:dyDescent="0.2">
      <c r="A4" s="17" t="s">
        <v>44</v>
      </c>
      <c r="B4" s="17" t="s">
        <v>45</v>
      </c>
      <c r="C4" s="15">
        <v>13879300</v>
      </c>
      <c r="D4" s="176">
        <v>18448267</v>
      </c>
      <c r="E4" s="176">
        <v>18448267</v>
      </c>
      <c r="F4" s="206">
        <f t="shared" ref="F4:F67" si="0">E4/D4</f>
        <v>1</v>
      </c>
    </row>
    <row r="5" spans="1:6" s="27" customFormat="1" x14ac:dyDescent="0.2">
      <c r="A5" s="17" t="s">
        <v>46</v>
      </c>
      <c r="B5" s="17" t="s">
        <v>47</v>
      </c>
      <c r="C5" s="15">
        <v>9130930</v>
      </c>
      <c r="D5" s="200">
        <v>9749180</v>
      </c>
      <c r="E5" s="200">
        <v>9749180</v>
      </c>
      <c r="F5" s="206">
        <f t="shared" si="0"/>
        <v>1</v>
      </c>
    </row>
    <row r="6" spans="1:6" x14ac:dyDescent="0.2">
      <c r="A6" s="17" t="s">
        <v>48</v>
      </c>
      <c r="B6" s="17" t="s">
        <v>682</v>
      </c>
      <c r="C6" s="15">
        <v>1800000</v>
      </c>
      <c r="D6" s="176">
        <v>1800000</v>
      </c>
      <c r="E6" s="176">
        <v>1800000</v>
      </c>
      <c r="F6" s="206">
        <f t="shared" si="0"/>
        <v>1</v>
      </c>
    </row>
    <row r="7" spans="1:6" x14ac:dyDescent="0.2">
      <c r="A7" s="18" t="s">
        <v>332</v>
      </c>
      <c r="B7" s="18" t="s">
        <v>390</v>
      </c>
      <c r="C7" s="15"/>
      <c r="D7" s="176">
        <f>3647341+180050</f>
        <v>3827391</v>
      </c>
      <c r="E7" s="176">
        <f>3647341+180050</f>
        <v>3827391</v>
      </c>
      <c r="F7" s="206">
        <f t="shared" si="0"/>
        <v>1</v>
      </c>
    </row>
    <row r="8" spans="1:6" s="27" customFormat="1" x14ac:dyDescent="0.2">
      <c r="A8" s="17" t="s">
        <v>39</v>
      </c>
      <c r="B8" s="17" t="s">
        <v>683</v>
      </c>
      <c r="C8" s="15">
        <v>5886400</v>
      </c>
      <c r="D8" s="200">
        <v>22285986</v>
      </c>
      <c r="E8" s="200">
        <v>13393123</v>
      </c>
      <c r="F8" s="206">
        <f t="shared" si="0"/>
        <v>0.60096614078461685</v>
      </c>
    </row>
    <row r="9" spans="1:6" x14ac:dyDescent="0.2">
      <c r="A9" s="92" t="s">
        <v>84</v>
      </c>
      <c r="B9" s="92" t="s">
        <v>85</v>
      </c>
      <c r="C9" s="95">
        <f>SUM(C3:C8)</f>
        <v>117601613</v>
      </c>
      <c r="D9" s="147">
        <f>SUM(D3:D8)</f>
        <v>143048259</v>
      </c>
      <c r="E9" s="147">
        <f>SUM(E3:E8)</f>
        <v>134155396</v>
      </c>
      <c r="F9" s="206">
        <f t="shared" si="0"/>
        <v>0.93783312665133522</v>
      </c>
    </row>
    <row r="10" spans="1:6" x14ac:dyDescent="0.2">
      <c r="A10" s="202" t="s">
        <v>419</v>
      </c>
      <c r="B10" s="202" t="s">
        <v>420</v>
      </c>
      <c r="C10" s="203">
        <v>0</v>
      </c>
      <c r="D10" s="203">
        <v>29160442</v>
      </c>
      <c r="E10" s="211">
        <v>29160442</v>
      </c>
      <c r="F10" s="206">
        <f t="shared" si="0"/>
        <v>1</v>
      </c>
    </row>
    <row r="11" spans="1:6" x14ac:dyDescent="0.2">
      <c r="A11" s="145" t="s">
        <v>116</v>
      </c>
      <c r="B11" s="145" t="s">
        <v>421</v>
      </c>
      <c r="C11" s="147">
        <f>SUM(C10)</f>
        <v>0</v>
      </c>
      <c r="D11" s="147">
        <f>SUM(D10)</f>
        <v>29160442</v>
      </c>
      <c r="E11" s="147">
        <f>SUM(E10)</f>
        <v>29160442</v>
      </c>
      <c r="F11" s="206">
        <f t="shared" si="0"/>
        <v>1</v>
      </c>
    </row>
    <row r="12" spans="1:6" s="201" customFormat="1" x14ac:dyDescent="0.2">
      <c r="A12" s="202" t="s">
        <v>391</v>
      </c>
      <c r="B12" s="202" t="s">
        <v>392</v>
      </c>
      <c r="C12" s="203">
        <v>0</v>
      </c>
      <c r="D12" s="203">
        <v>0</v>
      </c>
      <c r="E12" s="203">
        <v>0</v>
      </c>
      <c r="F12" s="206">
        <v>0</v>
      </c>
    </row>
    <row r="13" spans="1:6" s="27" customFormat="1" x14ac:dyDescent="0.2">
      <c r="A13" s="18" t="s">
        <v>36</v>
      </c>
      <c r="B13" s="18" t="s">
        <v>16</v>
      </c>
      <c r="C13" s="15">
        <v>1100000</v>
      </c>
      <c r="D13" s="200">
        <v>1100000</v>
      </c>
      <c r="E13" s="200">
        <v>1584500</v>
      </c>
      <c r="F13" s="206">
        <f t="shared" si="0"/>
        <v>1.4404545454545454</v>
      </c>
    </row>
    <row r="14" spans="1:6" s="27" customFormat="1" x14ac:dyDescent="0.2">
      <c r="A14" s="17" t="s">
        <v>37</v>
      </c>
      <c r="B14" s="17" t="s">
        <v>17</v>
      </c>
      <c r="C14" s="15">
        <v>2200000</v>
      </c>
      <c r="D14" s="200">
        <v>2700000</v>
      </c>
      <c r="E14" s="200">
        <v>2499655</v>
      </c>
      <c r="F14" s="206">
        <f t="shared" si="0"/>
        <v>0.9257981481481482</v>
      </c>
    </row>
    <row r="15" spans="1:6" x14ac:dyDescent="0.2">
      <c r="A15" s="17" t="s">
        <v>35</v>
      </c>
      <c r="B15" s="17" t="s">
        <v>231</v>
      </c>
      <c r="C15" s="15">
        <v>520000</v>
      </c>
      <c r="D15" s="176">
        <v>645000</v>
      </c>
      <c r="E15" s="176">
        <v>563385</v>
      </c>
      <c r="F15" s="206">
        <f t="shared" si="0"/>
        <v>0.87346511627906975</v>
      </c>
    </row>
    <row r="16" spans="1:6" x14ac:dyDescent="0.2">
      <c r="A16" s="18" t="s">
        <v>120</v>
      </c>
      <c r="B16" s="18" t="s">
        <v>121</v>
      </c>
      <c r="C16" s="15">
        <v>1250000</v>
      </c>
      <c r="D16" s="176">
        <v>1250000</v>
      </c>
      <c r="E16" s="176">
        <v>1298473</v>
      </c>
      <c r="F16" s="206">
        <f t="shared" si="0"/>
        <v>1.0387784</v>
      </c>
    </row>
    <row r="17" spans="1:6" x14ac:dyDescent="0.2">
      <c r="A17" s="92" t="s">
        <v>88</v>
      </c>
      <c r="B17" s="92" t="s">
        <v>89</v>
      </c>
      <c r="C17" s="95">
        <f>SUM(C12:C16)</f>
        <v>5070000</v>
      </c>
      <c r="D17" s="147">
        <f>SUM(D12:D16)</f>
        <v>5695000</v>
      </c>
      <c r="E17" s="147">
        <f>SUM(E12:E16)</f>
        <v>5946013</v>
      </c>
      <c r="F17" s="206">
        <f t="shared" si="0"/>
        <v>1.0440760316066726</v>
      </c>
    </row>
    <row r="18" spans="1:6" x14ac:dyDescent="0.2">
      <c r="A18" s="215" t="s">
        <v>562</v>
      </c>
      <c r="B18" s="215" t="s">
        <v>563</v>
      </c>
      <c r="C18" s="204"/>
      <c r="D18" s="204"/>
      <c r="E18" s="204"/>
      <c r="F18" s="206" t="e">
        <f t="shared" si="0"/>
        <v>#DIV/0!</v>
      </c>
    </row>
    <row r="19" spans="1:6" s="201" customFormat="1" x14ac:dyDescent="0.2">
      <c r="A19" s="202" t="s">
        <v>393</v>
      </c>
      <c r="B19" s="202" t="s">
        <v>394</v>
      </c>
      <c r="C19" s="203"/>
      <c r="D19" s="204"/>
      <c r="E19" s="204"/>
      <c r="F19" s="206" t="e">
        <f t="shared" si="0"/>
        <v>#DIV/0!</v>
      </c>
    </row>
    <row r="20" spans="1:6" s="201" customFormat="1" x14ac:dyDescent="0.2">
      <c r="A20" s="202" t="s">
        <v>422</v>
      </c>
      <c r="B20" s="202" t="s">
        <v>423</v>
      </c>
      <c r="C20" s="203"/>
      <c r="D20" s="204"/>
      <c r="E20" s="204"/>
      <c r="F20" s="206">
        <v>0</v>
      </c>
    </row>
    <row r="21" spans="1:6" s="201" customFormat="1" x14ac:dyDescent="0.2">
      <c r="A21" s="202" t="s">
        <v>395</v>
      </c>
      <c r="B21" s="202" t="s">
        <v>396</v>
      </c>
      <c r="C21" s="203"/>
      <c r="D21" s="204"/>
      <c r="E21" s="204"/>
      <c r="F21" s="206" t="e">
        <f t="shared" si="0"/>
        <v>#DIV/0!</v>
      </c>
    </row>
    <row r="22" spans="1:6" x14ac:dyDescent="0.2">
      <c r="A22" s="18" t="s">
        <v>359</v>
      </c>
      <c r="B22" s="18" t="s">
        <v>360</v>
      </c>
      <c r="C22" s="15"/>
      <c r="D22" s="200"/>
      <c r="E22" s="200"/>
      <c r="F22" s="206" t="e">
        <f t="shared" si="0"/>
        <v>#DIV/0!</v>
      </c>
    </row>
    <row r="23" spans="1:6" x14ac:dyDescent="0.2">
      <c r="A23" s="18" t="s">
        <v>397</v>
      </c>
      <c r="B23" s="18" t="s">
        <v>398</v>
      </c>
      <c r="C23" s="15"/>
      <c r="D23" s="200"/>
      <c r="E23" s="200"/>
      <c r="F23" s="206" t="e">
        <f t="shared" si="0"/>
        <v>#DIV/0!</v>
      </c>
    </row>
    <row r="24" spans="1:6" x14ac:dyDescent="0.2">
      <c r="A24" s="18" t="s">
        <v>399</v>
      </c>
      <c r="B24" s="18" t="s">
        <v>400</v>
      </c>
      <c r="C24" s="15"/>
      <c r="D24" s="200"/>
      <c r="E24" s="200"/>
      <c r="F24" s="206" t="e">
        <f t="shared" si="0"/>
        <v>#DIV/0!</v>
      </c>
    </row>
    <row r="25" spans="1:6" x14ac:dyDescent="0.2">
      <c r="A25" s="218" t="s">
        <v>564</v>
      </c>
      <c r="B25" s="218" t="s">
        <v>565</v>
      </c>
      <c r="C25" s="15"/>
      <c r="D25" s="200"/>
      <c r="E25" s="200"/>
      <c r="F25" s="206" t="e">
        <f t="shared" si="0"/>
        <v>#DIV/0!</v>
      </c>
    </row>
    <row r="26" spans="1:6" x14ac:dyDescent="0.2">
      <c r="A26" s="18" t="s">
        <v>401</v>
      </c>
      <c r="B26" s="18" t="s">
        <v>402</v>
      </c>
      <c r="C26" s="15">
        <v>0</v>
      </c>
      <c r="D26" s="200">
        <v>3643831</v>
      </c>
      <c r="E26" s="200">
        <v>2115099</v>
      </c>
      <c r="F26" s="206">
        <f>E26/D26</f>
        <v>0.58046023539511027</v>
      </c>
    </row>
    <row r="27" spans="1:6" x14ac:dyDescent="0.2">
      <c r="A27" s="92" t="s">
        <v>90</v>
      </c>
      <c r="B27" s="92" t="s">
        <v>91</v>
      </c>
      <c r="C27" s="95">
        <f>SUM(C19:C26)</f>
        <v>0</v>
      </c>
      <c r="D27" s="147">
        <f>SUM(D18:D26)</f>
        <v>3643831</v>
      </c>
      <c r="E27" s="147">
        <f>SUM(E18:E26)</f>
        <v>2115099</v>
      </c>
      <c r="F27" s="206">
        <f t="shared" si="0"/>
        <v>0.58046023539511027</v>
      </c>
    </row>
    <row r="28" spans="1:6" x14ac:dyDescent="0.2">
      <c r="A28" s="216" t="s">
        <v>566</v>
      </c>
      <c r="B28" s="216" t="s">
        <v>568</v>
      </c>
      <c r="C28" s="217"/>
      <c r="D28" s="217">
        <v>0</v>
      </c>
      <c r="E28" s="217">
        <v>0</v>
      </c>
      <c r="F28" s="206" t="e">
        <f t="shared" si="0"/>
        <v>#DIV/0!</v>
      </c>
    </row>
    <row r="29" spans="1:6" x14ac:dyDescent="0.2">
      <c r="A29" s="145" t="s">
        <v>93</v>
      </c>
      <c r="B29" s="145" t="s">
        <v>569</v>
      </c>
      <c r="C29" s="147"/>
      <c r="D29" s="147">
        <f>D28</f>
        <v>0</v>
      </c>
      <c r="E29" s="147">
        <f>E28</f>
        <v>0</v>
      </c>
      <c r="F29" s="206" t="e">
        <f t="shared" si="0"/>
        <v>#DIV/0!</v>
      </c>
    </row>
    <row r="30" spans="1:6" x14ac:dyDescent="0.2">
      <c r="A30" s="216" t="s">
        <v>567</v>
      </c>
      <c r="B30" s="216" t="s">
        <v>570</v>
      </c>
      <c r="C30" s="204"/>
      <c r="D30" s="204">
        <v>500001</v>
      </c>
      <c r="E30" s="204">
        <v>1592100</v>
      </c>
      <c r="F30" s="206">
        <f t="shared" si="0"/>
        <v>3.1841936316127368</v>
      </c>
    </row>
    <row r="31" spans="1:6" x14ac:dyDescent="0.2">
      <c r="A31" s="145" t="s">
        <v>122</v>
      </c>
      <c r="B31" s="145" t="s">
        <v>123</v>
      </c>
      <c r="C31" s="147">
        <f>C30</f>
        <v>0</v>
      </c>
      <c r="D31" s="147">
        <f t="shared" ref="D31:E31" si="1">D30</f>
        <v>500001</v>
      </c>
      <c r="E31" s="147">
        <f t="shared" si="1"/>
        <v>1592100</v>
      </c>
      <c r="F31" s="206">
        <f t="shared" si="0"/>
        <v>3.1841936316127368</v>
      </c>
    </row>
    <row r="32" spans="1:6" s="220" customFormat="1" x14ac:dyDescent="0.2">
      <c r="A32" s="216" t="s">
        <v>571</v>
      </c>
      <c r="B32" s="216" t="s">
        <v>572</v>
      </c>
      <c r="C32" s="217"/>
      <c r="D32" s="217"/>
      <c r="E32" s="217">
        <v>0</v>
      </c>
      <c r="F32" s="219"/>
    </row>
    <row r="33" spans="1:6" x14ac:dyDescent="0.2">
      <c r="A33" s="2" t="s">
        <v>24</v>
      </c>
      <c r="B33" s="2" t="s">
        <v>25</v>
      </c>
      <c r="C33" s="15">
        <v>2835003</v>
      </c>
      <c r="D33" s="200">
        <v>7000692</v>
      </c>
      <c r="E33" s="200">
        <v>7000692</v>
      </c>
      <c r="F33" s="206">
        <f t="shared" si="0"/>
        <v>1</v>
      </c>
    </row>
    <row r="34" spans="1:6" x14ac:dyDescent="0.2">
      <c r="A34" s="6" t="s">
        <v>424</v>
      </c>
      <c r="B34" s="6" t="s">
        <v>425</v>
      </c>
      <c r="C34" s="15">
        <v>0</v>
      </c>
      <c r="D34" s="200">
        <v>0</v>
      </c>
      <c r="E34" s="200">
        <v>4412228</v>
      </c>
      <c r="F34" s="206" t="e">
        <f t="shared" si="0"/>
        <v>#DIV/0!</v>
      </c>
    </row>
    <row r="35" spans="1:6" x14ac:dyDescent="0.2">
      <c r="A35" s="92" t="s">
        <v>98</v>
      </c>
      <c r="B35" s="92" t="s">
        <v>99</v>
      </c>
      <c r="C35" s="95">
        <f>SUM(C33:C34)</f>
        <v>2835003</v>
      </c>
      <c r="D35" s="147">
        <f>SUM(D33:D34)</f>
        <v>7000692</v>
      </c>
      <c r="E35" s="147">
        <f>SUM(E33:E34)</f>
        <v>11412920</v>
      </c>
      <c r="F35" s="206">
        <f t="shared" si="0"/>
        <v>1.6302559804087939</v>
      </c>
    </row>
    <row r="36" spans="1:6" ht="13.5" customHeight="1" x14ac:dyDescent="0.2">
      <c r="A36" s="93"/>
      <c r="B36" s="93" t="s">
        <v>50</v>
      </c>
      <c r="C36" s="96">
        <f>SUM(C9,C11,C17,C27,C35)+C31</f>
        <v>125506616</v>
      </c>
      <c r="D36" s="96">
        <f t="shared" ref="D36:E36" si="2">SUM(D9,D11,D17,D27,D35)+D31</f>
        <v>189048225</v>
      </c>
      <c r="E36" s="96">
        <f t="shared" si="2"/>
        <v>184381970</v>
      </c>
      <c r="F36" s="206">
        <f t="shared" si="0"/>
        <v>0.97531711815860744</v>
      </c>
    </row>
    <row r="37" spans="1:6" x14ac:dyDescent="0.2">
      <c r="A37" s="79"/>
      <c r="B37" s="79"/>
      <c r="C37" s="15"/>
      <c r="D37" s="5"/>
      <c r="E37" s="5"/>
      <c r="F37" s="206"/>
    </row>
    <row r="38" spans="1:6" x14ac:dyDescent="0.2">
      <c r="A38" s="2" t="s">
        <v>244</v>
      </c>
      <c r="B38" s="2" t="s">
        <v>282</v>
      </c>
      <c r="C38" s="15">
        <v>3751000</v>
      </c>
      <c r="D38" s="200">
        <v>8371797</v>
      </c>
      <c r="E38" s="200">
        <v>7497703</v>
      </c>
      <c r="F38" s="206">
        <f t="shared" si="0"/>
        <v>0.89559063603668365</v>
      </c>
    </row>
    <row r="39" spans="1:6" x14ac:dyDescent="0.2">
      <c r="A39" s="221" t="s">
        <v>573</v>
      </c>
      <c r="B39" s="221" t="s">
        <v>576</v>
      </c>
      <c r="C39" s="15"/>
      <c r="D39" s="200"/>
      <c r="E39" s="200"/>
      <c r="F39" s="206"/>
    </row>
    <row r="40" spans="1:6" x14ac:dyDescent="0.2">
      <c r="A40" s="221" t="s">
        <v>574</v>
      </c>
      <c r="B40" s="221" t="s">
        <v>577</v>
      </c>
      <c r="C40" s="15"/>
      <c r="D40" s="200"/>
      <c r="E40" s="200"/>
      <c r="F40" s="206"/>
    </row>
    <row r="41" spans="1:6" x14ac:dyDescent="0.2">
      <c r="A41" s="221" t="s">
        <v>575</v>
      </c>
      <c r="B41" s="221" t="s">
        <v>578</v>
      </c>
      <c r="C41" s="15"/>
      <c r="D41" s="200"/>
      <c r="E41" s="200"/>
      <c r="F41" s="206"/>
    </row>
    <row r="42" spans="1:6" x14ac:dyDescent="0.2">
      <c r="A42" s="6" t="s">
        <v>245</v>
      </c>
      <c r="B42" s="6" t="s">
        <v>18</v>
      </c>
      <c r="C42" s="15"/>
      <c r="D42" s="200"/>
      <c r="E42" s="200"/>
      <c r="F42" s="206" t="e">
        <f t="shared" si="0"/>
        <v>#DIV/0!</v>
      </c>
    </row>
    <row r="43" spans="1:6" x14ac:dyDescent="0.2">
      <c r="A43" s="221" t="s">
        <v>579</v>
      </c>
      <c r="B43" s="222" t="s">
        <v>580</v>
      </c>
      <c r="C43" s="15"/>
      <c r="D43" s="200"/>
      <c r="E43" s="200"/>
      <c r="F43" s="206" t="e">
        <f t="shared" si="0"/>
        <v>#DIV/0!</v>
      </c>
    </row>
    <row r="44" spans="1:6" x14ac:dyDescent="0.2">
      <c r="A44" s="6" t="s">
        <v>403</v>
      </c>
      <c r="B44" s="139" t="s">
        <v>404</v>
      </c>
      <c r="C44" s="15"/>
      <c r="D44" s="200"/>
      <c r="E44" s="200"/>
      <c r="F44" s="206" t="e">
        <f t="shared" si="0"/>
        <v>#DIV/0!</v>
      </c>
    </row>
    <row r="45" spans="1:6" x14ac:dyDescent="0.2">
      <c r="A45" s="221" t="s">
        <v>581</v>
      </c>
      <c r="B45" s="222" t="s">
        <v>672</v>
      </c>
      <c r="C45" s="15"/>
      <c r="D45" s="200"/>
      <c r="E45" s="200"/>
      <c r="F45" s="206"/>
    </row>
    <row r="46" spans="1:6" x14ac:dyDescent="0.2">
      <c r="A46" s="6" t="s">
        <v>405</v>
      </c>
      <c r="B46" s="139" t="s">
        <v>406</v>
      </c>
      <c r="C46" s="15"/>
      <c r="D46" s="200"/>
      <c r="E46" s="200"/>
      <c r="F46" s="206" t="e">
        <f t="shared" si="0"/>
        <v>#DIV/0!</v>
      </c>
    </row>
    <row r="47" spans="1:6" x14ac:dyDescent="0.2">
      <c r="A47" s="6" t="s">
        <v>361</v>
      </c>
      <c r="B47" s="139" t="s">
        <v>362</v>
      </c>
      <c r="C47" s="15">
        <v>3350000</v>
      </c>
      <c r="D47" s="200">
        <v>3350000</v>
      </c>
      <c r="E47" s="200">
        <v>2724120</v>
      </c>
      <c r="F47" s="206">
        <f t="shared" si="0"/>
        <v>0.81317014925373132</v>
      </c>
    </row>
    <row r="48" spans="1:6" x14ac:dyDescent="0.2">
      <c r="A48" s="6" t="s">
        <v>295</v>
      </c>
      <c r="B48" s="6" t="s">
        <v>296</v>
      </c>
      <c r="C48" s="15">
        <v>432000</v>
      </c>
      <c r="D48" s="200">
        <v>2188400</v>
      </c>
      <c r="E48" s="200">
        <v>2067400</v>
      </c>
      <c r="F48" s="206">
        <f t="shared" si="0"/>
        <v>0.94470846280387499</v>
      </c>
    </row>
    <row r="49" spans="1:6" x14ac:dyDescent="0.2">
      <c r="A49" s="6" t="s">
        <v>407</v>
      </c>
      <c r="B49" s="6" t="s">
        <v>408</v>
      </c>
      <c r="C49" s="15"/>
      <c r="D49" s="200"/>
      <c r="E49" s="200"/>
      <c r="F49" s="206" t="e">
        <f t="shared" si="0"/>
        <v>#DIV/0!</v>
      </c>
    </row>
    <row r="50" spans="1:6" x14ac:dyDescent="0.2">
      <c r="A50" s="92" t="s">
        <v>55</v>
      </c>
      <c r="B50" s="92" t="s">
        <v>56</v>
      </c>
      <c r="C50" s="95">
        <f>SUM(C38:C49)</f>
        <v>7533000</v>
      </c>
      <c r="D50" s="147">
        <f>SUM(D38:D49)</f>
        <v>13910197</v>
      </c>
      <c r="E50" s="147">
        <f>SUM(E38:E49)</f>
        <v>12289223</v>
      </c>
      <c r="F50" s="206">
        <f t="shared" si="0"/>
        <v>0.88346865252878881</v>
      </c>
    </row>
    <row r="51" spans="1:6" s="27" customFormat="1" x14ac:dyDescent="0.2">
      <c r="A51" s="6" t="s">
        <v>19</v>
      </c>
      <c r="B51" s="6" t="s">
        <v>20</v>
      </c>
      <c r="C51" s="15">
        <v>1782150</v>
      </c>
      <c r="D51" s="200">
        <v>2229085</v>
      </c>
      <c r="E51" s="200">
        <v>1950192</v>
      </c>
      <c r="F51" s="206">
        <f t="shared" si="0"/>
        <v>0.87488453782605868</v>
      </c>
    </row>
    <row r="52" spans="1:6" s="27" customFormat="1" x14ac:dyDescent="0.2">
      <c r="A52" s="6" t="s">
        <v>412</v>
      </c>
      <c r="B52" s="6" t="s">
        <v>413</v>
      </c>
      <c r="C52" s="15"/>
      <c r="D52" s="200"/>
      <c r="E52" s="200"/>
      <c r="F52" s="206">
        <v>0</v>
      </c>
    </row>
    <row r="53" spans="1:6" s="27" customFormat="1" x14ac:dyDescent="0.2">
      <c r="A53" s="6" t="s">
        <v>414</v>
      </c>
      <c r="B53" s="6" t="s">
        <v>415</v>
      </c>
      <c r="C53" s="15"/>
      <c r="D53" s="200"/>
      <c r="E53" s="200"/>
      <c r="F53" s="206">
        <v>0</v>
      </c>
    </row>
    <row r="54" spans="1:6" x14ac:dyDescent="0.2">
      <c r="A54" s="92" t="s">
        <v>246</v>
      </c>
      <c r="B54" s="92" t="s">
        <v>283</v>
      </c>
      <c r="C54" s="95">
        <f>SUM(C51:C53)</f>
        <v>1782150</v>
      </c>
      <c r="D54" s="147">
        <f>SUM(D51:D53)</f>
        <v>2229085</v>
      </c>
      <c r="E54" s="147">
        <f>SUM(E51:E53)</f>
        <v>1950192</v>
      </c>
      <c r="F54" s="206">
        <f t="shared" si="0"/>
        <v>0.87488453782605868</v>
      </c>
    </row>
    <row r="55" spans="1:6" x14ac:dyDescent="0.2">
      <c r="A55" s="17" t="s">
        <v>263</v>
      </c>
      <c r="B55" s="17" t="s">
        <v>674</v>
      </c>
      <c r="C55" s="140">
        <v>170000</v>
      </c>
      <c r="D55" s="140">
        <v>170000</v>
      </c>
      <c r="E55" s="140"/>
      <c r="F55" s="206">
        <f t="shared" si="0"/>
        <v>0</v>
      </c>
    </row>
    <row r="56" spans="1:6" x14ac:dyDescent="0.2">
      <c r="A56" s="2" t="s">
        <v>247</v>
      </c>
      <c r="B56" s="2" t="s">
        <v>673</v>
      </c>
      <c r="C56" s="15">
        <v>2921990</v>
      </c>
      <c r="D56" s="15">
        <v>3377486</v>
      </c>
      <c r="E56" s="15">
        <v>2879191</v>
      </c>
      <c r="F56" s="206">
        <f>E56/D56</f>
        <v>0.85246570970242364</v>
      </c>
    </row>
    <row r="57" spans="1:6" s="27" customFormat="1" x14ac:dyDescent="0.2">
      <c r="A57" s="24" t="s">
        <v>57</v>
      </c>
      <c r="B57" s="24" t="s">
        <v>58</v>
      </c>
      <c r="C57" s="22">
        <f>SUM(C55,C56)</f>
        <v>3091990</v>
      </c>
      <c r="D57" s="22">
        <f>SUM(D55,D56)</f>
        <v>3547486</v>
      </c>
      <c r="E57" s="22">
        <f>SUM(E55,E56)</f>
        <v>2879191</v>
      </c>
      <c r="F57" s="206">
        <f t="shared" si="0"/>
        <v>0.81161447853493995</v>
      </c>
    </row>
    <row r="58" spans="1:6" x14ac:dyDescent="0.2">
      <c r="A58" s="2" t="s">
        <v>266</v>
      </c>
      <c r="B58" s="2" t="s">
        <v>297</v>
      </c>
      <c r="C58" s="15">
        <v>300000</v>
      </c>
      <c r="D58" s="212">
        <v>0</v>
      </c>
      <c r="E58" s="5"/>
      <c r="F58" s="206" t="e">
        <f t="shared" si="0"/>
        <v>#DIV/0!</v>
      </c>
    </row>
    <row r="59" spans="1:6" x14ac:dyDescent="0.2">
      <c r="A59" s="2" t="s">
        <v>265</v>
      </c>
      <c r="B59" s="2" t="s">
        <v>298</v>
      </c>
      <c r="C59" s="15">
        <v>40000</v>
      </c>
      <c r="D59" s="212">
        <v>1758327</v>
      </c>
      <c r="E59" s="5">
        <v>304434</v>
      </c>
      <c r="F59" s="206">
        <f t="shared" si="0"/>
        <v>0.17313844353183452</v>
      </c>
    </row>
    <row r="60" spans="1:6" s="27" customFormat="1" x14ac:dyDescent="0.2">
      <c r="A60" s="24" t="s">
        <v>59</v>
      </c>
      <c r="B60" s="24" t="s">
        <v>60</v>
      </c>
      <c r="C60" s="22">
        <f>SUM(C58:C59)</f>
        <v>340000</v>
      </c>
      <c r="D60" s="22">
        <f>SUM(D58:D59)</f>
        <v>1758327</v>
      </c>
      <c r="E60" s="22">
        <f>SUM(E58:E59)</f>
        <v>304434</v>
      </c>
      <c r="F60" s="206">
        <f t="shared" si="0"/>
        <v>0.17313844353183452</v>
      </c>
    </row>
    <row r="61" spans="1:6" x14ac:dyDescent="0.2">
      <c r="A61" s="2" t="s">
        <v>270</v>
      </c>
      <c r="B61" s="2" t="s">
        <v>288</v>
      </c>
      <c r="C61" s="15">
        <v>1627000</v>
      </c>
      <c r="D61" s="15">
        <v>2886854</v>
      </c>
      <c r="E61" s="15">
        <v>2053984</v>
      </c>
      <c r="F61" s="206">
        <f t="shared" si="0"/>
        <v>0.71149562811281764</v>
      </c>
    </row>
    <row r="62" spans="1:6" x14ac:dyDescent="0.2">
      <c r="A62" s="2" t="s">
        <v>267</v>
      </c>
      <c r="B62" s="2" t="s">
        <v>285</v>
      </c>
      <c r="C62" s="15"/>
      <c r="D62" s="212"/>
      <c r="E62" s="5"/>
      <c r="F62" s="206" t="e">
        <f t="shared" si="0"/>
        <v>#DIV/0!</v>
      </c>
    </row>
    <row r="63" spans="1:6" x14ac:dyDescent="0.2">
      <c r="A63" s="2" t="s">
        <v>268</v>
      </c>
      <c r="B63" s="2" t="s">
        <v>286</v>
      </c>
      <c r="C63" s="15"/>
      <c r="D63" s="212"/>
      <c r="E63" s="5"/>
      <c r="F63" s="206" t="e">
        <f t="shared" si="0"/>
        <v>#DIV/0!</v>
      </c>
    </row>
    <row r="64" spans="1:6" x14ac:dyDescent="0.2">
      <c r="A64" s="2" t="s">
        <v>271</v>
      </c>
      <c r="B64" s="2" t="s">
        <v>289</v>
      </c>
      <c r="C64" s="15">
        <v>1620000</v>
      </c>
      <c r="D64" s="212">
        <v>4706239</v>
      </c>
      <c r="E64" s="5">
        <v>4680450</v>
      </c>
      <c r="F64" s="206">
        <f t="shared" si="0"/>
        <v>0.99452025279634115</v>
      </c>
    </row>
    <row r="65" spans="1:6" x14ac:dyDescent="0.2">
      <c r="A65" s="2" t="s">
        <v>273</v>
      </c>
      <c r="B65" s="2" t="s">
        <v>675</v>
      </c>
      <c r="C65" s="15">
        <v>0</v>
      </c>
      <c r="D65" s="212">
        <v>0</v>
      </c>
      <c r="E65" s="5">
        <v>0</v>
      </c>
      <c r="F65" s="206" t="e">
        <f t="shared" si="0"/>
        <v>#DIV/0!</v>
      </c>
    </row>
    <row r="66" spans="1:6" x14ac:dyDescent="0.2">
      <c r="A66" s="2" t="s">
        <v>272</v>
      </c>
      <c r="B66" s="2" t="s">
        <v>290</v>
      </c>
      <c r="C66" s="15">
        <v>700000</v>
      </c>
      <c r="D66" s="212">
        <v>974961</v>
      </c>
      <c r="E66" s="5">
        <v>974961</v>
      </c>
      <c r="F66" s="206">
        <f t="shared" si="0"/>
        <v>1</v>
      </c>
    </row>
    <row r="67" spans="1:6" x14ac:dyDescent="0.2">
      <c r="A67" s="2" t="s">
        <v>269</v>
      </c>
      <c r="B67" s="2" t="s">
        <v>287</v>
      </c>
      <c r="C67" s="15">
        <v>885000</v>
      </c>
      <c r="D67" s="15">
        <v>4171046</v>
      </c>
      <c r="E67" s="15">
        <v>3950415</v>
      </c>
      <c r="F67" s="206">
        <f t="shared" si="0"/>
        <v>0.94710415564824746</v>
      </c>
    </row>
    <row r="68" spans="1:6" x14ac:dyDescent="0.2">
      <c r="A68" s="24" t="s">
        <v>61</v>
      </c>
      <c r="B68" s="24" t="s">
        <v>62</v>
      </c>
      <c r="C68" s="22">
        <f>SUM(C61,C62,C63,C64,C65,C66,C67,)</f>
        <v>4832000</v>
      </c>
      <c r="D68" s="22">
        <f>SUM(D61,D62,D63,D64,D65,D66,D67,)</f>
        <v>12739100</v>
      </c>
      <c r="E68" s="22">
        <f>SUM(E61,E62,E63,E64,E65,E66,E67,)</f>
        <v>11659810</v>
      </c>
      <c r="F68" s="206">
        <f t="shared" ref="F68:F100" si="3">E68/D68</f>
        <v>0.91527737438280565</v>
      </c>
    </row>
    <row r="69" spans="1:6" x14ac:dyDescent="0.2">
      <c r="A69" s="2" t="s">
        <v>276</v>
      </c>
      <c r="B69" s="2" t="s">
        <v>293</v>
      </c>
      <c r="C69" s="15">
        <v>165000</v>
      </c>
      <c r="D69" s="15">
        <v>165000</v>
      </c>
      <c r="E69" s="15">
        <v>33790</v>
      </c>
      <c r="F69" s="206">
        <f t="shared" si="3"/>
        <v>0.2047878787878788</v>
      </c>
    </row>
    <row r="70" spans="1:6" x14ac:dyDescent="0.2">
      <c r="A70" s="2" t="s">
        <v>277</v>
      </c>
      <c r="B70" s="2" t="s">
        <v>299</v>
      </c>
      <c r="C70" s="15"/>
      <c r="D70" s="212"/>
      <c r="E70" s="5"/>
      <c r="F70" s="206" t="e">
        <f t="shared" si="3"/>
        <v>#DIV/0!</v>
      </c>
    </row>
    <row r="71" spans="1:6" x14ac:dyDescent="0.2">
      <c r="A71" s="24" t="s">
        <v>63</v>
      </c>
      <c r="B71" s="24" t="s">
        <v>64</v>
      </c>
      <c r="C71" s="22">
        <f>SUM(C69,C70)</f>
        <v>165000</v>
      </c>
      <c r="D71" s="22">
        <f>SUM(D69,D70)</f>
        <v>165000</v>
      </c>
      <c r="E71" s="22">
        <f>SUM(E69,E70)</f>
        <v>33790</v>
      </c>
      <c r="F71" s="206">
        <f t="shared" si="3"/>
        <v>0.2047878787878788</v>
      </c>
    </row>
    <row r="72" spans="1:6" x14ac:dyDescent="0.2">
      <c r="A72" s="2" t="s">
        <v>274</v>
      </c>
      <c r="B72" s="2" t="s">
        <v>291</v>
      </c>
      <c r="C72" s="15">
        <v>1504150</v>
      </c>
      <c r="D72" s="212">
        <v>2932150</v>
      </c>
      <c r="E72" s="5">
        <v>2373379</v>
      </c>
      <c r="F72" s="206">
        <f t="shared" si="3"/>
        <v>0.80943300990740585</v>
      </c>
    </row>
    <row r="73" spans="1:6" x14ac:dyDescent="0.2">
      <c r="A73" s="2" t="s">
        <v>275</v>
      </c>
      <c r="B73" s="2" t="s">
        <v>292</v>
      </c>
      <c r="C73" s="15"/>
      <c r="D73" s="212"/>
      <c r="E73" s="5"/>
      <c r="F73" s="206"/>
    </row>
    <row r="74" spans="1:6" x14ac:dyDescent="0.2">
      <c r="A74" s="2" t="s">
        <v>416</v>
      </c>
      <c r="B74" s="2" t="s">
        <v>417</v>
      </c>
      <c r="C74" s="15"/>
      <c r="D74" s="212">
        <v>75</v>
      </c>
      <c r="E74" s="5"/>
      <c r="F74" s="206">
        <f t="shared" si="3"/>
        <v>0</v>
      </c>
    </row>
    <row r="75" spans="1:6" x14ac:dyDescent="0.2">
      <c r="A75" s="2" t="s">
        <v>278</v>
      </c>
      <c r="B75" s="2" t="s">
        <v>300</v>
      </c>
      <c r="C75" s="15">
        <v>950000</v>
      </c>
      <c r="D75" s="212">
        <v>630000</v>
      </c>
      <c r="E75" s="5">
        <v>617100</v>
      </c>
      <c r="F75" s="206">
        <f t="shared" si="3"/>
        <v>0.97952380952380957</v>
      </c>
    </row>
    <row r="76" spans="1:6" x14ac:dyDescent="0.2">
      <c r="A76" s="24" t="s">
        <v>65</v>
      </c>
      <c r="B76" s="24" t="s">
        <v>66</v>
      </c>
      <c r="C76" s="22">
        <f>SUM(C72,C73,C74,C75)</f>
        <v>2454150</v>
      </c>
      <c r="D76" s="22">
        <f>SUM(D72,D73,D74,D75)</f>
        <v>3562225</v>
      </c>
      <c r="E76" s="22">
        <f>SUM(E72,E73,E74,E75)</f>
        <v>2990479</v>
      </c>
      <c r="F76" s="206">
        <f t="shared" si="3"/>
        <v>0.83949750507056686</v>
      </c>
    </row>
    <row r="77" spans="1:6" x14ac:dyDescent="0.2">
      <c r="A77" s="92" t="s">
        <v>67</v>
      </c>
      <c r="B77" s="92" t="s">
        <v>68</v>
      </c>
      <c r="C77" s="95">
        <f>SUM(C57,C60,C68,C71,C76)</f>
        <v>10883140</v>
      </c>
      <c r="D77" s="147">
        <f>SUM(D57,D60,D68,D71,D76)</f>
        <v>21772138</v>
      </c>
      <c r="E77" s="147">
        <f>SUM(E57,E60,E68,E71,E76)</f>
        <v>17867704</v>
      </c>
      <c r="F77" s="206">
        <f t="shared" si="3"/>
        <v>0.82066832389175559</v>
      </c>
    </row>
    <row r="78" spans="1:6" s="142" customFormat="1" x14ac:dyDescent="0.2">
      <c r="A78" s="144" t="s">
        <v>364</v>
      </c>
      <c r="B78" s="144" t="s">
        <v>365</v>
      </c>
      <c r="C78" s="141">
        <v>3146000</v>
      </c>
      <c r="D78" s="212">
        <v>3340500</v>
      </c>
      <c r="E78" s="151">
        <v>2917500</v>
      </c>
      <c r="F78" s="206">
        <f t="shared" si="3"/>
        <v>0.87337224966322402</v>
      </c>
    </row>
    <row r="79" spans="1:6" s="142" customFormat="1" x14ac:dyDescent="0.2">
      <c r="A79" s="145" t="s">
        <v>69</v>
      </c>
      <c r="B79" s="146" t="s">
        <v>363</v>
      </c>
      <c r="C79" s="147">
        <f>SUM(C78)</f>
        <v>3146000</v>
      </c>
      <c r="D79" s="147">
        <f>SUM(D78)</f>
        <v>3340500</v>
      </c>
      <c r="E79" s="147">
        <f>SUM(E78)</f>
        <v>2917500</v>
      </c>
      <c r="F79" s="206">
        <f t="shared" si="3"/>
        <v>0.87337224966322402</v>
      </c>
    </row>
    <row r="80" spans="1:6" x14ac:dyDescent="0.2">
      <c r="A80" s="2" t="s">
        <v>279</v>
      </c>
      <c r="B80" s="2" t="s">
        <v>294</v>
      </c>
      <c r="C80" s="15"/>
      <c r="D80" s="212">
        <v>263890</v>
      </c>
      <c r="E80" s="5">
        <v>263890</v>
      </c>
      <c r="F80" s="206">
        <f t="shared" si="3"/>
        <v>1</v>
      </c>
    </row>
    <row r="81" spans="1:6" x14ac:dyDescent="0.2">
      <c r="A81" s="17" t="s">
        <v>23</v>
      </c>
      <c r="B81" s="17" t="s">
        <v>30</v>
      </c>
      <c r="C81" s="15">
        <v>42375117</v>
      </c>
      <c r="D81" s="212">
        <v>35890328</v>
      </c>
      <c r="E81" s="5">
        <v>24288421</v>
      </c>
      <c r="F81" s="206">
        <f t="shared" si="3"/>
        <v>0.67674001196088263</v>
      </c>
    </row>
    <row r="82" spans="1:6" x14ac:dyDescent="0.2">
      <c r="A82" s="17" t="s">
        <v>611</v>
      </c>
      <c r="B82" s="17" t="s">
        <v>612</v>
      </c>
      <c r="C82" s="15"/>
      <c r="D82" s="212">
        <v>0</v>
      </c>
      <c r="E82" s="5">
        <v>0</v>
      </c>
      <c r="F82" s="206">
        <v>0</v>
      </c>
    </row>
    <row r="83" spans="1:6" x14ac:dyDescent="0.2">
      <c r="A83" s="17" t="s">
        <v>33</v>
      </c>
      <c r="B83" s="17" t="s">
        <v>32</v>
      </c>
      <c r="C83" s="15">
        <v>0</v>
      </c>
      <c r="D83" s="212">
        <v>2550942</v>
      </c>
      <c r="E83" s="5">
        <v>2150942</v>
      </c>
      <c r="F83" s="206">
        <f t="shared" si="3"/>
        <v>0.84319518044706621</v>
      </c>
    </row>
    <row r="84" spans="1:6" x14ac:dyDescent="0.2">
      <c r="A84" s="17" t="s">
        <v>613</v>
      </c>
      <c r="B84" s="235" t="s">
        <v>614</v>
      </c>
      <c r="C84" s="15">
        <v>6561196</v>
      </c>
      <c r="D84" s="212">
        <v>37069425</v>
      </c>
      <c r="E84" s="5">
        <v>0</v>
      </c>
      <c r="F84" s="206">
        <v>0</v>
      </c>
    </row>
    <row r="85" spans="1:6" x14ac:dyDescent="0.2">
      <c r="A85" s="92" t="s">
        <v>71</v>
      </c>
      <c r="B85" s="92" t="s">
        <v>72</v>
      </c>
      <c r="C85" s="95">
        <f>SUM(C80:C84)</f>
        <v>48936313</v>
      </c>
      <c r="D85" s="147">
        <f>SUM(D80:D84)</f>
        <v>75774585</v>
      </c>
      <c r="E85" s="147">
        <f>SUM(E80:E84)</f>
        <v>26703253</v>
      </c>
      <c r="F85" s="206">
        <f t="shared" si="3"/>
        <v>0.35240381719015684</v>
      </c>
    </row>
    <row r="86" spans="1:6" ht="16.899999999999999" customHeight="1" x14ac:dyDescent="0.2">
      <c r="A86" s="202" t="s">
        <v>426</v>
      </c>
      <c r="B86" s="202" t="s">
        <v>427</v>
      </c>
      <c r="C86" s="203"/>
      <c r="D86" s="203"/>
      <c r="E86" s="203"/>
      <c r="F86" s="206" t="e">
        <f t="shared" si="3"/>
        <v>#DIV/0!</v>
      </c>
    </row>
    <row r="87" spans="1:6" ht="16.899999999999999" customHeight="1" x14ac:dyDescent="0.2">
      <c r="A87" s="215" t="s">
        <v>617</v>
      </c>
      <c r="B87" s="215" t="s">
        <v>671</v>
      </c>
      <c r="C87" s="203"/>
      <c r="D87" s="203"/>
      <c r="E87" s="203"/>
      <c r="F87" s="206" t="e">
        <f t="shared" si="3"/>
        <v>#DIV/0!</v>
      </c>
    </row>
    <row r="88" spans="1:6" ht="16.899999999999999" customHeight="1" x14ac:dyDescent="0.2">
      <c r="A88" s="215" t="s">
        <v>618</v>
      </c>
      <c r="B88" s="215" t="s">
        <v>619</v>
      </c>
      <c r="C88" s="203"/>
      <c r="D88" s="203"/>
      <c r="E88" s="203">
        <v>0</v>
      </c>
      <c r="F88" s="206" t="e">
        <f t="shared" si="3"/>
        <v>#DIV/0!</v>
      </c>
    </row>
    <row r="89" spans="1:6" x14ac:dyDescent="0.2">
      <c r="A89" s="2" t="s">
        <v>264</v>
      </c>
      <c r="B89" s="2" t="s">
        <v>284</v>
      </c>
      <c r="C89" s="15"/>
      <c r="D89" s="15">
        <v>1511816</v>
      </c>
      <c r="E89" s="15">
        <v>1511816</v>
      </c>
      <c r="F89" s="206">
        <f t="shared" si="3"/>
        <v>1</v>
      </c>
    </row>
    <row r="90" spans="1:6" x14ac:dyDescent="0.2">
      <c r="A90" s="2" t="s">
        <v>28</v>
      </c>
      <c r="B90" s="2" t="s">
        <v>29</v>
      </c>
      <c r="C90" s="15"/>
      <c r="D90" s="5">
        <v>349332</v>
      </c>
      <c r="E90" s="5">
        <v>349332</v>
      </c>
      <c r="F90" s="206">
        <f t="shared" si="3"/>
        <v>1</v>
      </c>
    </row>
    <row r="91" spans="1:6" x14ac:dyDescent="0.2">
      <c r="A91" s="92" t="s">
        <v>73</v>
      </c>
      <c r="B91" s="92" t="s">
        <v>74</v>
      </c>
      <c r="C91" s="95">
        <f>SUM(C89,C90)</f>
        <v>0</v>
      </c>
      <c r="D91" s="147">
        <f>SUM(D86,D89,D90)+D87+D88</f>
        <v>1861148</v>
      </c>
      <c r="E91" s="147">
        <f>SUM(E86,E89,E90)+E87+E88</f>
        <v>1861148</v>
      </c>
      <c r="F91" s="206">
        <f t="shared" si="3"/>
        <v>1</v>
      </c>
    </row>
    <row r="92" spans="1:6" x14ac:dyDescent="0.2">
      <c r="A92" s="202" t="s">
        <v>428</v>
      </c>
      <c r="B92" s="202" t="s">
        <v>429</v>
      </c>
      <c r="C92" s="203">
        <v>1300000</v>
      </c>
      <c r="D92" s="203">
        <f>685600+393701</f>
        <v>1079301</v>
      </c>
      <c r="E92" s="203">
        <v>393701</v>
      </c>
      <c r="F92" s="206">
        <f t="shared" si="3"/>
        <v>0.36477405283604852</v>
      </c>
    </row>
    <row r="93" spans="1:6" x14ac:dyDescent="0.2">
      <c r="A93" s="202" t="s">
        <v>430</v>
      </c>
      <c r="B93" s="202" t="s">
        <v>431</v>
      </c>
      <c r="C93" s="203">
        <v>217813</v>
      </c>
      <c r="D93" s="203">
        <v>376113</v>
      </c>
      <c r="E93" s="203">
        <v>106300</v>
      </c>
      <c r="F93" s="206">
        <f t="shared" si="3"/>
        <v>0.28262782727531355</v>
      </c>
    </row>
    <row r="94" spans="1:6" x14ac:dyDescent="0.2">
      <c r="A94" s="145" t="s">
        <v>75</v>
      </c>
      <c r="B94" s="145" t="s">
        <v>141</v>
      </c>
      <c r="C94" s="147">
        <f>SUM(C92:C93)</f>
        <v>1517813</v>
      </c>
      <c r="D94" s="147">
        <f>SUM(D92:D93)</f>
        <v>1455414</v>
      </c>
      <c r="E94" s="147">
        <f>SUM(E92:E93)</f>
        <v>500001</v>
      </c>
      <c r="F94" s="206">
        <f t="shared" si="3"/>
        <v>0.34354554786473129</v>
      </c>
    </row>
    <row r="95" spans="1:6" s="220" customFormat="1" x14ac:dyDescent="0.2">
      <c r="A95" s="216" t="s">
        <v>688</v>
      </c>
      <c r="B95" s="216" t="s">
        <v>689</v>
      </c>
      <c r="C95" s="217"/>
      <c r="D95" s="217"/>
      <c r="E95" s="217">
        <v>0</v>
      </c>
      <c r="F95" s="206" t="e">
        <f t="shared" si="3"/>
        <v>#DIV/0!</v>
      </c>
    </row>
    <row r="96" spans="1:6" s="201" customFormat="1" x14ac:dyDescent="0.2">
      <c r="A96" s="216" t="s">
        <v>615</v>
      </c>
      <c r="B96" s="216" t="s">
        <v>616</v>
      </c>
      <c r="C96" s="217"/>
      <c r="D96" s="217"/>
      <c r="E96" s="217"/>
      <c r="F96" s="206">
        <v>0</v>
      </c>
    </row>
    <row r="97" spans="1:6" s="201" customFormat="1" x14ac:dyDescent="0.2">
      <c r="A97" s="216" t="s">
        <v>31</v>
      </c>
      <c r="B97" s="216" t="s">
        <v>696</v>
      </c>
      <c r="C97" s="217">
        <v>51708200</v>
      </c>
      <c r="D97" s="217">
        <v>64383753</v>
      </c>
      <c r="E97" s="217">
        <v>64383753</v>
      </c>
      <c r="F97" s="206"/>
    </row>
    <row r="98" spans="1:6" s="205" customFormat="1" x14ac:dyDescent="0.2">
      <c r="A98" s="202" t="s">
        <v>409</v>
      </c>
      <c r="B98" s="202" t="s">
        <v>410</v>
      </c>
      <c r="C98" s="203"/>
      <c r="D98" s="203">
        <v>4321012</v>
      </c>
      <c r="E98" s="203">
        <v>4321012</v>
      </c>
      <c r="F98" s="206">
        <f t="shared" si="3"/>
        <v>1</v>
      </c>
    </row>
    <row r="99" spans="1:6" x14ac:dyDescent="0.2">
      <c r="A99" s="145" t="s">
        <v>80</v>
      </c>
      <c r="B99" s="145" t="s">
        <v>81</v>
      </c>
      <c r="C99" s="147">
        <f>SUM(C95:C98)</f>
        <v>51708200</v>
      </c>
      <c r="D99" s="147">
        <f t="shared" ref="D99:E99" si="4">SUM(D95:D98)</f>
        <v>68704765</v>
      </c>
      <c r="E99" s="147">
        <f t="shared" si="4"/>
        <v>68704765</v>
      </c>
      <c r="F99" s="206">
        <f t="shared" si="3"/>
        <v>1</v>
      </c>
    </row>
    <row r="100" spans="1:6" x14ac:dyDescent="0.2">
      <c r="A100" s="94"/>
      <c r="B100" s="93" t="s">
        <v>49</v>
      </c>
      <c r="C100" s="96">
        <f>C50+C54+C77+C79+C85+C91+C94+C99</f>
        <v>125506616</v>
      </c>
      <c r="D100" s="96">
        <f>SUM(D50,D54,D77,D79,D85,D91,D94,D99)</f>
        <v>189047832</v>
      </c>
      <c r="E100" s="96">
        <f>SUM(E50,E54,E77,E79,E85,E91,E94,E99)</f>
        <v>132793786</v>
      </c>
      <c r="F100" s="206">
        <f t="shared" si="3"/>
        <v>0.70243485257212579</v>
      </c>
    </row>
    <row r="102" spans="1:6" x14ac:dyDescent="0.2">
      <c r="B102" s="20"/>
      <c r="C102" s="3"/>
    </row>
    <row r="103" spans="1:6" x14ac:dyDescent="0.2">
      <c r="C103" s="3"/>
      <c r="E103" s="3"/>
    </row>
  </sheetData>
  <mergeCells count="1">
    <mergeCell ref="A1:F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scale="94" orientation="portrait" horizontalDpi="300" verticalDpi="300" r:id="rId1"/>
  <headerFooter>
    <oddHeader xml:space="preserve">&amp;L7. melléklet a 3/2019.(V.24.) önkormányzati rendelethez&amp;CErzsébet Község Önkormányzata
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1.Címrend (2)</vt:lpstr>
      <vt:lpstr>2.Műk+F mérlegek</vt:lpstr>
      <vt:lpstr>3.Pü.mérleg</vt:lpstr>
      <vt:lpstr>4.Pénzmaradv.</vt:lpstr>
      <vt:lpstr>5.Bevétel</vt:lpstr>
      <vt:lpstr>Munka2</vt:lpstr>
      <vt:lpstr>Munka1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12.Több éves</vt:lpstr>
      <vt:lpstr>13.Ei ütemterv</vt:lpstr>
      <vt:lpstr>14. Mérleg</vt:lpstr>
      <vt:lpstr>'1.Címrend (2)'!Nyomtatási_cím</vt:lpstr>
      <vt:lpstr>'11.Intézm.'!Nyomtatási_cím</vt:lpstr>
      <vt:lpstr>'13.Ei ütemterv'!Nyomtatási_cím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2019-07-08T12:24:38Z</cp:lastPrinted>
  <dcterms:created xsi:type="dcterms:W3CDTF">2011-07-11T14:12:19Z</dcterms:created>
  <dcterms:modified xsi:type="dcterms:W3CDTF">2019-07-08T12:27:29Z</dcterms:modified>
</cp:coreProperties>
</file>