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activeTab="6"/>
  </bookViews>
  <sheets>
    <sheet name="ÖSSZEFÜGGÉSEK" sheetId="1" r:id="rId1"/>
    <sheet name="1.1.sz.mell." sheetId="2" r:id="rId2"/>
    <sheet name="1.2.sz.mell. 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" sheetId="9" r:id="rId9"/>
    <sheet name="4.sz.mell." sheetId="10" r:id="rId10"/>
    <sheet name="5. sz. mell. " sheetId="11" r:id="rId11"/>
    <sheet name="6.1. sz. mell" sheetId="12" r:id="rId12"/>
    <sheet name="6.2 sz. mell" sheetId="13" r:id="rId13"/>
    <sheet name="6.3 sz. mell" sheetId="14" r:id="rId14"/>
    <sheet name="6.4.sz. mell " sheetId="15" r:id="rId15"/>
    <sheet name="7.1. sz. mell" sheetId="16" r:id="rId16"/>
    <sheet name="7.2. sz. mell" sheetId="17" r:id="rId17"/>
    <sheet name="7.3. sz. mell" sheetId="18" r:id="rId18"/>
    <sheet name="7.4. sz. mell" sheetId="19" r:id="rId19"/>
    <sheet name="8.1. sz. mell" sheetId="20" r:id="rId20"/>
    <sheet name="8.2. sz. mell" sheetId="21" r:id="rId21"/>
    <sheet name="8.3. sz. mell" sheetId="22" r:id="rId22"/>
    <sheet name="8.4. sz. mell" sheetId="23" r:id="rId23"/>
    <sheet name="9.1. sz. mell" sheetId="24" r:id="rId24"/>
    <sheet name="9.2. sz. mell" sheetId="25" r:id="rId25"/>
    <sheet name="9.3. sz. mell" sheetId="26" r:id="rId26"/>
    <sheet name="9.4. sz. mell" sheetId="27" r:id="rId27"/>
    <sheet name="10.1. mell" sheetId="28" r:id="rId28"/>
    <sheet name="10. 2. sz. mell" sheetId="29" r:id="rId29"/>
    <sheet name="11.1.sz.mell" sheetId="30" r:id="rId30"/>
    <sheet name="11.2.sz.mell" sheetId="31" r:id="rId31"/>
    <sheet name="11.3.sz.mell" sheetId="32" r:id="rId32"/>
    <sheet name="11.4.sz.mellA" sheetId="33" r:id="rId33"/>
    <sheet name="1.tájékoztató" sheetId="34" r:id="rId34"/>
    <sheet name="2. tájékoztató tábla" sheetId="35" r:id="rId35"/>
    <sheet name="3. tájékoztató tábla" sheetId="36" r:id="rId36"/>
    <sheet name="4. tájékoztató tábla" sheetId="37" r:id="rId37"/>
    <sheet name="5. tájékoztató tábla" sheetId="38" r:id="rId38"/>
    <sheet name="6. tájékoztató tábla" sheetId="39" r:id="rId39"/>
    <sheet name="7.1.tájékoztató tábla átdolg" sheetId="40" r:id="rId40"/>
    <sheet name="7.2. tájékoztató tábla" sheetId="41" r:id="rId41"/>
    <sheet name="7.3. tájékoztató tábla" sheetId="42" r:id="rId42"/>
    <sheet name="7.4. tájékoztató tábla" sheetId="43" r:id="rId43"/>
    <sheet name="8. tájékoztató tábla" sheetId="44" r:id="rId44"/>
    <sheet name="9. tájékoztató tábla" sheetId="45" r:id="rId45"/>
    <sheet name="10. tájékoztató tábla" sheetId="46" r:id="rId46"/>
    <sheet name="Munka1" sheetId="47" r:id="rId47"/>
  </sheets>
  <definedNames>
    <definedName name="_xlnm.Print_Titles" localSheetId="11">'6.1. sz. mell'!$1:$6</definedName>
    <definedName name="_xlnm.Print_Titles" localSheetId="12">'6.2 sz. mell'!$1:$6</definedName>
    <definedName name="_xlnm.Print_Titles" localSheetId="13">'6.3 sz. mell'!$1:$6</definedName>
    <definedName name="_xlnm.Print_Titles" localSheetId="14">'6.4.sz. mell '!$1:$6</definedName>
    <definedName name="_xlnm.Print_Titles" localSheetId="15">'7.1. sz. mell'!$1:$6</definedName>
    <definedName name="_xlnm.Print_Titles" localSheetId="39">'7.1.tájékoztató tábla átdolg'!$2:$6</definedName>
    <definedName name="_xlnm.Print_Titles" localSheetId="16">'7.2. sz. mell'!$1:$6</definedName>
    <definedName name="_xlnm.Print_Titles" localSheetId="17">'7.3. sz. mell'!$1:$6</definedName>
    <definedName name="_xlnm.Print_Titles" localSheetId="18">'7.4. sz. mell'!$1:$6</definedName>
    <definedName name="_xlnm.Print_Titles" localSheetId="19">'8.1. sz. mell'!$1:$6</definedName>
    <definedName name="_xlnm.Print_Titles" localSheetId="20">'8.2. sz. mell'!$1:$6</definedName>
    <definedName name="_xlnm.Print_Titles" localSheetId="21">'8.3. sz. mell'!$1:$6</definedName>
    <definedName name="_xlnm.Print_Titles" localSheetId="22">'8.4. sz. mell'!$1:$6</definedName>
    <definedName name="_xlnm.Print_Titles" localSheetId="23">'9.1. sz. mell'!$1:$6</definedName>
    <definedName name="_xlnm.Print_Titles" localSheetId="24">'9.2. sz. mell'!$1:$6</definedName>
    <definedName name="_xlnm.Print_Titles" localSheetId="25">'9.3. sz. mell'!$1:$6</definedName>
    <definedName name="_xlnm.Print_Titles" localSheetId="26">'9.4. sz. mell'!$1:$6</definedName>
    <definedName name="_xlnm.Print_Area" localSheetId="1">'1.1.sz.mell.'!$A$1:$E$131</definedName>
    <definedName name="_xlnm.Print_Area" localSheetId="2">'1.2.sz.mell. '!$A$1:$E$130</definedName>
    <definedName name="_xlnm.Print_Area" localSheetId="3">'1.3.sz.mell.'!$A$1:$E$130</definedName>
    <definedName name="_xlnm.Print_Area" localSheetId="4">'1.4.sz.mell.'!$A$1:$E$130</definedName>
    <definedName name="_xlnm.Print_Area" localSheetId="33">'1.tájékoztató'!$A$1:$F$128</definedName>
    <definedName name="_xlnm.Print_Area" localSheetId="45">'10. tájékoztató tábla'!$A$1:$O$31</definedName>
    <definedName name="_xlnm.Print_Area" localSheetId="5">'2.1.sz.mell  '!$A$1:$J$34</definedName>
    <definedName name="_xlnm.Print_Area" localSheetId="11">'6.1. sz. mell'!$A$1:$F$103</definedName>
    <definedName name="_xlnm.Print_Area" localSheetId="15">'7.1. sz. mell'!$A$1:$F$54</definedName>
    <definedName name="_xlnm.Print_Area" localSheetId="39">'7.1.tájékoztató tábla átdolg'!$A$1:$D$119</definedName>
    <definedName name="_xlnm.Print_Area" localSheetId="19">'8.1. sz. mell'!$A$1:$F$54</definedName>
    <definedName name="_xlnm.Print_Area" localSheetId="23">'9.1. sz. mell'!$A$1:$F$54</definedName>
  </definedNames>
  <calcPr fullCalcOnLoad="1"/>
</workbook>
</file>

<file path=xl/sharedStrings.xml><?xml version="1.0" encoding="utf-8"?>
<sst xmlns="http://schemas.openxmlformats.org/spreadsheetml/2006/main" count="4570" uniqueCount="1074">
  <si>
    <t>2.1. Költségvetési elszámolási számla</t>
  </si>
  <si>
    <t>2.2. Adóbeszedéssel kapcsolatos számlál</t>
  </si>
  <si>
    <t>2.3. Költségvetési elszámolási számla</t>
  </si>
  <si>
    <t>2.4. Lakásépítés és vásárlás munkáltatói támogatás számla</t>
  </si>
  <si>
    <t>2.6. Kihelyezett költségvetési elszámolásai számla</t>
  </si>
  <si>
    <t>2.7. Önkormányzati kincstári finanszírozási elszámolási számla</t>
  </si>
  <si>
    <t>2.8. Deviza(betét) számla</t>
  </si>
  <si>
    <t xml:space="preserve"> V. Egyéb aktív pénzügyi elszámolások </t>
  </si>
  <si>
    <t>VAGYONKIMUTATÁS
a könyvviteli mérlegben értékkel szereplő forrásokról</t>
  </si>
  <si>
    <t>FORRÁSOK</t>
  </si>
  <si>
    <t>állományi 
érték</t>
  </si>
  <si>
    <t>1</t>
  </si>
  <si>
    <t>2</t>
  </si>
  <si>
    <t>3</t>
  </si>
  <si>
    <t xml:space="preserve">1. Tartós tőke 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</si>
  <si>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</si>
  <si>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</si>
  <si>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</si>
  <si>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</si>
  <si>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</si>
  <si>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</si>
  <si>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</si>
  <si>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</si>
  <si>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</si>
  <si>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</si>
  <si>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</si>
  <si>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</si>
  <si>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</si>
  <si>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</si>
  <si>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</si>
  <si>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</si>
  <si>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</si>
  <si>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</si>
  <si>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</si>
  <si>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</si>
  <si>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</si>
  <si>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</si>
  <si>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</si>
  <si>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</si>
  <si>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</si>
  <si>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</si>
  <si>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FORRÁSOK ÖSSZESEN  (04+11+27)</t>
  </si>
  <si>
    <t>Mennyiség
(db)</t>
  </si>
  <si>
    <t>Értéke
(E Ft)</t>
  </si>
  <si>
    <t>Képzőművészeti alkotások</t>
  </si>
  <si>
    <t>Régészeti leletek</t>
  </si>
  <si>
    <t>Képek</t>
  </si>
  <si>
    <t>Szobrok</t>
  </si>
  <si>
    <t>Egyéb képzőművészeti alkotások</t>
  </si>
  <si>
    <t>Gyűjtemények</t>
  </si>
  <si>
    <t>Kulturális javak</t>
  </si>
  <si>
    <t>Egyéb eszközök</t>
  </si>
  <si>
    <t>Kötelezettségvállalás megnevezése</t>
  </si>
  <si>
    <t>Kezességvállalás</t>
  </si>
  <si>
    <t>Garanciavállalás</t>
  </si>
  <si>
    <t>Szerződésből eredő kötelezettség</t>
  </si>
  <si>
    <t>Függő kötelezettségek</t>
  </si>
  <si>
    <t>Gazdálkodó szervezet megnevezése</t>
  </si>
  <si>
    <t>Részesedés mértéke (%-ban)</t>
  </si>
  <si>
    <t>Részesedés összege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</si>
  <si>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</si>
  <si>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</si>
  <si>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</si>
  <si>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</si>
  <si>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</si>
  <si>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</si>
  <si>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</si>
  <si>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2013.
évi
teljesítés</t>
  </si>
  <si>
    <t>Hitel, kölcsön állomány  2013. dec. 31-én</t>
  </si>
  <si>
    <t>2015. után</t>
  </si>
  <si>
    <t>Adósság állomány alakulása lejárat, eszközök, bel- és külföldi hitelezők szerinti bontásban 
2013. december 31-én</t>
  </si>
  <si>
    <t xml:space="preserve">VAGYONKIMUTATÁS
a könyvviteli mérlegben értékkel szereplő eszközökről
2013. </t>
  </si>
  <si>
    <t>2013. év</t>
  </si>
  <si>
    <t xml:space="preserve">VAGYONKIMUTATÁS
az érték nélkül nyilvántartott  eszközökről
2013. </t>
  </si>
  <si>
    <t>VAGYONKIMUTATÁS
a mérlegben nem szereplő kötelezettségekről
2013.</t>
  </si>
  <si>
    <t xml:space="preserve">                                  8. sz. tájékoztató tábla a ……./2014.(………)  önkormányzati rendelethez</t>
  </si>
  <si>
    <r>
      <t>Pénzkészlet 2013. január 1-jén
e</t>
    </r>
    <r>
      <rPr>
        <i/>
        <sz val="10"/>
        <rFont val="Times New Roman CE"/>
        <family val="0"/>
      </rPr>
      <t>bből:</t>
    </r>
  </si>
  <si>
    <r>
      <t>Záró pénzkészlet 2013. december 31-én
e</t>
    </r>
    <r>
      <rPr>
        <i/>
        <sz val="10"/>
        <rFont val="Times New Roman CE"/>
        <family val="0"/>
      </rPr>
      <t>bből:</t>
    </r>
  </si>
  <si>
    <t>Működési célú finanszírozási kiadások (6.1.1.+…+6.1.7.)</t>
  </si>
  <si>
    <t>Felhalmozási célú finanszírozási kiadások (6.2.1.+...+6.2.8.)</t>
  </si>
  <si>
    <t>Költségvetési szerv neve</t>
  </si>
  <si>
    <t>Helyesbített pénzmarad-vány</t>
  </si>
  <si>
    <r>
      <t xml:space="preserve">Elvonás, kiegészítés
</t>
    </r>
    <r>
      <rPr>
        <b/>
        <sz val="9"/>
        <rFont val="Arial"/>
        <family val="2"/>
      </rPr>
      <t>±</t>
    </r>
  </si>
  <si>
    <t>Intézményt megillető pénzmaradvány</t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</si>
  <si>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</si>
  <si>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</si>
  <si>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</si>
  <si>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3.9.</t>
  </si>
  <si>
    <t>3.10.</t>
  </si>
  <si>
    <t>VII. Előző évi költségvetési kiegészítések, visszatérülések</t>
  </si>
  <si>
    <t>Előző évi költségvetési kiegészítések, visszatérülések</t>
  </si>
  <si>
    <t>Vésőgép (START téli munkaprogram)</t>
  </si>
  <si>
    <t>Betonkeverő (START téli munkaprogram)</t>
  </si>
  <si>
    <t>Fűkasza (START nyári munkaprogram)</t>
  </si>
  <si>
    <t>Gallyaprító (START nyári munkaprogram)</t>
  </si>
  <si>
    <t>Mulcsozó (START nyári munkaprogram)</t>
  </si>
  <si>
    <t>Windows 7 Pro</t>
  </si>
  <si>
    <t>Számítógép konfiguráció</t>
  </si>
  <si>
    <t>Memória (aktiválás meglévő gépre)</t>
  </si>
  <si>
    <t>Csillag téri záportározó</t>
  </si>
  <si>
    <t>Gecse emlékház felújítása (pályázat)</t>
  </si>
  <si>
    <t>2013-2013</t>
  </si>
  <si>
    <t>Polgármesteri Hivatal számítógép felújítás</t>
  </si>
  <si>
    <t>Jászsági Ivóvízminőség-javító Önkormányzati Társulás</t>
  </si>
  <si>
    <t>Alattyáni Óvoda</t>
  </si>
  <si>
    <t>"NEMLEGES"</t>
  </si>
  <si>
    <t>Arany János Tehetséggondozó Program</t>
  </si>
  <si>
    <t>Gecse Emlékház felújítűása</t>
  </si>
  <si>
    <t>2015. 
után</t>
  </si>
  <si>
    <t>Egyéb kedvezmény (Talajterhelési díj)</t>
  </si>
  <si>
    <t>Jászsági Többcélú Társulás</t>
  </si>
  <si>
    <t>Tagsági díj</t>
  </si>
  <si>
    <t>Jászsági Szociális Szolgáltató Társulás</t>
  </si>
  <si>
    <t>Jászsági Óvodai Intézmény</t>
  </si>
  <si>
    <t>Működési hozzájárulás</t>
  </si>
  <si>
    <t>Szakemberfinanszírozás, tagdíj</t>
  </si>
  <si>
    <t>JNSZ-Megyei Parlagfű-mentesítési Alap</t>
  </si>
  <si>
    <t>hozzájárulás</t>
  </si>
  <si>
    <t>Támogatás a VÉCS Kft. részére</t>
  </si>
  <si>
    <t>ÁFA és egyéb kötelezettség teljesítése</t>
  </si>
  <si>
    <t>Civil szervezetek támogatása</t>
  </si>
  <si>
    <t>Működési támogatás</t>
  </si>
  <si>
    <t>Lovasbandérium</t>
  </si>
  <si>
    <t>Öltözékek felújítása</t>
  </si>
  <si>
    <t>Alattyáni VÉCS Kft.</t>
  </si>
  <si>
    <t>Az Alattyán Község Önkormányzat tulajdonában álló gazdálkodó szervezetek működéséből származó részesedések alakulása a 2013. évben</t>
  </si>
  <si>
    <t xml:space="preserve">2013. évi </t>
  </si>
  <si>
    <t>2013. évi eredeti előirányzat</t>
  </si>
  <si>
    <t>2013. évi módosított előirányzat</t>
  </si>
  <si>
    <t>2013. évi eredeti előirányzat BEVÉTELEK</t>
  </si>
  <si>
    <t>2013. évi eredeti előirányzat KIADÁSOK</t>
  </si>
  <si>
    <t>2013. évi módosított előirányzat BEVÉTELEK</t>
  </si>
  <si>
    <t>2013. évi módosított előirányzat KIADÁSOK</t>
  </si>
  <si>
    <t>1. sz. melléklet Kiadások táblázat 4. oszlop 7 sora =</t>
  </si>
  <si>
    <t>1. sz. melléklet Kiadások táblázat 4. oszlop 9 sora =</t>
  </si>
  <si>
    <t>1. sz. melléklet Kiadások táblázat 5. oszlop 9 sora =</t>
  </si>
  <si>
    <t>1. sz. melléklet Kiadások táblázat 5. oszlop 7 sora =</t>
  </si>
  <si>
    <t>2013. előtt</t>
  </si>
  <si>
    <t>2013.után</t>
  </si>
  <si>
    <t>Felhasználás
2012. XII.31-ig</t>
  </si>
  <si>
    <t>Beruházási (felhalmozási) kiadások előirányzata beruházásonként</t>
  </si>
  <si>
    <t>Felújítási kiadások előirányzata felújításonként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</si>
  <si>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</si>
  <si>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</si>
  <si>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</si>
  <si>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</si>
  <si>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</si>
  <si>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</si>
  <si>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</si>
  <si>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</si>
  <si>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</si>
  <si>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</si>
  <si>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</si>
  <si>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</si>
  <si>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</si>
  <si>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</si>
  <si>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</si>
  <si>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</si>
  <si>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</si>
  <si>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</si>
  <si>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</si>
  <si>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</si>
  <si>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</si>
  <si>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</si>
  <si>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</si>
  <si>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</si>
  <si>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</si>
  <si>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</si>
  <si>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</si>
  <si>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</si>
  <si>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</si>
  <si>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</si>
  <si>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</si>
  <si>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</si>
  <si>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</si>
  <si>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</si>
  <si>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</si>
  <si>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</si>
  <si>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</si>
  <si>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Ezer forintban !</t>
  </si>
  <si>
    <t>Bevételek</t>
  </si>
  <si>
    <t>Intézményi működési bevételek</t>
  </si>
  <si>
    <t>Helyi adók</t>
  </si>
  <si>
    <t>Átengedett központi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</si>
  <si>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</si>
  <si>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</si>
  <si>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</si>
  <si>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</si>
  <si>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</si>
  <si>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</si>
  <si>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</si>
  <si>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</si>
  <si>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</si>
  <si>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</si>
  <si>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</si>
  <si>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</si>
  <si>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</si>
  <si>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</si>
  <si>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</si>
  <si>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</si>
  <si>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</si>
  <si>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</si>
  <si>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</si>
  <si>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</si>
  <si>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</si>
  <si>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</si>
  <si>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</si>
  <si>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</si>
  <si>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</si>
  <si>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</si>
  <si>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</si>
  <si>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</si>
  <si>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</si>
  <si>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</si>
  <si>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</si>
  <si>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</si>
  <si>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</si>
  <si>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</si>
  <si>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</si>
  <si>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</si>
  <si>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</si>
  <si>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</si>
  <si>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</si>
  <si>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 melléklet a 6/2014. (IV.29) önkormányzati rendelethez</t>
  </si>
  <si>
    <t>2.2. melléklet a 6/2014. (IV.29.) önkormányzati rendelethez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</si>
  <si>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</si>
  <si>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</si>
  <si>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</si>
  <si>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</si>
  <si>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</si>
  <si>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</si>
  <si>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</si>
  <si>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</si>
  <si>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</si>
  <si>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</si>
  <si>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</si>
  <si>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</si>
  <si>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</si>
  <si>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</si>
  <si>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</si>
  <si>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</si>
  <si>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</si>
  <si>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</si>
  <si>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</si>
  <si>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</si>
  <si>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</si>
  <si>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</si>
  <si>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</si>
  <si>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</si>
  <si>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</si>
  <si>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</si>
  <si>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</si>
  <si>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</si>
  <si>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</si>
  <si>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</si>
  <si>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</si>
  <si>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</si>
  <si>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</si>
  <si>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</si>
  <si>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</si>
  <si>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</si>
  <si>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</si>
  <si>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</si>
  <si>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</si>
  <si>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</si>
  <si>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</si>
  <si>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</si>
  <si>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</si>
  <si>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</si>
  <si>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</si>
  <si>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</si>
  <si>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</si>
  <si>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</si>
  <si>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1. sz. melléklet Kiadások táblázat 3. oszlop 5 sora =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</si>
  <si>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</si>
  <si>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</si>
  <si>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</si>
  <si>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</si>
  <si>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</si>
  <si>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</si>
  <si>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</si>
  <si>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</si>
  <si>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</si>
  <si>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</si>
  <si>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</si>
  <si>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</si>
  <si>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</si>
  <si>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</si>
  <si>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</si>
  <si>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</si>
  <si>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</si>
  <si>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</si>
  <si>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</si>
  <si>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</si>
  <si>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</si>
  <si>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</si>
  <si>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</si>
  <si>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</si>
  <si>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</si>
  <si>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</si>
  <si>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</si>
  <si>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</si>
  <si>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</si>
  <si>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</si>
  <si>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</si>
  <si>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</si>
  <si>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</si>
  <si>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</si>
  <si>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</si>
  <si>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</si>
  <si>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</si>
  <si>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</si>
  <si>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</si>
  <si>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</si>
  <si>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</si>
  <si>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</si>
  <si>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</si>
  <si>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</si>
  <si>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</si>
  <si>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</si>
  <si>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</si>
  <si>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</si>
  <si>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</si>
  <si>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</si>
  <si>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</si>
  <si>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</si>
  <si>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</si>
  <si>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</si>
  <si>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</si>
  <si>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</si>
  <si>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</si>
  <si>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</si>
  <si>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</si>
  <si>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</si>
  <si>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</si>
  <si>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</si>
  <si>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</si>
  <si>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</si>
  <si>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</si>
  <si>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</si>
  <si>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</si>
  <si>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</si>
  <si>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</si>
  <si>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</si>
  <si>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</si>
  <si>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</si>
  <si>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</si>
  <si>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</si>
  <si>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</si>
  <si>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</si>
  <si>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</si>
  <si>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</si>
  <si>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</si>
  <si>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</si>
  <si>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</si>
  <si>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</si>
  <si>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</si>
  <si>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</si>
  <si>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</si>
  <si>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</si>
  <si>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</si>
  <si>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</si>
  <si>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</si>
  <si>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</si>
  <si>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</si>
  <si>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</si>
  <si>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</si>
  <si>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</si>
  <si>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</si>
  <si>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</si>
  <si>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</si>
  <si>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</si>
  <si>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</si>
  <si>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</si>
  <si>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</si>
  <si>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</si>
  <si>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</si>
  <si>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</si>
  <si>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</si>
  <si>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</si>
  <si>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</si>
  <si>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</si>
  <si>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</si>
  <si>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</si>
  <si>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</si>
  <si>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</si>
  <si>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</si>
  <si>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</si>
  <si>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</si>
  <si>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</si>
  <si>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</si>
  <si>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</si>
  <si>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</si>
  <si>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</si>
  <si>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</si>
  <si>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</si>
  <si>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</si>
  <si>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</si>
  <si>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</si>
  <si>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</si>
  <si>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</si>
  <si>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</si>
  <si>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>Módosított pénzmaradvány</t>
  </si>
  <si>
    <t>Kötelezettséggel terhelt pénzmaradvány</t>
  </si>
  <si>
    <t xml:space="preserve"> - ebből: szállítói kötelezettség:</t>
  </si>
  <si>
    <t xml:space="preserve">             költségvetéssel szembeni kötelezettség:</t>
  </si>
  <si>
    <t xml:space="preserve">             helyi adó túlfizetése miatti kötelezettség:</t>
  </si>
  <si>
    <t xml:space="preserve">             egyéb rövid lejáratú kötelezettség:</t>
  </si>
  <si>
    <t xml:space="preserve">             víziközművek üzemeltetésébe adásából származó kötelezettség:</t>
  </si>
  <si>
    <t xml:space="preserve">             egyéb különféle kötelezettség:</t>
  </si>
  <si>
    <t xml:space="preserve">             családi potlék behajtásából származó fizetési kötelezettség:</t>
  </si>
  <si>
    <t xml:space="preserve">             Érdekeltségi hozzájárulás beszedéséből származó kötelezettség:</t>
  </si>
  <si>
    <t xml:space="preserve">             Központi költségvetést megillető gépjárműadó:</t>
  </si>
  <si>
    <t xml:space="preserve">             GECSE emlékház felújításából származó kötelezettség: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</si>
  <si>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</si>
  <si>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</si>
  <si>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</si>
  <si>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</si>
  <si>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</si>
  <si>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</si>
  <si>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</si>
  <si>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</si>
  <si>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</si>
  <si>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</si>
  <si>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</si>
  <si>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</si>
  <si>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</si>
  <si>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</si>
  <si>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</si>
  <si>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</si>
  <si>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</si>
  <si>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</si>
  <si>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</si>
  <si>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</si>
  <si>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</si>
  <si>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</si>
  <si>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</si>
  <si>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</si>
  <si>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</si>
  <si>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</si>
  <si>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</si>
  <si>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</si>
  <si>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</si>
  <si>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</si>
  <si>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</si>
  <si>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</si>
  <si>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</si>
  <si>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</si>
  <si>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</si>
  <si>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</si>
  <si>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</si>
  <si>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</si>
  <si>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</si>
  <si>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</si>
  <si>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</si>
  <si>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</si>
  <si>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</si>
  <si>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</si>
  <si>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</si>
  <si>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</si>
  <si>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</si>
  <si>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</si>
  <si>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</si>
  <si>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</si>
  <si>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</si>
  <si>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</si>
  <si>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</si>
  <si>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</si>
  <si>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</si>
  <si>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</si>
  <si>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</si>
  <si>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</si>
  <si>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</si>
  <si>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</si>
  <si>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</si>
  <si>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</si>
  <si>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</si>
  <si>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</si>
  <si>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 xml:space="preserve">   Pénzügyi lízing tőkerész törlesztés kiadása</t>
  </si>
  <si>
    <t>1. sz. melléklet Bevételek táblázat 3. oszlop 14 sora =</t>
  </si>
  <si>
    <t>1. sz. melléklet Kiadások táblázat 3. oszlop 9 sora =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</si>
  <si>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</si>
  <si>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</si>
  <si>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</si>
  <si>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</si>
  <si>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</si>
  <si>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13=(12/3)</t>
  </si>
  <si>
    <t>12=(10+11)</t>
  </si>
  <si>
    <t>Támogatási szerződés szerinti bevételek, kiadások</t>
  </si>
  <si>
    <t>Módosított előirányzat</t>
  </si>
  <si>
    <t>Teljesítés</t>
  </si>
  <si>
    <t>Eredeti</t>
  </si>
  <si>
    <t>Módosított</t>
  </si>
  <si>
    <t>7=(4+6)</t>
  </si>
  <si>
    <t>1. sz. melléklet Bevételek táblázat 5. oszlop 12 sora =</t>
  </si>
  <si>
    <t>1. sz. melléklet Kiadások táblázat 5. oszlop 5 sora =</t>
  </si>
  <si>
    <t>1. sz. melléklet Bevételek táblázat 4. oszlop 10 sora =</t>
  </si>
  <si>
    <t>1. sz. melléklet Bevételek táblázat 4. oszlop 12 sora =</t>
  </si>
  <si>
    <t>1. sz. melléklet Bevételek táblázat 4. oszlop 14 sora =</t>
  </si>
  <si>
    <t>1. sz. melléklet Bevételek táblázat 5. oszlop 10 sora =</t>
  </si>
  <si>
    <t>1. sz. melléklet Bevételek táblázat 5. oszlop 14 sora =</t>
  </si>
  <si>
    <t>1. sz. melléklet Kiadások táblázat 4. oszlop 5 sora =</t>
  </si>
  <si>
    <t>- EU-s forrásból finanszírozott támogatással megvalósuló  programok,  projektek önkormányzati  hozzájárulásának kiadásai</t>
  </si>
  <si>
    <t>31.</t>
  </si>
  <si>
    <t>Felhalmozási célú finanszírozási bevételek összesen
(14+20)</t>
  </si>
  <si>
    <t>Felhalmozási célú finanszírozási kiadások összesen
(14+...+25)</t>
  </si>
  <si>
    <t>Költségvetési és finanszírozási bevételek összesen (13+26)</t>
  </si>
  <si>
    <t>BEVÉTEL ÖSSZESEN (27+28)</t>
  </si>
  <si>
    <t>KIADÁSOK ÖSSZESEN (27+28)</t>
  </si>
  <si>
    <t>Költségvetési és finanszírozási kiadások összesen (13+26)</t>
  </si>
  <si>
    <t>Kölcsön nyújtása</t>
  </si>
  <si>
    <t>Kölcsön nyújtás</t>
  </si>
  <si>
    <t>2/a. számú melléklet 3. oszlop 13. sor + 2/b. számú melléklet 3. oszlop 13. sor</t>
  </si>
  <si>
    <t>2/a. számú melléklet 4. oszlop 13. sor + 2/b. számú melléklet 4. oszlop 13. sor</t>
  </si>
  <si>
    <t>2/a. számú melléklet 5. oszlop 13. sor + 2/b. számú melléklet 5. oszlop 13. sor</t>
  </si>
  <si>
    <t>2/a. számú melléklet 7. oszlop 13. sor + 2/b. számú melléklet 7. oszlop 13. sor</t>
  </si>
  <si>
    <t>2/a. számú melléklet 8. oszlop 13. sor + 2/b. számú melléklet 8. oszlop 13. sor</t>
  </si>
  <si>
    <t>2/a. számú melléklet 9. oszlop 13. sor + 2/b. számú melléklet 9. oszlop 13. sor</t>
  </si>
  <si>
    <t>2/a. számú melléklet 9. oszlop 22. sor + 2/b. számú melléklet 9. oszlop 26. sor</t>
  </si>
  <si>
    <t>2/a. számú melléklet 3. oszlop 22. sor + 2/b. számú melléklet 3. oszlop 26. sor</t>
  </si>
  <si>
    <t>2/a. számú melléklet 4. oszlop 22. sor + 2/b. számú melléklet 4. oszlop 26. sor</t>
  </si>
  <si>
    <t>2/a. számú melléklet 5. oszlop 22. sor + 2/b. számú melléklet 5. oszlop 26. sor</t>
  </si>
  <si>
    <t>2/a. számú melléklet 7. oszlop 22. sor + 2/b. számú melléklet 7. oszlop 26. sor</t>
  </si>
  <si>
    <t>2/a. számú melléklet 8. oszlop 22. sor + 2/b. számú melléklet 8. oszlop 26. sor</t>
  </si>
  <si>
    <t>2/a. számú melléklet 3. oszlop 25. sor + 2/b. számú melléklet 3. oszlop 29. sor</t>
  </si>
  <si>
    <t>2/a. számú melléklet 4. oszlop 25. sor + 2/b. számú melléklet 4. oszlop 29. sor</t>
  </si>
  <si>
    <t>ALATTYÁN KÖZSÉG ÖNKORMÁNYZATA
EGYSZERŰSÍTETT MÉRLEG</t>
  </si>
  <si>
    <t xml:space="preserve">         2013. ÉV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</si>
  <si>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</si>
  <si>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</si>
  <si>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</si>
  <si>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</si>
  <si>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</si>
  <si>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</si>
  <si>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 xml:space="preserve">A) BEFEKTETETT ESZKÖZÖK </t>
  </si>
  <si>
    <t>I.   Immateriális javak</t>
  </si>
  <si>
    <t>II.  Tárgyi eszközök</t>
  </si>
  <si>
    <t>III. Befektetett pénzügyi eszközök</t>
  </si>
  <si>
    <t>lV.Üzemeltetésre, kezelésre átadott eszközök</t>
  </si>
  <si>
    <t xml:space="preserve">B) FORGÓESZKÖZÖK </t>
  </si>
  <si>
    <t>l.   Készletek</t>
  </si>
  <si>
    <t>ll.  Követelések</t>
  </si>
  <si>
    <t>lll. Értékpapírok</t>
  </si>
  <si>
    <t>IV.Pénzeszközök</t>
  </si>
  <si>
    <t>V. Egyéb aktív pénzügyi elszámolások</t>
  </si>
  <si>
    <t>ESZKÖZÖK ÖSSZESEN</t>
  </si>
  <si>
    <t>F O R R Á S O K</t>
  </si>
  <si>
    <t>D) SAJÁT TŐKE ÖSSZESEN</t>
  </si>
  <si>
    <t>1. Tartós tőke</t>
  </si>
  <si>
    <t>2. Tőkeváltozások</t>
  </si>
  <si>
    <t>3. Értékelési tartalék</t>
  </si>
  <si>
    <t>E) TARTALÉKOK ÖSSZESEN</t>
  </si>
  <si>
    <t xml:space="preserve"> I. Költségvetési tartalékok</t>
  </si>
  <si>
    <t>II. Vállalkozási tartalékok</t>
  </si>
  <si>
    <t>F) KÖTELEZETTSÉGEK ÖSSZESEN</t>
  </si>
  <si>
    <t xml:space="preserve">  I. Hosszú lejáratú kötelezettségek</t>
  </si>
  <si>
    <t xml:space="preserve"> II. Rövid lejáratú kötelezettségek</t>
  </si>
  <si>
    <t>III. Egyéb passzív pénzügyi elszámolások</t>
  </si>
  <si>
    <t>FORRÁSOK ÖSSZESEN</t>
  </si>
  <si>
    <t>ALATTYÁN KÖZSÉG ÖNKORMÁNYZATA</t>
  </si>
  <si>
    <t>EGYSZERŰSÍTETT PÉNZFORGALMI JELENTÉS</t>
  </si>
  <si>
    <t>2013. ÉV</t>
  </si>
  <si>
    <t>előirányzat</t>
  </si>
  <si>
    <t>Munkaadókat terhelő járulék</t>
  </si>
  <si>
    <t>Dologi és egyéb folyó  kiadások</t>
  </si>
  <si>
    <t>Működési célú támogatásértékű kiadások, egyéb támogatások</t>
  </si>
  <si>
    <t>Államháztartáson kívülre végleges működési pénzeszközátadások</t>
  </si>
  <si>
    <t>Társadalom-, szociálpolitikai és egyéb juttatás, támogatás</t>
  </si>
  <si>
    <t>Tervezett maradvány és tartalék előirányzata</t>
  </si>
  <si>
    <t>Felújítás</t>
  </si>
  <si>
    <t>Felhalmozási célú támogatásértékű kiadások, egyéb támogatások</t>
  </si>
  <si>
    <t>Államháztartáson kívülre végleges felhalmozási pénzeszközátadások</t>
  </si>
  <si>
    <t>Hosszú lejáratú kölcsönök nyújtása</t>
  </si>
  <si>
    <t>Rövid lejáratú kölcsönök nyújtása</t>
  </si>
  <si>
    <t>Költségvetési pénzforgalmi kiadások összesen ( 01+...+13 )</t>
  </si>
  <si>
    <t>Alap- és vállalkozási tevékenység közötti elszámolások</t>
  </si>
  <si>
    <t>Központi, irányítószervi támogatás folyósítása</t>
  </si>
  <si>
    <t>Különböző finanszírozási kiadások</t>
  </si>
  <si>
    <t>Tartós hitelviszonyt megtestesítő értékpapírok kiadásai</t>
  </si>
  <si>
    <t>Forgatási célú hitelviszonyt megtestesítő értékpapírok kiadásai</t>
  </si>
  <si>
    <t>Finanszírozási kiadások összesen (14+15+17+18)</t>
  </si>
  <si>
    <t>Pénzforgalmi kiadások (14+20)</t>
  </si>
  <si>
    <t>Pénzforgalom nélküli kiadások</t>
  </si>
  <si>
    <t xml:space="preserve">Kiegyenlítő, függő, átfutó kiadások </t>
  </si>
  <si>
    <t>Kiadások összesen ( 20+21+22 )</t>
  </si>
  <si>
    <t>Önkormányzatok sajátos működési bevétele</t>
  </si>
  <si>
    <t>Működési célú támogatások államháztartáson belülről</t>
  </si>
  <si>
    <t>Előző évi működési célú előirányzat-maradvány, pénzmaradvány átvétel összesen</t>
  </si>
  <si>
    <t>Államháztartáson kívülről végleges működési pénzeszközátvételek</t>
  </si>
  <si>
    <t>Felhalmozási és tőke jellegű bevételek</t>
  </si>
  <si>
    <t>30-ból: önkormányzatok sajátos felhalmozási és tőkebevételei</t>
  </si>
  <si>
    <t>Felhalmozási célú támogatásértékű bevételek, egyéb támogatások</t>
  </si>
  <si>
    <t>Államháztartáson kívülről végleges felhalmozási pénzeszközátvételek</t>
  </si>
  <si>
    <t xml:space="preserve">Támogatások, kiegészítések </t>
  </si>
  <si>
    <t>32-ből: Önkormányzatok költségvetési támogatása</t>
  </si>
  <si>
    <t>Hosszú lejáratú kölcsönök visszatérülése</t>
  </si>
  <si>
    <t>Rövid lejáratú kölcsönök visszatérülése</t>
  </si>
  <si>
    <t>Költségvetési pénzforgalmi bevételek összesen 
(24+..+28+30+31+32+34+35+36)</t>
  </si>
  <si>
    <t>Maradvány működési célú igénybevétele</t>
  </si>
  <si>
    <t>Maradvány felhalmozási célú igénybevétele</t>
  </si>
  <si>
    <t>Központi, irányítószervi támogatás</t>
  </si>
  <si>
    <t>Különböző finanszírozási bevételek</t>
  </si>
  <si>
    <t>Finanszírozási bevételek összesen (37+38+40+41)</t>
  </si>
  <si>
    <t>Pénzforgalmi bevételek (37+43 )</t>
  </si>
  <si>
    <t>Pénzforgalom nélküli bevételek</t>
  </si>
  <si>
    <t>Továbbadási (lebonyolítási) célú bevételek</t>
  </si>
  <si>
    <t>Kiegyenlítő, függő, átfutó bevételek</t>
  </si>
  <si>
    <t>Bevételek összesen ( 43+…+46)</t>
  </si>
  <si>
    <t>Pénzforgalmi költségvetési bevételek és kiadások különbsége (37-14) [költségvetési hiány (-), költségvetési többlet (+)]</t>
  </si>
  <si>
    <t>Igénybe vett tartalékokkal korrigált költségvetési bevételek és kiadások különbsége (48-21) [korrigált költségvetési hiány (-), korrigált költségvetési többlet(+)]</t>
  </si>
  <si>
    <t>Finanszírozási műveletek eredménye (43-20)</t>
  </si>
  <si>
    <t>Aktív és passzív pénzügyi műveletek egyenlege (45+46+46-22-23)</t>
  </si>
  <si>
    <t>EGYSZERŰSÍTETT PÉNZMARADVÁNY-KIMUTATÁS</t>
  </si>
  <si>
    <t>Záró pénzkészlet</t>
  </si>
  <si>
    <t>Forgatási célú pénzügyi műveletek egyenlege</t>
  </si>
  <si>
    <t>Egyéb aktív és passzív pénzügyi elszámolások összevont záró egyenlege (±)</t>
  </si>
  <si>
    <t>Előző év(ek)ben képzett tartalékok maradványa ( - )</t>
  </si>
  <si>
    <t>Vállalkozási tevékenység pénzforgalmi vállalkozási maradványa ( - )</t>
  </si>
  <si>
    <t>Tárgyévi helyesbített pénzmaradvány (1+2±3–4–5)</t>
  </si>
  <si>
    <t>Finanszírozásból származó korrekciók ( ± )</t>
  </si>
  <si>
    <t>Pénzmaradványt terhelő elvonások ( ± )</t>
  </si>
  <si>
    <t>Költségvetési pénzmaradvány (6±7±8)</t>
  </si>
  <si>
    <t>A vállalkozási maradványból alaptevékenység ellátására felhasznált összeg</t>
  </si>
  <si>
    <t>Költségvetési pénzmaradványt külön jogszabály alapján módosító tétel ( ± )</t>
  </si>
  <si>
    <t>Módosított pénzmaradvány (9±10±11)</t>
  </si>
  <si>
    <t>A 12. sorból 
   - az egészségbiztosítási alapból folyósított pénzmaradványa</t>
  </si>
  <si>
    <t xml:space="preserve">   - Kötelezettséggel terhelt pénzmaradvány</t>
  </si>
  <si>
    <t xml:space="preserve">   - Szabad pénzmaradvány</t>
  </si>
  <si>
    <t>EGYSZERŰSÍTETT VÁLLALKOZÁSI MARADVÁNY-KIMUTATÁS</t>
  </si>
  <si>
    <t xml:space="preserve">"NEMLEGES"                                                                                                                                                                                                                                                     </t>
  </si>
  <si>
    <t>Vállalkozási tevékenység működési célú bevételei</t>
  </si>
  <si>
    <t>Vállalkozási tevékenység felhalmozási célú bevételei</t>
  </si>
  <si>
    <t>Vállalkozási maradványban figyelembe vehető finanszírozási bevételek</t>
  </si>
  <si>
    <t>A</t>
  </si>
  <si>
    <t>Vállalkozási tevékenység  szakfeladaton elszámolt bevételei (1+2±3)</t>
  </si>
  <si>
    <t>Vállalkozási tevékenység működési célú kiadásai</t>
  </si>
  <si>
    <t>Vállalkozási tevékenység felhalmozási célú kiadásai</t>
  </si>
  <si>
    <t>Vállalkozási tevékenység forgatási célú finanszírozási és aktív pénzügyi kiadásai</t>
  </si>
  <si>
    <t>B</t>
  </si>
  <si>
    <t>Vállalkozási tevékenység  szakfeladaton elszámolt  kiadásai [4+5±6)</t>
  </si>
  <si>
    <t>C</t>
  </si>
  <si>
    <t>Vállalkozási tevékenység pénzforgalmi maradványa (A–B)</t>
  </si>
  <si>
    <t>Vállalkozási tevékenységet terhelő értékcsökkenési leírás</t>
  </si>
  <si>
    <t>Alaptevékenység ellátására felhasznált és felhasználni tervezett vállalkozási maradvány</t>
  </si>
  <si>
    <t>Pénzforgalmi maradványt  jogszabály alapján módosító egyéb tétel  ( ± )</t>
  </si>
  <si>
    <t>D</t>
  </si>
  <si>
    <t xml:space="preserve">Vállalkozási tevékenység módosított pénzforgalmi vállalkozási maradványa (C–7–8±9) </t>
  </si>
  <si>
    <t>E</t>
  </si>
  <si>
    <t>Vállalkozási tevékenységet terhelő befizetési kötelezettség</t>
  </si>
  <si>
    <t>F</t>
  </si>
  <si>
    <t>Vállalkozási tartalékba helyezhető összeg (C–8–9–E)</t>
  </si>
  <si>
    <t>6.4. melléklet a ……/2014. (……) önkormányzati rendelethez</t>
  </si>
  <si>
    <t>9. tájékoztató tábla a ……/2014. (……) önkormányzati rendelethez</t>
  </si>
  <si>
    <t>2/a. számú melléklet 5. oszlop 25. sor + 2/b. számú melléklet 5. oszlop 29. sor</t>
  </si>
  <si>
    <t>2/a. számú melléklet 7. oszlop 27. sor + 2/b. számú melléklet 7. oszlop 29. sor</t>
  </si>
  <si>
    <t>2/a. számú melléklet 8. oszlop 27. sor + 2/b. számú melléklet 8. oszlop 29. sor</t>
  </si>
  <si>
    <t>2/a. számú melléklet 9. oszlop 27. sor + 2/b. számú melléklet 9. oszlop 29. sor</t>
  </si>
  <si>
    <t>2013. évi teljesítés BEVÉTELEK</t>
  </si>
  <si>
    <t>2013. évi teljesítés KIADÁSOK</t>
  </si>
  <si>
    <t>2013. évi
teljesítés</t>
  </si>
  <si>
    <t>2013. évi teljesítés</t>
  </si>
  <si>
    <t>2013. év 
teljesítés</t>
  </si>
  <si>
    <t>Összes teljesítés 2013. dec. 31-ig</t>
  </si>
  <si>
    <t>2013. évi</t>
  </si>
  <si>
    <t>Teljesítés %-a 
2013. XII. 31-ig</t>
  </si>
  <si>
    <t>Önkormányzaton kívüli EU-s projekthez történő hozzájárulás 2013. évi előirányzata és teljesítése</t>
  </si>
  <si>
    <t>2012. évi
tény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</si>
  <si>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</si>
  <si>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</si>
  <si>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</si>
  <si>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</si>
  <si>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</si>
  <si>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2014.</t>
  </si>
  <si>
    <t>2015.</t>
  </si>
  <si>
    <t>10=(6+…+9)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</si>
  <si>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</si>
  <si>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</si>
  <si>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</si>
  <si>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</si>
  <si>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</si>
  <si>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</si>
  <si>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</si>
  <si>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</si>
  <si>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</si>
  <si>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</si>
  <si>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</si>
  <si>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</si>
  <si>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</si>
  <si>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(1+6)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</si>
  <si>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</si>
  <si>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</si>
  <si>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</si>
  <si>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</si>
  <si>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</si>
  <si>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</si>
  <si>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</si>
  <si>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</si>
  <si>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</si>
  <si>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</si>
  <si>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</si>
  <si>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</si>
  <si>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</si>
  <si>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</si>
  <si>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</si>
  <si>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</si>
  <si>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</si>
  <si>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</si>
  <si>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</si>
  <si>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</si>
  <si>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</si>
  <si>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</si>
  <si>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</si>
  <si>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</si>
  <si>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</si>
  <si>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</si>
  <si>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</si>
  <si>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</si>
  <si>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</si>
  <si>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</si>
  <si>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</si>
  <si>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</si>
  <si>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</si>
  <si>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</si>
  <si>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</si>
  <si>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</si>
  <si>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</si>
  <si>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kölcsön elengedése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</si>
  <si>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</si>
  <si>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</si>
  <si>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</si>
  <si>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</si>
  <si>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</si>
  <si>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</si>
  <si>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</si>
  <si>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</si>
  <si>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</si>
  <si>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</si>
  <si>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</si>
  <si>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</si>
  <si>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</si>
  <si>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</si>
  <si>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</si>
  <si>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</si>
  <si>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</si>
  <si>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</si>
  <si>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</si>
  <si>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</si>
  <si>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</si>
  <si>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</si>
  <si>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</si>
  <si>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</si>
  <si>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</si>
  <si>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</si>
  <si>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</si>
  <si>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</si>
  <si>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</si>
  <si>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</si>
  <si>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</si>
  <si>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</si>
  <si>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</si>
  <si>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Átvett pénzeszközök államháztartáson kívülről</t>
  </si>
  <si>
    <t>Közhatalmi bevételek és átengedett központi adók</t>
  </si>
  <si>
    <t>ebből: Lakosságnak juttatott tám., szociális, rászorultság jellegű tám.</t>
  </si>
  <si>
    <t xml:space="preserve"> I. Immateriális javak   (02+…...+07)</t>
  </si>
  <si>
    <t xml:space="preserve">    1. Alapítás-átszervezés aktivált értéke</t>
  </si>
  <si>
    <t xml:space="preserve">    2. Kisérleti fejlesztés aktivált értéke</t>
  </si>
  <si>
    <t xml:space="preserve">    3. Vagyoni értékű jogok</t>
  </si>
  <si>
    <t xml:space="preserve">    4. Szellemi termékek</t>
  </si>
  <si>
    <t xml:space="preserve">    5. Immateriális javakra adott előlegek</t>
  </si>
  <si>
    <t xml:space="preserve">    6. Immateriális javakértékhelyesbítése</t>
  </si>
  <si>
    <t>II. Tárgyi eszközök   (9+…….+16)</t>
  </si>
  <si>
    <t xml:space="preserve">    1. Ingatlanok és kapcsolódó vagyoni értékű jogok   </t>
  </si>
  <si>
    <t xml:space="preserve">    2. Gépek berendezések és felszerelések</t>
  </si>
  <si>
    <t xml:space="preserve">    3. Járművek</t>
  </si>
  <si>
    <t xml:space="preserve">    4. Tenyészállatok</t>
  </si>
  <si>
    <t xml:space="preserve">    5. Beruházások, felújítások</t>
  </si>
  <si>
    <t xml:space="preserve">    6. Beruházásokra adott előlegek</t>
  </si>
  <si>
    <t xml:space="preserve">    7. Állami készletek, tartalékok</t>
  </si>
  <si>
    <t xml:space="preserve">    8. Tárgyi eszközök értékhelyesbítése</t>
  </si>
  <si>
    <t>III. Befektetett pénzügyi eszközök (18+……+23)</t>
  </si>
  <si>
    <t xml:space="preserve">    1. Egyéb tartós részesedés</t>
  </si>
  <si>
    <t xml:space="preserve">    2. Tartós hitelviszonyt megtestesítő értékpapír</t>
  </si>
  <si>
    <t xml:space="preserve">    3. Tartósan adott kölcsönök</t>
  </si>
  <si>
    <t xml:space="preserve">    4. Hosszú lejáratú bankbetétek</t>
  </si>
  <si>
    <t xml:space="preserve">    5. Egyéb hosszú lejáratú követelések</t>
  </si>
  <si>
    <t xml:space="preserve">    6. Befektetett pénzügyi eszközök értékhelyesbítése</t>
  </si>
  <si>
    <t>IV. Üzemeltetésre, kezelésre átadott, koncesszióba adott, vagyonkezelésbe vett eszközök (25+….+29)</t>
  </si>
  <si>
    <t xml:space="preserve">    1. Üzemeltetésre, kezelésre átadott eszközök</t>
  </si>
  <si>
    <t xml:space="preserve">    2. Koncesszióba adott eszközök</t>
  </si>
  <si>
    <t xml:space="preserve">    3. Vagyonkezelésbe adott eszközök adott kölcsönök</t>
  </si>
  <si>
    <t xml:space="preserve">    4. Vagyonkezelésbe vett eszközök adott kölcsönök</t>
  </si>
  <si>
    <t xml:space="preserve">    5. Üzemeltetésre, kezelésre átadott, koncesszióba, vagyonkezelésbe adott, illetve 
    vagyonkezelésbe vett eszközök értékhelyesbítése</t>
  </si>
  <si>
    <t>A) BEFEKTETETT ESZKÖZÖK ÖSSZESEN  (1+8+17+24)</t>
  </si>
  <si>
    <t xml:space="preserve"> I. Készletek   (32+40+46)</t>
  </si>
  <si>
    <t>1. Vásárolt anyagok (33+..+39)</t>
  </si>
  <si>
    <t>2. Egyéb készletek  (41+..+45)</t>
  </si>
  <si>
    <t>3. Saját termelésű készletek   (47+..+49)</t>
  </si>
  <si>
    <t xml:space="preserve"> II. Követelések  (51+52+57+70+71+72)</t>
  </si>
  <si>
    <t>2. Adósok  (53+….+56)</t>
  </si>
  <si>
    <t>3. Rövid lejáratú kölcsönök   (58+64)</t>
  </si>
  <si>
    <t>3.1. Működési célú rövid lejáratú kölcsönök  (59+…..+63)</t>
  </si>
  <si>
    <t>3.2. Felhalmozási célú rövid lejáratú kölcsönök  (65+…..+69)</t>
  </si>
  <si>
    <t>6. Egyéb követelések   (73+76)</t>
  </si>
  <si>
    <t xml:space="preserve"> III. Értékpapírok  (78+..+82)</t>
  </si>
  <si>
    <t xml:space="preserve">    1. Kárpótlási jegyek</t>
  </si>
  <si>
    <t xml:space="preserve">    2. Kincstárjegyek</t>
  </si>
  <si>
    <t xml:space="preserve">    3. Kötvények</t>
  </si>
  <si>
    <t xml:space="preserve">    4. Egyéb értékpapírok</t>
  </si>
  <si>
    <t xml:space="preserve">    5. Egyéb részesedések</t>
  </si>
  <si>
    <t xml:space="preserve"> IV. Pénzeszközök  (84+91+100+102)</t>
  </si>
  <si>
    <t>1. Pénztárak csekkek, betétkönyvek  (85+88+89+90)</t>
  </si>
  <si>
    <t>1.1. Pénztárak (86+87)</t>
  </si>
  <si>
    <t>2. Költségvetési bankszámlák  (92+….+99)</t>
  </si>
  <si>
    <t>2.5. Önállóan működő és gazdálkodó, illetve önállóan működő költségvetési szervek bankszámlái</t>
  </si>
  <si>
    <t>3. Lekötött betétek (101)</t>
  </si>
  <si>
    <t>3.1. Egyéb lekötött betét</t>
  </si>
  <si>
    <t>4. Idegen pénzeszközök  (103+….+110)</t>
  </si>
  <si>
    <t>4.1. Közműtársulati lebonyolítási számla</t>
  </si>
  <si>
    <t>4.2. Társadalmi összefogással megvalósuló közműfejlesztési lebonyolítási számla</t>
  </si>
  <si>
    <t>4.3. Közműtársulati lebonyolítási számla</t>
  </si>
  <si>
    <t>4.4. Értékesítendő lakások építési lebonyolítási számla</t>
  </si>
  <si>
    <t>4.5. Értékesített  lakások bevételének elszámolása</t>
  </si>
  <si>
    <t>4.6. Előcsatlakozási Alapokkal kapcsolatos lebonyolítási számla</t>
  </si>
  <si>
    <t>4.7. Strukturális Alapok és Kohéziós Alap támogatási program  lebonyolítási számla</t>
  </si>
  <si>
    <t>4.8. Egyéb idegen bevételek számla</t>
  </si>
  <si>
    <t>B) FORGÓESZKÖZÖK ÖSSZESEN  (31+50+77+83+111)</t>
  </si>
  <si>
    <t>ESZKÖZÖK ÖSSZESEN  (30+112)</t>
  </si>
  <si>
    <t>6.1. melléklet a ……/2014. (……) önkormányzati rendelethez</t>
  </si>
  <si>
    <t>megnevezése</t>
  </si>
  <si>
    <t>Önkormányzat</t>
  </si>
  <si>
    <t>01</t>
  </si>
  <si>
    <t>Feladat megnevezése</t>
  </si>
  <si>
    <t>Összes</t>
  </si>
  <si>
    <t>--------</t>
  </si>
  <si>
    <t>Száma</t>
  </si>
  <si>
    <t>Előirányzat-csoport, kiemelt előirányzat megnevezése</t>
  </si>
  <si>
    <t>I. Önkormányzatok működési bevételei</t>
  </si>
  <si>
    <t>I/1. Közhatalmi bevételek (2.1.+…+2.4.)</t>
  </si>
  <si>
    <t>Továbbszámlázott (közvetített) szolgáltatások értéke</t>
  </si>
  <si>
    <t>Kötbér, egyéb kártérítés, bánatpénz bevétele</t>
  </si>
  <si>
    <t>III. Támogatások, kiegészítések (5.1+…+5.7.)</t>
  </si>
  <si>
    <t>Ált. működéshez és ágazati feladathoz kapcsolódó támogatások</t>
  </si>
  <si>
    <t>Megyei önkormányzatok működésének támogatása</t>
  </si>
  <si>
    <t>Egyéb támogatás, kiegészítés</t>
  </si>
  <si>
    <t>IV. Átvett pénzeszközök államháztartáson belülről (6.1.+…6.2.)</t>
  </si>
  <si>
    <t>Működési célú pénzeszköz átvétel államháztartáson kívülről</t>
  </si>
  <si>
    <t>Felhalmozási célú pénzeszköz átvétel államháztartáson kívülről</t>
  </si>
  <si>
    <t>VI. Felhalmozási célú bevételek (8.1+8.2.+8.3.)</t>
  </si>
  <si>
    <t>Működési célú finanszírozási bevételek</t>
  </si>
  <si>
    <t xml:space="preserve">  Felhalmozási célú finanszírozási bevételek</t>
  </si>
  <si>
    <t>IX. Függő, átfutó kiegyenlítő bevételek</t>
  </si>
  <si>
    <t>BEVÉTELEK ÖSSZESEN: (10+11)</t>
  </si>
  <si>
    <t>I. Működési költségvetés kiadásai (1.1+…+1.5.)</t>
  </si>
  <si>
    <t xml:space="preserve"> - Szociális, rászorultság jellegű ellátások</t>
  </si>
  <si>
    <t xml:space="preserve">     -  Működési célú pénzeszköz átadás államháztartáson belülre</t>
  </si>
  <si>
    <t xml:space="preserve">     - Működési célú pénzeszköz átadás államháztartáson kívülre</t>
  </si>
  <si>
    <t xml:space="preserve">     - Működési támogatás átadás</t>
  </si>
  <si>
    <t xml:space="preserve">     - Garancia és kezességvállalásból származó kifizetés</t>
  </si>
  <si>
    <t xml:space="preserve">     - Kamatkiadások</t>
  </si>
  <si>
    <t>1.13.</t>
  </si>
  <si>
    <t xml:space="preserve">     - Pénzforgalom nélküli kiadások</t>
  </si>
  <si>
    <t>II. Felhalmozási költségvetés kiadásai (2.1+…+2.7)</t>
  </si>
  <si>
    <t xml:space="preserve">Beruházások </t>
  </si>
  <si>
    <t xml:space="preserve"> Egyéb felhalmozási kiadások</t>
  </si>
  <si>
    <t xml:space="preserve">     2.3-ból  - Felhalmozási célú pénzeszköz átadás államháztartáson kívülre</t>
  </si>
  <si>
    <t xml:space="preserve">  - Felhalmozási célú pénzeszközátadás államháztartáson belülre</t>
  </si>
  <si>
    <t xml:space="preserve">  - Pénzügyi befektetések kiadásai</t>
  </si>
  <si>
    <t xml:space="preserve">  - Lakástámogatás</t>
  </si>
  <si>
    <t xml:space="preserve">  - Lakásépítés</t>
  </si>
  <si>
    <t xml:space="preserve">  - EU-s forrásból finanszírozott támogatással megvalósuló programok, projektek kiadásai</t>
  </si>
  <si>
    <t xml:space="preserve">  - EU-s forrásból finanszírozott támogatással megvalósuló programok, projektek
    önkormányzati hozzájárulásának kiadásai</t>
  </si>
  <si>
    <t>III. Tartalékok (3.1.+3.2)</t>
  </si>
  <si>
    <t>V. Költségvetési szervek finanszírozása</t>
  </si>
  <si>
    <t>KÖLTSÉGVETÉSI KIADÁSOK ÖSSZESEN: (1+2+3+4+5)</t>
  </si>
  <si>
    <t>V. Finanszírozási kiadások (7.1.+7.2.)</t>
  </si>
  <si>
    <t>7.1</t>
  </si>
  <si>
    <t>Működési célú finanszírozási kiadások</t>
  </si>
  <si>
    <t>Felhalmozási célú pénzügyi műveletek kiadások</t>
  </si>
  <si>
    <t>VI. Függő, átfutó kiegyenlítő bevételek</t>
  </si>
  <si>
    <t>KIADÁSOK ÖSSZESEN: (6+7)</t>
  </si>
  <si>
    <t>Éves engedélyezett létszám előirányzat (fő)</t>
  </si>
  <si>
    <t>Közfoglalkoztatottak létszáma (fő)</t>
  </si>
  <si>
    <t>6.2. melléklet a ……/2014. (……) önkormányzati rendelethez</t>
  </si>
  <si>
    <t>Kötelező feladatok</t>
  </si>
  <si>
    <t>6.3. melléklet a ……/2014. (……) önkormányzati rendelethez</t>
  </si>
  <si>
    <t>Önként vállalt feladatok</t>
  </si>
  <si>
    <t>Államigazgatási feladatok</t>
  </si>
  <si>
    <t>7.1. melléklet a ……/2014. (……) önkormányzati rendelethez</t>
  </si>
  <si>
    <t>Költségvetési szerv megnevezése</t>
  </si>
  <si>
    <t>Polgármesteri hivatal</t>
  </si>
  <si>
    <t>02</t>
  </si>
  <si>
    <t>Összes feladat</t>
  </si>
  <si>
    <t>-</t>
  </si>
  <si>
    <t>1.5.</t>
  </si>
  <si>
    <t>II. Átvett pénzeszközök  államháztartáson belülről (2.1.+2.3.)</t>
  </si>
  <si>
    <t>Működési támogatás államháztartáson belülről</t>
  </si>
  <si>
    <t xml:space="preserve"> - ebből EU támogatás</t>
  </si>
  <si>
    <t>Felhalmozási támogatás államháztartáson belülről</t>
  </si>
  <si>
    <t>III. Átvett pénzeszköz államháztartáson kívülről (3.1.+3.2.)</t>
  </si>
  <si>
    <t>IV. Közhatalmi bevételek</t>
  </si>
  <si>
    <t>V. Önkormányzati támogatás</t>
  </si>
  <si>
    <t>Költségvetési bevételek összesen (1+…+5)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</si>
  <si>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</si>
  <si>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</si>
  <si>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</si>
  <si>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</si>
  <si>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II. Felhalmozási költségvetés kiadásai (2.1+…+2.3)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</si>
  <si>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</si>
  <si>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</si>
  <si>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</si>
  <si>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</si>
  <si>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</si>
  <si>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7.2. melléklet a ……/2014. (……) önkormányzati rendelethez</t>
  </si>
  <si>
    <t>Költségvetési bevételek összesen (1+…+4)</t>
  </si>
  <si>
    <t>VI. Finanszírozási bevételek (6.1.+6.2.)</t>
  </si>
  <si>
    <t>BEVÉTELEK ÖSSZESEN: (5+6+7)</t>
  </si>
  <si>
    <t>7.3. melléklet a ……/2014. (……) önkormányzati rendelethez</t>
  </si>
  <si>
    <t>IV. Önkormányzati támogatás</t>
  </si>
  <si>
    <t>V. Finanszírozási bevételek (6.1.+6.2.)</t>
  </si>
  <si>
    <t>VI. Függő, átfutó, kiegyenlítő bevételek</t>
  </si>
  <si>
    <t>7.4. melléklet a ……/2014. (……) önkormányzati rendelethez</t>
  </si>
  <si>
    <t>Államigazagtási feladatok</t>
  </si>
  <si>
    <t>03</t>
  </si>
  <si>
    <t>8.1. melléklet a ……/2014. (……) önkormányzati rendelethez</t>
  </si>
  <si>
    <t>Idősek Klubja</t>
  </si>
  <si>
    <t>8.2. melléklet a ……/2014. (……) önkormányzati rendelethez</t>
  </si>
  <si>
    <t>8.3. melléklet a ……/2014. (……) önkormányzati rendelethez</t>
  </si>
  <si>
    <t>8.4. melléklet a ……/2014. (……) önkormányzati rendelethez</t>
  </si>
  <si>
    <t>9.1. melléklet a ……/2014. (……) önkormányzati rendelethez</t>
  </si>
  <si>
    <t>9.2. melléklet a ……/2014. (……) önkormányzati rendelethez</t>
  </si>
  <si>
    <t>9.3. melléklet a ……/2014. (……) önkormányzati rendelethez</t>
  </si>
  <si>
    <t>9.4. melléklet a ……/2014. (……) önkormányzati rendelethez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</si>
  <si>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</si>
  <si>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>I. Intézményi működési bevételek (1.1.+…+1.10.)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</si>
  <si>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</si>
  <si>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</si>
  <si>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</si>
  <si>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</si>
  <si>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</si>
  <si>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</si>
  <si>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</si>
  <si>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</si>
  <si>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</si>
  <si>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</si>
  <si>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</si>
  <si>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</si>
  <si>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</si>
  <si>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</si>
  <si>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</si>
  <si>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</si>
  <si>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</si>
  <si>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</si>
  <si>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</si>
  <si>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</si>
  <si>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</si>
  <si>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</si>
  <si>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</si>
  <si>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</si>
  <si>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</si>
  <si>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</si>
  <si>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</si>
  <si>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</si>
  <si>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</si>
  <si>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</si>
  <si>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</si>
  <si>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</si>
  <si>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</si>
  <si>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</si>
  <si>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</si>
  <si>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</si>
  <si>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</si>
  <si>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</si>
  <si>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</si>
  <si>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</si>
  <si>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</si>
  <si>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</si>
  <si>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</si>
  <si>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</si>
  <si>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</si>
  <si>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</si>
  <si>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</si>
  <si>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</si>
  <si>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</si>
  <si>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</si>
  <si>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</si>
  <si>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</si>
  <si>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</si>
  <si>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</si>
  <si>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</si>
  <si>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</si>
  <si>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</si>
  <si>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</si>
  <si>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</si>
  <si>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</si>
  <si>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</si>
  <si>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</si>
  <si>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</si>
  <si>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</si>
  <si>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</si>
  <si>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</si>
  <si>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</si>
  <si>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</si>
  <si>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1.1. Élelmiszerek</t>
  </si>
  <si>
    <t>1.2. Gyógyszerek, vegyszerek</t>
  </si>
  <si>
    <t>1.3. Irodaszerek, nyomtatványok</t>
  </si>
  <si>
    <t>1.4. Tüzelőanyagok</t>
  </si>
  <si>
    <t>1.5. Hajtó és kenőanyagok</t>
  </si>
  <si>
    <t>EU-s projekt neve, azonosítója: 8665872453</t>
  </si>
  <si>
    <t>Alattyáni Polgármesteri Hivatal</t>
  </si>
  <si>
    <t>Idősek Klubja Alattyán</t>
  </si>
  <si>
    <t>Tiszamenti Regionális Vízművek Zrt.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</si>
  <si>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</si>
  <si>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</si>
  <si>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</si>
  <si>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</si>
  <si>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</si>
  <si>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</si>
  <si>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</si>
  <si>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</si>
  <si>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</si>
  <si>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</si>
  <si>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</si>
  <si>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</si>
  <si>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Nyitó pénzkészlet</t>
  </si>
  <si>
    <t>-----</t>
  </si>
  <si>
    <t>Támogatások, hozzájárulások</t>
  </si>
  <si>
    <t>Támogatásértékű bevételek</t>
  </si>
  <si>
    <t>Felhalmozási célú bevételek</t>
  </si>
  <si>
    <t>Finanszírozási célú bevételek</t>
  </si>
  <si>
    <t>Bevételek összesen:</t>
  </si>
  <si>
    <t>Dologi kiadások</t>
  </si>
  <si>
    <t>Ellátottak pénzbeli juttatása</t>
  </si>
  <si>
    <t>Támogatások, elvonások</t>
  </si>
  <si>
    <t>Hitelek kamatai</t>
  </si>
  <si>
    <t>Felhalmozási költségvetés kiadásai</t>
  </si>
  <si>
    <t>Finanszírozási célú kiadások</t>
  </si>
  <si>
    <t>Egyenleg (10-23)</t>
  </si>
  <si>
    <t>Pénzeszközök változása
2013. évre</t>
  </si>
  <si>
    <t>1.6. Szakmai anyagok</t>
  </si>
  <si>
    <t>1.7. Munkaruha, védőruha, formaruha, egyenruha</t>
  </si>
  <si>
    <t>2.1. Áruk</t>
  </si>
  <si>
    <t>2.2. Betétdíjas göngyölegek</t>
  </si>
  <si>
    <t>2.3. Közvetített szolgáltatások</t>
  </si>
  <si>
    <t>2.4. Követelés fejében átvett eszközök, készletek</t>
  </si>
  <si>
    <t>2.5. Értékesítési céllal átsorolt eszközök   (193+..+196)</t>
  </si>
  <si>
    <t>3.1. Késztermékek</t>
  </si>
  <si>
    <t>3.2. Növendék-, hízó- és egyéb állatok</t>
  </si>
  <si>
    <t>3.3. Befejezetlen termelés, félkész termékek</t>
  </si>
  <si>
    <t>1. Követelések áruszállításból, szolgáltatásból (vevők)</t>
  </si>
  <si>
    <t>2.1. Helyi adóból hátralék</t>
  </si>
  <si>
    <t>2.2. Lakbér, bérleti díj hátralék</t>
  </si>
  <si>
    <t>2.3. Térítési díj hátralék</t>
  </si>
  <si>
    <t>2.4. Térítési díj hátralék</t>
  </si>
  <si>
    <t>3.1.1. Önkormányzati költségvetési szervnek nyújtott kölcsön</t>
  </si>
  <si>
    <t>3.1.2. Központi költségvetési szervnek nyújtott kölcsön</t>
  </si>
  <si>
    <t>3.1.3. Lakosságnak nyújtott kölcsön</t>
  </si>
  <si>
    <t>3.1.4. Non-profit szervezeteknek nyújtott kölcsön</t>
  </si>
  <si>
    <t>3.1.5. Vállalkozásoknak  nyújtott kölcsön</t>
  </si>
  <si>
    <t>3.2.1. Önkormányzati költségvetési szervnek nyújtott kölcsön</t>
  </si>
  <si>
    <t>3.2.2. Központi költségvetési szervnek nyújtott kölcsön</t>
  </si>
  <si>
    <t>3.2.3. Lakosságnak nyújtott kölcsön</t>
  </si>
  <si>
    <t>3.2.4. Non-profit szervezeteknek nyújtott kölcsön</t>
  </si>
  <si>
    <t>3.2.5. Vállalkozásoknak  nyújtott kölcsön</t>
  </si>
  <si>
    <t>4. Váltókövetelések</t>
  </si>
  <si>
    <t>5. Munkavállalókkal szembeni követelések</t>
  </si>
  <si>
    <t>6.1. Támogatási program előlege</t>
  </si>
  <si>
    <t>6.2. Szabálytalan kifizetés miatti követelés</t>
  </si>
  <si>
    <t>6.3. Garancia- és kezességvállalásból származó követelések</t>
  </si>
  <si>
    <t>6.4. Egyéb különféle követelések</t>
  </si>
  <si>
    <t>1.1.1. Forint pénztár</t>
  </si>
  <si>
    <t>1.1.2. Valutapénztár</t>
  </si>
  <si>
    <t>1.2. Költségvetési betétkönyvek</t>
  </si>
  <si>
    <t>1.3. Elektronikus pénzeszközök</t>
  </si>
  <si>
    <t>1.4. Csekkek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</si>
</sst>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#,##0.0"/>
    <numFmt numFmtId="168" formatCode="#,###__;\-#,###__"/>
    <numFmt numFmtId="169" formatCode="00"/>
    <numFmt numFmtId="170" formatCode="#,###\ _F_t;\-#,###\ _F_t"/>
    <numFmt numFmtId="171" formatCode="#,###__"/>
    <numFmt numFmtId="172" formatCode="mmm\ d/"/>
    <numFmt numFmtId="173" formatCode="#,###__;\-\ #,###__"/>
  </numFmts>
  <fonts count="83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9"/>
      <name val="Times New Roman CE"/>
      <family val="1"/>
    </font>
    <font>
      <sz val="8"/>
      <name val="Arial"/>
      <family val="2"/>
    </font>
    <font>
      <i/>
      <sz val="12"/>
      <name val="Times New Roman"/>
      <family val="1"/>
    </font>
    <font>
      <sz val="11"/>
      <name val="Times New Roman CE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Arial CE"/>
      <family val="0"/>
    </font>
    <font>
      <b/>
      <i/>
      <sz val="12"/>
      <name val="Times New Roman CE"/>
      <family val="1"/>
    </font>
    <font>
      <sz val="12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14"/>
      <name val="Times New Roman CE"/>
      <family val="1"/>
    </font>
    <font>
      <sz val="14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0"/>
      <name val="Arial"/>
      <family val="0"/>
    </font>
    <font>
      <b/>
      <i/>
      <sz val="10"/>
      <name val="Times New Roman"/>
      <family val="1"/>
    </font>
    <font>
      <sz val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1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 diagonalUp="1" diagonalDown="1">
      <left style="thin"/>
      <right style="thin"/>
      <top style="medium"/>
      <bottom style="medium"/>
      <diagonal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7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40" fillId="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4" borderId="7" applyNumberFormat="0" applyFont="0" applyAlignment="0" applyProtection="0"/>
    <xf numFmtId="0" fontId="39" fillId="9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9" borderId="0" applyNumberFormat="0" applyBorder="0" applyAlignment="0" applyProtection="0"/>
    <xf numFmtId="0" fontId="39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6" borderId="8" applyNumberFormat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0" fillId="0" borderId="0">
      <alignment/>
      <protection/>
    </xf>
    <xf numFmtId="0" fontId="8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17" borderId="0" applyNumberFormat="0" applyBorder="0" applyAlignment="0" applyProtection="0"/>
    <xf numFmtId="0" fontId="55" fillId="7" borderId="0" applyNumberFormat="0" applyBorder="0" applyAlignment="0" applyProtection="0"/>
    <xf numFmtId="0" fontId="56" fillId="16" borderId="1" applyNumberFormat="0" applyAlignment="0" applyProtection="0"/>
    <xf numFmtId="9" fontId="0" fillId="0" borderId="0" applyFont="0" applyFill="0" applyBorder="0" applyAlignment="0" applyProtection="0"/>
  </cellStyleXfs>
  <cellXfs count="1304">
    <xf numFmtId="0" fontId="0" fillId="0" borderId="0" xfId="0" applyAlignment="1">
      <alignment/>
    </xf>
    <xf numFmtId="0" fontId="0" fillId="0" borderId="0" xfId="62" applyFont="1" applyFill="1">
      <alignment/>
      <protection/>
    </xf>
    <xf numFmtId="0" fontId="0" fillId="0" borderId="0" xfId="0" applyFill="1" applyAlignment="1">
      <alignment vertical="center" wrapText="1"/>
    </xf>
    <xf numFmtId="0" fontId="3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Alignment="1" applyProtection="1">
      <alignment vertical="center" wrapText="1"/>
      <protection/>
    </xf>
    <xf numFmtId="0" fontId="12" fillId="0" borderId="10" xfId="62" applyFont="1" applyFill="1" applyBorder="1" applyAlignment="1" applyProtection="1">
      <alignment horizontal="left" vertical="center" wrapText="1" indent="1"/>
      <protection/>
    </xf>
    <xf numFmtId="0" fontId="12" fillId="0" borderId="11" xfId="62" applyFont="1" applyFill="1" applyBorder="1" applyAlignment="1" applyProtection="1">
      <alignment horizontal="left" vertical="center" wrapText="1" indent="1"/>
      <protection/>
    </xf>
    <xf numFmtId="0" fontId="12" fillId="0" borderId="12" xfId="62" applyFont="1" applyFill="1" applyBorder="1" applyAlignment="1" applyProtection="1">
      <alignment horizontal="left" vertical="center" wrapText="1" indent="1"/>
      <protection/>
    </xf>
    <xf numFmtId="0" fontId="12" fillId="0" borderId="13" xfId="62" applyFont="1" applyFill="1" applyBorder="1" applyAlignment="1" applyProtection="1">
      <alignment horizontal="left" vertical="center" wrapText="1" indent="1"/>
      <protection/>
    </xf>
    <xf numFmtId="0" fontId="12" fillId="0" borderId="14" xfId="62" applyFont="1" applyFill="1" applyBorder="1" applyAlignment="1" applyProtection="1">
      <alignment horizontal="left" vertical="center" wrapText="1" indent="1"/>
      <protection/>
    </xf>
    <xf numFmtId="0" fontId="12" fillId="0" borderId="15" xfId="62" applyFont="1" applyFill="1" applyBorder="1" applyAlignment="1" applyProtection="1">
      <alignment horizontal="left" vertical="center" wrapText="1" indent="1"/>
      <protection/>
    </xf>
    <xf numFmtId="49" fontId="12" fillId="0" borderId="16" xfId="62" applyNumberFormat="1" applyFont="1" applyFill="1" applyBorder="1" applyAlignment="1" applyProtection="1">
      <alignment horizontal="left" vertical="center" wrapText="1" indent="1"/>
      <protection/>
    </xf>
    <xf numFmtId="49" fontId="12" fillId="0" borderId="17" xfId="62" applyNumberFormat="1" applyFont="1" applyFill="1" applyBorder="1" applyAlignment="1" applyProtection="1">
      <alignment horizontal="left" vertical="center" wrapText="1" indent="1"/>
      <protection/>
    </xf>
    <xf numFmtId="49" fontId="12" fillId="0" borderId="18" xfId="62" applyNumberFormat="1" applyFont="1" applyFill="1" applyBorder="1" applyAlignment="1" applyProtection="1">
      <alignment horizontal="left" vertical="center" wrapText="1" indent="1"/>
      <protection/>
    </xf>
    <xf numFmtId="49" fontId="12" fillId="0" borderId="19" xfId="62" applyNumberFormat="1" applyFont="1" applyFill="1" applyBorder="1" applyAlignment="1" applyProtection="1">
      <alignment horizontal="left" vertical="center" wrapText="1" indent="1"/>
      <protection/>
    </xf>
    <xf numFmtId="49" fontId="12" fillId="0" borderId="20" xfId="62" applyNumberFormat="1" applyFont="1" applyFill="1" applyBorder="1" applyAlignment="1" applyProtection="1">
      <alignment horizontal="left" vertical="center" wrapText="1" indent="1"/>
      <protection/>
    </xf>
    <xf numFmtId="49" fontId="12" fillId="0" borderId="21" xfId="62" applyNumberFormat="1" applyFont="1" applyFill="1" applyBorder="1" applyAlignment="1" applyProtection="1">
      <alignment horizontal="left" vertical="center" wrapText="1" indent="1"/>
      <protection/>
    </xf>
    <xf numFmtId="0" fontId="12" fillId="0" borderId="0" xfId="62" applyFont="1" applyFill="1" applyBorder="1" applyAlignment="1" applyProtection="1">
      <alignment horizontal="left" vertical="center" wrapText="1" indent="1"/>
      <protection/>
    </xf>
    <xf numFmtId="0" fontId="11" fillId="0" borderId="22" xfId="62" applyFont="1" applyFill="1" applyBorder="1" applyAlignment="1" applyProtection="1">
      <alignment horizontal="left" vertical="center" wrapText="1" indent="1"/>
      <protection/>
    </xf>
    <xf numFmtId="0" fontId="11" fillId="0" borderId="23" xfId="62" applyFont="1" applyFill="1" applyBorder="1" applyAlignment="1" applyProtection="1">
      <alignment horizontal="left" vertical="center" wrapText="1" indent="1"/>
      <protection/>
    </xf>
    <xf numFmtId="0" fontId="11" fillId="0" borderId="24" xfId="62" applyFont="1" applyFill="1" applyBorder="1" applyAlignment="1" applyProtection="1">
      <alignment horizontal="left" vertical="center" wrapText="1" indent="1"/>
      <protection/>
    </xf>
    <xf numFmtId="0" fontId="13" fillId="0" borderId="23" xfId="62" applyFont="1" applyFill="1" applyBorder="1" applyAlignment="1" applyProtection="1">
      <alignment horizontal="left" vertical="center" wrapText="1" inden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0" fontId="11" fillId="0" borderId="23" xfId="62" applyFont="1" applyFill="1" applyBorder="1" applyAlignment="1" applyProtection="1">
      <alignment vertical="center" wrapText="1"/>
      <protection/>
    </xf>
    <xf numFmtId="0" fontId="11" fillId="0" borderId="25" xfId="62" applyFont="1" applyFill="1" applyBorder="1" applyAlignment="1" applyProtection="1">
      <alignment vertical="center" wrapText="1"/>
      <protection/>
    </xf>
    <xf numFmtId="0" fontId="11" fillId="0" borderId="22" xfId="62" applyFont="1" applyFill="1" applyBorder="1" applyAlignment="1" applyProtection="1">
      <alignment horizontal="center" vertical="center" wrapText="1"/>
      <protection/>
    </xf>
    <xf numFmtId="0" fontId="11" fillId="0" borderId="23" xfId="62" applyFont="1" applyFill="1" applyBorder="1" applyAlignment="1" applyProtection="1">
      <alignment horizontal="center" vertical="center" wrapText="1"/>
      <protection/>
    </xf>
    <xf numFmtId="0" fontId="11" fillId="0" borderId="26" xfId="62" applyFont="1" applyFill="1" applyBorder="1" applyAlignment="1" applyProtection="1">
      <alignment horizontal="center" vertical="center" wrapText="1"/>
      <protection/>
    </xf>
    <xf numFmtId="0" fontId="7" fillId="0" borderId="0" xfId="62" applyFill="1">
      <alignment/>
      <protection/>
    </xf>
    <xf numFmtId="0" fontId="12" fillId="0" borderId="0" xfId="62" applyFont="1" applyFill="1">
      <alignment/>
      <protection/>
    </xf>
    <xf numFmtId="0" fontId="14" fillId="0" borderId="0" xfId="62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11" fillId="0" borderId="27" xfId="0" applyNumberFormat="1" applyFont="1" applyFill="1" applyBorder="1" applyAlignment="1" applyProtection="1">
      <alignment horizontal="center" vertical="center" wrapText="1"/>
      <protection/>
    </xf>
    <xf numFmtId="164" fontId="11" fillId="0" borderId="28" xfId="0" applyNumberFormat="1" applyFont="1" applyFill="1" applyBorder="1" applyAlignment="1" applyProtection="1">
      <alignment horizontal="center" vertical="center" wrapText="1"/>
      <protection/>
    </xf>
    <xf numFmtId="164" fontId="11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" fontId="12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23" xfId="0" applyNumberFormat="1" applyFont="1" applyFill="1" applyBorder="1" applyAlignment="1" applyProtection="1">
      <alignment vertical="center" wrapText="1"/>
      <protection/>
    </xf>
    <xf numFmtId="164" fontId="11" fillId="0" borderId="26" xfId="0" applyNumberFormat="1" applyFont="1" applyFill="1" applyBorder="1" applyAlignment="1" applyProtection="1">
      <alignment vertical="center" wrapText="1"/>
      <protection/>
    </xf>
    <xf numFmtId="164" fontId="1" fillId="0" borderId="0" xfId="0" applyNumberFormat="1" applyFont="1" applyFill="1" applyAlignment="1">
      <alignment vertical="center" wrapText="1"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0" applyFont="1" applyFill="1" applyAlignment="1">
      <alignment/>
    </xf>
    <xf numFmtId="164" fontId="11" fillId="18" borderId="23" xfId="0" applyNumberFormat="1" applyFont="1" applyFill="1" applyBorder="1" applyAlignment="1" applyProtection="1">
      <alignment vertical="center" wrapTex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23" xfId="62" applyFont="1" applyFill="1" applyBorder="1" applyAlignment="1" applyProtection="1">
      <alignment horizontal="left" vertical="center" wrapText="1" indent="1"/>
      <protection/>
    </xf>
    <xf numFmtId="0" fontId="3" fillId="0" borderId="0" xfId="62" applyFont="1" applyFill="1">
      <alignment/>
      <protection/>
    </xf>
    <xf numFmtId="164" fontId="11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1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 indent="1"/>
    </xf>
    <xf numFmtId="3" fontId="4" fillId="0" borderId="0" xfId="0" applyNumberFormat="1" applyFont="1" applyFill="1" applyAlignment="1">
      <alignment horizontal="right" indent="1"/>
    </xf>
    <xf numFmtId="0" fontId="10" fillId="0" borderId="0" xfId="0" applyFont="1" applyFill="1" applyAlignment="1">
      <alignment horizontal="right" indent="1"/>
    </xf>
    <xf numFmtId="0" fontId="2" fillId="0" borderId="32" xfId="0" applyFont="1" applyFill="1" applyBorder="1" applyAlignment="1" applyProtection="1">
      <alignment horizontal="right"/>
      <protection/>
    </xf>
    <xf numFmtId="0" fontId="12" fillId="0" borderId="11" xfId="62" applyFont="1" applyFill="1" applyBorder="1" applyAlignment="1" applyProtection="1">
      <alignment horizontal="left" indent="6"/>
      <protection/>
    </xf>
    <xf numFmtId="0" fontId="12" fillId="0" borderId="11" xfId="62" applyFont="1" applyFill="1" applyBorder="1" applyAlignment="1" applyProtection="1">
      <alignment horizontal="left" vertical="center" wrapText="1" indent="6"/>
      <protection/>
    </xf>
    <xf numFmtId="0" fontId="12" fillId="0" borderId="15" xfId="62" applyFont="1" applyFill="1" applyBorder="1" applyAlignment="1" applyProtection="1">
      <alignment horizontal="left" vertical="center" wrapText="1" indent="6"/>
      <protection/>
    </xf>
    <xf numFmtId="0" fontId="12" fillId="0" borderId="33" xfId="62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164" fontId="12" fillId="0" borderId="11" xfId="0" applyNumberFormat="1" applyFont="1" applyFill="1" applyBorder="1" applyAlignment="1" applyProtection="1">
      <alignment vertical="center"/>
      <protection locked="0"/>
    </xf>
    <xf numFmtId="164" fontId="12" fillId="0" borderId="15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4" fillId="0" borderId="22" xfId="0" applyNumberFormat="1" applyFont="1" applyFill="1" applyBorder="1" applyAlignment="1" applyProtection="1">
      <alignment horizontal="center" vertical="center" wrapText="1"/>
      <protection/>
    </xf>
    <xf numFmtId="164" fontId="4" fillId="0" borderId="23" xfId="0" applyNumberFormat="1" applyFont="1" applyFill="1" applyBorder="1" applyAlignment="1" applyProtection="1">
      <alignment horizontal="center" vertical="center" wrapText="1"/>
      <protection/>
    </xf>
    <xf numFmtId="164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164" fontId="11" fillId="0" borderId="31" xfId="0" applyNumberFormat="1" applyFont="1" applyFill="1" applyBorder="1" applyAlignment="1" applyProtection="1">
      <alignment vertical="center"/>
      <protection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vertical="center" wrapText="1"/>
      <protection/>
    </xf>
    <xf numFmtId="164" fontId="11" fillId="0" borderId="23" xfId="0" applyNumberFormat="1" applyFont="1" applyFill="1" applyBorder="1" applyAlignment="1" applyProtection="1">
      <alignment vertical="center"/>
      <protection/>
    </xf>
    <xf numFmtId="164" fontId="11" fillId="0" borderId="26" xfId="0" applyNumberFormat="1" applyFont="1" applyFill="1" applyBorder="1" applyAlignment="1" applyProtection="1">
      <alignment vertical="center"/>
      <protection/>
    </xf>
    <xf numFmtId="0" fontId="11" fillId="0" borderId="34" xfId="62" applyFont="1" applyFill="1" applyBorder="1" applyAlignment="1" applyProtection="1">
      <alignment horizontal="left" vertical="center" wrapText="1" indent="1"/>
      <protection/>
    </xf>
    <xf numFmtId="49" fontId="12" fillId="0" borderId="35" xfId="62" applyNumberFormat="1" applyFont="1" applyFill="1" applyBorder="1" applyAlignment="1" applyProtection="1">
      <alignment horizontal="left" vertical="center" wrapText="1" indent="1"/>
      <protection/>
    </xf>
    <xf numFmtId="49" fontId="12" fillId="0" borderId="36" xfId="62" applyNumberFormat="1" applyFont="1" applyFill="1" applyBorder="1" applyAlignment="1" applyProtection="1">
      <alignment horizontal="left" vertical="center" wrapText="1" indent="1"/>
      <protection/>
    </xf>
    <xf numFmtId="49" fontId="12" fillId="0" borderId="37" xfId="62" applyNumberFormat="1" applyFont="1" applyFill="1" applyBorder="1" applyAlignment="1" applyProtection="1">
      <alignment horizontal="left" vertical="center" wrapText="1" indent="1"/>
      <protection/>
    </xf>
    <xf numFmtId="0" fontId="11" fillId="0" borderId="16" xfId="62" applyFont="1" applyFill="1" applyBorder="1" applyAlignment="1" applyProtection="1">
      <alignment horizontal="left" vertical="center" wrapText="1" indent="1"/>
      <protection/>
    </xf>
    <xf numFmtId="0" fontId="13" fillId="0" borderId="10" xfId="62" applyFont="1" applyFill="1" applyBorder="1" applyAlignment="1" applyProtection="1">
      <alignment horizontal="left" vertical="center" wrapText="1" indent="1"/>
      <protection/>
    </xf>
    <xf numFmtId="0" fontId="7" fillId="0" borderId="0" xfId="62" applyFill="1" applyAlignment="1">
      <alignment horizontal="left" vertical="center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25" fillId="0" borderId="11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indent="1"/>
      <protection/>
    </xf>
    <xf numFmtId="0" fontId="16" fillId="0" borderId="33" xfId="0" applyFont="1" applyBorder="1" applyAlignment="1" applyProtection="1">
      <alignment horizontal="left" vertical="center" indent="1"/>
      <protection/>
    </xf>
    <xf numFmtId="0" fontId="17" fillId="0" borderId="22" xfId="0" applyFont="1" applyBorder="1" applyAlignment="1" applyProtection="1">
      <alignment horizontal="left" vertical="center" wrapText="1" indent="1"/>
      <protection/>
    </xf>
    <xf numFmtId="49" fontId="16" fillId="0" borderId="17" xfId="0" applyNumberFormat="1" applyFont="1" applyBorder="1" applyAlignment="1" applyProtection="1">
      <alignment horizontal="left" vertical="center" wrapText="1" indent="2"/>
      <protection/>
    </xf>
    <xf numFmtId="49" fontId="17" fillId="0" borderId="17" xfId="0" applyNumberFormat="1" applyFont="1" applyBorder="1" applyAlignment="1" applyProtection="1">
      <alignment horizontal="left" vertical="center" wrapText="1" indent="1"/>
      <protection/>
    </xf>
    <xf numFmtId="49" fontId="16" fillId="0" borderId="21" xfId="0" applyNumberFormat="1" applyFont="1" applyBorder="1" applyAlignment="1" applyProtection="1">
      <alignment horizontal="left" vertical="center" wrapText="1" indent="2"/>
      <protection/>
    </xf>
    <xf numFmtId="0" fontId="16" fillId="0" borderId="33" xfId="0" applyFont="1" applyBorder="1" applyAlignment="1" applyProtection="1">
      <alignment horizontal="left" vertical="center" wrapText="1" indent="1"/>
      <protection/>
    </xf>
    <xf numFmtId="0" fontId="15" fillId="0" borderId="22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49" fontId="17" fillId="0" borderId="22" xfId="0" applyNumberFormat="1" applyFont="1" applyBorder="1" applyAlignment="1" applyProtection="1">
      <alignment horizontal="left" vertical="center" wrapText="1" indent="1"/>
      <protection/>
    </xf>
    <xf numFmtId="49" fontId="16" fillId="0" borderId="18" xfId="0" applyNumberFormat="1" applyFont="1" applyBorder="1" applyAlignment="1" applyProtection="1">
      <alignment horizontal="left" vertical="center" wrapText="1" indent="2"/>
      <protection/>
    </xf>
    <xf numFmtId="0" fontId="16" fillId="0" borderId="12" xfId="0" applyFont="1" applyBorder="1" applyAlignment="1" applyProtection="1">
      <alignment horizontal="left" vertical="center" wrapText="1" indent="1"/>
      <protection/>
    </xf>
    <xf numFmtId="49" fontId="16" fillId="0" borderId="19" xfId="0" applyNumberFormat="1" applyFont="1" applyBorder="1" applyAlignment="1" applyProtection="1">
      <alignment horizontal="left" vertical="center" wrapText="1" indent="2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11" fillId="0" borderId="38" xfId="62" applyNumberFormat="1" applyFont="1" applyFill="1" applyBorder="1" applyAlignment="1" applyProtection="1">
      <alignment horizontal="right" vertical="center" wrapText="1" indent="1"/>
      <protection/>
    </xf>
    <xf numFmtId="164" fontId="11" fillId="0" borderId="26" xfId="62" applyNumberFormat="1" applyFont="1" applyFill="1" applyBorder="1" applyAlignment="1" applyProtection="1">
      <alignment horizontal="right" vertical="center" wrapText="1" indent="1"/>
      <protection/>
    </xf>
    <xf numFmtId="164" fontId="12" fillId="0" borderId="31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6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9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0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1" xfId="6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6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62" applyNumberFormat="1" applyFont="1" applyFill="1" applyBorder="1" applyAlignment="1" applyProtection="1">
      <alignment horizontal="right" vertical="center" wrapText="1" indent="1"/>
      <protection/>
    </xf>
    <xf numFmtId="164" fontId="11" fillId="0" borderId="26" xfId="62" applyNumberFormat="1" applyFont="1" applyFill="1" applyBorder="1" applyAlignment="1" applyProtection="1">
      <alignment horizontal="right" vertical="center" wrapText="1" indent="1"/>
      <protection/>
    </xf>
    <xf numFmtId="164" fontId="18" fillId="0" borderId="30" xfId="62" applyNumberFormat="1" applyFont="1" applyFill="1" applyBorder="1" applyAlignment="1" applyProtection="1">
      <alignment horizontal="right" vertical="center" wrapText="1" indent="1"/>
      <protection/>
    </xf>
    <xf numFmtId="164" fontId="18" fillId="0" borderId="31" xfId="62" applyNumberFormat="1" applyFont="1" applyFill="1" applyBorder="1" applyAlignment="1" applyProtection="1">
      <alignment horizontal="right" vertical="center" wrapText="1" indent="1"/>
      <protection/>
    </xf>
    <xf numFmtId="164" fontId="3" fillId="0" borderId="0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Border="1" applyAlignment="1" applyProtection="1">
      <alignment horizontal="right" vertical="center" wrapText="1" indent="1"/>
      <protection/>
    </xf>
    <xf numFmtId="0" fontId="15" fillId="0" borderId="26" xfId="0" applyFont="1" applyBorder="1" applyAlignment="1" applyProtection="1" quotePrefix="1">
      <alignment horizontal="right" vertical="center" wrapText="1" indent="1"/>
      <protection locked="0"/>
    </xf>
    <xf numFmtId="164" fontId="11" fillId="0" borderId="41" xfId="62" applyNumberFormat="1" applyFont="1" applyFill="1" applyBorder="1" applyAlignment="1" applyProtection="1">
      <alignment horizontal="right" vertical="center" wrapText="1" indent="1"/>
      <protection/>
    </xf>
    <xf numFmtId="0" fontId="2" fillId="0" borderId="32" xfId="0" applyFont="1" applyFill="1" applyBorder="1" applyAlignment="1" applyProtection="1">
      <alignment horizontal="right" vertical="center"/>
      <protection/>
    </xf>
    <xf numFmtId="164" fontId="11" fillId="0" borderId="29" xfId="62" applyNumberFormat="1" applyFont="1" applyFill="1" applyBorder="1" applyAlignment="1" applyProtection="1" quotePrefix="1">
      <alignment horizontal="right" vertical="center" wrapText="1" indent="1"/>
      <protection locked="0"/>
    </xf>
    <xf numFmtId="164" fontId="4" fillId="0" borderId="26" xfId="62" applyNumberFormat="1" applyFont="1" applyFill="1" applyBorder="1" applyAlignment="1" applyProtection="1">
      <alignment horizontal="right" vertical="center" wrapText="1" indent="1"/>
      <protection/>
    </xf>
    <xf numFmtId="0" fontId="7" fillId="0" borderId="0" xfId="62" applyFill="1" applyAlignment="1">
      <alignment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164" fontId="4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1" fillId="0" borderId="43" xfId="0" applyNumberFormat="1" applyFont="1" applyFill="1" applyBorder="1" applyAlignment="1" applyProtection="1">
      <alignment horizontal="center" vertical="center" wrapText="1"/>
      <protection/>
    </xf>
    <xf numFmtId="164" fontId="11" fillId="0" borderId="22" xfId="0" applyNumberFormat="1" applyFont="1" applyFill="1" applyBorder="1" applyAlignment="1" applyProtection="1">
      <alignment horizontal="center" vertical="center" wrapText="1"/>
      <protection/>
    </xf>
    <xf numFmtId="164" fontId="11" fillId="0" borderId="23" xfId="0" applyNumberFormat="1" applyFont="1" applyFill="1" applyBorder="1" applyAlignment="1" applyProtection="1">
      <alignment horizontal="center" vertical="center" wrapText="1"/>
      <protection/>
    </xf>
    <xf numFmtId="164" fontId="11" fillId="0" borderId="26" xfId="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4" xfId="0" applyNumberFormat="1" applyFill="1" applyBorder="1" applyAlignment="1" applyProtection="1">
      <alignment horizontal="lef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5" xfId="0" applyNumberFormat="1" applyFill="1" applyBorder="1" applyAlignment="1" applyProtection="1">
      <alignment horizontal="left" vertical="center" wrapText="1" indent="1"/>
      <protection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7" xfId="0" applyNumberFormat="1" applyFont="1" applyFill="1" applyBorder="1" applyAlignment="1" applyProtection="1" quotePrefix="1">
      <alignment horizontal="left" vertical="center" wrapText="1" indent="6"/>
      <protection/>
    </xf>
    <xf numFmtId="164" fontId="12" fillId="0" borderId="17" xfId="0" applyNumberFormat="1" applyFont="1" applyFill="1" applyBorder="1" applyAlignment="1" applyProtection="1" quotePrefix="1">
      <alignment horizontal="left" vertical="center" wrapText="1" indent="6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3" xfId="0" applyFont="1" applyBorder="1" applyAlignment="1" applyProtection="1">
      <alignment horizontal="left" vertical="center" wrapText="1" indent="1"/>
      <protection/>
    </xf>
    <xf numFmtId="0" fontId="16" fillId="0" borderId="28" xfId="0" applyFont="1" applyBorder="1" applyAlignment="1" applyProtection="1">
      <alignment horizontal="left" vertical="center" wrapText="1" indent="1"/>
      <protection/>
    </xf>
    <xf numFmtId="0" fontId="25" fillId="0" borderId="12" xfId="0" applyFont="1" applyBorder="1" applyAlignment="1" applyProtection="1">
      <alignment horizontal="left" vertical="center" wrapText="1" indent="1"/>
      <protection/>
    </xf>
    <xf numFmtId="0" fontId="17" fillId="0" borderId="33" xfId="0" applyFont="1" applyBorder="1" applyAlignment="1" applyProtection="1">
      <alignment horizontal="left" vertical="center" wrapText="1" indent="1"/>
      <protection/>
    </xf>
    <xf numFmtId="49" fontId="17" fillId="0" borderId="18" xfId="0" applyNumberFormat="1" applyFont="1" applyBorder="1" applyAlignment="1" applyProtection="1">
      <alignment horizontal="left" vertical="center" wrapText="1" indent="1"/>
      <protection/>
    </xf>
    <xf numFmtId="0" fontId="15" fillId="0" borderId="23" xfId="0" applyFont="1" applyBorder="1" applyAlignment="1" applyProtection="1">
      <alignment horizontal="left" vertical="center" wrapText="1" inden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 quotePrefix="1">
      <alignment horizontal="left" vertical="center" wrapText="1" indent="6"/>
      <protection/>
    </xf>
    <xf numFmtId="0" fontId="16" fillId="0" borderId="33" xfId="0" applyFont="1" applyBorder="1" applyAlignment="1" applyProtection="1" quotePrefix="1">
      <alignment horizontal="left" vertical="center" wrapText="1" indent="6"/>
      <protection/>
    </xf>
    <xf numFmtId="0" fontId="25" fillId="0" borderId="23" xfId="0" applyFont="1" applyBorder="1" applyAlignment="1" applyProtection="1">
      <alignment horizontal="left" vertical="center" wrapText="1" indent="1"/>
      <protection/>
    </xf>
    <xf numFmtId="0" fontId="7" fillId="0" borderId="0" xfId="62" applyFont="1" applyFill="1" applyProtection="1">
      <alignment/>
      <protection/>
    </xf>
    <xf numFmtId="0" fontId="7" fillId="0" borderId="0" xfId="62" applyFont="1" applyFill="1" applyAlignment="1" applyProtection="1">
      <alignment horizontal="right" vertical="center" indent="1"/>
      <protection/>
    </xf>
    <xf numFmtId="0" fontId="7" fillId="0" borderId="0" xfId="62" applyFont="1" applyFill="1">
      <alignment/>
      <protection/>
    </xf>
    <xf numFmtId="0" fontId="7" fillId="0" borderId="0" xfId="62" applyFont="1" applyFill="1" applyAlignment="1">
      <alignment horizontal="right" vertical="center" indent="1"/>
      <protection/>
    </xf>
    <xf numFmtId="164" fontId="20" fillId="0" borderId="32" xfId="62" applyNumberFormat="1" applyFont="1" applyFill="1" applyBorder="1" applyAlignment="1" applyProtection="1">
      <alignment vertical="center"/>
      <protection/>
    </xf>
    <xf numFmtId="164" fontId="20" fillId="0" borderId="32" xfId="62" applyNumberFormat="1" applyFont="1" applyFill="1" applyBorder="1" applyAlignment="1" applyProtection="1">
      <alignment/>
      <protection/>
    </xf>
    <xf numFmtId="0" fontId="3" fillId="0" borderId="0" xfId="62" applyFont="1" applyFill="1" applyAlignment="1" applyProtection="1">
      <alignment/>
      <protection/>
    </xf>
    <xf numFmtId="0" fontId="4" fillId="0" borderId="33" xfId="62" applyFont="1" applyFill="1" applyBorder="1" applyAlignment="1" applyProtection="1">
      <alignment horizontal="center" vertical="center" wrapText="1"/>
      <protection/>
    </xf>
    <xf numFmtId="0" fontId="4" fillId="0" borderId="48" xfId="62" applyFont="1" applyFill="1" applyBorder="1" applyAlignment="1" applyProtection="1">
      <alignment horizontal="center" vertical="center" wrapText="1"/>
      <protection/>
    </xf>
    <xf numFmtId="164" fontId="4" fillId="0" borderId="23" xfId="0" applyNumberFormat="1" applyFont="1" applyFill="1" applyBorder="1" applyAlignment="1">
      <alignment horizontal="center" vertical="center" wrapText="1"/>
    </xf>
    <xf numFmtId="164" fontId="4" fillId="0" borderId="49" xfId="0" applyNumberFormat="1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64" fontId="11" fillId="0" borderId="50" xfId="0" applyNumberFormat="1" applyFont="1" applyFill="1" applyBorder="1" applyAlignment="1" applyProtection="1">
      <alignment horizontal="center" vertical="center" wrapText="1"/>
      <protection/>
    </xf>
    <xf numFmtId="164" fontId="12" fillId="0" borderId="42" xfId="0" applyNumberFormat="1" applyFont="1" applyFill="1" applyBorder="1" applyAlignment="1" applyProtection="1">
      <alignment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/>
    </xf>
    <xf numFmtId="164" fontId="12" fillId="0" borderId="51" xfId="0" applyNumberFormat="1" applyFont="1" applyFill="1" applyBorder="1" applyAlignment="1" applyProtection="1">
      <alignment vertical="center" wrapText="1"/>
      <protection locked="0"/>
    </xf>
    <xf numFmtId="164" fontId="11" fillId="0" borderId="43" xfId="0" applyNumberFormat="1" applyFont="1" applyFill="1" applyBorder="1" applyAlignment="1">
      <alignment horizontal="center" vertical="center"/>
    </xf>
    <xf numFmtId="164" fontId="11" fillId="0" borderId="43" xfId="0" applyNumberFormat="1" applyFont="1" applyFill="1" applyBorder="1" applyAlignment="1">
      <alignment horizontal="center" vertical="center" wrapText="1"/>
    </xf>
    <xf numFmtId="164" fontId="11" fillId="0" borderId="52" xfId="0" applyNumberFormat="1" applyFont="1" applyFill="1" applyBorder="1" applyAlignment="1">
      <alignment horizontal="center" vertical="center"/>
    </xf>
    <xf numFmtId="164" fontId="11" fillId="0" borderId="53" xfId="0" applyNumberFormat="1" applyFont="1" applyFill="1" applyBorder="1" applyAlignment="1">
      <alignment horizontal="center" vertical="center"/>
    </xf>
    <xf numFmtId="164" fontId="11" fillId="0" borderId="53" xfId="0" applyNumberFormat="1" applyFont="1" applyFill="1" applyBorder="1" applyAlignment="1">
      <alignment horizontal="center" vertical="center" wrapText="1"/>
    </xf>
    <xf numFmtId="49" fontId="12" fillId="0" borderId="54" xfId="0" applyNumberFormat="1" applyFont="1" applyFill="1" applyBorder="1" applyAlignment="1">
      <alignment horizontal="left" vertical="center"/>
    </xf>
    <xf numFmtId="3" fontId="12" fillId="0" borderId="55" xfId="0" applyNumberFormat="1" applyFont="1" applyFill="1" applyBorder="1" applyAlignment="1" applyProtection="1">
      <alignment horizontal="right" vertical="center"/>
      <protection locked="0"/>
    </xf>
    <xf numFmtId="164" fontId="11" fillId="0" borderId="56" xfId="0" applyNumberFormat="1" applyFont="1" applyFill="1" applyBorder="1" applyAlignment="1">
      <alignment horizontal="right" vertical="center" wrapText="1"/>
    </xf>
    <xf numFmtId="49" fontId="18" fillId="0" borderId="36" xfId="0" applyNumberFormat="1" applyFont="1" applyFill="1" applyBorder="1" applyAlignment="1" quotePrefix="1">
      <alignment horizontal="left" vertical="center" indent="1"/>
    </xf>
    <xf numFmtId="3" fontId="18" fillId="0" borderId="45" xfId="0" applyNumberFormat="1" applyFont="1" applyFill="1" applyBorder="1" applyAlignment="1" applyProtection="1">
      <alignment horizontal="right" vertical="center"/>
      <protection locked="0"/>
    </xf>
    <xf numFmtId="3" fontId="18" fillId="0" borderId="45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45" xfId="0" applyNumberFormat="1" applyFont="1" applyFill="1" applyBorder="1" applyAlignment="1">
      <alignment horizontal="right" vertical="center" wrapText="1"/>
    </xf>
    <xf numFmtId="49" fontId="12" fillId="0" borderId="36" xfId="0" applyNumberFormat="1" applyFont="1" applyFill="1" applyBorder="1" applyAlignment="1">
      <alignment horizontal="left" vertical="center"/>
    </xf>
    <xf numFmtId="3" fontId="12" fillId="0" borderId="45" xfId="0" applyNumberFormat="1" applyFont="1" applyFill="1" applyBorder="1" applyAlignment="1" applyProtection="1">
      <alignment horizontal="right" vertical="center"/>
      <protection locked="0"/>
    </xf>
    <xf numFmtId="49" fontId="12" fillId="0" borderId="37" xfId="0" applyNumberFormat="1" applyFont="1" applyFill="1" applyBorder="1" applyAlignment="1" applyProtection="1">
      <alignment horizontal="left" vertical="center"/>
      <protection locked="0"/>
    </xf>
    <xf numFmtId="3" fontId="12" fillId="0" borderId="57" xfId="0" applyNumberFormat="1" applyFont="1" applyFill="1" applyBorder="1" applyAlignment="1" applyProtection="1">
      <alignment horizontal="right" vertical="center"/>
      <protection locked="0"/>
    </xf>
    <xf numFmtId="49" fontId="11" fillId="0" borderId="34" xfId="0" applyNumberFormat="1" applyFont="1" applyFill="1" applyBorder="1" applyAlignment="1" applyProtection="1">
      <alignment horizontal="left" vertical="center" indent="1"/>
      <protection locked="0"/>
    </xf>
    <xf numFmtId="164" fontId="11" fillId="0" borderId="43" xfId="0" applyNumberFormat="1" applyFont="1" applyFill="1" applyBorder="1" applyAlignment="1">
      <alignment vertical="center"/>
    </xf>
    <xf numFmtId="49" fontId="11" fillId="0" borderId="58" xfId="0" applyNumberFormat="1" applyFont="1" applyFill="1" applyBorder="1" applyAlignment="1" applyProtection="1">
      <alignment vertical="center"/>
      <protection locked="0"/>
    </xf>
    <xf numFmtId="49" fontId="11" fillId="0" borderId="58" xfId="0" applyNumberFormat="1" applyFont="1" applyFill="1" applyBorder="1" applyAlignment="1" applyProtection="1">
      <alignment horizontal="right" vertical="center"/>
      <protection locked="0"/>
    </xf>
    <xf numFmtId="3" fontId="12" fillId="0" borderId="58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32" xfId="0" applyNumberFormat="1" applyFont="1" applyFill="1" applyBorder="1" applyAlignment="1" applyProtection="1">
      <alignment vertical="center"/>
      <protection locked="0"/>
    </xf>
    <xf numFmtId="49" fontId="11" fillId="0" borderId="32" xfId="0" applyNumberFormat="1" applyFont="1" applyFill="1" applyBorder="1" applyAlignment="1" applyProtection="1">
      <alignment horizontal="right" vertical="center"/>
      <protection locked="0"/>
    </xf>
    <xf numFmtId="3" fontId="12" fillId="0" borderId="32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8" xfId="0" applyNumberFormat="1" applyFont="1" applyFill="1" applyBorder="1" applyAlignment="1">
      <alignment horizontal="left" vertical="center"/>
    </xf>
    <xf numFmtId="3" fontId="12" fillId="0" borderId="55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55" xfId="0" applyNumberFormat="1" applyFont="1" applyFill="1" applyBorder="1" applyAlignment="1" applyProtection="1">
      <alignment horizontal="right" vertical="center" wrapText="1"/>
      <protection/>
    </xf>
    <xf numFmtId="49" fontId="12" fillId="0" borderId="17" xfId="0" applyNumberFormat="1" applyFont="1" applyFill="1" applyBorder="1" applyAlignment="1">
      <alignment horizontal="left" vertical="center"/>
    </xf>
    <xf numFmtId="3" fontId="12" fillId="0" borderId="45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45" xfId="0" applyNumberFormat="1" applyFont="1" applyFill="1" applyBorder="1" applyAlignment="1" applyProtection="1">
      <alignment horizontal="right" vertical="center" wrapText="1"/>
      <protection/>
    </xf>
    <xf numFmtId="49" fontId="12" fillId="0" borderId="17" xfId="0" applyNumberFormat="1" applyFont="1" applyFill="1" applyBorder="1" applyAlignment="1" applyProtection="1">
      <alignment horizontal="left" vertical="center"/>
      <protection locked="0"/>
    </xf>
    <xf numFmtId="49" fontId="12" fillId="0" borderId="19" xfId="0" applyNumberFormat="1" applyFont="1" applyFill="1" applyBorder="1" applyAlignment="1" applyProtection="1">
      <alignment horizontal="left" vertical="center"/>
      <protection locked="0"/>
    </xf>
    <xf numFmtId="3" fontId="12" fillId="0" borderId="57" xfId="0" applyNumberFormat="1" applyFont="1" applyFill="1" applyBorder="1" applyAlignment="1" applyProtection="1">
      <alignment horizontal="right" vertical="center" wrapText="1"/>
      <protection locked="0"/>
    </xf>
    <xf numFmtId="167" fontId="11" fillId="0" borderId="43" xfId="0" applyNumberFormat="1" applyFont="1" applyFill="1" applyBorder="1" applyAlignment="1">
      <alignment horizontal="left" vertical="center" wrapText="1" indent="1"/>
    </xf>
    <xf numFmtId="167" fontId="26" fillId="0" borderId="0" xfId="0" applyNumberFormat="1" applyFont="1" applyFill="1" applyBorder="1" applyAlignment="1">
      <alignment horizontal="left" vertical="center" wrapText="1"/>
    </xf>
    <xf numFmtId="164" fontId="11" fillId="0" borderId="43" xfId="0" applyNumberFormat="1" applyFont="1" applyFill="1" applyBorder="1" applyAlignment="1">
      <alignment horizontal="center" vertical="center" wrapText="1"/>
    </xf>
    <xf numFmtId="3" fontId="12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59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43" xfId="0" applyNumberFormat="1" applyFont="1" applyFill="1" applyBorder="1" applyAlignment="1">
      <alignment horizontal="right" vertical="center" wrapText="1"/>
    </xf>
    <xf numFmtId="4" fontId="11" fillId="0" borderId="56" xfId="0" applyNumberFormat="1" applyFont="1" applyFill="1" applyBorder="1" applyAlignment="1">
      <alignment horizontal="right" vertical="center" wrapText="1"/>
    </xf>
    <xf numFmtId="4" fontId="11" fillId="0" borderId="45" xfId="0" applyNumberFormat="1" applyFont="1" applyFill="1" applyBorder="1" applyAlignment="1">
      <alignment horizontal="right" vertical="center" wrapText="1"/>
    </xf>
    <xf numFmtId="4" fontId="11" fillId="0" borderId="59" xfId="0" applyNumberFormat="1" applyFont="1" applyFill="1" applyBorder="1" applyAlignment="1">
      <alignment horizontal="right" vertical="center" wrapText="1"/>
    </xf>
    <xf numFmtId="164" fontId="11" fillId="0" borderId="25" xfId="62" applyNumberFormat="1" applyFont="1" applyFill="1" applyBorder="1" applyAlignment="1" applyProtection="1">
      <alignment horizontal="right" vertical="center" wrapText="1" indent="1"/>
      <protection/>
    </xf>
    <xf numFmtId="164" fontId="11" fillId="0" borderId="23" xfId="62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6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62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62" applyNumberFormat="1" applyFont="1" applyFill="1" applyBorder="1" applyAlignment="1" applyProtection="1">
      <alignment horizontal="right" vertical="center" wrapText="1" indent="1"/>
      <protection/>
    </xf>
    <xf numFmtId="164" fontId="18" fillId="0" borderId="11" xfId="62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0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6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3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62" applyNumberFormat="1" applyFont="1" applyFill="1" applyBorder="1" applyAlignment="1" applyProtection="1">
      <alignment horizontal="right" vertical="center" wrapText="1" indent="1"/>
      <protection/>
    </xf>
    <xf numFmtId="164" fontId="11" fillId="0" borderId="23" xfId="62" applyNumberFormat="1" applyFont="1" applyFill="1" applyBorder="1" applyAlignment="1" applyProtection="1">
      <alignment horizontal="right" vertical="center" wrapText="1" indent="1"/>
      <protection/>
    </xf>
    <xf numFmtId="164" fontId="11" fillId="0" borderId="28" xfId="62" applyNumberFormat="1" applyFont="1" applyFill="1" applyBorder="1" applyAlignment="1" applyProtection="1" quotePrefix="1">
      <alignment horizontal="right" vertical="center" wrapText="1" indent="1"/>
      <protection locked="0"/>
    </xf>
    <xf numFmtId="164" fontId="4" fillId="0" borderId="23" xfId="62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0" fontId="15" fillId="0" borderId="23" xfId="0" applyFont="1" applyBorder="1" applyAlignment="1" applyProtection="1" quotePrefix="1">
      <alignment horizontal="right" vertical="center" wrapText="1" indent="1"/>
      <protection locked="0"/>
    </xf>
    <xf numFmtId="164" fontId="1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7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164" fontId="12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6" xfId="0" applyNumberFormat="1" applyFill="1" applyBorder="1" applyAlignment="1" applyProtection="1">
      <alignment horizontal="lef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43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2" fillId="0" borderId="0" xfId="0" applyNumberFormat="1" applyFont="1" applyFill="1" applyAlignment="1" applyProtection="1">
      <alignment horizontal="right" vertical="center"/>
      <protection locked="0"/>
    </xf>
    <xf numFmtId="164" fontId="4" fillId="0" borderId="61" xfId="0" applyNumberFormat="1" applyFont="1" applyFill="1" applyBorder="1" applyAlignment="1" applyProtection="1">
      <alignment horizontal="centerContinuous" vertical="center"/>
      <protection/>
    </xf>
    <xf numFmtId="164" fontId="4" fillId="0" borderId="62" xfId="0" applyNumberFormat="1" applyFont="1" applyFill="1" applyBorder="1" applyAlignment="1" applyProtection="1">
      <alignment horizontal="centerContinuous" vertical="center"/>
      <protection/>
    </xf>
    <xf numFmtId="164" fontId="19" fillId="0" borderId="0" xfId="0" applyNumberFormat="1" applyFont="1" applyFill="1" applyAlignment="1">
      <alignment vertical="center"/>
    </xf>
    <xf numFmtId="164" fontId="4" fillId="0" borderId="50" xfId="0" applyNumberFormat="1" applyFont="1" applyFill="1" applyBorder="1" applyAlignment="1" applyProtection="1">
      <alignment horizontal="center" vertical="center"/>
      <protection/>
    </xf>
    <xf numFmtId="164" fontId="4" fillId="0" borderId="63" xfId="0" applyNumberFormat="1" applyFont="1" applyFill="1" applyBorder="1" applyAlignment="1" applyProtection="1">
      <alignment horizontal="center" vertical="center"/>
      <protection/>
    </xf>
    <xf numFmtId="164" fontId="4" fillId="0" borderId="48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/>
    </xf>
    <xf numFmtId="164" fontId="11" fillId="0" borderId="34" xfId="0" applyNumberFormat="1" applyFont="1" applyFill="1" applyBorder="1" applyAlignment="1" applyProtection="1">
      <alignment horizontal="center" vertical="center" wrapText="1"/>
      <protection/>
    </xf>
    <xf numFmtId="164" fontId="11" fillId="0" borderId="23" xfId="0" applyNumberFormat="1" applyFont="1" applyFill="1" applyBorder="1" applyAlignment="1" applyProtection="1">
      <alignment horizontal="center" vertical="center" wrapText="1"/>
      <protection/>
    </xf>
    <xf numFmtId="164" fontId="11" fillId="0" borderId="41" xfId="0" applyNumberFormat="1" applyFont="1" applyFill="1" applyBorder="1" applyAlignment="1" applyProtection="1">
      <alignment horizontal="center" vertical="center" wrapText="1"/>
      <protection/>
    </xf>
    <xf numFmtId="164" fontId="11" fillId="0" borderId="46" xfId="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>
      <alignment horizontal="center" vertical="center" wrapText="1"/>
    </xf>
    <xf numFmtId="164" fontId="11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/>
    </xf>
    <xf numFmtId="1" fontId="1" fillId="18" borderId="13" xfId="0" applyNumberFormat="1" applyFont="1" applyFill="1" applyBorder="1" applyAlignment="1" applyProtection="1">
      <alignment horizontal="center" vertical="center" wrapText="1"/>
      <protection/>
    </xf>
    <xf numFmtId="164" fontId="11" fillId="0" borderId="13" xfId="0" applyNumberFormat="1" applyFont="1" applyFill="1" applyBorder="1" applyAlignment="1" applyProtection="1">
      <alignment vertical="center" wrapText="1"/>
      <protection/>
    </xf>
    <xf numFmtId="164" fontId="11" fillId="0" borderId="56" xfId="0" applyNumberFormat="1" applyFont="1" applyFill="1" applyBorder="1" applyAlignment="1" applyProtection="1">
      <alignment vertical="center" wrapText="1"/>
      <protection/>
    </xf>
    <xf numFmtId="164" fontId="11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5" xfId="0" applyNumberFormat="1" applyFont="1" applyFill="1" applyBorder="1" applyAlignment="1" applyProtection="1">
      <alignment vertical="center" wrapText="1"/>
      <protection/>
    </xf>
    <xf numFmtId="164" fontId="11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1" fillId="18" borderId="11" xfId="0" applyNumberFormat="1" applyFont="1" applyFill="1" applyBorder="1" applyAlignment="1" applyProtection="1">
      <alignment horizontal="center" vertical="center" wrapText="1"/>
      <protection/>
    </xf>
    <xf numFmtId="164" fontId="11" fillId="0" borderId="11" xfId="0" applyNumberFormat="1" applyFont="1" applyFill="1" applyBorder="1" applyAlignment="1" applyProtection="1">
      <alignment vertical="center" wrapText="1"/>
      <protection/>
    </xf>
    <xf numFmtId="164" fontId="11" fillId="0" borderId="45" xfId="0" applyNumberFormat="1" applyFont="1" applyFill="1" applyBorder="1" applyAlignment="1" applyProtection="1">
      <alignment vertical="center" wrapText="1"/>
      <protection/>
    </xf>
    <xf numFmtId="164" fontId="11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1" fillId="18" borderId="15" xfId="0" applyNumberFormat="1" applyFont="1" applyFill="1" applyBorder="1" applyAlignment="1" applyProtection="1">
      <alignment horizontal="center" vertical="center" wrapText="1"/>
      <protection/>
    </xf>
    <xf numFmtId="164" fontId="11" fillId="0" borderId="10" xfId="0" applyNumberFormat="1" applyFont="1" applyFill="1" applyBorder="1" applyAlignment="1" applyProtection="1">
      <alignment vertical="center" wrapText="1"/>
      <protection/>
    </xf>
    <xf numFmtId="164" fontId="11" fillId="0" borderId="22" xfId="0" applyNumberFormat="1" applyFont="1" applyFill="1" applyBorder="1" applyAlignment="1" applyProtection="1">
      <alignment horizontal="right" vertical="center" wrapText="1" indent="1"/>
      <protection/>
    </xf>
    <xf numFmtId="1" fontId="12" fillId="18" borderId="41" xfId="0" applyNumberFormat="1" applyFont="1" applyFill="1" applyBorder="1" applyAlignment="1" applyProtection="1">
      <alignment vertical="center" wrapText="1"/>
      <protection/>
    </xf>
    <xf numFmtId="164" fontId="11" fillId="0" borderId="23" xfId="0" applyNumberFormat="1" applyFont="1" applyFill="1" applyBorder="1" applyAlignment="1" applyProtection="1">
      <alignment vertical="center" wrapText="1"/>
      <protection/>
    </xf>
    <xf numFmtId="164" fontId="11" fillId="0" borderId="43" xfId="0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/>
    </xf>
    <xf numFmtId="164" fontId="4" fillId="0" borderId="63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right" vertical="center" wrapText="1" indent="1"/>
    </xf>
    <xf numFmtId="164" fontId="11" fillId="0" borderId="43" xfId="0" applyNumberFormat="1" applyFont="1" applyFill="1" applyBorder="1" applyAlignment="1">
      <alignment horizontal="left" vertical="center" wrapText="1" indent="1"/>
    </xf>
    <xf numFmtId="164" fontId="0" fillId="18" borderId="43" xfId="0" applyNumberFormat="1" applyFont="1" applyFill="1" applyBorder="1" applyAlignment="1">
      <alignment horizontal="left" vertical="center" wrapText="1" indent="2"/>
    </xf>
    <xf numFmtId="164" fontId="0" fillId="18" borderId="49" xfId="0" applyNumberFormat="1" applyFont="1" applyFill="1" applyBorder="1" applyAlignment="1">
      <alignment horizontal="left" vertical="center" wrapText="1" indent="2"/>
    </xf>
    <xf numFmtId="164" fontId="11" fillId="0" borderId="22" xfId="0" applyNumberFormat="1" applyFont="1" applyFill="1" applyBorder="1" applyAlignment="1">
      <alignment vertical="center" wrapText="1"/>
    </xf>
    <xf numFmtId="164" fontId="11" fillId="0" borderId="23" xfId="0" applyNumberFormat="1" applyFont="1" applyFill="1" applyBorder="1" applyAlignment="1">
      <alignment vertical="center" wrapText="1"/>
    </xf>
    <xf numFmtId="164" fontId="11" fillId="0" borderId="26" xfId="0" applyNumberFormat="1" applyFont="1" applyFill="1" applyBorder="1" applyAlignment="1">
      <alignment vertical="center" wrapText="1"/>
    </xf>
    <xf numFmtId="164" fontId="11" fillId="0" borderId="17" xfId="0" applyNumberFormat="1" applyFont="1" applyFill="1" applyBorder="1" applyAlignment="1">
      <alignment horizontal="right" vertical="center" wrapText="1" indent="1"/>
    </xf>
    <xf numFmtId="164" fontId="12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5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 locked="0"/>
    </xf>
    <xf numFmtId="164" fontId="12" fillId="0" borderId="31" xfId="0" applyNumberFormat="1" applyFont="1" applyFill="1" applyBorder="1" applyAlignment="1" applyProtection="1">
      <alignment vertical="center" wrapText="1"/>
      <protection locked="0"/>
    </xf>
    <xf numFmtId="164" fontId="0" fillId="18" borderId="43" xfId="0" applyNumberFormat="1" applyFont="1" applyFill="1" applyBorder="1" applyAlignment="1">
      <alignment horizontal="right" vertical="center" wrapText="1" indent="2"/>
    </xf>
    <xf numFmtId="164" fontId="0" fillId="18" borderId="49" xfId="0" applyNumberFormat="1" applyFont="1" applyFill="1" applyBorder="1" applyAlignment="1">
      <alignment horizontal="right" vertical="center" wrapText="1" indent="2"/>
    </xf>
    <xf numFmtId="0" fontId="4" fillId="0" borderId="2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vertical="center" wrapText="1"/>
      <protection locked="0"/>
    </xf>
    <xf numFmtId="164" fontId="12" fillId="0" borderId="42" xfId="0" applyNumberFormat="1" applyFont="1" applyFill="1" applyBorder="1" applyAlignment="1" applyProtection="1">
      <alignment vertical="center"/>
      <protection locked="0"/>
    </xf>
    <xf numFmtId="164" fontId="11" fillId="0" borderId="42" xfId="0" applyNumberFormat="1" applyFont="1" applyFill="1" applyBorder="1" applyAlignment="1" applyProtection="1">
      <alignment vertical="center"/>
      <protection/>
    </xf>
    <xf numFmtId="164" fontId="12" fillId="0" borderId="51" xfId="0" applyNumberFormat="1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vertical="center" wrapText="1"/>
      <protection/>
    </xf>
    <xf numFmtId="0" fontId="12" fillId="0" borderId="33" xfId="0" applyFont="1" applyFill="1" applyBorder="1" applyAlignment="1" applyProtection="1">
      <alignment vertical="center" wrapText="1"/>
      <protection locked="0"/>
    </xf>
    <xf numFmtId="164" fontId="12" fillId="0" borderId="33" xfId="0" applyNumberFormat="1" applyFont="1" applyFill="1" applyBorder="1" applyAlignment="1" applyProtection="1">
      <alignment vertical="center"/>
      <protection locked="0"/>
    </xf>
    <xf numFmtId="164" fontId="12" fillId="0" borderId="63" xfId="0" applyNumberFormat="1" applyFont="1" applyFill="1" applyBorder="1" applyAlignment="1" applyProtection="1">
      <alignment vertical="center"/>
      <protection locked="0"/>
    </xf>
    <xf numFmtId="164" fontId="11" fillId="0" borderId="41" xfId="0" applyNumberFormat="1" applyFont="1" applyFill="1" applyBorder="1" applyAlignment="1" applyProtection="1">
      <alignment vertical="center"/>
      <protection/>
    </xf>
    <xf numFmtId="164" fontId="11" fillId="0" borderId="48" xfId="0" applyNumberFormat="1" applyFont="1" applyFill="1" applyBorder="1" applyAlignment="1" applyProtection="1">
      <alignment vertical="center"/>
      <protection/>
    </xf>
    <xf numFmtId="164" fontId="4" fillId="0" borderId="23" xfId="0" applyNumberFormat="1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64" xfId="0" applyFont="1" applyFill="1" applyBorder="1" applyAlignment="1" applyProtection="1">
      <alignment horizontal="lef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164" fontId="12" fillId="0" borderId="30" xfId="0" applyNumberFormat="1" applyFont="1" applyFill="1" applyBorder="1" applyAlignment="1" applyProtection="1">
      <alignment horizontal="right" vertical="center" wrapText="1" indent="2"/>
      <protection locked="0"/>
    </xf>
    <xf numFmtId="0" fontId="12" fillId="0" borderId="17" xfId="0" applyFont="1" applyFill="1" applyBorder="1" applyAlignment="1" applyProtection="1">
      <alignment horizontal="right" vertical="center" wrapText="1" indent="1"/>
      <protection/>
    </xf>
    <xf numFmtId="0" fontId="16" fillId="0" borderId="14" xfId="0" applyFont="1" applyFill="1" applyBorder="1" applyAlignment="1" applyProtection="1">
      <alignment horizontal="lef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2" fillId="0" borderId="31" xfId="0" applyNumberFormat="1" applyFont="1" applyFill="1" applyBorder="1" applyAlignment="1" applyProtection="1">
      <alignment horizontal="right" vertical="center" wrapText="1" indent="2"/>
      <protection locked="0"/>
    </xf>
    <xf numFmtId="0" fontId="12" fillId="0" borderId="17" xfId="0" applyFont="1" applyFill="1" applyBorder="1" applyAlignment="1">
      <alignment horizontal="right" vertical="center" wrapText="1" indent="1"/>
    </xf>
    <xf numFmtId="0" fontId="16" fillId="0" borderId="14" xfId="0" applyFont="1" applyFill="1" applyBorder="1" applyAlignment="1" applyProtection="1">
      <alignment horizontal="left" vertical="center" wrapText="1" indent="8"/>
      <protection locked="0"/>
    </xf>
    <xf numFmtId="0" fontId="12" fillId="0" borderId="21" xfId="0" applyFont="1" applyFill="1" applyBorder="1" applyAlignment="1">
      <alignment horizontal="right" vertical="center" wrapText="1" indent="1"/>
    </xf>
    <xf numFmtId="164" fontId="12" fillId="0" borderId="33" xfId="0" applyNumberFormat="1" applyFont="1" applyFill="1" applyBorder="1" applyAlignment="1" applyProtection="1">
      <alignment horizontal="right" vertical="center" wrapText="1" indent="2"/>
      <protection locked="0"/>
    </xf>
    <xf numFmtId="164" fontId="12" fillId="0" borderId="48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right" vertical="center" indent="1"/>
    </xf>
    <xf numFmtId="3" fontId="12" fillId="0" borderId="66" xfId="0" applyNumberFormat="1" applyFont="1" applyFill="1" applyBorder="1" applyAlignment="1" applyProtection="1">
      <alignment horizontal="right" vertical="center"/>
      <protection locked="0"/>
    </xf>
    <xf numFmtId="0" fontId="12" fillId="0" borderId="17" xfId="0" applyFont="1" applyFill="1" applyBorder="1" applyAlignment="1">
      <alignment horizontal="right" vertical="center" indent="1"/>
    </xf>
    <xf numFmtId="0" fontId="12" fillId="0" borderId="11" xfId="0" applyFont="1" applyFill="1" applyBorder="1" applyAlignment="1" applyProtection="1">
      <alignment horizontal="left" vertical="center" indent="1"/>
      <protection locked="0"/>
    </xf>
    <xf numFmtId="3" fontId="12" fillId="0" borderId="42" xfId="0" applyNumberFormat="1" applyFont="1" applyFill="1" applyBorder="1" applyAlignment="1" applyProtection="1">
      <alignment horizontal="right" vertical="center"/>
      <protection locked="0"/>
    </xf>
    <xf numFmtId="3" fontId="12" fillId="0" borderId="31" xfId="0" applyNumberFormat="1" applyFont="1" applyFill="1" applyBorder="1" applyAlignment="1" applyProtection="1">
      <alignment horizontal="right" vertical="center"/>
      <protection locked="0"/>
    </xf>
    <xf numFmtId="0" fontId="12" fillId="0" borderId="19" xfId="0" applyFont="1" applyFill="1" applyBorder="1" applyAlignment="1">
      <alignment horizontal="right" vertical="center" indent="1"/>
    </xf>
    <xf numFmtId="0" fontId="12" fillId="0" borderId="15" xfId="0" applyFont="1" applyFill="1" applyBorder="1" applyAlignment="1" applyProtection="1">
      <alignment horizontal="left" vertical="center" indent="1"/>
      <protection locked="0"/>
    </xf>
    <xf numFmtId="3" fontId="12" fillId="0" borderId="51" xfId="0" applyNumberFormat="1" applyFont="1" applyFill="1" applyBorder="1" applyAlignment="1" applyProtection="1">
      <alignment horizontal="right" vertical="center"/>
      <protection locked="0"/>
    </xf>
    <xf numFmtId="3" fontId="12" fillId="0" borderId="40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>
      <alignment vertical="center"/>
    </xf>
    <xf numFmtId="164" fontId="11" fillId="0" borderId="23" xfId="0" applyNumberFormat="1" applyFont="1" applyFill="1" applyBorder="1" applyAlignment="1">
      <alignment vertical="center" wrapText="1"/>
    </xf>
    <xf numFmtId="164" fontId="11" fillId="0" borderId="26" xfId="0" applyNumberFormat="1" applyFont="1" applyFill="1" applyBorder="1" applyAlignment="1">
      <alignment vertical="center" wrapText="1"/>
    </xf>
    <xf numFmtId="0" fontId="27" fillId="0" borderId="0" xfId="70" applyFill="1">
      <alignment/>
      <protection/>
    </xf>
    <xf numFmtId="0" fontId="27" fillId="0" borderId="0" xfId="70" applyFill="1" applyAlignment="1">
      <alignment horizontal="center" vertical="center"/>
      <protection/>
    </xf>
    <xf numFmtId="0" fontId="27" fillId="0" borderId="0" xfId="70" applyFill="1" applyAlignment="1">
      <alignment vertical="center"/>
      <protection/>
    </xf>
    <xf numFmtId="0" fontId="16" fillId="0" borderId="0" xfId="70" applyFont="1" applyFill="1">
      <alignment/>
      <protection/>
    </xf>
    <xf numFmtId="0" fontId="27" fillId="0" borderId="0" xfId="70" applyFont="1" applyFill="1">
      <alignment/>
      <protection/>
    </xf>
    <xf numFmtId="3" fontId="27" fillId="0" borderId="0" xfId="70" applyNumberFormat="1" applyFont="1" applyFill="1" applyAlignment="1">
      <alignment horizontal="center"/>
      <protection/>
    </xf>
    <xf numFmtId="0" fontId="27" fillId="0" borderId="0" xfId="70" applyFont="1" applyFill="1" applyAlignment="1">
      <alignment/>
      <protection/>
    </xf>
    <xf numFmtId="0" fontId="15" fillId="0" borderId="22" xfId="70" applyFont="1" applyFill="1" applyBorder="1" applyAlignment="1">
      <alignment horizontal="center" vertical="center"/>
      <protection/>
    </xf>
    <xf numFmtId="0" fontId="20" fillId="0" borderId="23" xfId="67" applyFont="1" applyFill="1" applyBorder="1" applyAlignment="1" applyProtection="1">
      <alignment horizontal="center" vertical="center" textRotation="90"/>
      <protection/>
    </xf>
    <xf numFmtId="0" fontId="15" fillId="0" borderId="23" xfId="70" applyFont="1" applyFill="1" applyBorder="1" applyAlignment="1">
      <alignment horizontal="center" vertical="center" wrapText="1"/>
      <protection/>
    </xf>
    <xf numFmtId="0" fontId="15" fillId="0" borderId="26" xfId="70" applyFont="1" applyFill="1" applyBorder="1" applyAlignment="1">
      <alignment horizontal="center" vertical="center" wrapText="1"/>
      <protection/>
    </xf>
    <xf numFmtId="0" fontId="16" fillId="0" borderId="18" xfId="70" applyFont="1" applyFill="1" applyBorder="1" applyAlignment="1" applyProtection="1">
      <alignment horizontal="left" indent="1"/>
      <protection locked="0"/>
    </xf>
    <xf numFmtId="0" fontId="16" fillId="0" borderId="12" xfId="70" applyFont="1" applyFill="1" applyBorder="1" applyAlignment="1">
      <alignment horizontal="right" indent="1"/>
      <protection/>
    </xf>
    <xf numFmtId="3" fontId="16" fillId="0" borderId="12" xfId="70" applyNumberFormat="1" applyFont="1" applyFill="1" applyBorder="1" applyProtection="1">
      <alignment/>
      <protection locked="0"/>
    </xf>
    <xf numFmtId="3" fontId="16" fillId="0" borderId="30" xfId="70" applyNumberFormat="1" applyFont="1" applyFill="1" applyBorder="1" applyProtection="1">
      <alignment/>
      <protection locked="0"/>
    </xf>
    <xf numFmtId="0" fontId="16" fillId="0" borderId="17" xfId="70" applyFont="1" applyFill="1" applyBorder="1" applyAlignment="1" applyProtection="1">
      <alignment horizontal="left" indent="1"/>
      <protection locked="0"/>
    </xf>
    <xf numFmtId="0" fontId="16" fillId="0" borderId="11" xfId="70" applyFont="1" applyFill="1" applyBorder="1" applyAlignment="1">
      <alignment horizontal="right" indent="1"/>
      <protection/>
    </xf>
    <xf numFmtId="3" fontId="16" fillId="0" borderId="11" xfId="70" applyNumberFormat="1" applyFont="1" applyFill="1" applyBorder="1" applyProtection="1">
      <alignment/>
      <protection locked="0"/>
    </xf>
    <xf numFmtId="3" fontId="16" fillId="0" borderId="31" xfId="70" applyNumberFormat="1" applyFont="1" applyFill="1" applyBorder="1" applyProtection="1">
      <alignment/>
      <protection locked="0"/>
    </xf>
    <xf numFmtId="0" fontId="16" fillId="0" borderId="17" xfId="70" applyFont="1" applyFill="1" applyBorder="1" applyProtection="1">
      <alignment/>
      <protection locked="0"/>
    </xf>
    <xf numFmtId="0" fontId="16" fillId="0" borderId="19" xfId="70" applyFont="1" applyFill="1" applyBorder="1" applyProtection="1">
      <alignment/>
      <protection locked="0"/>
    </xf>
    <xf numFmtId="0" fontId="16" fillId="0" borderId="15" xfId="70" applyFont="1" applyFill="1" applyBorder="1" applyAlignment="1">
      <alignment horizontal="right" indent="1"/>
      <protection/>
    </xf>
    <xf numFmtId="3" fontId="16" fillId="0" borderId="15" xfId="70" applyNumberFormat="1" applyFont="1" applyFill="1" applyBorder="1" applyProtection="1">
      <alignment/>
      <protection locked="0"/>
    </xf>
    <xf numFmtId="3" fontId="16" fillId="0" borderId="40" xfId="70" applyNumberFormat="1" applyFont="1" applyFill="1" applyBorder="1" applyProtection="1">
      <alignment/>
      <protection locked="0"/>
    </xf>
    <xf numFmtId="3" fontId="16" fillId="0" borderId="67" xfId="70" applyNumberFormat="1" applyFont="1" applyFill="1" applyBorder="1">
      <alignment/>
      <protection/>
    </xf>
    <xf numFmtId="3" fontId="17" fillId="0" borderId="26" xfId="70" applyNumberFormat="1" applyFont="1" applyFill="1" applyBorder="1">
      <alignment/>
      <protection/>
    </xf>
    <xf numFmtId="0" fontId="32" fillId="0" borderId="0" xfId="70" applyFont="1" applyFill="1">
      <alignment/>
      <protection/>
    </xf>
    <xf numFmtId="0" fontId="33" fillId="0" borderId="22" xfId="70" applyFont="1" applyFill="1" applyBorder="1" applyAlignment="1">
      <alignment horizontal="center" vertical="center"/>
      <protection/>
    </xf>
    <xf numFmtId="0" fontId="33" fillId="0" borderId="23" xfId="70" applyFont="1" applyFill="1" applyBorder="1" applyAlignment="1">
      <alignment horizontal="center" vertical="center" wrapText="1"/>
      <protection/>
    </xf>
    <xf numFmtId="0" fontId="33" fillId="0" borderId="26" xfId="70" applyFont="1" applyFill="1" applyBorder="1" applyAlignment="1">
      <alignment horizontal="center" vertical="center" wrapText="1"/>
      <protection/>
    </xf>
    <xf numFmtId="0" fontId="16" fillId="0" borderId="21" xfId="70" applyFont="1" applyFill="1" applyBorder="1" applyAlignment="1" applyProtection="1">
      <alignment horizontal="left" indent="1"/>
      <protection locked="0"/>
    </xf>
    <xf numFmtId="0" fontId="16" fillId="0" borderId="33" xfId="70" applyFont="1" applyFill="1" applyBorder="1" applyAlignment="1">
      <alignment horizontal="right" indent="1"/>
      <protection/>
    </xf>
    <xf numFmtId="3" fontId="16" fillId="0" borderId="33" xfId="70" applyNumberFormat="1" applyFont="1" applyFill="1" applyBorder="1" applyProtection="1">
      <alignment/>
      <protection locked="0"/>
    </xf>
    <xf numFmtId="3" fontId="16" fillId="0" borderId="48" xfId="70" applyNumberFormat="1" applyFont="1" applyFill="1" applyBorder="1" applyProtection="1">
      <alignment/>
      <protection locked="0"/>
    </xf>
    <xf numFmtId="0" fontId="32" fillId="0" borderId="0" xfId="0" applyFont="1" applyFill="1" applyAlignment="1">
      <alignment/>
    </xf>
    <xf numFmtId="0" fontId="34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171" fontId="4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 indent="5"/>
    </xf>
    <xf numFmtId="171" fontId="10" fillId="0" borderId="31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171" fontId="10" fillId="0" borderId="40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171" fontId="4" fillId="0" borderId="66" xfId="0" applyNumberFormat="1" applyFont="1" applyFill="1" applyBorder="1" applyAlignment="1" applyProtection="1">
      <alignment horizontal="right" vertical="center"/>
      <protection/>
    </xf>
    <xf numFmtId="0" fontId="0" fillId="0" borderId="21" xfId="0" applyFill="1" applyBorder="1" applyAlignment="1">
      <alignment horizontal="center" vertical="center"/>
    </xf>
    <xf numFmtId="0" fontId="35" fillId="0" borderId="33" xfId="0" applyFont="1" applyFill="1" applyBorder="1" applyAlignment="1">
      <alignment horizontal="left" vertical="center" indent="5"/>
    </xf>
    <xf numFmtId="171" fontId="10" fillId="0" borderId="48" xfId="0" applyNumberFormat="1" applyFont="1" applyFill="1" applyBorder="1" applyAlignment="1" applyProtection="1">
      <alignment horizontal="right" vertical="center"/>
      <protection locked="0"/>
    </xf>
    <xf numFmtId="0" fontId="11" fillId="0" borderId="22" xfId="0" applyFont="1" applyFill="1" applyBorder="1" applyAlignment="1">
      <alignment horizontal="right" vertical="center" wrapText="1" indent="1"/>
    </xf>
    <xf numFmtId="0" fontId="11" fillId="0" borderId="23" xfId="0" applyFont="1" applyFill="1" applyBorder="1" applyAlignment="1">
      <alignment vertical="center" wrapText="1"/>
    </xf>
    <xf numFmtId="164" fontId="11" fillId="0" borderId="23" xfId="0" applyNumberFormat="1" applyFont="1" applyFill="1" applyBorder="1" applyAlignment="1">
      <alignment horizontal="right" vertical="center" wrapText="1" indent="2"/>
    </xf>
    <xf numFmtId="164" fontId="11" fillId="0" borderId="26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57" fillId="0" borderId="0" xfId="0" applyFont="1" applyAlignment="1" applyProtection="1">
      <alignment horizontal="right"/>
      <protection/>
    </xf>
    <xf numFmtId="0" fontId="58" fillId="0" borderId="0" xfId="0" applyFont="1" applyAlignment="1" applyProtection="1">
      <alignment horizontal="center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58" fillId="0" borderId="23" xfId="0" applyFont="1" applyBorder="1" applyAlignment="1" applyProtection="1">
      <alignment horizontal="center" vertical="center" wrapText="1"/>
      <protection/>
    </xf>
    <xf numFmtId="0" fontId="58" fillId="0" borderId="18" xfId="0" applyFont="1" applyBorder="1" applyAlignment="1" applyProtection="1">
      <alignment horizontal="center" vertical="top" wrapText="1"/>
      <protection/>
    </xf>
    <xf numFmtId="0" fontId="58" fillId="0" borderId="17" xfId="0" applyFont="1" applyBorder="1" applyAlignment="1" applyProtection="1">
      <alignment horizontal="center" vertical="top" wrapText="1"/>
      <protection/>
    </xf>
    <xf numFmtId="0" fontId="58" fillId="0" borderId="19" xfId="0" applyFont="1" applyBorder="1" applyAlignment="1" applyProtection="1">
      <alignment horizontal="center" vertical="top" wrapText="1"/>
      <protection/>
    </xf>
    <xf numFmtId="0" fontId="58" fillId="19" borderId="23" xfId="0" applyFont="1" applyFill="1" applyBorder="1" applyAlignment="1" applyProtection="1">
      <alignment horizontal="center" vertical="top" wrapText="1"/>
      <protection/>
    </xf>
    <xf numFmtId="0" fontId="60" fillId="0" borderId="12" xfId="0" applyFont="1" applyBorder="1" applyAlignment="1" applyProtection="1">
      <alignment horizontal="left" vertical="top" wrapText="1"/>
      <protection locked="0"/>
    </xf>
    <xf numFmtId="0" fontId="60" fillId="0" borderId="11" xfId="0" applyFont="1" applyBorder="1" applyAlignment="1" applyProtection="1">
      <alignment horizontal="left" vertical="top" wrapText="1"/>
      <protection locked="0"/>
    </xf>
    <xf numFmtId="0" fontId="60" fillId="0" borderId="15" xfId="0" applyFont="1" applyBorder="1" applyAlignment="1" applyProtection="1">
      <alignment horizontal="left" vertical="top" wrapText="1"/>
      <protection locked="0"/>
    </xf>
    <xf numFmtId="9" fontId="60" fillId="0" borderId="12" xfId="77" applyFont="1" applyBorder="1" applyAlignment="1" applyProtection="1">
      <alignment horizontal="center" vertical="center" wrapText="1"/>
      <protection locked="0"/>
    </xf>
    <xf numFmtId="9" fontId="60" fillId="0" borderId="11" xfId="77" applyFont="1" applyBorder="1" applyAlignment="1" applyProtection="1">
      <alignment horizontal="center" vertical="center" wrapText="1"/>
      <protection locked="0"/>
    </xf>
    <xf numFmtId="9" fontId="60" fillId="0" borderId="15" xfId="77" applyFont="1" applyBorder="1" applyAlignment="1" applyProtection="1">
      <alignment horizontal="center" vertical="center" wrapText="1"/>
      <protection locked="0"/>
    </xf>
    <xf numFmtId="166" fontId="60" fillId="0" borderId="12" xfId="40" applyNumberFormat="1" applyFont="1" applyBorder="1" applyAlignment="1" applyProtection="1">
      <alignment horizontal="center" vertical="center" wrapText="1"/>
      <protection locked="0"/>
    </xf>
    <xf numFmtId="166" fontId="60" fillId="0" borderId="11" xfId="40" applyNumberFormat="1" applyFont="1" applyBorder="1" applyAlignment="1" applyProtection="1">
      <alignment horizontal="center" vertical="center" wrapText="1"/>
      <protection locked="0"/>
    </xf>
    <xf numFmtId="166" fontId="60" fillId="0" borderId="15" xfId="40" applyNumberFormat="1" applyFont="1" applyBorder="1" applyAlignment="1" applyProtection="1">
      <alignment horizontal="center" vertical="center" wrapText="1"/>
      <protection locked="0"/>
    </xf>
    <xf numFmtId="166" fontId="60" fillId="0" borderId="23" xfId="40" applyNumberFormat="1" applyFont="1" applyBorder="1" applyAlignment="1" applyProtection="1">
      <alignment horizontal="center" vertical="center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12" fillId="0" borderId="18" xfId="0" applyFont="1" applyFill="1" applyBorder="1" applyAlignment="1" applyProtection="1">
      <alignment horizontal="right" vertical="center" wrapText="1" indent="1"/>
      <protection/>
    </xf>
    <xf numFmtId="0" fontId="12" fillId="0" borderId="12" xfId="0" applyFont="1" applyFill="1" applyBorder="1" applyAlignment="1" applyProtection="1">
      <alignment horizontal="left" vertical="center" wrapText="1"/>
      <protection locked="0"/>
    </xf>
    <xf numFmtId="164" fontId="12" fillId="0" borderId="12" xfId="0" applyNumberFormat="1" applyFont="1" applyFill="1" applyBorder="1" applyAlignment="1" applyProtection="1">
      <alignment vertical="center" wrapText="1"/>
      <protection locked="0"/>
    </xf>
    <xf numFmtId="164" fontId="12" fillId="0" borderId="12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 locked="0"/>
    </xf>
    <xf numFmtId="0" fontId="12" fillId="0" borderId="17" xfId="0" applyFont="1" applyFill="1" applyBorder="1" applyAlignment="1" applyProtection="1">
      <alignment horizontal="right" vertical="center" wrapText="1" indent="1"/>
      <protection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164" fontId="12" fillId="0" borderId="40" xfId="0" applyNumberFormat="1" applyFont="1" applyFill="1" applyBorder="1" applyAlignment="1" applyProtection="1">
      <alignment vertical="center" wrapText="1"/>
      <protection locked="0"/>
    </xf>
    <xf numFmtId="4" fontId="11" fillId="0" borderId="43" xfId="0" applyNumberFormat="1" applyFont="1" applyFill="1" applyBorder="1" applyAlignment="1" applyProtection="1">
      <alignment vertical="center" wrapText="1"/>
      <protection locked="0"/>
    </xf>
    <xf numFmtId="49" fontId="12" fillId="0" borderId="68" xfId="62" applyNumberFormat="1" applyFont="1" applyFill="1" applyBorder="1" applyAlignment="1" applyProtection="1">
      <alignment horizontal="left" vertical="center" wrapText="1" indent="1"/>
      <protection/>
    </xf>
    <xf numFmtId="0" fontId="12" fillId="0" borderId="69" xfId="62" applyFont="1" applyFill="1" applyBorder="1" applyAlignment="1" applyProtection="1">
      <alignment horizontal="left" vertical="center" wrapText="1" indent="1"/>
      <protection/>
    </xf>
    <xf numFmtId="164" fontId="12" fillId="0" borderId="69" xfId="62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62" applyFont="1" applyFill="1">
      <alignment/>
      <protection/>
    </xf>
    <xf numFmtId="49" fontId="12" fillId="0" borderId="70" xfId="62" applyNumberFormat="1" applyFont="1" applyFill="1" applyBorder="1" applyAlignment="1" applyProtection="1">
      <alignment horizontal="left" vertical="center" wrapText="1" indent="1"/>
      <protection/>
    </xf>
    <xf numFmtId="0" fontId="12" fillId="0" borderId="71" xfId="62" applyFont="1" applyFill="1" applyBorder="1" applyAlignment="1" applyProtection="1">
      <alignment horizontal="left" vertical="center" wrapText="1" indent="1"/>
      <protection/>
    </xf>
    <xf numFmtId="164" fontId="12" fillId="0" borderId="71" xfId="62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72" xfId="62" applyNumberFormat="1" applyFont="1" applyFill="1" applyBorder="1" applyAlignment="1" applyProtection="1">
      <alignment horizontal="left" vertical="center" wrapText="1" indent="1"/>
      <protection/>
    </xf>
    <xf numFmtId="164" fontId="12" fillId="0" borderId="73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4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5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6" xfId="62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9" xfId="62" applyNumberFormat="1" applyFont="1" applyFill="1" applyBorder="1" applyAlignment="1" applyProtection="1">
      <alignment horizontal="right" vertical="center" wrapText="1" indent="1"/>
      <protection/>
    </xf>
    <xf numFmtId="164" fontId="12" fillId="0" borderId="77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8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9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80" xfId="6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71" xfId="6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81" xfId="62" applyFont="1" applyFill="1" applyBorder="1" applyAlignment="1" applyProtection="1">
      <alignment horizontal="left" vertical="center" wrapText="1" indent="1"/>
      <protection/>
    </xf>
    <xf numFmtId="0" fontId="17" fillId="0" borderId="71" xfId="0" applyFont="1" applyBorder="1" applyAlignment="1" applyProtection="1">
      <alignment horizontal="left" vertical="center" wrapText="1" indent="1"/>
      <protection/>
    </xf>
    <xf numFmtId="164" fontId="11" fillId="0" borderId="82" xfId="62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4" xfId="62" applyNumberFormat="1" applyFont="1" applyFill="1" applyBorder="1" applyAlignment="1" applyProtection="1">
      <alignment horizontal="right" vertical="center" wrapText="1" indent="1"/>
      <protection/>
    </xf>
    <xf numFmtId="164" fontId="12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6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6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74" xfId="0" applyNumberFormat="1" applyFont="1" applyFill="1" applyBorder="1" applyAlignment="1" applyProtection="1">
      <alignment horizontal="right" vertical="center" wrapText="1" indent="1"/>
      <protection/>
    </xf>
    <xf numFmtId="164" fontId="63" fillId="0" borderId="69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86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8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8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8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68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68" xfId="0" applyNumberFormat="1" applyFont="1" applyFill="1" applyBorder="1" applyAlignment="1" applyProtection="1">
      <alignment horizontal="left" vertical="center" wrapText="1" indent="3"/>
      <protection/>
    </xf>
    <xf numFmtId="164" fontId="12" fillId="0" borderId="17" xfId="61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1" xfId="61" applyNumberFormat="1" applyFont="1" applyFill="1" applyBorder="1" applyAlignment="1" applyProtection="1">
      <alignment vertical="center" wrapText="1"/>
      <protection locked="0"/>
    </xf>
    <xf numFmtId="1" fontId="12" fillId="0" borderId="11" xfId="61" applyNumberFormat="1" applyFont="1" applyFill="1" applyBorder="1" applyAlignment="1" applyProtection="1">
      <alignment horizontal="right" vertical="center" wrapText="1"/>
      <protection locked="0"/>
    </xf>
    <xf numFmtId="164" fontId="10" fillId="0" borderId="17" xfId="61" applyNumberFormat="1" applyFont="1" applyFill="1" applyBorder="1" applyAlignment="1" applyProtection="1">
      <alignment horizontal="left" vertical="center" wrapText="1" indent="1"/>
      <protection locked="0"/>
    </xf>
    <xf numFmtId="1" fontId="12" fillId="0" borderId="11" xfId="61" applyNumberFormat="1" applyFont="1" applyFill="1" applyBorder="1" applyAlignment="1" applyProtection="1">
      <alignment vertical="center" wrapText="1"/>
      <protection locked="0"/>
    </xf>
    <xf numFmtId="164" fontId="10" fillId="0" borderId="11" xfId="61" applyNumberFormat="1" applyFont="1" applyFill="1" applyBorder="1" applyAlignment="1" applyProtection="1">
      <alignment vertical="center" wrapText="1"/>
      <protection locked="0"/>
    </xf>
    <xf numFmtId="49" fontId="12" fillId="0" borderId="88" xfId="62" applyNumberFormat="1" applyFont="1" applyFill="1" applyBorder="1" applyAlignment="1" applyProtection="1">
      <alignment horizontal="left" vertical="center" wrapText="1" indent="1"/>
      <protection/>
    </xf>
    <xf numFmtId="164" fontId="12" fillId="0" borderId="89" xfId="6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74" xfId="0" applyFont="1" applyBorder="1" applyAlignment="1" applyProtection="1">
      <alignment horizontal="right" vertical="center" wrapText="1" indent="1"/>
      <protection locked="0"/>
    </xf>
    <xf numFmtId="0" fontId="16" fillId="0" borderId="69" xfId="0" applyFont="1" applyBorder="1" applyAlignment="1" applyProtection="1">
      <alignment horizontal="right" vertical="center" wrapText="1" indent="1"/>
      <protection locked="0"/>
    </xf>
    <xf numFmtId="0" fontId="16" fillId="0" borderId="75" xfId="0" applyFont="1" applyBorder="1" applyAlignment="1" applyProtection="1">
      <alignment horizontal="right" vertical="center" wrapText="1" indent="1"/>
      <protection locked="0"/>
    </xf>
    <xf numFmtId="0" fontId="15" fillId="0" borderId="82" xfId="0" applyFont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90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69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89" xfId="0" applyNumberFormat="1" applyFont="1" applyFill="1" applyBorder="1" applyAlignment="1" applyProtection="1">
      <alignment horizontal="left" vertical="center" wrapText="1" indent="1"/>
      <protection/>
    </xf>
    <xf numFmtId="1" fontId="12" fillId="0" borderId="9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9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9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3" xfId="0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horizontal="left" vertical="center" indent="1"/>
      <protection locked="0"/>
    </xf>
    <xf numFmtId="0" fontId="12" fillId="0" borderId="11" xfId="61" applyFont="1" applyBorder="1" applyAlignment="1" applyProtection="1">
      <alignment horizontal="left" vertical="center" indent="1"/>
      <protection locked="0"/>
    </xf>
    <xf numFmtId="0" fontId="12" fillId="0" borderId="11" xfId="61" applyFont="1" applyBorder="1" applyAlignment="1" applyProtection="1">
      <alignment horizontal="left" vertical="center" wrapText="1" indent="1"/>
      <protection locked="0"/>
    </xf>
    <xf numFmtId="164" fontId="12" fillId="0" borderId="93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94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9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95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96" xfId="6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97" xfId="6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98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99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95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94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0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98" xfId="6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1" xfId="6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2" xfId="62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9" xfId="62" applyNumberFormat="1" applyFont="1" applyFill="1" applyBorder="1" applyAlignment="1" applyProtection="1">
      <alignment horizontal="right" vertical="center" wrapText="1" indent="1"/>
      <protection/>
    </xf>
    <xf numFmtId="164" fontId="12" fillId="0" borderId="98" xfId="62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3" xfId="62" applyNumberFormat="1" applyFont="1" applyFill="1" applyBorder="1" applyAlignment="1" applyProtection="1">
      <alignment horizontal="right" vertical="center" wrapText="1" indent="1"/>
      <protection/>
    </xf>
    <xf numFmtId="164" fontId="18" fillId="0" borderId="66" xfId="62" applyNumberFormat="1" applyFont="1" applyFill="1" applyBorder="1" applyAlignment="1" applyProtection="1">
      <alignment horizontal="right" vertical="center" wrapText="1" indent="1"/>
      <protection/>
    </xf>
    <xf numFmtId="3" fontId="12" fillId="0" borderId="79" xfId="62" applyNumberFormat="1" applyFont="1" applyFill="1" applyBorder="1" applyAlignment="1">
      <alignment horizontal="right" indent="1"/>
      <protection/>
    </xf>
    <xf numFmtId="3" fontId="12" fillId="0" borderId="95" xfId="62" applyNumberFormat="1" applyFont="1" applyFill="1" applyBorder="1" applyAlignment="1">
      <alignment horizontal="right" indent="1"/>
      <protection/>
    </xf>
    <xf numFmtId="164" fontId="12" fillId="0" borderId="103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99" xfId="62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93" xfId="62" applyNumberFormat="1" applyFont="1" applyFill="1" applyBorder="1" applyAlignment="1" applyProtection="1">
      <alignment horizontal="right" vertical="center" wrapText="1" indent="1"/>
      <protection/>
    </xf>
    <xf numFmtId="0" fontId="16" fillId="0" borderId="93" xfId="0" applyFont="1" applyBorder="1" applyAlignment="1" applyProtection="1">
      <alignment horizontal="right" vertical="center" wrapText="1" indent="1"/>
      <protection locked="0"/>
    </xf>
    <xf numFmtId="0" fontId="16" fillId="0" borderId="89" xfId="0" applyFont="1" applyBorder="1" applyAlignment="1" applyProtection="1">
      <alignment horizontal="right" vertical="center" wrapText="1" indent="1"/>
      <protection locked="0"/>
    </xf>
    <xf numFmtId="0" fontId="15" fillId="0" borderId="101" xfId="0" applyFont="1" applyBorder="1" applyAlignment="1" applyProtection="1">
      <alignment horizontal="right" vertical="center" wrapText="1" indent="1"/>
      <protection locked="0"/>
    </xf>
    <xf numFmtId="3" fontId="12" fillId="0" borderId="13" xfId="61" applyNumberFormat="1" applyFont="1" applyBorder="1" applyAlignment="1" applyProtection="1">
      <alignment horizontal="right" vertical="center" indent="1"/>
      <protection locked="0"/>
    </xf>
    <xf numFmtId="3" fontId="12" fillId="0" borderId="11" xfId="61" applyNumberFormat="1" applyFont="1" applyBorder="1" applyAlignment="1" applyProtection="1">
      <alignment horizontal="right" vertical="center" indent="1"/>
      <protection locked="0"/>
    </xf>
    <xf numFmtId="0" fontId="7" fillId="0" borderId="0" xfId="66" applyFill="1" applyProtection="1">
      <alignment/>
      <protection locked="0"/>
    </xf>
    <xf numFmtId="0" fontId="7" fillId="0" borderId="0" xfId="66" applyFill="1" applyProtection="1">
      <alignment/>
      <protection/>
    </xf>
    <xf numFmtId="0" fontId="2" fillId="0" borderId="0" xfId="0" applyFont="1" applyFill="1" applyAlignment="1">
      <alignment horizontal="right"/>
    </xf>
    <xf numFmtId="0" fontId="4" fillId="0" borderId="24" xfId="66" applyFont="1" applyFill="1" applyBorder="1" applyAlignment="1" applyProtection="1">
      <alignment horizontal="center" vertical="center" wrapText="1"/>
      <protection/>
    </xf>
    <xf numFmtId="0" fontId="4" fillId="0" borderId="25" xfId="66" applyFont="1" applyFill="1" applyBorder="1" applyAlignment="1" applyProtection="1">
      <alignment horizontal="center" vertical="center"/>
      <protection/>
    </xf>
    <xf numFmtId="0" fontId="4" fillId="0" borderId="38" xfId="66" applyFont="1" applyFill="1" applyBorder="1" applyAlignment="1" applyProtection="1">
      <alignment horizontal="center" vertical="center"/>
      <protection/>
    </xf>
    <xf numFmtId="0" fontId="12" fillId="0" borderId="22" xfId="66" applyFont="1" applyFill="1" applyBorder="1" applyAlignment="1" applyProtection="1">
      <alignment horizontal="left" vertical="center" indent="1"/>
      <protection/>
    </xf>
    <xf numFmtId="0" fontId="7" fillId="0" borderId="0" xfId="66" applyFill="1" applyAlignment="1" applyProtection="1">
      <alignment vertical="center"/>
      <protection/>
    </xf>
    <xf numFmtId="164" fontId="12" fillId="0" borderId="13" xfId="66" applyNumberFormat="1" applyFont="1" applyFill="1" applyBorder="1" applyAlignment="1" applyProtection="1">
      <alignment vertical="center"/>
      <protection/>
    </xf>
    <xf numFmtId="164" fontId="12" fillId="0" borderId="39" xfId="66" applyNumberFormat="1" applyFont="1" applyFill="1" applyBorder="1" applyAlignment="1" applyProtection="1" quotePrefix="1">
      <alignment horizontal="center" vertical="center"/>
      <protection/>
    </xf>
    <xf numFmtId="164" fontId="12" fillId="0" borderId="11" xfId="66" applyNumberFormat="1" applyFont="1" applyFill="1" applyBorder="1" applyAlignment="1" applyProtection="1">
      <alignment vertical="center"/>
      <protection locked="0"/>
    </xf>
    <xf numFmtId="164" fontId="12" fillId="0" borderId="31" xfId="66" applyNumberFormat="1" applyFont="1" applyFill="1" applyBorder="1" applyAlignment="1" applyProtection="1">
      <alignment vertical="center"/>
      <protection/>
    </xf>
    <xf numFmtId="0" fontId="7" fillId="0" borderId="0" xfId="66" applyFill="1" applyAlignment="1" applyProtection="1">
      <alignment vertical="center"/>
      <protection locked="0"/>
    </xf>
    <xf numFmtId="164" fontId="12" fillId="0" borderId="30" xfId="66" applyNumberFormat="1" applyFont="1" applyFill="1" applyBorder="1" applyAlignment="1" applyProtection="1">
      <alignment vertical="center"/>
      <protection/>
    </xf>
    <xf numFmtId="164" fontId="12" fillId="0" borderId="33" xfId="66" applyNumberFormat="1" applyFont="1" applyFill="1" applyBorder="1" applyAlignment="1" applyProtection="1">
      <alignment vertical="center"/>
      <protection locked="0"/>
    </xf>
    <xf numFmtId="164" fontId="11" fillId="0" borderId="23" xfId="66" applyNumberFormat="1" applyFont="1" applyFill="1" applyBorder="1" applyAlignment="1" applyProtection="1">
      <alignment vertical="center"/>
      <protection/>
    </xf>
    <xf numFmtId="164" fontId="11" fillId="0" borderId="26" xfId="66" applyNumberFormat="1" applyFont="1" applyFill="1" applyBorder="1" applyAlignment="1" applyProtection="1">
      <alignment vertical="center"/>
      <protection/>
    </xf>
    <xf numFmtId="164" fontId="7" fillId="0" borderId="0" xfId="66" applyNumberFormat="1" applyFill="1" applyAlignment="1" applyProtection="1">
      <alignment vertical="center"/>
      <protection/>
    </xf>
    <xf numFmtId="164" fontId="12" fillId="0" borderId="12" xfId="66" applyNumberFormat="1" applyFont="1" applyFill="1" applyBorder="1" applyAlignment="1" applyProtection="1">
      <alignment vertical="center"/>
      <protection locked="0"/>
    </xf>
    <xf numFmtId="164" fontId="7" fillId="0" borderId="0" xfId="66" applyNumberFormat="1" applyFill="1" applyAlignment="1" applyProtection="1">
      <alignment vertical="center"/>
      <protection locked="0"/>
    </xf>
    <xf numFmtId="164" fontId="11" fillId="0" borderId="23" xfId="66" applyNumberFormat="1" applyFont="1" applyFill="1" applyBorder="1" applyProtection="1">
      <alignment/>
      <protection/>
    </xf>
    <xf numFmtId="164" fontId="11" fillId="0" borderId="26" xfId="66" applyNumberFormat="1" applyFont="1" applyFill="1" applyBorder="1" applyAlignment="1" applyProtection="1" quotePrefix="1">
      <alignment horizontal="center"/>
      <protection/>
    </xf>
    <xf numFmtId="0" fontId="0" fillId="0" borderId="0" xfId="66" applyFont="1" applyFill="1" applyProtection="1">
      <alignment/>
      <protection/>
    </xf>
    <xf numFmtId="0" fontId="19" fillId="0" borderId="0" xfId="66" applyFont="1" applyFill="1" applyProtection="1">
      <alignment/>
      <protection locked="0"/>
    </xf>
    <xf numFmtId="164" fontId="7" fillId="0" borderId="0" xfId="66" applyNumberFormat="1" applyFill="1" applyProtection="1">
      <alignment/>
      <protection locked="0"/>
    </xf>
    <xf numFmtId="164" fontId="12" fillId="0" borderId="104" xfId="66" applyNumberFormat="1" applyFont="1" applyFill="1" applyBorder="1" applyAlignment="1" applyProtection="1">
      <alignment vertical="center"/>
      <protection locked="0"/>
    </xf>
    <xf numFmtId="164" fontId="12" fillId="0" borderId="14" xfId="66" applyNumberFormat="1" applyFont="1" applyFill="1" applyBorder="1" applyAlignment="1" applyProtection="1">
      <alignment vertical="center"/>
      <protection locked="0"/>
    </xf>
    <xf numFmtId="164" fontId="12" fillId="0" borderId="105" xfId="66" applyNumberFormat="1" applyFont="1" applyFill="1" applyBorder="1" applyAlignment="1" applyProtection="1">
      <alignment vertical="center"/>
      <protection locked="0"/>
    </xf>
    <xf numFmtId="0" fontId="12" fillId="0" borderId="43" xfId="66" applyFont="1" applyFill="1" applyBorder="1" applyAlignment="1" applyProtection="1">
      <alignment horizontal="left" vertical="center" indent="1"/>
      <protection/>
    </xf>
    <xf numFmtId="0" fontId="12" fillId="0" borderId="43" xfId="66" applyFont="1" applyFill="1" applyBorder="1" applyAlignment="1" applyProtection="1">
      <alignment horizontal="left" vertical="center" wrapText="1" indent="1"/>
      <protection/>
    </xf>
    <xf numFmtId="164" fontId="12" fillId="0" borderId="64" xfId="66" applyNumberFormat="1" applyFont="1" applyFill="1" applyBorder="1" applyAlignment="1" applyProtection="1">
      <alignment vertical="center"/>
      <protection locked="0"/>
    </xf>
    <xf numFmtId="164" fontId="11" fillId="0" borderId="49" xfId="66" applyNumberFormat="1" applyFont="1" applyFill="1" applyBorder="1" applyAlignment="1" applyProtection="1">
      <alignment vertical="center"/>
      <protection/>
    </xf>
    <xf numFmtId="164" fontId="11" fillId="0" borderId="49" xfId="66" applyNumberFormat="1" applyFont="1" applyFill="1" applyBorder="1" applyProtection="1">
      <alignment/>
      <protection/>
    </xf>
    <xf numFmtId="0" fontId="4" fillId="0" borderId="43" xfId="66" applyFont="1" applyFill="1" applyBorder="1" applyAlignment="1" applyProtection="1">
      <alignment horizontal="left" vertical="center" indent="1"/>
      <protection/>
    </xf>
    <xf numFmtId="0" fontId="4" fillId="0" borderId="43" xfId="66" applyFont="1" applyFill="1" applyBorder="1" applyAlignment="1" applyProtection="1">
      <alignment horizontal="left" indent="1"/>
      <protection/>
    </xf>
    <xf numFmtId="0" fontId="12" fillId="0" borderId="43" xfId="66" applyFont="1" applyFill="1" applyBorder="1" applyAlignment="1" applyProtection="1">
      <alignment horizontal="left" vertical="center" wrapText="1" indent="2"/>
      <protection/>
    </xf>
    <xf numFmtId="0" fontId="26" fillId="0" borderId="70" xfId="70" applyFont="1" applyFill="1" applyBorder="1" applyAlignment="1">
      <alignment horizontal="center" vertical="center" wrapText="1"/>
      <protection/>
    </xf>
    <xf numFmtId="0" fontId="26" fillId="0" borderId="77" xfId="70" applyFont="1" applyFill="1" applyBorder="1" applyAlignment="1">
      <alignment horizontal="center" vertical="center" wrapText="1"/>
      <protection/>
    </xf>
    <xf numFmtId="0" fontId="26" fillId="0" borderId="106" xfId="70" applyFont="1" applyFill="1" applyBorder="1" applyAlignment="1">
      <alignment horizontal="center" vertical="center" wrapText="1"/>
      <protection/>
    </xf>
    <xf numFmtId="0" fontId="17" fillId="0" borderId="86" xfId="70" applyFont="1" applyFill="1" applyBorder="1" applyAlignment="1">
      <alignment vertical="center" wrapText="1"/>
      <protection/>
    </xf>
    <xf numFmtId="0" fontId="16" fillId="0" borderId="74" xfId="70" applyFont="1" applyFill="1" applyBorder="1" applyAlignment="1">
      <alignment horizontal="center" vertical="center" wrapText="1"/>
      <protection/>
    </xf>
    <xf numFmtId="168" fontId="17" fillId="0" borderId="73" xfId="70" applyNumberFormat="1" applyFont="1" applyFill="1" applyBorder="1" applyAlignment="1">
      <alignment horizontal="right" vertical="center" wrapText="1"/>
      <protection/>
    </xf>
    <xf numFmtId="168" fontId="17" fillId="0" borderId="107" xfId="70" applyNumberFormat="1" applyFont="1" applyFill="1" applyBorder="1" applyAlignment="1">
      <alignment horizontal="right" vertical="center" wrapText="1"/>
      <protection/>
    </xf>
    <xf numFmtId="0" fontId="26" fillId="0" borderId="68" xfId="70" applyFont="1" applyFill="1" applyBorder="1" applyAlignment="1">
      <alignment horizontal="left" vertical="center" wrapText="1"/>
      <protection/>
    </xf>
    <xf numFmtId="168" fontId="16" fillId="0" borderId="69" xfId="70" applyNumberFormat="1" applyFont="1" applyFill="1" applyBorder="1" applyAlignment="1">
      <alignment horizontal="right" vertical="center" wrapText="1"/>
      <protection/>
    </xf>
    <xf numFmtId="168" fontId="16" fillId="0" borderId="107" xfId="70" applyNumberFormat="1" applyFont="1" applyFill="1" applyBorder="1" applyAlignment="1">
      <alignment horizontal="right" vertical="center" wrapText="1"/>
      <protection/>
    </xf>
    <xf numFmtId="168" fontId="16" fillId="0" borderId="69" xfId="70" applyNumberFormat="1" applyFont="1" applyFill="1" applyBorder="1" applyAlignment="1" applyProtection="1">
      <alignment horizontal="right" vertical="center" wrapText="1"/>
      <protection locked="0"/>
    </xf>
    <xf numFmtId="168" fontId="16" fillId="0" borderId="107" xfId="70" applyNumberFormat="1" applyFont="1" applyFill="1" applyBorder="1" applyAlignment="1" applyProtection="1">
      <alignment horizontal="right" vertical="center" wrapText="1"/>
      <protection locked="0"/>
    </xf>
    <xf numFmtId="0" fontId="17" fillId="0" borderId="68" xfId="70" applyFont="1" applyFill="1" applyBorder="1" applyAlignment="1">
      <alignment vertical="center" wrapText="1"/>
      <protection/>
    </xf>
    <xf numFmtId="168" fontId="17" fillId="0" borderId="69" xfId="70" applyNumberFormat="1" applyFont="1" applyFill="1" applyBorder="1" applyAlignment="1">
      <alignment horizontal="right" vertical="center" wrapText="1"/>
      <protection/>
    </xf>
    <xf numFmtId="0" fontId="25" fillId="0" borderId="68" xfId="70" applyFont="1" applyFill="1" applyBorder="1" applyAlignment="1">
      <alignment vertical="center" wrapText="1"/>
      <protection/>
    </xf>
    <xf numFmtId="168" fontId="25" fillId="0" borderId="69" xfId="70" applyNumberFormat="1" applyFont="1" applyFill="1" applyBorder="1" applyAlignment="1">
      <alignment horizontal="right" vertical="center" wrapText="1"/>
      <protection/>
    </xf>
    <xf numFmtId="168" fontId="25" fillId="0" borderId="107" xfId="70" applyNumberFormat="1" applyFont="1" applyFill="1" applyBorder="1" applyAlignment="1">
      <alignment horizontal="right" vertical="center" wrapText="1"/>
      <protection/>
    </xf>
    <xf numFmtId="0" fontId="65" fillId="0" borderId="0" xfId="70" applyFont="1" applyFill="1" applyAlignment="1">
      <alignment vertical="center"/>
      <protection/>
    </xf>
    <xf numFmtId="0" fontId="25" fillId="0" borderId="68" xfId="70" applyFont="1" applyFill="1" applyBorder="1" applyAlignment="1">
      <alignment horizontal="left" vertical="center" wrapText="1"/>
      <protection/>
    </xf>
    <xf numFmtId="168" fontId="26" fillId="0" borderId="69" xfId="70" applyNumberFormat="1" applyFont="1" applyFill="1" applyBorder="1" applyAlignment="1">
      <alignment horizontal="right" vertical="center" wrapText="1"/>
      <protection/>
    </xf>
    <xf numFmtId="168" fontId="26" fillId="0" borderId="107" xfId="70" applyNumberFormat="1" applyFont="1" applyFill="1" applyBorder="1" applyAlignment="1" applyProtection="1">
      <alignment horizontal="right" vertical="center" wrapText="1"/>
      <protection locked="0"/>
    </xf>
    <xf numFmtId="168" fontId="17" fillId="0" borderId="107" xfId="70" applyNumberFormat="1" applyFont="1" applyFill="1" applyBorder="1" applyAlignment="1" applyProtection="1">
      <alignment horizontal="right" vertical="center" wrapText="1"/>
      <protection locked="0"/>
    </xf>
    <xf numFmtId="0" fontId="26" fillId="0" borderId="68" xfId="70" applyFont="1" applyFill="1" applyBorder="1" applyAlignment="1">
      <alignment vertical="center" wrapText="1"/>
      <protection/>
    </xf>
    <xf numFmtId="168" fontId="26" fillId="0" borderId="107" xfId="70" applyNumberFormat="1" applyFont="1" applyFill="1" applyBorder="1" applyAlignment="1">
      <alignment horizontal="right" vertical="center" wrapText="1"/>
      <protection/>
    </xf>
    <xf numFmtId="0" fontId="25" fillId="0" borderId="68" xfId="70" applyFont="1" applyFill="1" applyBorder="1" applyAlignment="1">
      <alignment horizontal="left" vertical="center" wrapText="1" indent="2"/>
      <protection/>
    </xf>
    <xf numFmtId="168" fontId="25" fillId="0" borderId="107" xfId="70" applyNumberFormat="1" applyFont="1" applyFill="1" applyBorder="1" applyAlignment="1" applyProtection="1">
      <alignment horizontal="right" vertical="center" wrapText="1"/>
      <protection locked="0"/>
    </xf>
    <xf numFmtId="0" fontId="25" fillId="0" borderId="68" xfId="70" applyFont="1" applyFill="1" applyBorder="1" applyAlignment="1">
      <alignment horizontal="left" vertical="center" indent="2"/>
      <protection/>
    </xf>
    <xf numFmtId="168" fontId="26" fillId="0" borderId="69" xfId="70" applyNumberFormat="1" applyFont="1" applyFill="1" applyBorder="1" applyAlignment="1" applyProtection="1">
      <alignment horizontal="right" vertical="center" wrapText="1"/>
      <protection locked="0"/>
    </xf>
    <xf numFmtId="168" fontId="26" fillId="0" borderId="108" xfId="70" applyNumberFormat="1" applyFont="1" applyFill="1" applyBorder="1" applyAlignment="1" applyProtection="1">
      <alignment horizontal="right" vertical="center" wrapText="1"/>
      <protection locked="0"/>
    </xf>
    <xf numFmtId="0" fontId="25" fillId="0" borderId="68" xfId="70" applyFont="1" applyFill="1" applyBorder="1" applyAlignment="1">
      <alignment horizontal="left" vertical="center" wrapText="1" indent="3"/>
      <protection/>
    </xf>
    <xf numFmtId="168" fontId="26" fillId="0" borderId="108" xfId="70" applyNumberFormat="1" applyFont="1" applyFill="1" applyBorder="1" applyAlignment="1">
      <alignment horizontal="right" vertical="center" wrapText="1"/>
      <protection/>
    </xf>
    <xf numFmtId="0" fontId="25" fillId="0" borderId="68" xfId="70" applyFont="1" applyFill="1" applyBorder="1" applyAlignment="1">
      <alignment horizontal="left" vertical="center" wrapText="1" indent="1"/>
      <protection/>
    </xf>
    <xf numFmtId="0" fontId="16" fillId="0" borderId="68" xfId="70" applyFont="1" applyFill="1" applyBorder="1" applyAlignment="1">
      <alignment horizontal="left" vertical="center" wrapText="1" indent="2"/>
      <protection/>
    </xf>
    <xf numFmtId="168" fontId="26" fillId="0" borderId="107" xfId="70" applyNumberFormat="1" applyFont="1" applyFill="1" applyBorder="1" applyAlignment="1" applyProtection="1">
      <alignment horizontal="right" vertical="center" wrapText="1"/>
      <protection/>
    </xf>
    <xf numFmtId="0" fontId="17" fillId="0" borderId="70" xfId="70" applyFont="1" applyFill="1" applyBorder="1" applyAlignment="1">
      <alignment vertical="center" wrapText="1"/>
      <protection/>
    </xf>
    <xf numFmtId="0" fontId="16" fillId="0" borderId="77" xfId="70" applyFont="1" applyFill="1" applyBorder="1" applyAlignment="1">
      <alignment horizontal="center" vertical="center" wrapText="1"/>
      <protection/>
    </xf>
    <xf numFmtId="168" fontId="17" fillId="0" borderId="77" xfId="70" applyNumberFormat="1" applyFont="1" applyFill="1" applyBorder="1" applyAlignment="1">
      <alignment horizontal="right" vertical="center" wrapText="1"/>
      <protection/>
    </xf>
    <xf numFmtId="168" fontId="17" fillId="0" borderId="109" xfId="70" applyNumberFormat="1" applyFont="1" applyFill="1" applyBorder="1" applyAlignment="1">
      <alignment horizontal="right" vertical="center" wrapText="1"/>
      <protection/>
    </xf>
    <xf numFmtId="0" fontId="0" fillId="0" borderId="0" xfId="68" applyFill="1" applyAlignment="1" applyProtection="1">
      <alignment vertical="center"/>
      <protection locked="0"/>
    </xf>
    <xf numFmtId="0" fontId="0" fillId="0" borderId="0" xfId="68" applyFill="1" applyAlignment="1" applyProtection="1">
      <alignment vertical="center" wrapText="1"/>
      <protection/>
    </xf>
    <xf numFmtId="0" fontId="0" fillId="0" borderId="0" xfId="68" applyFill="1" applyAlignment="1" applyProtection="1">
      <alignment horizontal="center" vertical="center"/>
      <protection/>
    </xf>
    <xf numFmtId="49" fontId="11" fillId="0" borderId="70" xfId="68" applyNumberFormat="1" applyFont="1" applyFill="1" applyBorder="1" applyAlignment="1" applyProtection="1">
      <alignment horizontal="center" vertical="center" wrapText="1"/>
      <protection/>
    </xf>
    <xf numFmtId="49" fontId="11" fillId="0" borderId="77" xfId="68" applyNumberFormat="1" applyFont="1" applyFill="1" applyBorder="1" applyAlignment="1" applyProtection="1">
      <alignment horizontal="center" vertical="center"/>
      <protection/>
    </xf>
    <xf numFmtId="49" fontId="11" fillId="0" borderId="109" xfId="68" applyNumberFormat="1" applyFont="1" applyFill="1" applyBorder="1" applyAlignment="1" applyProtection="1">
      <alignment horizontal="center" vertical="center"/>
      <protection/>
    </xf>
    <xf numFmtId="49" fontId="0" fillId="0" borderId="0" xfId="68" applyNumberFormat="1" applyFont="1" applyFill="1" applyAlignment="1" applyProtection="1">
      <alignment horizontal="center" vertical="center"/>
      <protection/>
    </xf>
    <xf numFmtId="0" fontId="12" fillId="0" borderId="86" xfId="68" applyFont="1" applyFill="1" applyBorder="1" applyAlignment="1" applyProtection="1">
      <alignment horizontal="left" vertical="center" wrapText="1"/>
      <protection/>
    </xf>
    <xf numFmtId="169" fontId="12" fillId="0" borderId="74" xfId="68" applyNumberFormat="1" applyFont="1" applyFill="1" applyBorder="1" applyAlignment="1" applyProtection="1">
      <alignment horizontal="center" vertical="center"/>
      <protection/>
    </xf>
    <xf numFmtId="170" fontId="12" fillId="0" borderId="110" xfId="68" applyNumberFormat="1" applyFont="1" applyFill="1" applyBorder="1" applyAlignment="1" applyProtection="1">
      <alignment vertical="center"/>
      <protection locked="0"/>
    </xf>
    <xf numFmtId="0" fontId="12" fillId="0" borderId="68" xfId="68" applyFont="1" applyFill="1" applyBorder="1" applyAlignment="1" applyProtection="1">
      <alignment horizontal="left" vertical="center" wrapText="1"/>
      <protection/>
    </xf>
    <xf numFmtId="169" fontId="12" fillId="0" borderId="69" xfId="68" applyNumberFormat="1" applyFont="1" applyFill="1" applyBorder="1" applyAlignment="1" applyProtection="1">
      <alignment horizontal="center" vertical="center"/>
      <protection/>
    </xf>
    <xf numFmtId="170" fontId="12" fillId="0" borderId="107" xfId="68" applyNumberFormat="1" applyFont="1" applyFill="1" applyBorder="1" applyAlignment="1" applyProtection="1">
      <alignment vertical="center"/>
      <protection locked="0"/>
    </xf>
    <xf numFmtId="0" fontId="11" fillId="0" borderId="68" xfId="68" applyFont="1" applyFill="1" applyBorder="1" applyAlignment="1" applyProtection="1">
      <alignment horizontal="left" vertical="center" wrapText="1"/>
      <protection/>
    </xf>
    <xf numFmtId="170" fontId="11" fillId="0" borderId="107" xfId="68" applyNumberFormat="1" applyFont="1" applyFill="1" applyBorder="1" applyAlignment="1" applyProtection="1">
      <alignment vertical="center"/>
      <protection/>
    </xf>
    <xf numFmtId="0" fontId="0" fillId="0" borderId="0" xfId="68" applyFont="1" applyFill="1" applyAlignment="1" applyProtection="1">
      <alignment vertical="center"/>
      <protection locked="0"/>
    </xf>
    <xf numFmtId="0" fontId="11" fillId="0" borderId="68" xfId="68" applyFont="1" applyFill="1" applyBorder="1" applyAlignment="1" applyProtection="1">
      <alignment vertical="center" wrapText="1"/>
      <protection/>
    </xf>
    <xf numFmtId="0" fontId="13" fillId="0" borderId="68" xfId="68" applyFont="1" applyFill="1" applyBorder="1" applyAlignment="1" applyProtection="1">
      <alignment horizontal="left" vertical="center" wrapText="1"/>
      <protection/>
    </xf>
    <xf numFmtId="170" fontId="13" fillId="0" borderId="107" xfId="68" applyNumberFormat="1" applyFont="1" applyFill="1" applyBorder="1" applyAlignment="1" applyProtection="1">
      <alignment vertical="center"/>
      <protection/>
    </xf>
    <xf numFmtId="170" fontId="12" fillId="0" borderId="107" xfId="68" applyNumberFormat="1" applyFont="1" applyFill="1" applyBorder="1" applyAlignment="1" applyProtection="1">
      <alignment vertical="center"/>
      <protection/>
    </xf>
    <xf numFmtId="0" fontId="12" fillId="0" borderId="68" xfId="68" applyFont="1" applyFill="1" applyBorder="1" applyAlignment="1" applyProtection="1">
      <alignment horizontal="left" vertical="center" wrapText="1" indent="2"/>
      <protection/>
    </xf>
    <xf numFmtId="0" fontId="12" fillId="0" borderId="68" xfId="68" applyFont="1" applyFill="1" applyBorder="1" applyAlignment="1" applyProtection="1">
      <alignment horizontal="left" vertical="center" indent="2"/>
      <protection locked="0"/>
    </xf>
    <xf numFmtId="170" fontId="18" fillId="0" borderId="107" xfId="68" applyNumberFormat="1" applyFont="1" applyFill="1" applyBorder="1" applyAlignment="1" applyProtection="1">
      <alignment vertical="center"/>
      <protection locked="0"/>
    </xf>
    <xf numFmtId="0" fontId="11" fillId="0" borderId="70" xfId="68" applyFont="1" applyFill="1" applyBorder="1" applyAlignment="1" applyProtection="1">
      <alignment horizontal="left" vertical="center" wrapText="1"/>
      <protection/>
    </xf>
    <xf numFmtId="169" fontId="12" fillId="0" borderId="77" xfId="68" applyNumberFormat="1" applyFont="1" applyFill="1" applyBorder="1" applyAlignment="1" applyProtection="1">
      <alignment horizontal="center" vertical="center"/>
      <protection/>
    </xf>
    <xf numFmtId="170" fontId="11" fillId="0" borderId="109" xfId="68" applyNumberFormat="1" applyFont="1" applyFill="1" applyBorder="1" applyAlignment="1" applyProtection="1">
      <alignment vertical="center"/>
      <protection/>
    </xf>
    <xf numFmtId="0" fontId="10" fillId="0" borderId="0" xfId="68" applyFont="1" applyFill="1" applyAlignment="1" applyProtection="1">
      <alignment horizontal="center" vertical="center"/>
      <protection/>
    </xf>
    <xf numFmtId="164" fontId="7" fillId="0" borderId="0" xfId="60" applyNumberFormat="1" applyFont="1" applyFill="1" applyAlignment="1" applyProtection="1">
      <alignment horizontal="left" vertical="center" wrapText="1"/>
      <protection/>
    </xf>
    <xf numFmtId="164" fontId="7" fillId="0" borderId="0" xfId="60" applyNumberFormat="1" applyFont="1" applyFill="1" applyAlignment="1" applyProtection="1">
      <alignment vertical="center" wrapText="1"/>
      <protection/>
    </xf>
    <xf numFmtId="164" fontId="10" fillId="0" borderId="0" xfId="60" applyNumberFormat="1" applyFont="1" applyFill="1" applyAlignment="1" applyProtection="1">
      <alignment vertical="center" wrapText="1"/>
      <protection/>
    </xf>
    <xf numFmtId="0" fontId="22" fillId="0" borderId="0" xfId="60" applyFont="1" applyAlignment="1" applyProtection="1">
      <alignment horizontal="right" vertical="top"/>
      <protection locked="0"/>
    </xf>
    <xf numFmtId="164" fontId="7" fillId="0" borderId="0" xfId="60" applyNumberFormat="1" applyFont="1" applyFill="1" applyAlignment="1">
      <alignment vertical="center" wrapText="1"/>
      <protection/>
    </xf>
    <xf numFmtId="0" fontId="4" fillId="0" borderId="111" xfId="60" applyFont="1" applyFill="1" applyBorder="1" applyAlignment="1" applyProtection="1">
      <alignment horizontal="right" vertical="center" indent="1"/>
      <protection/>
    </xf>
    <xf numFmtId="0" fontId="3" fillId="0" borderId="0" xfId="60" applyFont="1" applyFill="1" applyAlignment="1">
      <alignment vertical="center"/>
      <protection/>
    </xf>
    <xf numFmtId="0" fontId="4" fillId="0" borderId="112" xfId="60" applyFont="1" applyFill="1" applyBorder="1" applyAlignment="1" applyProtection="1">
      <alignment vertical="center"/>
      <protection/>
    </xf>
    <xf numFmtId="0" fontId="4" fillId="0" borderId="85" xfId="60" applyFont="1" applyFill="1" applyBorder="1" applyAlignment="1" applyProtection="1">
      <alignment vertical="center"/>
      <protection/>
    </xf>
    <xf numFmtId="0" fontId="4" fillId="0" borderId="113" xfId="60" applyFont="1" applyFill="1" applyBorder="1" applyAlignment="1" applyProtection="1">
      <alignment horizontal="right" vertical="center" indent="1"/>
      <protection/>
    </xf>
    <xf numFmtId="0" fontId="4" fillId="0" borderId="0" xfId="60" applyFont="1" applyFill="1" applyAlignment="1" applyProtection="1">
      <alignment vertical="center"/>
      <protection/>
    </xf>
    <xf numFmtId="0" fontId="2" fillId="0" borderId="0" xfId="60" applyFont="1" applyFill="1" applyAlignment="1" applyProtection="1">
      <alignment horizontal="right"/>
      <protection/>
    </xf>
    <xf numFmtId="0" fontId="1" fillId="0" borderId="0" xfId="60" applyFont="1" applyFill="1" applyAlignment="1">
      <alignment vertical="center"/>
      <protection/>
    </xf>
    <xf numFmtId="0" fontId="4" fillId="0" borderId="114" xfId="60" applyFont="1" applyFill="1" applyBorder="1" applyAlignment="1" applyProtection="1">
      <alignment horizontal="center" vertical="center" wrapText="1"/>
      <protection/>
    </xf>
    <xf numFmtId="0" fontId="4" fillId="0" borderId="115" xfId="60" applyFont="1" applyFill="1" applyBorder="1" applyAlignment="1" applyProtection="1">
      <alignment horizontal="center" vertical="center" wrapText="1"/>
      <protection/>
    </xf>
    <xf numFmtId="0" fontId="4" fillId="0" borderId="116" xfId="60" applyFont="1" applyFill="1" applyBorder="1" applyAlignment="1" applyProtection="1">
      <alignment horizontal="center" vertical="center" wrapText="1"/>
      <protection/>
    </xf>
    <xf numFmtId="0" fontId="0" fillId="0" borderId="0" xfId="60" applyFill="1" applyAlignment="1">
      <alignment vertical="center" wrapText="1"/>
      <protection/>
    </xf>
    <xf numFmtId="0" fontId="11" fillId="0" borderId="81" xfId="60" applyFont="1" applyFill="1" applyBorder="1" applyAlignment="1" applyProtection="1">
      <alignment horizontal="center" vertical="center" wrapText="1"/>
      <protection/>
    </xf>
    <xf numFmtId="0" fontId="11" fillId="0" borderId="82" xfId="60" applyFont="1" applyFill="1" applyBorder="1" applyAlignment="1" applyProtection="1">
      <alignment horizontal="center" vertical="center" wrapText="1"/>
      <protection/>
    </xf>
    <xf numFmtId="0" fontId="11" fillId="0" borderId="117" xfId="60" applyFont="1" applyFill="1" applyBorder="1" applyAlignment="1" applyProtection="1">
      <alignment horizontal="center" vertical="center" wrapText="1"/>
      <protection/>
    </xf>
    <xf numFmtId="0" fontId="11" fillId="0" borderId="118" xfId="60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Alignment="1">
      <alignment horizontal="center" vertical="center" wrapText="1"/>
      <protection/>
    </xf>
    <xf numFmtId="0" fontId="13" fillId="0" borderId="82" xfId="60" applyFont="1" applyFill="1" applyBorder="1" applyAlignment="1" applyProtection="1">
      <alignment horizontal="center" vertical="center" wrapText="1"/>
      <protection/>
    </xf>
    <xf numFmtId="0" fontId="17" fillId="0" borderId="119" xfId="60" applyFont="1" applyBorder="1" applyAlignment="1" applyProtection="1">
      <alignment horizontal="left" vertical="center" wrapText="1" indent="1"/>
      <protection/>
    </xf>
    <xf numFmtId="164" fontId="11" fillId="0" borderId="82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60" applyFont="1" applyFill="1" applyAlignment="1">
      <alignment vertical="center" wrapText="1"/>
      <protection/>
    </xf>
    <xf numFmtId="0" fontId="17" fillId="0" borderId="120" xfId="60" applyFont="1" applyBorder="1" applyAlignment="1" applyProtection="1">
      <alignment horizontal="left" vertical="center" wrapText="1" indent="1"/>
      <protection/>
    </xf>
    <xf numFmtId="164" fontId="11" fillId="0" borderId="121" xfId="60" applyNumberFormat="1" applyFont="1" applyFill="1" applyBorder="1" applyAlignment="1" applyProtection="1">
      <alignment horizontal="right" vertical="center" wrapText="1" indent="1"/>
      <protection/>
    </xf>
    <xf numFmtId="0" fontId="66" fillId="0" borderId="0" xfId="60" applyFont="1" applyFill="1" applyAlignment="1">
      <alignment vertical="center" wrapText="1"/>
      <protection/>
    </xf>
    <xf numFmtId="0" fontId="11" fillId="0" borderId="68" xfId="60" applyFont="1" applyFill="1" applyBorder="1" applyAlignment="1" applyProtection="1">
      <alignment horizontal="center" vertical="center" wrapText="1"/>
      <protection/>
    </xf>
    <xf numFmtId="49" fontId="12" fillId="0" borderId="69" xfId="60" applyNumberFormat="1" applyFont="1" applyFill="1" applyBorder="1" applyAlignment="1" applyProtection="1">
      <alignment horizontal="center" vertical="center" wrapText="1"/>
      <protection/>
    </xf>
    <xf numFmtId="0" fontId="16" fillId="0" borderId="122" xfId="60" applyFont="1" applyBorder="1" applyAlignment="1" applyProtection="1">
      <alignment horizontal="left" vertical="center" wrapText="1" indent="1"/>
      <protection/>
    </xf>
    <xf numFmtId="164" fontId="12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7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83" xfId="60" applyFont="1" applyBorder="1" applyAlignment="1" applyProtection="1">
      <alignment horizontal="left" vertical="center" wrapText="1" indent="1"/>
      <protection/>
    </xf>
    <xf numFmtId="0" fontId="16" fillId="0" borderId="123" xfId="60" applyFont="1" applyBorder="1" applyAlignment="1" applyProtection="1">
      <alignment horizontal="left" vertical="center" wrapText="1" indent="1"/>
      <protection/>
    </xf>
    <xf numFmtId="0" fontId="11" fillId="0" borderId="124" xfId="60" applyFont="1" applyFill="1" applyBorder="1" applyAlignment="1" applyProtection="1">
      <alignment horizontal="center" vertical="center" wrapText="1"/>
      <protection/>
    </xf>
    <xf numFmtId="49" fontId="12" fillId="0" borderId="73" xfId="63" applyNumberFormat="1" applyFont="1" applyFill="1" applyBorder="1" applyAlignment="1" applyProtection="1">
      <alignment horizontal="left" vertical="center" wrapText="1" indent="1"/>
      <protection/>
    </xf>
    <xf numFmtId="0" fontId="12" fillId="0" borderId="73" xfId="63" applyFont="1" applyFill="1" applyBorder="1" applyAlignment="1" applyProtection="1">
      <alignment horizontal="left" vertical="center" wrapText="1" indent="1"/>
      <protection/>
    </xf>
    <xf numFmtId="164" fontId="12" fillId="0" borderId="7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1" xfId="6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69" xfId="63" applyNumberFormat="1" applyFont="1" applyFill="1" applyBorder="1" applyAlignment="1" applyProtection="1">
      <alignment horizontal="left" vertical="center" wrapText="1" indent="1"/>
      <protection/>
    </xf>
    <xf numFmtId="0" fontId="12" fillId="0" borderId="69" xfId="63" applyFont="1" applyFill="1" applyBorder="1" applyAlignment="1" applyProtection="1">
      <alignment horizontal="left" vertical="center" wrapText="1" indent="1"/>
      <protection/>
    </xf>
    <xf numFmtId="0" fontId="11" fillId="0" borderId="125" xfId="60" applyFont="1" applyFill="1" applyBorder="1" applyAlignment="1" applyProtection="1">
      <alignment horizontal="center" vertical="center" wrapText="1"/>
      <protection/>
    </xf>
    <xf numFmtId="164" fontId="12" fillId="0" borderId="7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6" xfId="6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60">
      <alignment/>
      <protection/>
    </xf>
    <xf numFmtId="0" fontId="11" fillId="0" borderId="127" xfId="60" applyFont="1" applyFill="1" applyBorder="1" applyAlignment="1" applyProtection="1">
      <alignment horizontal="center" vertical="center" wrapText="1"/>
      <protection/>
    </xf>
    <xf numFmtId="164" fontId="12" fillId="0" borderId="106" xfId="6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70" xfId="60" applyFont="1" applyFill="1" applyBorder="1" applyAlignment="1" applyProtection="1">
      <alignment horizontal="center" vertical="center" wrapText="1"/>
      <protection/>
    </xf>
    <xf numFmtId="49" fontId="12" fillId="0" borderId="77" xfId="63" applyNumberFormat="1" applyFont="1" applyFill="1" applyBorder="1" applyAlignment="1" applyProtection="1">
      <alignment horizontal="left" vertical="center" wrapText="1" indent="1"/>
      <protection/>
    </xf>
    <xf numFmtId="0" fontId="12" fillId="0" borderId="71" xfId="63" applyFont="1" applyFill="1" applyBorder="1" applyAlignment="1" applyProtection="1">
      <alignment horizontal="left" vertical="center" wrapText="1" indent="1"/>
      <protection/>
    </xf>
    <xf numFmtId="164" fontId="12" fillId="0" borderId="7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9" xfId="6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8" xfId="60" applyFont="1" applyFill="1" applyBorder="1" applyAlignment="1" applyProtection="1">
      <alignment horizontal="center" vertical="center" wrapText="1"/>
      <protection/>
    </xf>
    <xf numFmtId="49" fontId="12" fillId="0" borderId="71" xfId="60" applyNumberFormat="1" applyFont="1" applyFill="1" applyBorder="1" applyAlignment="1" applyProtection="1">
      <alignment horizontal="center" vertical="center" wrapText="1"/>
      <protection/>
    </xf>
    <xf numFmtId="49" fontId="12" fillId="0" borderId="75" xfId="60" applyNumberFormat="1" applyFont="1" applyFill="1" applyBorder="1" applyAlignment="1" applyProtection="1">
      <alignment horizontal="center" vertical="center" wrapText="1"/>
      <protection/>
    </xf>
    <xf numFmtId="0" fontId="16" fillId="0" borderId="129" xfId="60" applyFont="1" applyBorder="1" applyAlignment="1" applyProtection="1">
      <alignment horizontal="left" vertical="center" wrapText="1" indent="1"/>
      <protection/>
    </xf>
    <xf numFmtId="0" fontId="11" fillId="0" borderId="82" xfId="63" applyFont="1" applyFill="1" applyBorder="1" applyAlignment="1" applyProtection="1">
      <alignment horizontal="left" vertical="center" wrapText="1" indent="1"/>
      <protection/>
    </xf>
    <xf numFmtId="0" fontId="25" fillId="0" borderId="122" xfId="60" applyFont="1" applyBorder="1" applyAlignment="1" applyProtection="1">
      <alignment horizontal="left" vertical="center" wrapText="1" indent="1"/>
      <protection/>
    </xf>
    <xf numFmtId="164" fontId="18" fillId="0" borderId="111" xfId="60" applyNumberFormat="1" applyFont="1" applyFill="1" applyBorder="1" applyAlignment="1" applyProtection="1">
      <alignment horizontal="right" vertical="center" wrapText="1" indent="1"/>
      <protection/>
    </xf>
    <xf numFmtId="0" fontId="25" fillId="0" borderId="83" xfId="60" applyFont="1" applyBorder="1" applyAlignment="1" applyProtection="1">
      <alignment horizontal="left" vertical="center" wrapText="1" indent="1"/>
      <protection/>
    </xf>
    <xf numFmtId="164" fontId="18" fillId="0" borderId="69" xfId="60" applyNumberFormat="1" applyFont="1" applyFill="1" applyBorder="1" applyAlignment="1" applyProtection="1">
      <alignment horizontal="right" vertical="center" wrapText="1" indent="1"/>
      <protection/>
    </xf>
    <xf numFmtId="164" fontId="18" fillId="0" borderId="10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77" xfId="6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86" xfId="60" applyFont="1" applyFill="1" applyBorder="1" applyAlignment="1" applyProtection="1">
      <alignment horizontal="center" vertical="center" wrapText="1"/>
      <protection/>
    </xf>
    <xf numFmtId="164" fontId="12" fillId="0" borderId="7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0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2" xfId="60" applyFont="1" applyFill="1" applyBorder="1" applyAlignment="1" applyProtection="1">
      <alignment horizontal="center" vertical="center" wrapText="1"/>
      <protection/>
    </xf>
    <xf numFmtId="164" fontId="11" fillId="0" borderId="82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1" xfId="6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30" xfId="60" applyFont="1" applyFill="1" applyBorder="1" applyAlignment="1" applyProtection="1">
      <alignment horizontal="center" vertical="center" wrapText="1"/>
      <protection/>
    </xf>
    <xf numFmtId="0" fontId="13" fillId="0" borderId="114" xfId="60" applyFont="1" applyFill="1" applyBorder="1" applyAlignment="1" applyProtection="1">
      <alignment horizontal="center" vertical="center" wrapText="1"/>
      <protection/>
    </xf>
    <xf numFmtId="164" fontId="13" fillId="0" borderId="114" xfId="60" applyNumberFormat="1" applyFont="1" applyFill="1" applyBorder="1" applyAlignment="1" applyProtection="1">
      <alignment horizontal="right" vertical="center" wrapText="1" indent="1"/>
      <protection/>
    </xf>
    <xf numFmtId="49" fontId="11" fillId="0" borderId="82" xfId="63" applyNumberFormat="1" applyFont="1" applyFill="1" applyBorder="1" applyAlignment="1" applyProtection="1">
      <alignment horizontal="left" vertical="center" wrapText="1" indent="1"/>
      <protection/>
    </xf>
    <xf numFmtId="0" fontId="16" fillId="0" borderId="131" xfId="60" applyFont="1" applyBorder="1" applyAlignment="1" applyProtection="1">
      <alignment horizontal="left" vertical="center" wrapText="1" indent="1"/>
      <protection/>
    </xf>
    <xf numFmtId="164" fontId="12" fillId="0" borderId="11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6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20" xfId="60" applyFont="1" applyBorder="1" applyAlignment="1" applyProtection="1">
      <alignment horizontal="left" vertical="center" wrapText="1" indent="1"/>
      <protection/>
    </xf>
    <xf numFmtId="164" fontId="11" fillId="0" borderId="109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81" xfId="60" applyFont="1" applyBorder="1" applyAlignment="1" applyProtection="1">
      <alignment horizontal="center" vertical="center" wrapText="1"/>
      <protection/>
    </xf>
    <xf numFmtId="0" fontId="26" fillId="0" borderId="82" xfId="60" applyFont="1" applyBorder="1" applyAlignment="1" applyProtection="1">
      <alignment horizontal="center" wrapText="1"/>
      <protection/>
    </xf>
    <xf numFmtId="0" fontId="15" fillId="0" borderId="119" xfId="60" applyFont="1" applyBorder="1" applyAlignment="1" applyProtection="1">
      <alignment horizontal="left" vertical="center" wrapText="1" indent="1"/>
      <protection/>
    </xf>
    <xf numFmtId="0" fontId="12" fillId="0" borderId="0" xfId="60" applyFont="1" applyFill="1" applyBorder="1" applyAlignment="1" applyProtection="1">
      <alignment horizontal="center" vertical="center" wrapText="1"/>
      <protection/>
    </xf>
    <xf numFmtId="0" fontId="4" fillId="0" borderId="0" xfId="60" applyFont="1" applyFill="1" applyBorder="1" applyAlignment="1" applyProtection="1">
      <alignment horizontal="left" vertical="center" wrapText="1" indent="1"/>
      <protection/>
    </xf>
    <xf numFmtId="164" fontId="11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60" applyFont="1" applyFill="1" applyAlignment="1" applyProtection="1">
      <alignment horizontal="left" vertical="center" wrapText="1"/>
      <protection/>
    </xf>
    <xf numFmtId="0" fontId="12" fillId="0" borderId="0" xfId="60" applyFont="1" applyFill="1" applyAlignment="1" applyProtection="1">
      <alignment vertical="center" wrapText="1"/>
      <protection/>
    </xf>
    <xf numFmtId="0" fontId="12" fillId="0" borderId="0" xfId="60" applyFont="1" applyFill="1" applyAlignment="1" applyProtection="1">
      <alignment horizontal="right" vertical="center" wrapText="1" indent="1"/>
      <protection/>
    </xf>
    <xf numFmtId="0" fontId="11" fillId="0" borderId="119" xfId="63" applyFont="1" applyFill="1" applyBorder="1" applyAlignment="1" applyProtection="1">
      <alignment horizontal="left" vertical="center" wrapText="1" indent="1"/>
      <protection/>
    </xf>
    <xf numFmtId="0" fontId="5" fillId="0" borderId="0" xfId="60" applyFont="1" applyFill="1" applyAlignment="1">
      <alignment vertical="center" wrapText="1"/>
      <protection/>
    </xf>
    <xf numFmtId="49" fontId="12" fillId="0" borderId="74" xfId="63" applyNumberFormat="1" applyFont="1" applyFill="1" applyBorder="1" applyAlignment="1" applyProtection="1">
      <alignment horizontal="left" vertical="center" wrapText="1" indent="1"/>
      <protection/>
    </xf>
    <xf numFmtId="0" fontId="12" fillId="0" borderId="131" xfId="63" applyFont="1" applyFill="1" applyBorder="1" applyAlignment="1" applyProtection="1">
      <alignment horizontal="left" vertical="center" wrapText="1" indent="1"/>
      <protection/>
    </xf>
    <xf numFmtId="0" fontId="12" fillId="0" borderId="83" xfId="63" applyFont="1" applyFill="1" applyBorder="1" applyAlignment="1" applyProtection="1">
      <alignment horizontal="left" vertical="center" wrapText="1" indent="1"/>
      <protection/>
    </xf>
    <xf numFmtId="0" fontId="12" fillId="0" borderId="83" xfId="63" applyFont="1" applyFill="1" applyBorder="1" applyAlignment="1" applyProtection="1">
      <alignment horizontal="left" indent="7"/>
      <protection/>
    </xf>
    <xf numFmtId="0" fontId="16" fillId="0" borderId="83" xfId="60" applyFont="1" applyBorder="1" applyAlignment="1" applyProtection="1">
      <alignment horizontal="left" vertical="center" wrapText="1" indent="6"/>
      <protection/>
    </xf>
    <xf numFmtId="0" fontId="12" fillId="0" borderId="122" xfId="63" applyFont="1" applyFill="1" applyBorder="1" applyAlignment="1" applyProtection="1">
      <alignment horizontal="left" vertical="center" wrapText="1" indent="6"/>
      <protection/>
    </xf>
    <xf numFmtId="0" fontId="12" fillId="0" borderId="83" xfId="63" applyFont="1" applyFill="1" applyBorder="1" applyAlignment="1" applyProtection="1">
      <alignment horizontal="left" vertical="center" wrapText="1" indent="6"/>
      <protection/>
    </xf>
    <xf numFmtId="49" fontId="12" fillId="0" borderId="75" xfId="63" applyNumberFormat="1" applyFont="1" applyFill="1" applyBorder="1" applyAlignment="1" applyProtection="1">
      <alignment horizontal="left" vertical="center" wrapText="1" indent="1"/>
      <protection/>
    </xf>
    <xf numFmtId="0" fontId="12" fillId="0" borderId="123" xfId="63" applyFont="1" applyFill="1" applyBorder="1" applyAlignment="1" applyProtection="1">
      <alignment horizontal="left" vertical="center" wrapText="1" indent="6"/>
      <protection/>
    </xf>
    <xf numFmtId="172" fontId="0" fillId="0" borderId="0" xfId="60" applyNumberFormat="1" applyFill="1" applyAlignment="1">
      <alignment vertical="center" wrapText="1"/>
      <protection/>
    </xf>
    <xf numFmtId="0" fontId="16" fillId="0" borderId="123" xfId="60" applyFont="1" applyBorder="1" applyAlignment="1" applyProtection="1">
      <alignment horizontal="left" vertical="center" wrapText="1" indent="6"/>
      <protection/>
    </xf>
    <xf numFmtId="0" fontId="11" fillId="0" borderId="114" xfId="63" applyFont="1" applyFill="1" applyBorder="1" applyAlignment="1" applyProtection="1">
      <alignment horizontal="left" vertical="center" wrapText="1" indent="1"/>
      <protection/>
    </xf>
    <xf numFmtId="0" fontId="17" fillId="0" borderId="0" xfId="60" applyFont="1" applyBorder="1" applyAlignment="1" applyProtection="1">
      <alignment horizontal="left" vertical="center" wrapText="1" indent="1"/>
      <protection/>
    </xf>
    <xf numFmtId="164" fontId="11" fillId="0" borderId="114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116" xfId="60" applyNumberFormat="1" applyFont="1" applyFill="1" applyBorder="1" applyAlignment="1" applyProtection="1">
      <alignment horizontal="right" vertical="center" wrapText="1" indent="1"/>
      <protection/>
    </xf>
    <xf numFmtId="0" fontId="16" fillId="0" borderId="132" xfId="60" applyFont="1" applyBorder="1" applyAlignment="1" applyProtection="1">
      <alignment horizontal="left" vertical="center" wrapText="1" indent="1"/>
      <protection/>
    </xf>
    <xf numFmtId="0" fontId="16" fillId="0" borderId="133" xfId="60" applyFont="1" applyBorder="1" applyAlignment="1" applyProtection="1">
      <alignment horizontal="left" vertical="center" wrapText="1" indent="1"/>
      <protection/>
    </xf>
    <xf numFmtId="0" fontId="11" fillId="0" borderId="0" xfId="60" applyFont="1" applyFill="1" applyAlignment="1" applyProtection="1">
      <alignment horizontal="center" vertical="center" wrapText="1"/>
      <protection/>
    </xf>
    <xf numFmtId="0" fontId="5" fillId="0" borderId="82" xfId="60" applyFont="1" applyFill="1" applyBorder="1" applyAlignment="1" applyProtection="1">
      <alignment vertical="center" wrapText="1"/>
      <protection/>
    </xf>
    <xf numFmtId="164" fontId="11" fillId="0" borderId="76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6" xfId="6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82" xfId="63" applyNumberFormat="1" applyFont="1" applyFill="1" applyBorder="1" applyAlignment="1" applyProtection="1">
      <alignment horizontal="left" vertical="center" wrapText="1" indent="1"/>
      <protection/>
    </xf>
    <xf numFmtId="0" fontId="17" fillId="0" borderId="134" xfId="60" applyFont="1" applyBorder="1" applyAlignment="1" applyProtection="1">
      <alignment horizontal="left" vertical="center" wrapText="1" indent="1"/>
      <protection/>
    </xf>
    <xf numFmtId="164" fontId="13" fillId="0" borderId="82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106" xfId="6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Fill="1" applyAlignment="1" applyProtection="1">
      <alignment vertical="center" wrapText="1"/>
      <protection/>
    </xf>
    <xf numFmtId="0" fontId="0" fillId="0" borderId="0" xfId="60" applyFont="1" applyFill="1" applyAlignment="1" applyProtection="1">
      <alignment horizontal="right" vertical="center" wrapText="1" indent="1"/>
      <protection/>
    </xf>
    <xf numFmtId="0" fontId="1" fillId="0" borderId="81" xfId="60" applyFont="1" applyFill="1" applyBorder="1" applyAlignment="1" applyProtection="1">
      <alignment horizontal="left" vertical="center"/>
      <protection/>
    </xf>
    <xf numFmtId="0" fontId="0" fillId="0" borderId="135" xfId="60" applyFont="1" applyFill="1" applyBorder="1" applyAlignment="1" applyProtection="1">
      <alignment vertical="center" wrapText="1"/>
      <protection/>
    </xf>
    <xf numFmtId="0" fontId="1" fillId="0" borderId="117" xfId="60" applyFont="1" applyFill="1" applyBorder="1" applyAlignment="1" applyProtection="1">
      <alignment vertical="center" wrapText="1"/>
      <protection/>
    </xf>
    <xf numFmtId="3" fontId="1" fillId="0" borderId="82" xfId="60" applyNumberFormat="1" applyFont="1" applyFill="1" applyBorder="1" applyAlignment="1" applyProtection="1">
      <alignment horizontal="right" vertical="center" wrapText="1" indent="1"/>
      <protection locked="0"/>
    </xf>
    <xf numFmtId="3" fontId="1" fillId="0" borderId="117" xfId="60" applyNumberFormat="1" applyFont="1" applyFill="1" applyBorder="1" applyAlignment="1" applyProtection="1">
      <alignment horizontal="right" vertical="center" wrapText="1" indent="1"/>
      <protection locked="0"/>
    </xf>
    <xf numFmtId="3" fontId="1" fillId="0" borderId="118" xfId="6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69" xfId="63" applyNumberFormat="1" applyFont="1" applyFill="1" applyBorder="1" applyAlignment="1" applyProtection="1">
      <alignment horizontal="center" vertical="center" wrapText="1"/>
      <protection/>
    </xf>
    <xf numFmtId="49" fontId="12" fillId="0" borderId="77" xfId="63" applyNumberFormat="1" applyFont="1" applyFill="1" applyBorder="1" applyAlignment="1" applyProtection="1">
      <alignment horizontal="center" vertical="center" wrapText="1"/>
      <protection/>
    </xf>
    <xf numFmtId="164" fontId="18" fillId="0" borderId="7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1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136" xfId="60" applyNumberFormat="1" applyFont="1" applyFill="1" applyBorder="1" applyAlignment="1" applyProtection="1">
      <alignment horizontal="right" vertical="center" wrapText="1" indent="1"/>
      <protection locked="0"/>
    </xf>
    <xf numFmtId="4" fontId="1" fillId="0" borderId="82" xfId="60" applyNumberFormat="1" applyFont="1" applyFill="1" applyBorder="1" applyAlignment="1" applyProtection="1">
      <alignment horizontal="right" vertical="center" wrapText="1" indent="1"/>
      <protection locked="0"/>
    </xf>
    <xf numFmtId="4" fontId="1" fillId="0" borderId="118" xfId="60" applyNumberFormat="1" applyFont="1" applyFill="1" applyBorder="1" applyAlignment="1" applyProtection="1">
      <alignment horizontal="right" vertical="center" wrapText="1" indent="1"/>
      <protection locked="0"/>
    </xf>
    <xf numFmtId="49" fontId="4" fillId="0" borderId="111" xfId="60" applyNumberFormat="1" applyFont="1" applyFill="1" applyBorder="1" applyAlignment="1" applyProtection="1">
      <alignment horizontal="right" vertical="center"/>
      <protection/>
    </xf>
    <xf numFmtId="49" fontId="4" fillId="0" borderId="113" xfId="60" applyNumberFormat="1" applyFont="1" applyFill="1" applyBorder="1" applyAlignment="1" applyProtection="1">
      <alignment horizontal="right" vertical="center"/>
      <protection/>
    </xf>
    <xf numFmtId="0" fontId="11" fillId="0" borderId="82" xfId="60" applyFont="1" applyFill="1" applyBorder="1" applyAlignment="1" applyProtection="1">
      <alignment horizontal="left" vertical="center" wrapText="1" indent="1"/>
      <protection/>
    </xf>
    <xf numFmtId="49" fontId="12" fillId="0" borderId="77" xfId="60" applyNumberFormat="1" applyFont="1" applyFill="1" applyBorder="1" applyAlignment="1" applyProtection="1">
      <alignment horizontal="center" vertical="center" wrapText="1"/>
      <protection/>
    </xf>
    <xf numFmtId="0" fontId="12" fillId="0" borderId="77" xfId="63" applyFont="1" applyFill="1" applyBorder="1" applyAlignment="1" applyProtection="1">
      <alignment horizontal="left" vertical="center" wrapText="1" indent="1"/>
      <protection/>
    </xf>
    <xf numFmtId="0" fontId="12" fillId="0" borderId="74" xfId="63" applyFont="1" applyFill="1" applyBorder="1" applyAlignment="1" applyProtection="1">
      <alignment horizontal="left" vertical="center" wrapText="1" indent="1"/>
      <protection/>
    </xf>
    <xf numFmtId="49" fontId="12" fillId="0" borderId="73" xfId="60" applyNumberFormat="1" applyFont="1" applyFill="1" applyBorder="1" applyAlignment="1" applyProtection="1">
      <alignment horizontal="center" vertical="center" wrapText="1"/>
      <protection/>
    </xf>
    <xf numFmtId="49" fontId="12" fillId="0" borderId="74" xfId="60" applyNumberFormat="1" applyFont="1" applyFill="1" applyBorder="1" applyAlignment="1" applyProtection="1">
      <alignment horizontal="center" vertical="center" wrapText="1"/>
      <protection/>
    </xf>
    <xf numFmtId="164" fontId="12" fillId="0" borderId="7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6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30" xfId="60" applyFont="1" applyBorder="1" applyAlignment="1" applyProtection="1">
      <alignment horizontal="center" vertical="center" wrapText="1"/>
      <protection/>
    </xf>
    <xf numFmtId="0" fontId="6" fillId="0" borderId="0" xfId="60" applyFont="1" applyFill="1" applyAlignment="1" applyProtection="1">
      <alignment vertical="center" wrapText="1"/>
      <protection/>
    </xf>
    <xf numFmtId="0" fontId="66" fillId="0" borderId="70" xfId="60" applyFont="1" applyFill="1" applyBorder="1" applyAlignment="1" applyProtection="1">
      <alignment vertical="center" wrapText="1"/>
      <protection/>
    </xf>
    <xf numFmtId="0" fontId="67" fillId="0" borderId="117" xfId="60" applyFont="1" applyBorder="1" applyAlignment="1" applyProtection="1">
      <alignment horizontal="center" wrapText="1"/>
      <protection/>
    </xf>
    <xf numFmtId="0" fontId="11" fillId="0" borderId="117" xfId="63" applyFont="1" applyFill="1" applyBorder="1" applyAlignment="1" applyProtection="1">
      <alignment horizontal="left" vertical="center" wrapText="1" indent="1"/>
      <protection/>
    </xf>
    <xf numFmtId="0" fontId="68" fillId="0" borderId="117" xfId="60" applyFont="1" applyBorder="1" applyAlignment="1" applyProtection="1">
      <alignment horizontal="center" wrapText="1"/>
      <protection/>
    </xf>
    <xf numFmtId="0" fontId="69" fillId="0" borderId="117" xfId="60" applyFont="1" applyBorder="1" applyAlignment="1" applyProtection="1">
      <alignment horizontal="left" wrapText="1" indent="1"/>
      <protection/>
    </xf>
    <xf numFmtId="0" fontId="4" fillId="0" borderId="82" xfId="60" applyFont="1" applyFill="1" applyBorder="1" applyAlignment="1" applyProtection="1">
      <alignment horizontal="left" vertical="center" wrapText="1" indent="1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vertical="center" wrapText="1"/>
      <protection/>
    </xf>
    <xf numFmtId="0" fontId="0" fillId="0" borderId="0" xfId="60" applyFill="1" applyAlignment="1" applyProtection="1">
      <alignment horizontal="right" vertical="center" wrapText="1" indent="1"/>
      <protection/>
    </xf>
    <xf numFmtId="4" fontId="1" fillId="0" borderId="121" xfId="60" applyNumberFormat="1" applyFont="1" applyFill="1" applyBorder="1" applyAlignment="1" applyProtection="1">
      <alignment horizontal="right" vertical="center" wrapText="1" indent="1"/>
      <protection locked="0"/>
    </xf>
    <xf numFmtId="3" fontId="1" fillId="0" borderId="121" xfId="6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0" xfId="60" applyNumberFormat="1" applyFont="1" applyFill="1" applyAlignment="1" applyProtection="1">
      <alignment vertical="center" wrapText="1"/>
      <protection locked="0"/>
    </xf>
    <xf numFmtId="49" fontId="4" fillId="0" borderId="111" xfId="60" applyNumberFormat="1" applyFont="1" applyFill="1" applyBorder="1" applyAlignment="1" applyProtection="1">
      <alignment horizontal="right" vertical="center"/>
      <protection locked="0"/>
    </xf>
    <xf numFmtId="49" fontId="4" fillId="0" borderId="113" xfId="60" applyNumberFormat="1" applyFont="1" applyFill="1" applyBorder="1" applyAlignment="1" applyProtection="1">
      <alignment horizontal="right" vertical="center"/>
      <protection locked="0"/>
    </xf>
    <xf numFmtId="0" fontId="11" fillId="0" borderId="71" xfId="63" applyFont="1" applyFill="1" applyBorder="1" applyAlignment="1" applyProtection="1">
      <alignment horizontal="left" vertical="center" wrapText="1" indent="1"/>
      <protection/>
    </xf>
    <xf numFmtId="164" fontId="11" fillId="0" borderId="71" xfId="60" applyNumberFormat="1" applyFont="1" applyFill="1" applyBorder="1" applyAlignment="1" applyProtection="1">
      <alignment horizontal="right" vertical="center" wrapText="1" indent="1"/>
      <protection locked="0"/>
    </xf>
    <xf numFmtId="0" fontId="69" fillId="0" borderId="117" xfId="60" applyFont="1" applyBorder="1" applyAlignment="1" applyProtection="1">
      <alignment horizontal="left" vertical="center" wrapText="1" indent="1"/>
      <protection/>
    </xf>
    <xf numFmtId="0" fontId="0" fillId="0" borderId="0" xfId="60" applyFill="1" applyAlignment="1">
      <alignment horizontal="left" vertical="center" wrapText="1"/>
      <protection/>
    </xf>
    <xf numFmtId="0" fontId="12" fillId="0" borderId="137" xfId="62" applyFont="1" applyFill="1" applyBorder="1" applyAlignment="1" applyProtection="1">
      <alignment horizontal="left" vertical="center" wrapText="1" indent="1"/>
      <protection/>
    </xf>
    <xf numFmtId="164" fontId="12" fillId="0" borderId="138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96" xfId="6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9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62" applyNumberFormat="1" applyFont="1" applyFill="1" applyBorder="1" applyAlignment="1" applyProtection="1">
      <alignment horizontal="right" vertical="center" wrapText="1" indent="1"/>
      <protection/>
    </xf>
    <xf numFmtId="164" fontId="11" fillId="0" borderId="139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1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102" xfId="62" applyNumberFormat="1" applyFont="1" applyFill="1" applyBorder="1" applyAlignment="1" applyProtection="1">
      <alignment horizontal="right" vertical="center" wrapText="1" indent="1"/>
      <protection/>
    </xf>
    <xf numFmtId="164" fontId="12" fillId="0" borderId="140" xfId="62" applyNumberFormat="1" applyFont="1" applyFill="1" applyBorder="1" applyAlignment="1" applyProtection="1">
      <alignment horizontal="right" vertical="center" wrapText="1" indent="1"/>
      <protection locked="0"/>
    </xf>
    <xf numFmtId="4" fontId="1" fillId="0" borderId="73" xfId="60" applyNumberFormat="1" applyFont="1" applyFill="1" applyBorder="1" applyAlignment="1" applyProtection="1">
      <alignment horizontal="right" vertical="center" wrapText="1" indent="1"/>
      <protection locked="0"/>
    </xf>
    <xf numFmtId="4" fontId="1" fillId="0" borderId="111" xfId="60" applyNumberFormat="1" applyFont="1" applyFill="1" applyBorder="1" applyAlignment="1" applyProtection="1">
      <alignment horizontal="right" vertical="center" wrapText="1" indent="1"/>
      <protection locked="0"/>
    </xf>
    <xf numFmtId="4" fontId="1" fillId="0" borderId="77" xfId="60" applyNumberFormat="1" applyFont="1" applyFill="1" applyBorder="1" applyAlignment="1" applyProtection="1">
      <alignment horizontal="right" vertical="center" wrapText="1" indent="1"/>
      <protection locked="0"/>
    </xf>
    <xf numFmtId="4" fontId="1" fillId="0" borderId="109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73" xfId="62" applyFont="1" applyFill="1" applyBorder="1" applyAlignment="1" applyProtection="1">
      <alignment horizontal="left" vertical="center" wrapText="1" indent="1"/>
      <protection/>
    </xf>
    <xf numFmtId="0" fontId="11" fillId="0" borderId="82" xfId="60" applyFont="1" applyFill="1" applyBorder="1" applyAlignment="1" applyProtection="1">
      <alignment horizontal="left" vertical="center" wrapText="1" indent="1"/>
      <protection/>
    </xf>
    <xf numFmtId="164" fontId="12" fillId="0" borderId="141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2" xfId="6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71" xfId="60" applyNumberFormat="1" applyFont="1" applyFill="1" applyBorder="1" applyAlignment="1" applyProtection="1">
      <alignment horizontal="right" vertical="center" wrapText="1" indent="1"/>
      <protection locked="0"/>
    </xf>
    <xf numFmtId="0" fontId="72" fillId="0" borderId="0" xfId="64" applyFont="1" applyFill="1">
      <alignment/>
      <protection/>
    </xf>
    <xf numFmtId="0" fontId="3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centerContinuous" vertical="center"/>
      <protection/>
    </xf>
    <xf numFmtId="0" fontId="2" fillId="0" borderId="0" xfId="64" applyFont="1" applyFill="1" applyAlignment="1">
      <alignment horizontal="right"/>
      <protection/>
    </xf>
    <xf numFmtId="0" fontId="4" fillId="0" borderId="143" xfId="64" applyFont="1" applyFill="1" applyBorder="1" applyAlignment="1">
      <alignment horizontal="center" vertical="center" wrapText="1"/>
      <protection/>
    </xf>
    <xf numFmtId="0" fontId="11" fillId="0" borderId="143" xfId="64" applyFont="1" applyFill="1" applyBorder="1" applyAlignment="1">
      <alignment horizontal="center" vertical="center" wrapText="1"/>
      <protection/>
    </xf>
    <xf numFmtId="0" fontId="11" fillId="0" borderId="144" xfId="64" applyFont="1" applyFill="1" applyBorder="1" applyAlignment="1">
      <alignment horizontal="center" vertical="center" wrapText="1"/>
      <protection/>
    </xf>
    <xf numFmtId="0" fontId="70" fillId="0" borderId="0" xfId="64" applyFill="1">
      <alignment/>
      <protection/>
    </xf>
    <xf numFmtId="37" fontId="11" fillId="0" borderId="145" xfId="64" applyNumberFormat="1" applyFont="1" applyFill="1" applyBorder="1" applyAlignment="1">
      <alignment horizontal="left" vertical="center" indent="1"/>
      <protection/>
    </xf>
    <xf numFmtId="0" fontId="11" fillId="0" borderId="23" xfId="64" applyFont="1" applyFill="1" applyBorder="1" applyAlignment="1">
      <alignment horizontal="left" vertical="center" indent="1"/>
      <protection/>
    </xf>
    <xf numFmtId="173" fontId="11" fillId="0" borderId="22" xfId="64" applyNumberFormat="1" applyFont="1" applyFill="1" applyBorder="1" applyAlignment="1">
      <alignment horizontal="right" vertical="center"/>
      <protection/>
    </xf>
    <xf numFmtId="173" fontId="11" fillId="0" borderId="23" xfId="64" applyNumberFormat="1" applyFont="1" applyFill="1" applyBorder="1" applyAlignment="1">
      <alignment vertical="center"/>
      <protection/>
    </xf>
    <xf numFmtId="173" fontId="11" fillId="0" borderId="23" xfId="64" applyNumberFormat="1" applyFont="1" applyFill="1" applyBorder="1" applyAlignment="1">
      <alignment horizontal="right" vertical="center"/>
      <protection/>
    </xf>
    <xf numFmtId="173" fontId="11" fillId="0" borderId="146" xfId="64" applyNumberFormat="1" applyFont="1" applyFill="1" applyBorder="1" applyAlignment="1">
      <alignment vertical="center"/>
      <protection/>
    </xf>
    <xf numFmtId="0" fontId="73" fillId="0" borderId="0" xfId="64" applyFont="1" applyFill="1" applyAlignment="1">
      <alignment vertical="center"/>
      <protection/>
    </xf>
    <xf numFmtId="37" fontId="12" fillId="0" borderId="147" xfId="64" applyNumberFormat="1" applyFont="1" applyFill="1" applyBorder="1" applyAlignment="1">
      <alignment horizontal="left" indent="1"/>
      <protection/>
    </xf>
    <xf numFmtId="0" fontId="12" fillId="0" borderId="61" xfId="64" applyFont="1" applyFill="1" applyBorder="1" applyAlignment="1">
      <alignment horizontal="left" indent="3"/>
      <protection/>
    </xf>
    <xf numFmtId="173" fontId="12" fillId="0" borderId="20" xfId="42" applyNumberFormat="1" applyFont="1" applyFill="1" applyBorder="1" applyAlignment="1" applyProtection="1" quotePrefix="1">
      <alignment horizontal="right"/>
      <protection locked="0"/>
    </xf>
    <xf numFmtId="173" fontId="12" fillId="0" borderId="13" xfId="42" applyNumberFormat="1" applyFont="1" applyFill="1" applyBorder="1" applyAlignment="1" applyProtection="1" quotePrefix="1">
      <alignment horizontal="right"/>
      <protection locked="0"/>
    </xf>
    <xf numFmtId="173" fontId="12" fillId="0" borderId="13" xfId="64" applyNumberFormat="1" applyFont="1" applyFill="1" applyBorder="1">
      <alignment/>
      <protection/>
    </xf>
    <xf numFmtId="173" fontId="12" fillId="0" borderId="104" xfId="42" applyNumberFormat="1" applyFont="1" applyFill="1" applyBorder="1" applyAlignment="1" applyProtection="1" quotePrefix="1">
      <alignment horizontal="right"/>
      <protection locked="0"/>
    </xf>
    <xf numFmtId="173" fontId="12" fillId="0" borderId="148" xfId="64" applyNumberFormat="1" applyFont="1" applyFill="1" applyBorder="1">
      <alignment/>
      <protection/>
    </xf>
    <xf numFmtId="37" fontId="12" fillId="0" borderId="149" xfId="64" applyNumberFormat="1" applyFont="1" applyFill="1" applyBorder="1" applyAlignment="1">
      <alignment horizontal="left" indent="1"/>
      <protection/>
    </xf>
    <xf numFmtId="0" fontId="12" fillId="0" borderId="42" xfId="64" applyFont="1" applyFill="1" applyBorder="1" applyAlignment="1">
      <alignment horizontal="left" indent="3"/>
      <protection/>
    </xf>
    <xf numFmtId="173" fontId="12" fillId="0" borderId="17" xfId="42" applyNumberFormat="1" applyFont="1" applyFill="1" applyBorder="1" applyAlignment="1" applyProtection="1">
      <alignment/>
      <protection locked="0"/>
    </xf>
    <xf numFmtId="173" fontId="12" fillId="0" borderId="11" xfId="42" applyNumberFormat="1" applyFont="1" applyFill="1" applyBorder="1" applyAlignment="1" applyProtection="1">
      <alignment/>
      <protection locked="0"/>
    </xf>
    <xf numFmtId="173" fontId="12" fillId="0" borderId="11" xfId="64" applyNumberFormat="1" applyFont="1" applyFill="1" applyBorder="1">
      <alignment/>
      <protection/>
    </xf>
    <xf numFmtId="173" fontId="12" fillId="0" borderId="14" xfId="42" applyNumberFormat="1" applyFont="1" applyFill="1" applyBorder="1" applyAlignment="1" applyProtection="1">
      <alignment/>
      <protection locked="0"/>
    </xf>
    <xf numFmtId="173" fontId="12" fillId="0" borderId="150" xfId="64" applyNumberFormat="1" applyFont="1" applyFill="1" applyBorder="1">
      <alignment/>
      <protection/>
    </xf>
    <xf numFmtId="173" fontId="12" fillId="0" borderId="17" xfId="64" applyNumberFormat="1" applyFont="1" applyFill="1" applyBorder="1" applyProtection="1">
      <alignment/>
      <protection locked="0"/>
    </xf>
    <xf numFmtId="173" fontId="12" fillId="0" borderId="11" xfId="64" applyNumberFormat="1" applyFont="1" applyFill="1" applyBorder="1" applyProtection="1">
      <alignment/>
      <protection locked="0"/>
    </xf>
    <xf numFmtId="173" fontId="12" fillId="0" borderId="14" xfId="64" applyNumberFormat="1" applyFont="1" applyFill="1" applyBorder="1" applyProtection="1">
      <alignment/>
      <protection locked="0"/>
    </xf>
    <xf numFmtId="173" fontId="12" fillId="0" borderId="21" xfId="64" applyNumberFormat="1" applyFont="1" applyFill="1" applyBorder="1" applyProtection="1">
      <alignment/>
      <protection locked="0"/>
    </xf>
    <xf numFmtId="173" fontId="12" fillId="0" borderId="33" xfId="64" applyNumberFormat="1" applyFont="1" applyFill="1" applyBorder="1" applyProtection="1">
      <alignment/>
      <protection locked="0"/>
    </xf>
    <xf numFmtId="173" fontId="12" fillId="0" borderId="33" xfId="64" applyNumberFormat="1" applyFont="1" applyFill="1" applyBorder="1">
      <alignment/>
      <protection/>
    </xf>
    <xf numFmtId="173" fontId="12" fillId="0" borderId="105" xfId="64" applyNumberFormat="1" applyFont="1" applyFill="1" applyBorder="1" applyProtection="1">
      <alignment/>
      <protection locked="0"/>
    </xf>
    <xf numFmtId="173" fontId="12" fillId="0" borderId="151" xfId="64" applyNumberFormat="1" applyFont="1" applyFill="1" applyBorder="1">
      <alignment/>
      <protection/>
    </xf>
    <xf numFmtId="173" fontId="11" fillId="0" borderId="22" xfId="64" applyNumberFormat="1" applyFont="1" applyFill="1" applyBorder="1" applyAlignment="1">
      <alignment vertical="center"/>
      <protection/>
    </xf>
    <xf numFmtId="0" fontId="73" fillId="0" borderId="0" xfId="64" applyFont="1" applyFill="1" applyAlignment="1">
      <alignment vertical="center"/>
      <protection/>
    </xf>
    <xf numFmtId="173" fontId="12" fillId="0" borderId="20" xfId="64" applyNumberFormat="1" applyFont="1" applyFill="1" applyBorder="1" applyProtection="1">
      <alignment/>
      <protection locked="0"/>
    </xf>
    <xf numFmtId="173" fontId="12" fillId="0" borderId="13" xfId="64" applyNumberFormat="1" applyFont="1" applyFill="1" applyBorder="1" applyAlignment="1" applyProtection="1">
      <alignment vertical="center"/>
      <protection locked="0"/>
    </xf>
    <xf numFmtId="173" fontId="12" fillId="0" borderId="104" xfId="64" applyNumberFormat="1" applyFont="1" applyFill="1" applyBorder="1" applyProtection="1">
      <alignment/>
      <protection locked="0"/>
    </xf>
    <xf numFmtId="173" fontId="12" fillId="0" borderId="11" xfId="64" applyNumberFormat="1" applyFont="1" applyFill="1" applyBorder="1" applyAlignment="1" applyProtection="1">
      <alignment vertical="center"/>
      <protection locked="0"/>
    </xf>
    <xf numFmtId="37" fontId="12" fillId="0" borderId="149" xfId="64" applyNumberFormat="1" applyFont="1" applyFill="1" applyBorder="1" applyAlignment="1">
      <alignment horizontal="left" wrapText="1" indent="1"/>
      <protection/>
    </xf>
    <xf numFmtId="173" fontId="12" fillId="0" borderId="33" xfId="64" applyNumberFormat="1" applyFont="1" applyFill="1" applyBorder="1" applyAlignment="1" applyProtection="1">
      <alignment vertical="center"/>
      <protection locked="0"/>
    </xf>
    <xf numFmtId="0" fontId="4" fillId="0" borderId="23" xfId="64" applyFont="1" applyFill="1" applyBorder="1" applyAlignment="1">
      <alignment horizontal="left" vertical="center" indent="1"/>
      <protection/>
    </xf>
    <xf numFmtId="0" fontId="74" fillId="0" borderId="0" xfId="64" applyFont="1" applyFill="1" applyAlignment="1">
      <alignment vertical="center"/>
      <protection/>
    </xf>
    <xf numFmtId="173" fontId="4" fillId="0" borderId="22" xfId="64" applyNumberFormat="1" applyFont="1" applyFill="1" applyBorder="1" applyAlignment="1">
      <alignment horizontal="center" vertical="center" wrapText="1"/>
      <protection/>
    </xf>
    <xf numFmtId="173" fontId="4" fillId="0" borderId="23" xfId="64" applyNumberFormat="1" applyFont="1" applyFill="1" applyBorder="1" applyAlignment="1">
      <alignment horizontal="center" vertical="center" wrapText="1"/>
      <protection/>
    </xf>
    <xf numFmtId="173" fontId="11" fillId="0" borderId="23" xfId="64" applyNumberFormat="1" applyFont="1" applyFill="1" applyBorder="1" applyAlignment="1">
      <alignment horizontal="center" vertical="center" wrapText="1"/>
      <protection/>
    </xf>
    <xf numFmtId="173" fontId="11" fillId="0" borderId="146" xfId="64" applyNumberFormat="1" applyFont="1" applyFill="1" applyBorder="1" applyAlignment="1">
      <alignment horizontal="center" vertical="center" wrapText="1"/>
      <protection/>
    </xf>
    <xf numFmtId="0" fontId="11" fillId="0" borderId="145" xfId="64" applyFont="1" applyFill="1" applyBorder="1" applyAlignment="1">
      <alignment horizontal="left" vertical="center" indent="1"/>
      <protection/>
    </xf>
    <xf numFmtId="0" fontId="11" fillId="0" borderId="23" xfId="64" applyFont="1" applyFill="1" applyBorder="1" applyAlignment="1" quotePrefix="1">
      <alignment horizontal="left" vertical="center" indent="1"/>
      <protection/>
    </xf>
    <xf numFmtId="0" fontId="12" fillId="0" borderId="149" xfId="64" applyFont="1" applyFill="1" applyBorder="1" applyAlignment="1">
      <alignment horizontal="left" indent="1"/>
      <protection/>
    </xf>
    <xf numFmtId="173" fontId="12" fillId="0" borderId="20" xfId="64" applyNumberFormat="1" applyFont="1" applyFill="1" applyBorder="1" applyAlignment="1" applyProtection="1">
      <alignment vertical="center"/>
      <protection locked="0"/>
    </xf>
    <xf numFmtId="173" fontId="12" fillId="0" borderId="104" xfId="64" applyNumberFormat="1" applyFont="1" applyFill="1" applyBorder="1" applyAlignment="1" applyProtection="1">
      <alignment vertical="center"/>
      <protection locked="0"/>
    </xf>
    <xf numFmtId="173" fontId="12" fillId="0" borderId="17" xfId="64" applyNumberFormat="1" applyFont="1" applyFill="1" applyBorder="1" applyAlignment="1" applyProtection="1">
      <alignment vertical="center"/>
      <protection locked="0"/>
    </xf>
    <xf numFmtId="173" fontId="12" fillId="0" borderId="152" xfId="64" applyNumberFormat="1" applyFont="1" applyFill="1" applyBorder="1" applyAlignment="1" applyProtection="1">
      <alignment vertical="center"/>
      <protection locked="0"/>
    </xf>
    <xf numFmtId="173" fontId="12" fillId="0" borderId="15" xfId="64" applyNumberFormat="1" applyFont="1" applyFill="1" applyBorder="1" applyAlignment="1" applyProtection="1">
      <alignment vertical="center"/>
      <protection locked="0"/>
    </xf>
    <xf numFmtId="0" fontId="12" fillId="0" borderId="153" xfId="64" applyFont="1" applyFill="1" applyBorder="1" applyAlignment="1">
      <alignment horizontal="left" indent="1"/>
      <protection/>
    </xf>
    <xf numFmtId="0" fontId="12" fillId="0" borderId="154" xfId="64" applyFont="1" applyFill="1" applyBorder="1" applyAlignment="1">
      <alignment horizontal="left" indent="3"/>
      <protection/>
    </xf>
    <xf numFmtId="173" fontId="12" fillId="0" borderId="21" xfId="64" applyNumberFormat="1" applyFont="1" applyFill="1" applyBorder="1" applyAlignment="1" applyProtection="1">
      <alignment vertical="center"/>
      <protection locked="0"/>
    </xf>
    <xf numFmtId="173" fontId="12" fillId="0" borderId="105" xfId="64" applyNumberFormat="1" applyFont="1" applyFill="1" applyBorder="1" applyAlignment="1" applyProtection="1">
      <alignment vertical="center"/>
      <protection locked="0"/>
    </xf>
    <xf numFmtId="173" fontId="12" fillId="0" borderId="14" xfId="64" applyNumberFormat="1" applyFont="1" applyFill="1" applyBorder="1" applyAlignment="1" applyProtection="1">
      <alignment vertical="center"/>
      <protection locked="0"/>
    </xf>
    <xf numFmtId="0" fontId="11" fillId="0" borderId="155" xfId="64" applyFont="1" applyFill="1" applyBorder="1" applyAlignment="1">
      <alignment horizontal="left" vertical="center" indent="1"/>
      <protection/>
    </xf>
    <xf numFmtId="0" fontId="4" fillId="0" borderId="156" xfId="64" applyFont="1" applyFill="1" applyBorder="1" applyAlignment="1">
      <alignment horizontal="left" vertical="center" indent="1"/>
      <protection/>
    </xf>
    <xf numFmtId="173" fontId="11" fillId="0" borderId="157" xfId="64" applyNumberFormat="1" applyFont="1" applyFill="1" applyBorder="1" applyAlignment="1">
      <alignment vertical="center"/>
      <protection/>
    </xf>
    <xf numFmtId="173" fontId="11" fillId="0" borderId="156" xfId="64" applyNumberFormat="1" applyFont="1" applyFill="1" applyBorder="1" applyAlignment="1">
      <alignment vertical="center"/>
      <protection/>
    </xf>
    <xf numFmtId="173" fontId="11" fillId="0" borderId="158" xfId="64" applyNumberFormat="1" applyFont="1" applyFill="1" applyBorder="1" applyAlignment="1">
      <alignment vertical="center"/>
      <protection/>
    </xf>
    <xf numFmtId="0" fontId="74" fillId="0" borderId="0" xfId="64" applyFont="1" applyFill="1" applyAlignment="1">
      <alignment vertical="center"/>
      <protection/>
    </xf>
    <xf numFmtId="0" fontId="0" fillId="0" borderId="0" xfId="64" applyFont="1" applyFill="1" applyAlignment="1">
      <alignment horizontal="right"/>
      <protection/>
    </xf>
    <xf numFmtId="0" fontId="0" fillId="0" borderId="0" xfId="64" applyFont="1" applyFill="1">
      <alignment/>
      <protection/>
    </xf>
    <xf numFmtId="164" fontId="70" fillId="0" borderId="0" xfId="64" applyNumberFormat="1" applyFill="1" applyAlignment="1">
      <alignment vertical="center"/>
      <protection/>
    </xf>
    <xf numFmtId="0" fontId="1" fillId="0" borderId="13" xfId="64" applyFont="1" applyFill="1" applyBorder="1" applyAlignment="1">
      <alignment horizontal="center" vertical="center"/>
      <protection/>
    </xf>
    <xf numFmtId="0" fontId="73" fillId="0" borderId="0" xfId="64" applyFont="1" applyFill="1">
      <alignment/>
      <protection/>
    </xf>
    <xf numFmtId="0" fontId="28" fillId="0" borderId="21" xfId="64" applyNumberFormat="1" applyFont="1" applyFill="1" applyBorder="1" applyAlignment="1" applyProtection="1">
      <alignment horizontal="center" vertical="center"/>
      <protection/>
    </xf>
    <xf numFmtId="0" fontId="28" fillId="0" borderId="33" xfId="64" applyNumberFormat="1" applyFont="1" applyFill="1" applyBorder="1" applyAlignment="1" applyProtection="1">
      <alignment horizontal="center" vertical="center"/>
      <protection/>
    </xf>
    <xf numFmtId="0" fontId="28" fillId="0" borderId="48" xfId="64" applyNumberFormat="1" applyFont="1" applyFill="1" applyBorder="1" applyAlignment="1" applyProtection="1">
      <alignment horizontal="center" vertical="center"/>
      <protection/>
    </xf>
    <xf numFmtId="0" fontId="70" fillId="0" borderId="0" xfId="64" applyFill="1" applyAlignment="1">
      <alignment vertical="center"/>
      <protection/>
    </xf>
    <xf numFmtId="169" fontId="12" fillId="0" borderId="18" xfId="64" applyNumberFormat="1" applyFont="1" applyFill="1" applyBorder="1" applyAlignment="1">
      <alignment horizontal="center" vertical="center"/>
      <protection/>
    </xf>
    <xf numFmtId="0" fontId="12" fillId="0" borderId="12" xfId="64" applyFont="1" applyFill="1" applyBorder="1" applyAlignment="1">
      <alignment horizontal="left" vertical="center" wrapText="1"/>
      <protection/>
    </xf>
    <xf numFmtId="173" fontId="12" fillId="0" borderId="12" xfId="64" applyNumberFormat="1" applyFont="1" applyFill="1" applyBorder="1" applyAlignment="1" applyProtection="1">
      <alignment horizontal="right" vertical="center"/>
      <protection locked="0"/>
    </xf>
    <xf numFmtId="173" fontId="12" fillId="0" borderId="30" xfId="64" applyNumberFormat="1" applyFont="1" applyFill="1" applyBorder="1" applyAlignment="1" applyProtection="1">
      <alignment horizontal="right" vertical="center"/>
      <protection locked="0"/>
    </xf>
    <xf numFmtId="169" fontId="12" fillId="0" borderId="17" xfId="64" applyNumberFormat="1" applyFont="1" applyFill="1" applyBorder="1" applyAlignment="1">
      <alignment horizontal="center" vertical="center"/>
      <protection/>
    </xf>
    <xf numFmtId="0" fontId="12" fillId="0" borderId="11" xfId="64" applyFont="1" applyFill="1" applyBorder="1" applyAlignment="1">
      <alignment horizontal="left" vertical="center" wrapText="1"/>
      <protection/>
    </xf>
    <xf numFmtId="173" fontId="12" fillId="0" borderId="11" xfId="64" applyNumberFormat="1" applyFont="1" applyFill="1" applyBorder="1" applyAlignment="1" applyProtection="1">
      <alignment horizontal="right" vertical="center"/>
      <protection locked="0"/>
    </xf>
    <xf numFmtId="173" fontId="12" fillId="0" borderId="31" xfId="64" applyNumberFormat="1" applyFont="1" applyFill="1" applyBorder="1" applyAlignment="1" applyProtection="1">
      <alignment horizontal="right" vertical="center"/>
      <protection locked="0"/>
    </xf>
    <xf numFmtId="173" fontId="70" fillId="0" borderId="0" xfId="64" applyNumberFormat="1" applyFill="1" applyAlignment="1">
      <alignment vertical="center"/>
      <protection/>
    </xf>
    <xf numFmtId="169" fontId="12" fillId="0" borderId="19" xfId="64" applyNumberFormat="1" applyFont="1" applyFill="1" applyBorder="1" applyAlignment="1">
      <alignment horizontal="center" vertical="center"/>
      <protection/>
    </xf>
    <xf numFmtId="0" fontId="12" fillId="0" borderId="15" xfId="64" applyFont="1" applyFill="1" applyBorder="1" applyAlignment="1">
      <alignment horizontal="left" vertical="center" wrapText="1"/>
      <protection/>
    </xf>
    <xf numFmtId="173" fontId="12" fillId="0" borderId="15" xfId="64" applyNumberFormat="1" applyFont="1" applyFill="1" applyBorder="1" applyAlignment="1" applyProtection="1">
      <alignment horizontal="right" vertical="center"/>
      <protection locked="0"/>
    </xf>
    <xf numFmtId="173" fontId="12" fillId="0" borderId="40" xfId="64" applyNumberFormat="1" applyFont="1" applyFill="1" applyBorder="1" applyAlignment="1" applyProtection="1">
      <alignment horizontal="right" vertical="center"/>
      <protection locked="0"/>
    </xf>
    <xf numFmtId="169" fontId="11" fillId="0" borderId="22" xfId="64" applyNumberFormat="1" applyFont="1" applyFill="1" applyBorder="1" applyAlignment="1">
      <alignment horizontal="center" vertical="center"/>
      <protection/>
    </xf>
    <xf numFmtId="0" fontId="11" fillId="0" borderId="23" xfId="64" applyFont="1" applyFill="1" applyBorder="1" applyAlignment="1">
      <alignment horizontal="left" vertical="center" wrapText="1"/>
      <protection/>
    </xf>
    <xf numFmtId="173" fontId="13" fillId="0" borderId="23" xfId="64" applyNumberFormat="1" applyFont="1" applyFill="1" applyBorder="1" applyAlignment="1">
      <alignment vertical="center"/>
      <protection/>
    </xf>
    <xf numFmtId="173" fontId="13" fillId="0" borderId="26" xfId="64" applyNumberFormat="1" applyFont="1" applyFill="1" applyBorder="1" applyAlignment="1">
      <alignment vertical="center"/>
      <protection/>
    </xf>
    <xf numFmtId="0" fontId="75" fillId="0" borderId="0" xfId="64" applyFont="1" applyFill="1" applyAlignment="1">
      <alignment vertical="center"/>
      <protection/>
    </xf>
    <xf numFmtId="173" fontId="12" fillId="0" borderId="12" xfId="64" applyNumberFormat="1" applyFont="1" applyFill="1" applyBorder="1" applyAlignment="1" applyProtection="1">
      <alignment vertical="center"/>
      <protection locked="0"/>
    </xf>
    <xf numFmtId="173" fontId="12" fillId="0" borderId="30" xfId="64" applyNumberFormat="1" applyFont="1" applyFill="1" applyBorder="1" applyAlignment="1" applyProtection="1">
      <alignment vertical="center"/>
      <protection locked="0"/>
    </xf>
    <xf numFmtId="173" fontId="12" fillId="0" borderId="40" xfId="64" applyNumberFormat="1" applyFont="1" applyFill="1" applyBorder="1" applyAlignment="1" applyProtection="1">
      <alignment vertical="center"/>
      <protection locked="0"/>
    </xf>
    <xf numFmtId="173" fontId="12" fillId="18" borderId="11" xfId="64" applyNumberFormat="1" applyFont="1" applyFill="1" applyBorder="1" applyAlignment="1" applyProtection="1">
      <alignment vertical="center"/>
      <protection/>
    </xf>
    <xf numFmtId="173" fontId="12" fillId="0" borderId="31" xfId="64" applyNumberFormat="1" applyFont="1" applyFill="1" applyBorder="1" applyAlignment="1" applyProtection="1">
      <alignment vertical="center"/>
      <protection locked="0"/>
    </xf>
    <xf numFmtId="0" fontId="12" fillId="0" borderId="11" xfId="64" applyFont="1" applyFill="1" applyBorder="1" applyAlignment="1" quotePrefix="1">
      <alignment horizontal="left" vertical="center" wrapText="1"/>
      <protection/>
    </xf>
    <xf numFmtId="0" fontId="12" fillId="0" borderId="15" xfId="64" applyFont="1" applyFill="1" applyBorder="1" applyAlignment="1" quotePrefix="1">
      <alignment horizontal="left" vertical="center" wrapText="1"/>
      <protection/>
    </xf>
    <xf numFmtId="173" fontId="13" fillId="0" borderId="23" xfId="64" applyNumberFormat="1" applyFont="1" applyFill="1" applyBorder="1" applyAlignment="1" applyProtection="1">
      <alignment vertical="center"/>
      <protection/>
    </xf>
    <xf numFmtId="173" fontId="13" fillId="0" borderId="26" xfId="64" applyNumberFormat="1" applyFont="1" applyFill="1" applyBorder="1" applyAlignment="1" applyProtection="1">
      <alignment vertical="center"/>
      <protection/>
    </xf>
    <xf numFmtId="0" fontId="12" fillId="0" borderId="10" xfId="64" applyFont="1" applyFill="1" applyBorder="1" applyAlignment="1">
      <alignment horizontal="left" vertical="center" wrapText="1"/>
      <protection/>
    </xf>
    <xf numFmtId="169" fontId="11" fillId="0" borderId="27" xfId="64" applyNumberFormat="1" applyFont="1" applyFill="1" applyBorder="1" applyAlignment="1">
      <alignment horizontal="center" vertical="center"/>
      <protection/>
    </xf>
    <xf numFmtId="0" fontId="11" fillId="0" borderId="28" xfId="64" applyFont="1" applyFill="1" applyBorder="1" applyAlignment="1">
      <alignment horizontal="left" vertical="center" wrapText="1"/>
      <protection/>
    </xf>
    <xf numFmtId="173" fontId="13" fillId="0" borderId="28" xfId="64" applyNumberFormat="1" applyFont="1" applyFill="1" applyBorder="1" applyAlignment="1" applyProtection="1">
      <alignment vertical="center"/>
      <protection/>
    </xf>
    <xf numFmtId="173" fontId="13" fillId="0" borderId="29" xfId="64" applyNumberFormat="1" applyFont="1" applyFill="1" applyBorder="1" applyAlignment="1" applyProtection="1">
      <alignment vertical="center"/>
      <protection/>
    </xf>
    <xf numFmtId="173" fontId="12" fillId="18" borderId="15" xfId="64" applyNumberFormat="1" applyFont="1" applyFill="1" applyBorder="1" applyAlignment="1" applyProtection="1">
      <alignment vertical="center"/>
      <protection/>
    </xf>
    <xf numFmtId="169" fontId="11" fillId="0" borderId="24" xfId="64" applyNumberFormat="1" applyFont="1" applyFill="1" applyBorder="1" applyAlignment="1">
      <alignment horizontal="center" vertical="center"/>
      <protection/>
    </xf>
    <xf numFmtId="0" fontId="11" fillId="0" borderId="25" xfId="64" applyFont="1" applyFill="1" applyBorder="1" applyAlignment="1">
      <alignment horizontal="left" vertical="center" wrapText="1"/>
      <protection/>
    </xf>
    <xf numFmtId="173" fontId="13" fillId="0" borderId="38" xfId="64" applyNumberFormat="1" applyFont="1" applyFill="1" applyBorder="1" applyAlignment="1" applyProtection="1">
      <alignment vertical="center"/>
      <protection/>
    </xf>
    <xf numFmtId="169" fontId="11" fillId="0" borderId="22" xfId="64" applyNumberFormat="1" applyFont="1" applyFill="1" applyBorder="1" applyAlignment="1">
      <alignment horizontal="center" vertical="center"/>
      <protection/>
    </xf>
    <xf numFmtId="169" fontId="11" fillId="0" borderId="27" xfId="64" applyNumberFormat="1" applyFont="1" applyFill="1" applyBorder="1" applyAlignment="1">
      <alignment horizontal="center" vertical="center"/>
      <protection/>
    </xf>
    <xf numFmtId="173" fontId="13" fillId="18" borderId="28" xfId="64" applyNumberFormat="1" applyFont="1" applyFill="1" applyBorder="1" applyAlignment="1" applyProtection="1">
      <alignment vertical="center"/>
      <protection/>
    </xf>
    <xf numFmtId="0" fontId="27" fillId="0" borderId="0" xfId="0" applyFont="1" applyFill="1" applyAlignment="1">
      <alignment/>
    </xf>
    <xf numFmtId="173" fontId="70" fillId="0" borderId="0" xfId="64" applyNumberFormat="1" applyFill="1">
      <alignment/>
      <protection/>
    </xf>
    <xf numFmtId="0" fontId="76" fillId="0" borderId="0" xfId="64" applyFont="1" applyFill="1">
      <alignment/>
      <protection/>
    </xf>
    <xf numFmtId="0" fontId="77" fillId="0" borderId="0" xfId="64" applyFont="1" applyFill="1">
      <alignment/>
      <protection/>
    </xf>
    <xf numFmtId="0" fontId="4" fillId="0" borderId="24" xfId="64" applyFont="1" applyFill="1" applyBorder="1" applyAlignment="1" quotePrefix="1">
      <alignment horizontal="center" vertical="center" wrapText="1"/>
      <protection/>
    </xf>
    <xf numFmtId="0" fontId="4" fillId="0" borderId="38" xfId="64" applyFont="1" applyFill="1" applyBorder="1" applyAlignment="1">
      <alignment horizontal="center" vertical="center"/>
      <protection/>
    </xf>
    <xf numFmtId="0" fontId="4" fillId="0" borderId="25" xfId="64" applyFont="1" applyFill="1" applyBorder="1" applyAlignment="1">
      <alignment horizontal="center" vertical="center" wrapText="1"/>
      <protection/>
    </xf>
    <xf numFmtId="0" fontId="4" fillId="0" borderId="38" xfId="64" applyFont="1" applyFill="1" applyBorder="1" applyAlignment="1">
      <alignment horizontal="center" vertical="center" wrapText="1"/>
      <protection/>
    </xf>
    <xf numFmtId="169" fontId="12" fillId="0" borderId="20" xfId="64" applyNumberFormat="1" applyFont="1" applyFill="1" applyBorder="1" applyAlignment="1">
      <alignment horizontal="center" vertical="center"/>
      <protection/>
    </xf>
    <xf numFmtId="0" fontId="12" fillId="0" borderId="61" xfId="64" applyFont="1" applyFill="1" applyBorder="1" applyAlignment="1">
      <alignment horizontal="left" vertical="center" wrapText="1" indent="1"/>
      <protection/>
    </xf>
    <xf numFmtId="173" fontId="12" fillId="0" borderId="20" xfId="42" applyNumberFormat="1" applyFont="1" applyFill="1" applyBorder="1" applyAlignment="1" applyProtection="1" quotePrefix="1">
      <alignment horizontal="right" vertical="center"/>
      <protection locked="0"/>
    </xf>
    <xf numFmtId="173" fontId="12" fillId="0" borderId="13" xfId="42" applyNumberFormat="1" applyFont="1" applyFill="1" applyBorder="1" applyAlignment="1" applyProtection="1">
      <alignment horizontal="right" vertical="center"/>
      <protection locked="0"/>
    </xf>
    <xf numFmtId="173" fontId="12" fillId="0" borderId="13" xfId="64" applyNumberFormat="1" applyFont="1" applyFill="1" applyBorder="1" applyAlignment="1">
      <alignment horizontal="right" vertical="center"/>
      <protection/>
    </xf>
    <xf numFmtId="173" fontId="12" fillId="0" borderId="104" xfId="42" applyNumberFormat="1" applyFont="1" applyFill="1" applyBorder="1" applyAlignment="1" applyProtection="1" quotePrefix="1">
      <alignment horizontal="right" vertical="center"/>
      <protection locked="0"/>
    </xf>
    <xf numFmtId="173" fontId="12" fillId="0" borderId="66" xfId="64" applyNumberFormat="1" applyFont="1" applyFill="1" applyBorder="1" applyAlignment="1">
      <alignment horizontal="right" vertical="center"/>
      <protection/>
    </xf>
    <xf numFmtId="0" fontId="12" fillId="0" borderId="42" xfId="64" applyFont="1" applyFill="1" applyBorder="1" applyAlignment="1" quotePrefix="1">
      <alignment horizontal="left" vertical="center" wrapText="1" indent="1"/>
      <protection/>
    </xf>
    <xf numFmtId="173" fontId="12" fillId="0" borderId="17" xfId="42" applyNumberFormat="1" applyFont="1" applyFill="1" applyBorder="1" applyAlignment="1" applyProtection="1" quotePrefix="1">
      <alignment horizontal="right" vertical="center"/>
      <protection locked="0"/>
    </xf>
    <xf numFmtId="173" fontId="12" fillId="0" borderId="11" xfId="42" applyNumberFormat="1" applyFont="1" applyFill="1" applyBorder="1" applyAlignment="1" applyProtection="1">
      <alignment horizontal="right" vertical="center"/>
      <protection locked="0"/>
    </xf>
    <xf numFmtId="173" fontId="12" fillId="0" borderId="11" xfId="64" applyNumberFormat="1" applyFont="1" applyFill="1" applyBorder="1" applyAlignment="1">
      <alignment horizontal="right" vertical="center"/>
      <protection/>
    </xf>
    <xf numFmtId="173" fontId="12" fillId="0" borderId="14" xfId="42" applyNumberFormat="1" applyFont="1" applyFill="1" applyBorder="1" applyAlignment="1" applyProtection="1" quotePrefix="1">
      <alignment horizontal="right" vertical="center"/>
      <protection locked="0"/>
    </xf>
    <xf numFmtId="173" fontId="12" fillId="0" borderId="31" xfId="64" applyNumberFormat="1" applyFont="1" applyFill="1" applyBorder="1" applyAlignment="1">
      <alignment horizontal="right" vertical="center"/>
      <protection/>
    </xf>
    <xf numFmtId="169" fontId="12" fillId="0" borderId="16" xfId="64" applyNumberFormat="1" applyFont="1" applyFill="1" applyBorder="1" applyAlignment="1">
      <alignment horizontal="center" vertical="center"/>
      <protection/>
    </xf>
    <xf numFmtId="0" fontId="12" fillId="0" borderId="154" xfId="64" applyFont="1" applyFill="1" applyBorder="1" applyAlignment="1">
      <alignment horizontal="left" vertical="center" wrapText="1" indent="1"/>
      <protection/>
    </xf>
    <xf numFmtId="173" fontId="12" fillId="0" borderId="27" xfId="42" applyNumberFormat="1" applyFont="1" applyFill="1" applyBorder="1" applyAlignment="1" applyProtection="1" quotePrefix="1">
      <alignment horizontal="right" vertical="center"/>
      <protection locked="0"/>
    </xf>
    <xf numFmtId="173" fontId="12" fillId="0" borderId="28" xfId="42" applyNumberFormat="1" applyFont="1" applyFill="1" applyBorder="1" applyAlignment="1" applyProtection="1">
      <alignment horizontal="right" vertical="center"/>
      <protection locked="0"/>
    </xf>
    <xf numFmtId="173" fontId="12" fillId="0" borderId="28" xfId="64" applyNumberFormat="1" applyFont="1" applyFill="1" applyBorder="1" applyAlignment="1">
      <alignment horizontal="right" vertical="center"/>
      <protection/>
    </xf>
    <xf numFmtId="173" fontId="12" fillId="0" borderId="90" xfId="42" applyNumberFormat="1" applyFont="1" applyFill="1" applyBorder="1" applyAlignment="1" applyProtection="1" quotePrefix="1">
      <alignment horizontal="right" vertical="center"/>
      <protection locked="0"/>
    </xf>
    <xf numFmtId="173" fontId="12" fillId="0" borderId="10" xfId="42" applyNumberFormat="1" applyFont="1" applyFill="1" applyBorder="1" applyAlignment="1" applyProtection="1">
      <alignment horizontal="right" vertical="center"/>
      <protection locked="0"/>
    </xf>
    <xf numFmtId="173" fontId="12" fillId="0" borderId="48" xfId="64" applyNumberFormat="1" applyFont="1" applyFill="1" applyBorder="1" applyAlignment="1">
      <alignment horizontal="right" vertical="center"/>
      <protection/>
    </xf>
    <xf numFmtId="0" fontId="11" fillId="0" borderId="41" xfId="64" applyFont="1" applyFill="1" applyBorder="1" applyAlignment="1" quotePrefix="1">
      <alignment horizontal="left" vertical="center" wrapText="1" indent="1"/>
      <protection/>
    </xf>
    <xf numFmtId="173" fontId="11" fillId="0" borderId="22" xfId="64" applyNumberFormat="1" applyFont="1" applyFill="1" applyBorder="1" applyAlignment="1" applyProtection="1">
      <alignment horizontal="right" vertical="center"/>
      <protection/>
    </xf>
    <xf numFmtId="173" fontId="11" fillId="0" borderId="23" xfId="64" applyNumberFormat="1" applyFont="1" applyFill="1" applyBorder="1" applyAlignment="1" applyProtection="1">
      <alignment horizontal="right" vertical="center"/>
      <protection/>
    </xf>
    <xf numFmtId="173" fontId="11" fillId="0" borderId="26" xfId="64" applyNumberFormat="1" applyFont="1" applyFill="1" applyBorder="1" applyAlignment="1" applyProtection="1">
      <alignment horizontal="right" vertical="center"/>
      <protection/>
    </xf>
    <xf numFmtId="0" fontId="73" fillId="0" borderId="0" xfId="64" applyFont="1" applyFill="1" applyBorder="1" applyAlignment="1">
      <alignment vertical="center"/>
      <protection/>
    </xf>
    <xf numFmtId="0" fontId="12" fillId="0" borderId="159" xfId="64" applyFont="1" applyFill="1" applyBorder="1" applyAlignment="1" quotePrefix="1">
      <alignment horizontal="left" vertical="center" wrapText="1" indent="1"/>
      <protection/>
    </xf>
    <xf numFmtId="173" fontId="12" fillId="0" borderId="64" xfId="42" applyNumberFormat="1" applyFont="1" applyFill="1" applyBorder="1" applyAlignment="1" applyProtection="1" quotePrefix="1">
      <alignment horizontal="right" vertical="center"/>
      <protection locked="0"/>
    </xf>
    <xf numFmtId="173" fontId="12" fillId="0" borderId="12" xfId="42" applyNumberFormat="1" applyFont="1" applyFill="1" applyBorder="1" applyAlignment="1" applyProtection="1">
      <alignment horizontal="right" vertical="center"/>
      <protection locked="0"/>
    </xf>
    <xf numFmtId="0" fontId="70" fillId="0" borderId="0" xfId="64" applyFill="1" applyBorder="1" applyAlignment="1">
      <alignment vertical="center"/>
      <protection/>
    </xf>
    <xf numFmtId="0" fontId="12" fillId="0" borderId="51" xfId="64" applyFont="1" applyFill="1" applyBorder="1" applyAlignment="1" quotePrefix="1">
      <alignment horizontal="left" vertical="center" wrapText="1" indent="1"/>
      <protection/>
    </xf>
    <xf numFmtId="173" fontId="12" fillId="0" borderId="21" xfId="42" applyNumberFormat="1" applyFont="1" applyFill="1" applyBorder="1" applyAlignment="1" applyProtection="1" quotePrefix="1">
      <alignment horizontal="right" vertical="center"/>
      <protection locked="0"/>
    </xf>
    <xf numFmtId="173" fontId="12" fillId="0" borderId="33" xfId="42" applyNumberFormat="1" applyFont="1" applyFill="1" applyBorder="1" applyAlignment="1" applyProtection="1">
      <alignment horizontal="right" vertical="center"/>
      <protection locked="0"/>
    </xf>
    <xf numFmtId="173" fontId="12" fillId="0" borderId="33" xfId="64" applyNumberFormat="1" applyFont="1" applyFill="1" applyBorder="1" applyAlignment="1">
      <alignment horizontal="right" vertical="center"/>
      <protection/>
    </xf>
    <xf numFmtId="173" fontId="12" fillId="0" borderId="152" xfId="42" applyNumberFormat="1" applyFont="1" applyFill="1" applyBorder="1" applyAlignment="1" applyProtection="1" quotePrefix="1">
      <alignment horizontal="right" vertical="center"/>
      <protection locked="0"/>
    </xf>
    <xf numFmtId="173" fontId="12" fillId="0" borderId="15" xfId="42" applyNumberFormat="1" applyFont="1" applyFill="1" applyBorder="1" applyAlignment="1" applyProtection="1">
      <alignment horizontal="right" vertical="center"/>
      <protection locked="0"/>
    </xf>
    <xf numFmtId="0" fontId="11" fillId="0" borderId="41" xfId="64" applyFont="1" applyFill="1" applyBorder="1" applyAlignment="1">
      <alignment horizontal="left" vertical="center" wrapText="1" indent="1"/>
      <protection/>
    </xf>
    <xf numFmtId="173" fontId="11" fillId="0" borderId="22" xfId="64" applyNumberFormat="1" applyFont="1" applyFill="1" applyBorder="1" applyAlignment="1" applyProtection="1">
      <alignment horizontal="right" vertical="center"/>
      <protection/>
    </xf>
    <xf numFmtId="173" fontId="11" fillId="0" borderId="23" xfId="64" applyNumberFormat="1" applyFont="1" applyFill="1" applyBorder="1" applyAlignment="1" applyProtection="1">
      <alignment horizontal="right" vertical="center"/>
      <protection/>
    </xf>
    <xf numFmtId="173" fontId="11" fillId="0" borderId="26" xfId="64" applyNumberFormat="1" applyFont="1" applyFill="1" applyBorder="1" applyAlignment="1" applyProtection="1">
      <alignment horizontal="right" vertical="center"/>
      <protection/>
    </xf>
    <xf numFmtId="0" fontId="12" fillId="0" borderId="61" xfId="64" applyFont="1" applyFill="1" applyBorder="1" applyAlignment="1" quotePrefix="1">
      <alignment horizontal="left" vertical="center" wrapText="1" indent="1"/>
      <protection/>
    </xf>
    <xf numFmtId="173" fontId="12" fillId="0" borderId="20" xfId="64" applyNumberFormat="1" applyFont="1" applyFill="1" applyBorder="1" applyAlignment="1" applyProtection="1">
      <alignment horizontal="right" vertical="center"/>
      <protection locked="0"/>
    </xf>
    <xf numFmtId="173" fontId="12" fillId="0" borderId="13" xfId="42" applyNumberFormat="1" applyFont="1" applyFill="1" applyBorder="1" applyAlignment="1" applyProtection="1" quotePrefix="1">
      <alignment horizontal="right" vertical="center"/>
      <protection locked="0"/>
    </xf>
    <xf numFmtId="0" fontId="12" fillId="0" borderId="154" xfId="64" applyFont="1" applyFill="1" applyBorder="1" applyAlignment="1" quotePrefix="1">
      <alignment horizontal="left" vertical="center" wrapText="1" indent="1"/>
      <protection/>
    </xf>
    <xf numFmtId="173" fontId="12" fillId="0" borderId="27" xfId="64" applyNumberFormat="1" applyFont="1" applyFill="1" applyBorder="1" applyAlignment="1" applyProtection="1">
      <alignment horizontal="right" vertical="center"/>
      <protection locked="0"/>
    </xf>
    <xf numFmtId="173" fontId="12" fillId="0" borderId="10" xfId="42" applyNumberFormat="1" applyFont="1" applyFill="1" applyBorder="1" applyAlignment="1" applyProtection="1" quotePrefix="1">
      <alignment horizontal="right" vertical="center"/>
      <protection locked="0"/>
    </xf>
    <xf numFmtId="173" fontId="11" fillId="0" borderId="26" xfId="64" applyNumberFormat="1" applyFont="1" applyFill="1" applyBorder="1" applyAlignment="1">
      <alignment horizontal="right" vertical="center"/>
      <protection/>
    </xf>
    <xf numFmtId="0" fontId="12" fillId="0" borderId="159" xfId="64" applyFont="1" applyFill="1" applyBorder="1" applyAlignment="1">
      <alignment horizontal="left" vertical="center" wrapText="1" indent="1"/>
      <protection/>
    </xf>
    <xf numFmtId="169" fontId="12" fillId="0" borderId="21" xfId="64" applyNumberFormat="1" applyFont="1" applyFill="1" applyBorder="1" applyAlignment="1">
      <alignment horizontal="center" vertical="center"/>
      <protection/>
    </xf>
    <xf numFmtId="0" fontId="12" fillId="0" borderId="63" xfId="64" applyFont="1" applyFill="1" applyBorder="1" applyAlignment="1" quotePrefix="1">
      <alignment horizontal="left" vertical="center" wrapText="1" indent="1"/>
      <protection/>
    </xf>
    <xf numFmtId="173" fontId="12" fillId="0" borderId="105" xfId="42" applyNumberFormat="1" applyFont="1" applyFill="1" applyBorder="1" applyAlignment="1" applyProtection="1" quotePrefix="1">
      <alignment horizontal="right" vertical="center"/>
      <protection locked="0"/>
    </xf>
    <xf numFmtId="0" fontId="7" fillId="0" borderId="0" xfId="64" applyFont="1" applyFill="1">
      <alignment/>
      <protection/>
    </xf>
    <xf numFmtId="0" fontId="4" fillId="0" borderId="25" xfId="64" applyFont="1" applyFill="1" applyBorder="1" applyAlignment="1">
      <alignment horizontal="center" vertical="center"/>
      <protection/>
    </xf>
    <xf numFmtId="0" fontId="4" fillId="0" borderId="24" xfId="64" applyFont="1" applyFill="1" applyBorder="1" applyAlignment="1">
      <alignment horizontal="center" vertical="center" wrapText="1"/>
      <protection/>
    </xf>
    <xf numFmtId="0" fontId="4" fillId="0" borderId="160" xfId="64" applyFont="1" applyFill="1" applyBorder="1" applyAlignment="1">
      <alignment horizontal="center" vertical="center" wrapText="1"/>
      <protection/>
    </xf>
    <xf numFmtId="169" fontId="12" fillId="0" borderId="20" xfId="64" applyNumberFormat="1" applyFont="1" applyFill="1" applyBorder="1" applyAlignment="1">
      <alignment horizontal="center" vertical="center" wrapText="1"/>
      <protection/>
    </xf>
    <xf numFmtId="0" fontId="12" fillId="0" borderId="61" xfId="64" applyFont="1" applyFill="1" applyBorder="1" applyAlignment="1">
      <alignment horizontal="left" vertical="center" wrapText="1"/>
      <protection/>
    </xf>
    <xf numFmtId="173" fontId="12" fillId="0" borderId="13" xfId="42" applyNumberFormat="1" applyFont="1" applyFill="1" applyBorder="1" applyAlignment="1" applyProtection="1">
      <alignment vertical="center"/>
      <protection locked="0"/>
    </xf>
    <xf numFmtId="173" fontId="12" fillId="0" borderId="61" xfId="64" applyNumberFormat="1" applyFont="1" applyFill="1" applyBorder="1" applyAlignment="1">
      <alignment vertical="center"/>
      <protection/>
    </xf>
    <xf numFmtId="173" fontId="12" fillId="0" borderId="66" xfId="64" applyNumberFormat="1" applyFont="1" applyFill="1" applyBorder="1" applyAlignment="1">
      <alignment vertical="center"/>
      <protection/>
    </xf>
    <xf numFmtId="169" fontId="12" fillId="0" borderId="17" xfId="64" applyNumberFormat="1" applyFont="1" applyFill="1" applyBorder="1" applyAlignment="1">
      <alignment horizontal="center" vertical="center" wrapText="1"/>
      <protection/>
    </xf>
    <xf numFmtId="0" fontId="12" fillId="0" borderId="42" xfId="64" applyFont="1" applyFill="1" applyBorder="1" applyAlignment="1">
      <alignment horizontal="left" vertical="center" wrapText="1"/>
      <protection/>
    </xf>
    <xf numFmtId="173" fontId="12" fillId="0" borderId="42" xfId="64" applyNumberFormat="1" applyFont="1" applyFill="1" applyBorder="1" applyAlignment="1">
      <alignment vertical="center"/>
      <protection/>
    </xf>
    <xf numFmtId="173" fontId="12" fillId="0" borderId="31" xfId="64" applyNumberFormat="1" applyFont="1" applyFill="1" applyBorder="1" applyAlignment="1">
      <alignment vertical="center"/>
      <protection/>
    </xf>
    <xf numFmtId="169" fontId="12" fillId="0" borderId="19" xfId="64" applyNumberFormat="1" applyFont="1" applyFill="1" applyBorder="1" applyAlignment="1">
      <alignment horizontal="center" vertical="center" wrapText="1"/>
      <protection/>
    </xf>
    <xf numFmtId="0" fontId="12" fillId="0" borderId="51" xfId="64" applyFont="1" applyFill="1" applyBorder="1" applyAlignment="1">
      <alignment horizontal="left" vertical="center" wrapText="1"/>
      <protection/>
    </xf>
    <xf numFmtId="173" fontId="12" fillId="0" borderId="19" xfId="64" applyNumberFormat="1" applyFont="1" applyFill="1" applyBorder="1" applyAlignment="1" applyProtection="1">
      <alignment vertical="center"/>
      <protection locked="0"/>
    </xf>
    <xf numFmtId="173" fontId="12" fillId="0" borderId="51" xfId="64" applyNumberFormat="1" applyFont="1" applyFill="1" applyBorder="1" applyAlignment="1">
      <alignment vertical="center"/>
      <protection/>
    </xf>
    <xf numFmtId="173" fontId="12" fillId="0" borderId="40" xfId="64" applyNumberFormat="1" applyFont="1" applyFill="1" applyBorder="1" applyAlignment="1">
      <alignment vertical="center"/>
      <protection/>
    </xf>
    <xf numFmtId="169" fontId="11" fillId="0" borderId="22" xfId="64" applyNumberFormat="1" applyFont="1" applyFill="1" applyBorder="1" applyAlignment="1">
      <alignment horizontal="center" vertical="center" wrapText="1"/>
      <protection/>
    </xf>
    <xf numFmtId="0" fontId="11" fillId="0" borderId="41" xfId="64" applyFont="1" applyFill="1" applyBorder="1" applyAlignment="1">
      <alignment horizontal="left" vertical="center" wrapText="1"/>
      <protection/>
    </xf>
    <xf numFmtId="173" fontId="11" fillId="0" borderId="22" xfId="64" applyNumberFormat="1" applyFont="1" applyFill="1" applyBorder="1" applyAlignment="1" applyProtection="1">
      <alignment vertical="center"/>
      <protection/>
    </xf>
    <xf numFmtId="173" fontId="11" fillId="0" borderId="23" xfId="64" applyNumberFormat="1" applyFont="1" applyFill="1" applyBorder="1" applyAlignment="1" applyProtection="1">
      <alignment vertical="center"/>
      <protection/>
    </xf>
    <xf numFmtId="173" fontId="11" fillId="0" borderId="41" xfId="64" applyNumberFormat="1" applyFont="1" applyFill="1" applyBorder="1" applyAlignment="1" applyProtection="1">
      <alignment vertical="center"/>
      <protection/>
    </xf>
    <xf numFmtId="173" fontId="11" fillId="0" borderId="26" xfId="64" applyNumberFormat="1" applyFont="1" applyFill="1" applyBorder="1" applyAlignment="1" applyProtection="1">
      <alignment vertical="center"/>
      <protection/>
    </xf>
    <xf numFmtId="169" fontId="12" fillId="0" borderId="18" xfId="64" applyNumberFormat="1" applyFont="1" applyFill="1" applyBorder="1" applyAlignment="1">
      <alignment horizontal="center" vertical="center" wrapText="1"/>
      <protection/>
    </xf>
    <xf numFmtId="0" fontId="12" fillId="0" borderId="159" xfId="64" applyFont="1" applyFill="1" applyBorder="1" applyAlignment="1">
      <alignment horizontal="left" vertical="center" wrapText="1"/>
      <protection/>
    </xf>
    <xf numFmtId="173" fontId="12" fillId="0" borderId="18" xfId="64" applyNumberFormat="1" applyFont="1" applyFill="1" applyBorder="1" applyAlignment="1" applyProtection="1">
      <alignment vertical="center"/>
      <protection locked="0"/>
    </xf>
    <xf numFmtId="173" fontId="12" fillId="0" borderId="159" xfId="64" applyNumberFormat="1" applyFont="1" applyFill="1" applyBorder="1" applyAlignment="1">
      <alignment vertical="center"/>
      <protection/>
    </xf>
    <xf numFmtId="173" fontId="12" fillId="0" borderId="30" xfId="64" applyNumberFormat="1" applyFont="1" applyFill="1" applyBorder="1" applyAlignment="1">
      <alignment vertical="center"/>
      <protection/>
    </xf>
    <xf numFmtId="0" fontId="12" fillId="0" borderId="51" xfId="64" applyFont="1" applyFill="1" applyBorder="1" applyAlignment="1" quotePrefix="1">
      <alignment horizontal="left" vertical="center" wrapText="1"/>
      <protection/>
    </xf>
    <xf numFmtId="0" fontId="11" fillId="0" borderId="41" xfId="64" applyFont="1" applyFill="1" applyBorder="1" applyAlignment="1" quotePrefix="1">
      <alignment horizontal="left" vertical="center" wrapText="1"/>
      <protection/>
    </xf>
    <xf numFmtId="0" fontId="70" fillId="0" borderId="0" xfId="64" applyFont="1" applyFill="1" applyAlignment="1">
      <alignment vertical="center"/>
      <protection/>
    </xf>
    <xf numFmtId="0" fontId="12" fillId="0" borderId="159" xfId="64" applyFont="1" applyFill="1" applyBorder="1" applyAlignment="1">
      <alignment vertical="center" wrapText="1"/>
      <protection/>
    </xf>
    <xf numFmtId="0" fontId="78" fillId="0" borderId="18" xfId="64" applyFont="1" applyFill="1" applyBorder="1" applyAlignment="1" applyProtection="1">
      <alignment vertical="center"/>
      <protection locked="0"/>
    </xf>
    <xf numFmtId="0" fontId="78" fillId="0" borderId="12" xfId="64" applyFont="1" applyFill="1" applyBorder="1" applyAlignment="1" applyProtection="1">
      <alignment vertical="center"/>
      <protection locked="0"/>
    </xf>
    <xf numFmtId="0" fontId="12" fillId="0" borderId="42" xfId="64" applyFont="1" applyFill="1" applyBorder="1" applyAlignment="1">
      <alignment vertical="center" wrapText="1"/>
      <protection/>
    </xf>
    <xf numFmtId="0" fontId="78" fillId="0" borderId="17" xfId="64" applyFont="1" applyFill="1" applyBorder="1" applyAlignment="1" applyProtection="1">
      <alignment vertical="center"/>
      <protection locked="0"/>
    </xf>
    <xf numFmtId="0" fontId="78" fillId="0" borderId="11" xfId="64" applyFont="1" applyFill="1" applyBorder="1" applyAlignment="1" applyProtection="1">
      <alignment vertical="center"/>
      <protection locked="0"/>
    </xf>
    <xf numFmtId="0" fontId="12" fillId="0" borderId="51" xfId="64" applyFont="1" applyFill="1" applyBorder="1" applyAlignment="1">
      <alignment vertical="center" wrapText="1"/>
      <protection/>
    </xf>
    <xf numFmtId="0" fontId="78" fillId="0" borderId="19" xfId="64" applyFont="1" applyFill="1" applyBorder="1" applyAlignment="1" applyProtection="1">
      <alignment vertical="center"/>
      <protection locked="0"/>
    </xf>
    <xf numFmtId="0" fontId="78" fillId="0" borderId="15" xfId="64" applyFont="1" applyFill="1" applyBorder="1" applyAlignment="1" applyProtection="1">
      <alignment vertical="center"/>
      <protection locked="0"/>
    </xf>
    <xf numFmtId="0" fontId="11" fillId="0" borderId="41" xfId="64" applyFont="1" applyFill="1" applyBorder="1" applyAlignment="1">
      <alignment vertical="center" wrapText="1"/>
      <protection/>
    </xf>
    <xf numFmtId="173" fontId="79" fillId="0" borderId="22" xfId="64" applyNumberFormat="1" applyFont="1" applyFill="1" applyBorder="1" applyAlignment="1">
      <alignment vertical="center"/>
      <protection/>
    </xf>
    <xf numFmtId="173" fontId="79" fillId="0" borderId="23" xfId="64" applyNumberFormat="1" applyFont="1" applyFill="1" applyBorder="1" applyAlignment="1">
      <alignment vertical="center"/>
      <protection/>
    </xf>
    <xf numFmtId="173" fontId="79" fillId="0" borderId="41" xfId="64" applyNumberFormat="1" applyFont="1" applyFill="1" applyBorder="1" applyAlignment="1">
      <alignment vertical="center"/>
      <protection/>
    </xf>
    <xf numFmtId="173" fontId="79" fillId="0" borderId="26" xfId="64" applyNumberFormat="1" applyFont="1" applyFill="1" applyBorder="1" applyAlignment="1">
      <alignment vertical="center"/>
      <protection/>
    </xf>
    <xf numFmtId="0" fontId="79" fillId="0" borderId="22" xfId="64" applyFont="1" applyFill="1" applyBorder="1" applyAlignment="1" applyProtection="1">
      <alignment vertical="center"/>
      <protection locked="0"/>
    </xf>
    <xf numFmtId="0" fontId="79" fillId="0" borderId="23" xfId="64" applyFont="1" applyFill="1" applyBorder="1" applyAlignment="1" applyProtection="1">
      <alignment vertical="center"/>
      <protection locked="0"/>
    </xf>
    <xf numFmtId="173" fontId="12" fillId="0" borderId="41" xfId="64" applyNumberFormat="1" applyFont="1" applyFill="1" applyBorder="1" applyAlignment="1">
      <alignment vertical="center"/>
      <protection/>
    </xf>
    <xf numFmtId="173" fontId="12" fillId="0" borderId="26" xfId="64" applyNumberFormat="1" applyFont="1" applyFill="1" applyBorder="1" applyAlignment="1">
      <alignment vertical="center"/>
      <protection/>
    </xf>
    <xf numFmtId="173" fontId="79" fillId="0" borderId="27" xfId="64" applyNumberFormat="1" applyFont="1" applyFill="1" applyBorder="1" applyAlignment="1">
      <alignment vertical="center"/>
      <protection/>
    </xf>
    <xf numFmtId="173" fontId="79" fillId="0" borderId="28" xfId="64" applyNumberFormat="1" applyFont="1" applyFill="1" applyBorder="1" applyAlignment="1">
      <alignment vertical="center"/>
      <protection/>
    </xf>
    <xf numFmtId="173" fontId="79" fillId="0" borderId="50" xfId="64" applyNumberFormat="1" applyFont="1" applyFill="1" applyBorder="1" applyAlignment="1">
      <alignment vertical="center"/>
      <protection/>
    </xf>
    <xf numFmtId="173" fontId="79" fillId="0" borderId="29" xfId="64" applyNumberFormat="1" applyFont="1" applyFill="1" applyBorder="1" applyAlignment="1">
      <alignment vertical="center"/>
      <protection/>
    </xf>
    <xf numFmtId="164" fontId="18" fillId="0" borderId="131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83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8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23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14" xfId="60" applyNumberFormat="1" applyFont="1" applyFill="1" applyBorder="1" applyAlignment="1" applyProtection="1">
      <alignment horizontal="right" vertical="center" wrapText="1" indent="1"/>
      <protection/>
    </xf>
    <xf numFmtId="164" fontId="18" fillId="0" borderId="11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82" xfId="60" applyNumberFormat="1" applyFont="1" applyFill="1" applyBorder="1" applyAlignment="1" applyProtection="1">
      <alignment horizontal="right" vertical="center" wrapText="1" indent="1"/>
      <protection locked="0"/>
    </xf>
    <xf numFmtId="4" fontId="1" fillId="0" borderId="117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21" xfId="60" applyFont="1" applyBorder="1" applyAlignment="1" applyProtection="1">
      <alignment horizontal="left" vertical="center" wrapText="1" indent="1"/>
      <protection/>
    </xf>
    <xf numFmtId="3" fontId="12" fillId="0" borderId="11" xfId="61" applyNumberFormat="1" applyFont="1" applyFill="1" applyBorder="1" applyAlignment="1" applyProtection="1">
      <alignment horizontal="right" vertical="center" indent="1"/>
      <protection locked="0"/>
    </xf>
    <xf numFmtId="164" fontId="12" fillId="0" borderId="161" xfId="6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62" xfId="0" applyNumberFormat="1" applyFont="1" applyFill="1" applyBorder="1" applyAlignment="1">
      <alignment horizontal="center" vertical="center"/>
    </xf>
    <xf numFmtId="164" fontId="4" fillId="0" borderId="52" xfId="0" applyNumberFormat="1" applyFont="1" applyFill="1" applyBorder="1" applyAlignment="1">
      <alignment horizontal="center" vertical="center"/>
    </xf>
    <xf numFmtId="164" fontId="11" fillId="0" borderId="43" xfId="0" applyNumberFormat="1" applyFont="1" applyFill="1" applyBorder="1" applyAlignment="1">
      <alignment horizontal="center" vertical="center"/>
    </xf>
    <xf numFmtId="0" fontId="80" fillId="0" borderId="0" xfId="65">
      <alignment/>
      <protection/>
    </xf>
    <xf numFmtId="0" fontId="81" fillId="0" borderId="0" xfId="65" applyFont="1" applyAlignment="1">
      <alignment horizontal="right"/>
      <protection/>
    </xf>
    <xf numFmtId="0" fontId="33" fillId="0" borderId="22" xfId="65" applyFont="1" applyBorder="1" applyAlignment="1">
      <alignment horizontal="center" vertical="center"/>
      <protection/>
    </xf>
    <xf numFmtId="0" fontId="33" fillId="0" borderId="23" xfId="65" applyFont="1" applyBorder="1" applyAlignment="1">
      <alignment horizontal="center" vertical="center"/>
      <protection/>
    </xf>
    <xf numFmtId="0" fontId="33" fillId="0" borderId="26" xfId="65" applyFont="1" applyBorder="1" applyAlignment="1">
      <alignment horizontal="center" vertical="center" wrapText="1"/>
      <protection/>
    </xf>
    <xf numFmtId="0" fontId="82" fillId="0" borderId="24" xfId="65" applyFont="1" applyBorder="1" applyAlignment="1">
      <alignment horizontal="center" vertical="center"/>
      <protection/>
    </xf>
    <xf numFmtId="0" fontId="82" fillId="0" borderId="25" xfId="65" applyFont="1" applyBorder="1" applyAlignment="1">
      <alignment horizontal="center" vertical="center"/>
      <protection/>
    </xf>
    <xf numFmtId="0" fontId="82" fillId="0" borderId="38" xfId="65" applyFont="1" applyBorder="1" applyAlignment="1">
      <alignment horizontal="center" vertical="center" wrapText="1"/>
      <protection/>
    </xf>
    <xf numFmtId="0" fontId="82" fillId="0" borderId="20" xfId="65" applyFont="1" applyBorder="1" applyAlignment="1">
      <alignment horizontal="right" vertical="center" indent="1"/>
      <protection/>
    </xf>
    <xf numFmtId="0" fontId="82" fillId="0" borderId="13" xfId="65" applyFont="1" applyBorder="1" applyAlignment="1">
      <alignment horizontal="left" vertical="center"/>
      <protection/>
    </xf>
    <xf numFmtId="3" fontId="33" fillId="0" borderId="66" xfId="65" applyNumberFormat="1" applyFont="1" applyBorder="1" applyAlignment="1">
      <alignment horizontal="right" indent="2"/>
      <protection/>
    </xf>
    <xf numFmtId="0" fontId="82" fillId="0" borderId="17" xfId="65" applyFont="1" applyBorder="1" applyAlignment="1">
      <alignment horizontal="right" vertical="center" indent="1"/>
      <protection/>
    </xf>
    <xf numFmtId="0" fontId="82" fillId="0" borderId="11" xfId="65" applyFont="1" applyBorder="1" applyAlignment="1">
      <alignment horizontal="left" vertical="center"/>
      <protection/>
    </xf>
    <xf numFmtId="3" fontId="33" fillId="0" borderId="31" xfId="65" applyNumberFormat="1" applyFont="1" applyBorder="1" applyAlignment="1">
      <alignment horizontal="right" indent="2"/>
      <protection/>
    </xf>
    <xf numFmtId="164" fontId="4" fillId="0" borderId="163" xfId="0" applyNumberFormat="1" applyFont="1" applyFill="1" applyBorder="1" applyAlignment="1">
      <alignment horizontal="center" vertical="center"/>
    </xf>
    <xf numFmtId="3" fontId="82" fillId="0" borderId="31" xfId="65" applyNumberFormat="1" applyFont="1" applyBorder="1" applyAlignment="1">
      <alignment horizontal="right" indent="2"/>
      <protection/>
    </xf>
    <xf numFmtId="0" fontId="82" fillId="0" borderId="11" xfId="65" applyFont="1" applyBorder="1" applyAlignment="1">
      <alignment vertical="center"/>
      <protection/>
    </xf>
    <xf numFmtId="0" fontId="82" fillId="0" borderId="21" xfId="65" applyFont="1" applyBorder="1" applyAlignment="1">
      <alignment horizontal="right" vertical="center" indent="1"/>
      <protection/>
    </xf>
    <xf numFmtId="0" fontId="82" fillId="0" borderId="33" xfId="65" applyFont="1" applyBorder="1" applyAlignment="1">
      <alignment vertical="center"/>
      <protection/>
    </xf>
    <xf numFmtId="3" fontId="82" fillId="0" borderId="48" xfId="65" applyNumberFormat="1" applyFont="1" applyBorder="1" applyAlignment="1">
      <alignment horizontal="right" indent="2"/>
      <protection/>
    </xf>
    <xf numFmtId="164" fontId="3" fillId="0" borderId="0" xfId="62" applyNumberFormat="1" applyFont="1" applyFill="1" applyBorder="1" applyAlignment="1" applyProtection="1">
      <alignment horizontal="center" vertical="center"/>
      <protection/>
    </xf>
    <xf numFmtId="0" fontId="4" fillId="0" borderId="20" xfId="62" applyFont="1" applyFill="1" applyBorder="1" applyAlignment="1" applyProtection="1">
      <alignment horizontal="center" vertical="center" wrapText="1"/>
      <protection/>
    </xf>
    <xf numFmtId="0" fontId="4" fillId="0" borderId="21" xfId="62" applyFont="1" applyFill="1" applyBorder="1" applyAlignment="1" applyProtection="1">
      <alignment horizontal="center" vertical="center" wrapText="1"/>
      <protection/>
    </xf>
    <xf numFmtId="0" fontId="4" fillId="0" borderId="13" xfId="62" applyFont="1" applyFill="1" applyBorder="1" applyAlignment="1" applyProtection="1">
      <alignment horizontal="center" vertical="center" wrapText="1"/>
      <protection/>
    </xf>
    <xf numFmtId="0" fontId="4" fillId="0" borderId="33" xfId="62" applyFont="1" applyFill="1" applyBorder="1" applyAlignment="1" applyProtection="1">
      <alignment horizontal="center" vertical="center" wrapText="1"/>
      <protection/>
    </xf>
    <xf numFmtId="164" fontId="4" fillId="0" borderId="13" xfId="62" applyNumberFormat="1" applyFont="1" applyFill="1" applyBorder="1" applyAlignment="1" applyProtection="1">
      <alignment horizontal="center" vertical="center"/>
      <protection/>
    </xf>
    <xf numFmtId="164" fontId="4" fillId="0" borderId="66" xfId="62" applyNumberFormat="1" applyFont="1" applyFill="1" applyBorder="1" applyAlignment="1" applyProtection="1">
      <alignment horizontal="center" vertical="center"/>
      <protection/>
    </xf>
    <xf numFmtId="164" fontId="4" fillId="0" borderId="55" xfId="0" applyNumberFormat="1" applyFont="1" applyFill="1" applyBorder="1" applyAlignment="1" applyProtection="1">
      <alignment horizontal="center" vertical="center" wrapText="1"/>
      <protection/>
    </xf>
    <xf numFmtId="164" fontId="4" fillId="0" borderId="53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textRotation="180" wrapText="1"/>
      <protection/>
    </xf>
    <xf numFmtId="164" fontId="4" fillId="0" borderId="56" xfId="0" applyNumberFormat="1" applyFont="1" applyFill="1" applyBorder="1" applyAlignment="1" applyProtection="1">
      <alignment horizontal="center" vertical="center" wrapText="1"/>
      <protection/>
    </xf>
    <xf numFmtId="164" fontId="4" fillId="0" borderId="59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textRotation="180" wrapText="1"/>
      <protection locked="0"/>
    </xf>
    <xf numFmtId="164" fontId="2" fillId="0" borderId="32" xfId="0" applyNumberFormat="1" applyFont="1" applyFill="1" applyBorder="1" applyAlignment="1" applyProtection="1">
      <alignment horizontal="right" wrapText="1"/>
      <protection/>
    </xf>
    <xf numFmtId="164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0" fillId="0" borderId="54" xfId="0" applyNumberFormat="1" applyFill="1" applyBorder="1" applyAlignment="1" applyProtection="1">
      <alignment horizontal="left" vertical="center" wrapText="1"/>
      <protection locked="0"/>
    </xf>
    <xf numFmtId="164" fontId="0" fillId="0" borderId="62" xfId="0" applyNumberFormat="1" applyFill="1" applyBorder="1" applyAlignment="1" applyProtection="1">
      <alignment horizontal="left" vertical="center" wrapText="1"/>
      <protection locked="0"/>
    </xf>
    <xf numFmtId="164" fontId="0" fillId="0" borderId="164" xfId="0" applyNumberFormat="1" applyFill="1" applyBorder="1" applyAlignment="1" applyProtection="1">
      <alignment horizontal="left" vertical="center" wrapText="1"/>
      <protection locked="0"/>
    </xf>
    <xf numFmtId="164" fontId="0" fillId="0" borderId="165" xfId="0" applyNumberFormat="1" applyFill="1" applyBorder="1" applyAlignment="1" applyProtection="1">
      <alignment horizontal="left" vertical="center" wrapText="1"/>
      <protection locked="0"/>
    </xf>
    <xf numFmtId="164" fontId="0" fillId="0" borderId="166" xfId="0" applyNumberFormat="1" applyFill="1" applyBorder="1" applyAlignment="1" applyProtection="1">
      <alignment horizontal="left" vertical="center" wrapText="1"/>
      <protection locked="0"/>
    </xf>
    <xf numFmtId="164" fontId="0" fillId="0" borderId="167" xfId="0" applyNumberFormat="1" applyFill="1" applyBorder="1" applyAlignment="1" applyProtection="1">
      <alignment horizontal="left" vertical="center" wrapText="1"/>
      <protection locked="0"/>
    </xf>
    <xf numFmtId="164" fontId="4" fillId="0" borderId="55" xfId="0" applyNumberFormat="1" applyFont="1" applyFill="1" applyBorder="1" applyAlignment="1">
      <alignment horizontal="center" vertical="center" wrapText="1"/>
    </xf>
    <xf numFmtId="164" fontId="4" fillId="0" borderId="46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Fill="1" applyBorder="1" applyAlignment="1">
      <alignment horizontal="center" vertical="center" wrapText="1"/>
    </xf>
    <xf numFmtId="164" fontId="1" fillId="0" borderId="168" xfId="0" applyNumberFormat="1" applyFont="1" applyFill="1" applyBorder="1" applyAlignment="1">
      <alignment horizontal="center" vertical="center" wrapText="1"/>
    </xf>
    <xf numFmtId="164" fontId="4" fillId="0" borderId="43" xfId="0" applyNumberFormat="1" applyFont="1" applyFill="1" applyBorder="1" applyAlignment="1">
      <alignment horizontal="center" vertical="center" wrapText="1"/>
    </xf>
    <xf numFmtId="164" fontId="11" fillId="0" borderId="43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Fill="1" applyBorder="1" applyAlignment="1">
      <alignment horizontal="left" vertical="center" wrapText="1" indent="2"/>
    </xf>
    <xf numFmtId="164" fontId="1" fillId="0" borderId="168" xfId="0" applyNumberFormat="1" applyFont="1" applyFill="1" applyBorder="1" applyAlignment="1">
      <alignment horizontal="left" vertical="center" wrapText="1" indent="2"/>
    </xf>
    <xf numFmtId="164" fontId="2" fillId="0" borderId="32" xfId="0" applyNumberFormat="1" applyFont="1" applyFill="1" applyBorder="1" applyAlignment="1">
      <alignment horizontal="right" vertical="center"/>
    </xf>
    <xf numFmtId="167" fontId="26" fillId="0" borderId="58" xfId="0" applyNumberFormat="1" applyFont="1" applyFill="1" applyBorder="1" applyAlignment="1">
      <alignment horizontal="left" vertical="center" wrapText="1"/>
    </xf>
    <xf numFmtId="164" fontId="4" fillId="0" borderId="43" xfId="0" applyNumberFormat="1" applyFont="1" applyFill="1" applyBorder="1" applyAlignment="1">
      <alignment horizontal="center" vertical="center" wrapText="1"/>
    </xf>
    <xf numFmtId="0" fontId="4" fillId="0" borderId="169" xfId="60" applyFont="1" applyFill="1" applyBorder="1" applyAlignment="1" applyProtection="1">
      <alignment horizontal="center" vertical="center" wrapText="1"/>
      <protection/>
    </xf>
    <xf numFmtId="0" fontId="4" fillId="0" borderId="124" xfId="60" applyFont="1" applyFill="1" applyBorder="1" applyAlignment="1" applyProtection="1">
      <alignment horizontal="center" vertical="center" wrapText="1"/>
      <protection/>
    </xf>
    <xf numFmtId="0" fontId="4" fillId="0" borderId="111" xfId="60" applyFont="1" applyFill="1" applyBorder="1" applyAlignment="1" applyProtection="1">
      <alignment horizontal="center" vertical="center"/>
      <protection/>
    </xf>
    <xf numFmtId="0" fontId="4" fillId="0" borderId="109" xfId="60" applyFont="1" applyFill="1" applyBorder="1" applyAlignment="1" applyProtection="1">
      <alignment horizontal="center" vertical="center"/>
      <protection/>
    </xf>
    <xf numFmtId="0" fontId="4" fillId="0" borderId="81" xfId="60" applyFont="1" applyFill="1" applyBorder="1" applyAlignment="1" applyProtection="1">
      <alignment horizontal="center" vertical="center" wrapText="1"/>
      <protection/>
    </xf>
    <xf numFmtId="0" fontId="4" fillId="0" borderId="109" xfId="60" applyFont="1" applyFill="1" applyBorder="1" applyAlignment="1" applyProtection="1">
      <alignment horizontal="center" vertical="center"/>
      <protection locked="0"/>
    </xf>
    <xf numFmtId="164" fontId="7" fillId="0" borderId="170" xfId="60" applyNumberFormat="1" applyFont="1" applyFill="1" applyBorder="1" applyAlignment="1" applyProtection="1">
      <alignment horizontal="center" vertical="center" wrapText="1"/>
      <protection/>
    </xf>
    <xf numFmtId="0" fontId="4" fillId="0" borderId="111" xfId="6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 indent="1"/>
      <protection/>
    </xf>
    <xf numFmtId="0" fontId="4" fillId="0" borderId="49" xfId="0" applyFont="1" applyFill="1" applyBorder="1" applyAlignment="1" applyProtection="1">
      <alignment horizontal="left" vertical="center" wrapText="1" inden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71" fillId="0" borderId="0" xfId="64" applyFont="1" applyFill="1" applyAlignment="1" applyProtection="1">
      <alignment horizontal="center"/>
      <protection locked="0"/>
    </xf>
    <xf numFmtId="0" fontId="3" fillId="0" borderId="0" xfId="64" applyFont="1" applyFill="1" applyAlignment="1">
      <alignment horizontal="center" wrapText="1"/>
      <protection/>
    </xf>
    <xf numFmtId="0" fontId="3" fillId="0" borderId="0" xfId="64" applyFont="1" applyFill="1" applyAlignment="1">
      <alignment horizontal="center"/>
      <protection/>
    </xf>
    <xf numFmtId="0" fontId="3" fillId="0" borderId="171" xfId="64" applyFont="1" applyFill="1" applyBorder="1" applyAlignment="1">
      <alignment horizontal="center" vertical="center"/>
      <protection/>
    </xf>
    <xf numFmtId="0" fontId="3" fillId="0" borderId="172" xfId="64" applyFont="1" applyFill="1" applyBorder="1" applyAlignment="1">
      <alignment horizontal="center" vertical="center"/>
      <protection/>
    </xf>
    <xf numFmtId="0" fontId="3" fillId="0" borderId="173" xfId="64" applyFont="1" applyFill="1" applyBorder="1" applyAlignment="1">
      <alignment horizontal="center" vertical="center"/>
      <protection/>
    </xf>
    <xf numFmtId="0" fontId="3" fillId="0" borderId="47" xfId="64" applyFont="1" applyFill="1" applyBorder="1" applyAlignment="1">
      <alignment horizontal="center" vertical="center"/>
      <protection/>
    </xf>
    <xf numFmtId="0" fontId="71" fillId="0" borderId="0" xfId="64" applyFont="1" applyFill="1" applyAlignment="1" applyProtection="1">
      <alignment horizontal="center" vertical="center"/>
      <protection locked="0"/>
    </xf>
    <xf numFmtId="0" fontId="3" fillId="0" borderId="0" xfId="64" applyFont="1" applyFill="1" applyAlignment="1" applyProtection="1">
      <alignment horizontal="center" vertical="center"/>
      <protection locked="0"/>
    </xf>
    <xf numFmtId="0" fontId="2" fillId="0" borderId="32" xfId="64" applyFont="1" applyFill="1" applyBorder="1" applyAlignment="1">
      <alignment horizontal="right"/>
      <protection/>
    </xf>
    <xf numFmtId="0" fontId="1" fillId="0" borderId="24" xfId="64" applyFont="1" applyFill="1" applyBorder="1" applyAlignment="1" quotePrefix="1">
      <alignment horizontal="center" vertical="center" wrapText="1"/>
      <protection/>
    </xf>
    <xf numFmtId="0" fontId="1" fillId="0" borderId="16" xfId="64" applyFont="1" applyFill="1" applyBorder="1" applyAlignment="1" quotePrefix="1">
      <alignment horizontal="center" vertical="center" wrapText="1"/>
      <protection/>
    </xf>
    <xf numFmtId="0" fontId="1" fillId="0" borderId="25" xfId="64" applyFont="1" applyFill="1" applyBorder="1" applyAlignment="1">
      <alignment horizontal="center" vertical="center"/>
      <protection/>
    </xf>
    <xf numFmtId="0" fontId="1" fillId="0" borderId="10" xfId="64" applyFont="1" applyFill="1" applyBorder="1" applyAlignment="1">
      <alignment horizontal="center" vertical="center"/>
      <protection/>
    </xf>
    <xf numFmtId="0" fontId="1" fillId="0" borderId="38" xfId="64" applyFont="1" applyFill="1" applyBorder="1" applyAlignment="1">
      <alignment horizontal="center" vertical="center"/>
      <protection/>
    </xf>
    <xf numFmtId="0" fontId="1" fillId="0" borderId="39" xfId="64" applyFont="1" applyFill="1" applyBorder="1" applyAlignment="1">
      <alignment horizontal="center" vertical="center"/>
      <protection/>
    </xf>
    <xf numFmtId="0" fontId="1" fillId="0" borderId="51" xfId="64" applyFont="1" applyFill="1" applyBorder="1" applyAlignment="1">
      <alignment horizontal="center" vertical="center"/>
      <protection/>
    </xf>
    <xf numFmtId="0" fontId="1" fillId="0" borderId="152" xfId="64" applyFont="1" applyFill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right"/>
      <protection/>
    </xf>
    <xf numFmtId="0" fontId="3" fillId="0" borderId="0" xfId="64" applyFont="1" applyFill="1" applyAlignment="1">
      <alignment horizontal="center" vertical="center"/>
      <protection/>
    </xf>
    <xf numFmtId="0" fontId="2" fillId="0" borderId="32" xfId="64" applyFont="1" applyFill="1" applyBorder="1" applyAlignment="1">
      <alignment horizontal="left"/>
      <protection/>
    </xf>
    <xf numFmtId="0" fontId="4" fillId="0" borderId="25" xfId="62" applyFont="1" applyFill="1" applyBorder="1" applyAlignment="1" applyProtection="1">
      <alignment horizontal="center" vertical="center" wrapText="1"/>
      <protection/>
    </xf>
    <xf numFmtId="0" fontId="4" fillId="0" borderId="28" xfId="62" applyFont="1" applyFill="1" applyBorder="1" applyAlignment="1" applyProtection="1">
      <alignment horizontal="center" vertical="center" wrapText="1"/>
      <protection/>
    </xf>
    <xf numFmtId="164" fontId="4" fillId="0" borderId="25" xfId="0" applyNumberFormat="1" applyFont="1" applyFill="1" applyBorder="1" applyAlignment="1" applyProtection="1">
      <alignment horizontal="center" vertical="center" wrapText="1"/>
      <protection/>
    </xf>
    <xf numFmtId="164" fontId="4" fillId="0" borderId="28" xfId="0" applyNumberFormat="1" applyFont="1" applyFill="1" applyBorder="1" applyAlignment="1" applyProtection="1">
      <alignment horizontal="center" vertical="center" wrapText="1"/>
      <protection/>
    </xf>
    <xf numFmtId="164" fontId="4" fillId="0" borderId="55" xfId="0" applyNumberFormat="1" applyFont="1" applyFill="1" applyBorder="1" applyAlignment="1" applyProtection="1">
      <alignment horizontal="center" vertical="center" wrapText="1"/>
      <protection/>
    </xf>
    <xf numFmtId="164" fontId="4" fillId="0" borderId="53" xfId="0" applyNumberFormat="1" applyFont="1" applyFill="1" applyBorder="1" applyAlignment="1" applyProtection="1">
      <alignment horizontal="center" vertical="center" wrapText="1"/>
      <protection/>
    </xf>
    <xf numFmtId="164" fontId="4" fillId="0" borderId="24" xfId="0" applyNumberFormat="1" applyFont="1" applyFill="1" applyBorder="1" applyAlignment="1" applyProtection="1">
      <alignment horizontal="center" vertical="center" wrapText="1"/>
      <protection/>
    </xf>
    <xf numFmtId="164" fontId="4" fillId="0" borderId="27" xfId="0" applyNumberFormat="1" applyFont="1" applyFill="1" applyBorder="1" applyAlignment="1" applyProtection="1">
      <alignment horizontal="center" vertical="center" wrapText="1"/>
      <protection/>
    </xf>
    <xf numFmtId="164" fontId="4" fillId="0" borderId="28" xfId="0" applyNumberFormat="1" applyFont="1" applyFill="1" applyBorder="1" applyAlignment="1" applyProtection="1">
      <alignment horizontal="center" vertical="center"/>
      <protection/>
    </xf>
    <xf numFmtId="164" fontId="4" fillId="0" borderId="174" xfId="0" applyNumberFormat="1" applyFont="1" applyFill="1" applyBorder="1" applyAlignment="1">
      <alignment horizontal="center" vertical="center" wrapText="1"/>
    </xf>
    <xf numFmtId="164" fontId="4" fillId="0" borderId="175" xfId="0" applyNumberFormat="1" applyFont="1" applyFill="1" applyBorder="1" applyAlignment="1">
      <alignment horizontal="center" vertical="center" wrapText="1"/>
    </xf>
    <xf numFmtId="164" fontId="4" fillId="0" borderId="53" xfId="0" applyNumberFormat="1" applyFont="1" applyFill="1" applyBorder="1" applyAlignment="1">
      <alignment horizontal="center" vertical="center" wrapText="1"/>
    </xf>
    <xf numFmtId="164" fontId="4" fillId="0" borderId="55" xfId="0" applyNumberFormat="1" applyFont="1" applyFill="1" applyBorder="1" applyAlignment="1">
      <alignment horizontal="center" vertical="center"/>
    </xf>
    <xf numFmtId="164" fontId="4" fillId="0" borderId="53" xfId="0" applyNumberFormat="1" applyFont="1" applyFill="1" applyBorder="1" applyAlignment="1">
      <alignment horizontal="center" vertical="center"/>
    </xf>
    <xf numFmtId="164" fontId="4" fillId="0" borderId="163" xfId="0" applyNumberFormat="1" applyFont="1" applyFill="1" applyBorder="1" applyAlignment="1">
      <alignment horizontal="center" vertical="center" wrapText="1"/>
    </xf>
    <xf numFmtId="164" fontId="4" fillId="0" borderId="52" xfId="0" applyNumberFormat="1" applyFont="1" applyFill="1" applyBorder="1" applyAlignment="1">
      <alignment horizontal="center" vertical="center" wrapText="1"/>
    </xf>
    <xf numFmtId="164" fontId="4" fillId="0" borderId="61" xfId="0" applyNumberFormat="1" applyFont="1" applyFill="1" applyBorder="1" applyAlignment="1">
      <alignment horizontal="center" vertical="center" wrapText="1"/>
    </xf>
    <xf numFmtId="164" fontId="4" fillId="0" borderId="104" xfId="0" applyNumberFormat="1" applyFont="1" applyFill="1" applyBorder="1" applyAlignment="1">
      <alignment horizontal="center" vertical="center" wrapText="1"/>
    </xf>
    <xf numFmtId="0" fontId="4" fillId="0" borderId="163" xfId="0" applyFont="1" applyFill="1" applyBorder="1" applyAlignment="1" applyProtection="1">
      <alignment horizontal="left" vertical="center" wrapText="1"/>
      <protection/>
    </xf>
    <xf numFmtId="0" fontId="4" fillId="0" borderId="58" xfId="0" applyFont="1" applyFill="1" applyBorder="1" applyAlignment="1" applyProtection="1">
      <alignment horizontal="left" vertical="center" wrapText="1"/>
      <protection/>
    </xf>
    <xf numFmtId="0" fontId="4" fillId="0" borderId="174" xfId="0" applyFont="1" applyFill="1" applyBorder="1" applyAlignment="1" applyProtection="1">
      <alignment horizontal="left" vertical="center" wrapText="1"/>
      <protection/>
    </xf>
    <xf numFmtId="0" fontId="11" fillId="0" borderId="34" xfId="0" applyFont="1" applyFill="1" applyBorder="1" applyAlignment="1" applyProtection="1">
      <alignment horizontal="left" vertical="center"/>
      <protection/>
    </xf>
    <xf numFmtId="0" fontId="11" fillId="0" borderId="49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left" vertical="center"/>
      <protection/>
    </xf>
    <xf numFmtId="0" fontId="1" fillId="0" borderId="49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32" xfId="0" applyFont="1" applyFill="1" applyBorder="1" applyAlignment="1">
      <alignment horizontal="right"/>
    </xf>
    <xf numFmtId="0" fontId="4" fillId="0" borderId="163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/>
    </xf>
    <xf numFmtId="0" fontId="4" fillId="0" borderId="16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63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174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justify" vertical="center" wrapText="1"/>
    </xf>
    <xf numFmtId="0" fontId="4" fillId="0" borderId="34" xfId="0" applyFont="1" applyFill="1" applyBorder="1" applyAlignment="1">
      <alignment horizontal="left" vertical="center" indent="2"/>
    </xf>
    <xf numFmtId="0" fontId="4" fillId="0" borderId="49" xfId="0" applyFont="1" applyFill="1" applyBorder="1" applyAlignment="1">
      <alignment horizontal="left" vertical="center" indent="2"/>
    </xf>
    <xf numFmtId="0" fontId="29" fillId="0" borderId="0" xfId="70" applyFont="1" applyFill="1" applyBorder="1" applyAlignment="1">
      <alignment horizontal="center" vertical="center" wrapText="1"/>
      <protection/>
    </xf>
    <xf numFmtId="0" fontId="30" fillId="0" borderId="0" xfId="70" applyFont="1" applyFill="1" applyBorder="1" applyAlignment="1">
      <alignment horizontal="right"/>
      <protection/>
    </xf>
    <xf numFmtId="0" fontId="31" fillId="0" borderId="124" xfId="70" applyFont="1" applyFill="1" applyBorder="1" applyAlignment="1">
      <alignment horizontal="center" vertical="center" wrapText="1"/>
      <protection/>
    </xf>
    <xf numFmtId="0" fontId="20" fillId="0" borderId="73" xfId="69" applyFont="1" applyFill="1" applyBorder="1" applyAlignment="1" applyProtection="1">
      <alignment horizontal="center" vertical="center" textRotation="90"/>
      <protection/>
    </xf>
    <xf numFmtId="0" fontId="30" fillId="0" borderId="73" xfId="70" applyFont="1" applyFill="1" applyBorder="1" applyAlignment="1">
      <alignment horizontal="center" vertical="center" wrapText="1"/>
      <protection/>
    </xf>
    <xf numFmtId="0" fontId="30" fillId="0" borderId="111" xfId="70" applyFont="1" applyFill="1" applyBorder="1" applyAlignment="1">
      <alignment horizontal="center" vertical="center" wrapText="1"/>
      <protection/>
    </xf>
    <xf numFmtId="0" fontId="30" fillId="0" borderId="107" xfId="70" applyFont="1" applyFill="1" applyBorder="1" applyAlignment="1">
      <alignment horizontal="center" wrapText="1"/>
      <protection/>
    </xf>
    <xf numFmtId="0" fontId="1" fillId="0" borderId="0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Fill="1" applyBorder="1" applyAlignment="1" applyProtection="1">
      <alignment horizontal="center" vertical="center" wrapText="1"/>
      <protection/>
    </xf>
    <xf numFmtId="0" fontId="20" fillId="0" borderId="0" xfId="68" applyFont="1" applyFill="1" applyBorder="1" applyAlignment="1" applyProtection="1">
      <alignment horizontal="right" vertical="center"/>
      <protection/>
    </xf>
    <xf numFmtId="0" fontId="3" fillId="0" borderId="124" xfId="68" applyFont="1" applyFill="1" applyBorder="1" applyAlignment="1" applyProtection="1">
      <alignment horizontal="center" vertical="center" wrapText="1"/>
      <protection/>
    </xf>
    <xf numFmtId="0" fontId="20" fillId="0" borderId="73" xfId="68" applyFont="1" applyFill="1" applyBorder="1" applyAlignment="1" applyProtection="1">
      <alignment horizontal="center" vertical="center" textRotation="90"/>
      <protection/>
    </xf>
    <xf numFmtId="0" fontId="2" fillId="0" borderId="111" xfId="68" applyFont="1" applyFill="1" applyBorder="1" applyAlignment="1" applyProtection="1">
      <alignment horizontal="center" vertical="center" wrapText="1"/>
      <protection/>
    </xf>
    <xf numFmtId="0" fontId="29" fillId="0" borderId="0" xfId="70" applyFont="1" applyFill="1" applyAlignment="1">
      <alignment horizontal="center" vertical="center" wrapText="1"/>
      <protection/>
    </xf>
    <xf numFmtId="0" fontId="29" fillId="0" borderId="0" xfId="70" applyFont="1" applyFill="1" applyAlignment="1">
      <alignment horizontal="center" vertical="center"/>
      <protection/>
    </xf>
    <xf numFmtId="0" fontId="15" fillId="0" borderId="34" xfId="70" applyFont="1" applyFill="1" applyBorder="1" applyAlignment="1">
      <alignment horizontal="left"/>
      <protection/>
    </xf>
    <xf numFmtId="0" fontId="15" fillId="0" borderId="49" xfId="70" applyFont="1" applyFill="1" applyBorder="1" applyAlignment="1">
      <alignment horizontal="left"/>
      <protection/>
    </xf>
    <xf numFmtId="3" fontId="27" fillId="0" borderId="0" xfId="70" applyNumberFormat="1" applyFont="1" applyFill="1" applyAlignment="1">
      <alignment horizontal="center"/>
      <protection/>
    </xf>
    <xf numFmtId="0" fontId="29" fillId="0" borderId="0" xfId="70" applyFont="1" applyFill="1" applyAlignment="1">
      <alignment horizontal="center" wrapText="1"/>
      <protection/>
    </xf>
    <xf numFmtId="0" fontId="29" fillId="0" borderId="0" xfId="70" applyFont="1" applyFill="1" applyAlignment="1">
      <alignment horizontal="center"/>
      <protection/>
    </xf>
    <xf numFmtId="0" fontId="15" fillId="0" borderId="34" xfId="70" applyFont="1" applyFill="1" applyBorder="1" applyAlignment="1">
      <alignment horizontal="left" indent="1"/>
      <protection/>
    </xf>
    <xf numFmtId="0" fontId="15" fillId="0" borderId="49" xfId="70" applyFont="1" applyFill="1" applyBorder="1" applyAlignment="1">
      <alignment horizontal="left" indent="1"/>
      <protection/>
    </xf>
    <xf numFmtId="0" fontId="62" fillId="0" borderId="0" xfId="0" applyFont="1" applyAlignment="1" applyProtection="1">
      <alignment horizontal="center" vertical="center" wrapText="1"/>
      <protection locked="0"/>
    </xf>
    <xf numFmtId="0" fontId="58" fillId="0" borderId="22" xfId="0" applyFont="1" applyBorder="1" applyAlignment="1" applyProtection="1">
      <alignment wrapText="1"/>
      <protection/>
    </xf>
    <xf numFmtId="0" fontId="58" fillId="0" borderId="23" xfId="0" applyFont="1" applyBorder="1" applyAlignment="1" applyProtection="1">
      <alignment wrapText="1"/>
      <protection/>
    </xf>
    <xf numFmtId="0" fontId="61" fillId="0" borderId="0" xfId="0" applyFont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center" vertical="top" wrapText="1"/>
      <protection locked="0"/>
    </xf>
    <xf numFmtId="0" fontId="3" fillId="0" borderId="0" xfId="66" applyFont="1" applyFill="1" applyAlignment="1" applyProtection="1">
      <alignment horizontal="center" wrapText="1"/>
      <protection/>
    </xf>
    <xf numFmtId="0" fontId="3" fillId="0" borderId="0" xfId="66" applyFont="1" applyFill="1" applyAlignment="1" applyProtection="1">
      <alignment horizontal="center"/>
      <protection/>
    </xf>
    <xf numFmtId="0" fontId="20" fillId="0" borderId="41" xfId="66" applyFont="1" applyFill="1" applyBorder="1" applyAlignment="1" applyProtection="1">
      <alignment horizontal="left" vertical="center" indent="1"/>
      <protection/>
    </xf>
    <xf numFmtId="0" fontId="20" fillId="0" borderId="168" xfId="66" applyFont="1" applyFill="1" applyBorder="1" applyAlignment="1" applyProtection="1">
      <alignment horizontal="left" vertical="center" indent="1"/>
      <protection/>
    </xf>
    <xf numFmtId="0" fontId="20" fillId="0" borderId="47" xfId="66" applyFont="1" applyFill="1" applyBorder="1" applyAlignment="1" applyProtection="1">
      <alignment horizontal="left" vertical="center" indent="1"/>
      <protection/>
    </xf>
    <xf numFmtId="0" fontId="20" fillId="0" borderId="43" xfId="66" applyFont="1" applyFill="1" applyBorder="1" applyAlignment="1" applyProtection="1">
      <alignment horizontal="left" vertical="center" indent="1"/>
      <protection/>
    </xf>
  </cellXfs>
  <cellStyles count="6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perhivatkozá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Már látott hiperhivatkozás" xfId="58"/>
    <cellStyle name="Followed Hyperlink" xfId="59"/>
    <cellStyle name="Normál_6-tól 9-ig 2013 zárszámhoz Erikának" xfId="60"/>
    <cellStyle name="Normál_Előirányzat módosítás 12_31_én" xfId="61"/>
    <cellStyle name="Normál_KVRENMUNKA" xfId="62"/>
    <cellStyle name="Normál_KVRENMUNKA_6-tól 9-ig 2013 zárszámhoz Erikának" xfId="63"/>
    <cellStyle name="Normál_minta" xfId="64"/>
    <cellStyle name="Normál_pénzmar" xfId="65"/>
    <cellStyle name="Normál_SEGEDLETEK" xfId="66"/>
    <cellStyle name="Normál_VAGYONK" xfId="67"/>
    <cellStyle name="Normál_VAGYONK_tavalyi táblák vagyonra 2012 jó lesz idén is2014" xfId="68"/>
    <cellStyle name="Normál_VAGYONK_zárszáadási_táblázat_2011_most mentett_2012_04_11" xfId="69"/>
    <cellStyle name="Normál_VAGYONKIM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M40" sqref="M40"/>
    </sheetView>
  </sheetViews>
  <sheetFormatPr defaultColWidth="9.00390625" defaultRowHeight="12.75"/>
  <cols>
    <col min="1" max="1" width="46.375" style="0" customWidth="1"/>
    <col min="2" max="2" width="66.125" style="0" customWidth="1"/>
  </cols>
  <sheetData>
    <row r="1" ht="18.75">
      <c r="A1" s="61" t="s">
        <v>259</v>
      </c>
    </row>
    <row r="3" spans="1:2" ht="12.75">
      <c r="A3" s="63"/>
      <c r="B3" s="63"/>
    </row>
    <row r="4" spans="1:2" ht="15.75">
      <c r="A4" s="55" t="s">
        <v>129</v>
      </c>
      <c r="B4" s="72"/>
    </row>
    <row r="5" spans="1:2" s="73" customFormat="1" ht="12.75">
      <c r="A5" s="63"/>
      <c r="B5" s="63"/>
    </row>
    <row r="6" spans="1:2" ht="12.75">
      <c r="A6" s="63" t="s">
        <v>340</v>
      </c>
      <c r="B6" s="63" t="s">
        <v>512</v>
      </c>
    </row>
    <row r="7" spans="1:2" ht="12.75">
      <c r="A7" s="63" t="s">
        <v>260</v>
      </c>
      <c r="B7" s="63" t="s">
        <v>519</v>
      </c>
    </row>
    <row r="8" spans="1:2" ht="12.75">
      <c r="A8" s="63" t="s">
        <v>479</v>
      </c>
      <c r="B8" s="63" t="s">
        <v>524</v>
      </c>
    </row>
    <row r="9" spans="1:2" ht="12.75">
      <c r="A9" s="63"/>
      <c r="B9" s="63"/>
    </row>
    <row r="10" spans="1:2" ht="15.75">
      <c r="A10" s="55" t="s">
        <v>131</v>
      </c>
      <c r="B10" s="72"/>
    </row>
    <row r="11" spans="1:2" ht="12.75">
      <c r="A11" s="63"/>
      <c r="B11" s="63"/>
    </row>
    <row r="12" spans="1:2" s="73" customFormat="1" ht="12.75">
      <c r="A12" s="63" t="s">
        <v>496</v>
      </c>
      <c r="B12" s="63" t="s">
        <v>513</v>
      </c>
    </row>
    <row r="13" spans="1:2" ht="12.75">
      <c r="A13" s="63" t="s">
        <v>497</v>
      </c>
      <c r="B13" s="63" t="s">
        <v>520</v>
      </c>
    </row>
    <row r="14" spans="1:2" ht="12.75">
      <c r="A14" s="63" t="s">
        <v>498</v>
      </c>
      <c r="B14" s="63" t="s">
        <v>525</v>
      </c>
    </row>
    <row r="15" spans="1:2" ht="12.75">
      <c r="A15" s="63"/>
      <c r="B15" s="63"/>
    </row>
    <row r="16" spans="1:2" ht="14.25">
      <c r="A16" s="214" t="s">
        <v>657</v>
      </c>
      <c r="B16" s="72"/>
    </row>
    <row r="17" spans="1:2" ht="12.75">
      <c r="A17" s="63"/>
      <c r="B17" s="63"/>
    </row>
    <row r="18" spans="1:2" ht="12.75">
      <c r="A18" s="63" t="s">
        <v>499</v>
      </c>
      <c r="B18" s="63" t="s">
        <v>514</v>
      </c>
    </row>
    <row r="19" spans="1:2" ht="12.75">
      <c r="A19" s="63" t="s">
        <v>494</v>
      </c>
      <c r="B19" s="63" t="s">
        <v>521</v>
      </c>
    </row>
    <row r="20" spans="1:2" ht="12.75">
      <c r="A20" s="63" t="s">
        <v>500</v>
      </c>
      <c r="B20" s="63" t="s">
        <v>653</v>
      </c>
    </row>
    <row r="21" spans="1:2" ht="12.75">
      <c r="A21" s="63"/>
      <c r="B21" s="63"/>
    </row>
    <row r="22" spans="1:2" ht="15.75">
      <c r="A22" s="55" t="s">
        <v>130</v>
      </c>
      <c r="B22" s="72"/>
    </row>
    <row r="23" spans="1:2" ht="12.75">
      <c r="A23" s="63"/>
      <c r="B23" s="63"/>
    </row>
    <row r="24" spans="1:2" ht="12.75">
      <c r="A24" s="63" t="s">
        <v>273</v>
      </c>
      <c r="B24" s="63" t="s">
        <v>515</v>
      </c>
    </row>
    <row r="25" spans="1:2" ht="12.75">
      <c r="A25" s="63" t="s">
        <v>261</v>
      </c>
      <c r="B25" s="63" t="s">
        <v>522</v>
      </c>
    </row>
    <row r="26" spans="1:2" ht="12.75">
      <c r="A26" s="63" t="s">
        <v>480</v>
      </c>
      <c r="B26" s="63" t="s">
        <v>654</v>
      </c>
    </row>
    <row r="27" spans="1:2" ht="12.75">
      <c r="A27" s="63"/>
      <c r="B27" s="63"/>
    </row>
    <row r="28" spans="1:2" ht="15.75">
      <c r="A28" s="55" t="s">
        <v>132</v>
      </c>
      <c r="B28" s="72"/>
    </row>
    <row r="29" spans="1:2" ht="12.75">
      <c r="A29" s="63"/>
      <c r="B29" s="63"/>
    </row>
    <row r="30" spans="1:2" ht="12.75">
      <c r="A30" s="63" t="s">
        <v>501</v>
      </c>
      <c r="B30" s="63" t="s">
        <v>516</v>
      </c>
    </row>
    <row r="31" spans="1:2" ht="12.75">
      <c r="A31" s="63" t="s">
        <v>133</v>
      </c>
      <c r="B31" s="63" t="s">
        <v>523</v>
      </c>
    </row>
    <row r="32" spans="1:2" ht="12.75">
      <c r="A32" s="63" t="s">
        <v>134</v>
      </c>
      <c r="B32" s="63" t="s">
        <v>655</v>
      </c>
    </row>
    <row r="33" spans="1:2" ht="12.75">
      <c r="A33" s="63"/>
      <c r="B33" s="63"/>
    </row>
    <row r="34" spans="1:2" ht="15.75">
      <c r="A34" s="215" t="s">
        <v>658</v>
      </c>
      <c r="B34" s="72"/>
    </row>
    <row r="35" spans="1:2" ht="12.75">
      <c r="A35" s="63"/>
      <c r="B35" s="63"/>
    </row>
    <row r="36" spans="1:2" ht="12.75">
      <c r="A36" s="63" t="s">
        <v>495</v>
      </c>
      <c r="B36" s="63" t="s">
        <v>517</v>
      </c>
    </row>
    <row r="37" spans="1:2" ht="12.75">
      <c r="A37" s="63" t="s">
        <v>136</v>
      </c>
      <c r="B37" s="63" t="s">
        <v>518</v>
      </c>
    </row>
    <row r="38" spans="1:2" ht="12.75">
      <c r="A38" s="63" t="s">
        <v>135</v>
      </c>
      <c r="B38" s="63" t="s">
        <v>656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zoomScaleSheetLayoutView="130" workbookViewId="0" topLeftCell="A1">
      <selection activeCell="F53" sqref="F53:F54"/>
    </sheetView>
  </sheetViews>
  <sheetFormatPr defaultColWidth="9.00390625" defaultRowHeight="12.75"/>
  <cols>
    <col min="1" max="1" width="56.875" style="33" customWidth="1"/>
    <col min="2" max="7" width="15.875" style="32" customWidth="1"/>
    <col min="8" max="8" width="12.875" style="32" customWidth="1"/>
    <col min="9" max="9" width="13.875" style="32" customWidth="1"/>
    <col min="10" max="16384" width="9.375" style="32" customWidth="1"/>
  </cols>
  <sheetData>
    <row r="1" spans="1:7" ht="24.75" customHeight="1">
      <c r="A1" s="1170" t="s">
        <v>141</v>
      </c>
      <c r="B1" s="1170"/>
      <c r="C1" s="1170"/>
      <c r="D1" s="1170"/>
      <c r="E1" s="1170"/>
      <c r="F1" s="1170"/>
      <c r="G1" s="1170"/>
    </row>
    <row r="2" spans="1:7" ht="23.25" customHeight="1" thickBot="1">
      <c r="A2" s="78"/>
      <c r="B2" s="41"/>
      <c r="C2" s="41"/>
      <c r="D2" s="41"/>
      <c r="E2" s="41"/>
      <c r="F2" s="1169" t="s">
        <v>187</v>
      </c>
      <c r="G2" s="1169"/>
    </row>
    <row r="3" spans="1:7" s="34" customFormat="1" ht="48.75" customHeight="1" thickBot="1">
      <c r="A3" s="79" t="s">
        <v>194</v>
      </c>
      <c r="B3" s="80" t="s">
        <v>192</v>
      </c>
      <c r="C3" s="80" t="s">
        <v>193</v>
      </c>
      <c r="D3" s="80" t="s">
        <v>139</v>
      </c>
      <c r="E3" s="80" t="s">
        <v>128</v>
      </c>
      <c r="F3" s="292" t="s">
        <v>661</v>
      </c>
      <c r="G3" s="291" t="s">
        <v>662</v>
      </c>
    </row>
    <row r="4" spans="1:7" s="41" customFormat="1" ht="15" customHeight="1" thickBot="1">
      <c r="A4" s="38">
        <v>1</v>
      </c>
      <c r="B4" s="39">
        <v>2</v>
      </c>
      <c r="C4" s="39">
        <v>3</v>
      </c>
      <c r="D4" s="39">
        <v>4</v>
      </c>
      <c r="E4" s="39">
        <v>5</v>
      </c>
      <c r="F4" s="216">
        <v>6</v>
      </c>
      <c r="G4" s="40" t="s">
        <v>493</v>
      </c>
    </row>
    <row r="5" spans="1:7" ht="15.75" customHeight="1">
      <c r="A5" s="558" t="s">
        <v>100</v>
      </c>
      <c r="B5" s="560">
        <v>19002</v>
      </c>
      <c r="C5" s="557" t="s">
        <v>101</v>
      </c>
      <c r="D5" s="556"/>
      <c r="E5" s="556">
        <v>19002</v>
      </c>
      <c r="F5" s="217">
        <v>4340</v>
      </c>
      <c r="G5" s="218">
        <f>+D5+F5</f>
        <v>4340</v>
      </c>
    </row>
    <row r="6" spans="1:7" ht="15.75" customHeight="1">
      <c r="A6" s="558" t="s">
        <v>102</v>
      </c>
      <c r="B6" s="556">
        <v>67</v>
      </c>
      <c r="C6" s="557" t="s">
        <v>101</v>
      </c>
      <c r="D6" s="556"/>
      <c r="E6" s="556">
        <v>67</v>
      </c>
      <c r="F6" s="217">
        <v>66</v>
      </c>
      <c r="G6" s="218">
        <f>+D6+F6</f>
        <v>66</v>
      </c>
    </row>
    <row r="7" spans="1:7" ht="15.75" customHeight="1">
      <c r="A7" s="48"/>
      <c r="B7" s="22"/>
      <c r="C7" s="492"/>
      <c r="D7" s="22"/>
      <c r="E7" s="22"/>
      <c r="F7" s="217"/>
      <c r="G7" s="218">
        <f aca="true" t="shared" si="0" ref="G7:G23">+D7+F7</f>
        <v>0</v>
      </c>
    </row>
    <row r="8" spans="1:7" ht="15.75" customHeight="1">
      <c r="A8" s="48"/>
      <c r="B8" s="22"/>
      <c r="C8" s="492"/>
      <c r="D8" s="22"/>
      <c r="E8" s="22"/>
      <c r="F8" s="217"/>
      <c r="G8" s="218">
        <f t="shared" si="0"/>
        <v>0</v>
      </c>
    </row>
    <row r="9" spans="1:7" ht="15.75" customHeight="1">
      <c r="A9" s="48"/>
      <c r="B9" s="22"/>
      <c r="C9" s="492"/>
      <c r="D9" s="22"/>
      <c r="E9" s="22"/>
      <c r="F9" s="217"/>
      <c r="G9" s="218">
        <f t="shared" si="0"/>
        <v>0</v>
      </c>
    </row>
    <row r="10" spans="1:7" ht="15.75" customHeight="1">
      <c r="A10" s="48"/>
      <c r="B10" s="22"/>
      <c r="C10" s="492"/>
      <c r="D10" s="22"/>
      <c r="E10" s="22"/>
      <c r="F10" s="217"/>
      <c r="G10" s="218">
        <f t="shared" si="0"/>
        <v>0</v>
      </c>
    </row>
    <row r="11" spans="1:7" ht="15.75" customHeight="1">
      <c r="A11" s="48"/>
      <c r="B11" s="22"/>
      <c r="C11" s="492"/>
      <c r="D11" s="22"/>
      <c r="E11" s="22"/>
      <c r="F11" s="217"/>
      <c r="G11" s="218">
        <f t="shared" si="0"/>
        <v>0</v>
      </c>
    </row>
    <row r="12" spans="1:7" ht="15.75" customHeight="1">
      <c r="A12" s="48"/>
      <c r="B12" s="22"/>
      <c r="C12" s="492"/>
      <c r="D12" s="22"/>
      <c r="E12" s="22"/>
      <c r="F12" s="217"/>
      <c r="G12" s="218">
        <f t="shared" si="0"/>
        <v>0</v>
      </c>
    </row>
    <row r="13" spans="1:7" ht="15.75" customHeight="1">
      <c r="A13" s="48"/>
      <c r="B13" s="22"/>
      <c r="C13" s="492"/>
      <c r="D13" s="22"/>
      <c r="E13" s="22"/>
      <c r="F13" s="217"/>
      <c r="G13" s="218">
        <f t="shared" si="0"/>
        <v>0</v>
      </c>
    </row>
    <row r="14" spans="1:7" ht="15.75" customHeight="1">
      <c r="A14" s="48"/>
      <c r="B14" s="22"/>
      <c r="C14" s="492"/>
      <c r="D14" s="22"/>
      <c r="E14" s="22"/>
      <c r="F14" s="217"/>
      <c r="G14" s="218">
        <f t="shared" si="0"/>
        <v>0</v>
      </c>
    </row>
    <row r="15" spans="1:7" ht="15.75" customHeight="1">
      <c r="A15" s="48"/>
      <c r="B15" s="22"/>
      <c r="C15" s="492"/>
      <c r="D15" s="22"/>
      <c r="E15" s="22"/>
      <c r="F15" s="217"/>
      <c r="G15" s="218">
        <f t="shared" si="0"/>
        <v>0</v>
      </c>
    </row>
    <row r="16" spans="1:7" ht="15.75" customHeight="1">
      <c r="A16" s="48"/>
      <c r="B16" s="22"/>
      <c r="C16" s="492"/>
      <c r="D16" s="22"/>
      <c r="E16" s="22"/>
      <c r="F16" s="217"/>
      <c r="G16" s="218">
        <f t="shared" si="0"/>
        <v>0</v>
      </c>
    </row>
    <row r="17" spans="1:7" ht="15.75" customHeight="1">
      <c r="A17" s="48"/>
      <c r="B17" s="22"/>
      <c r="C17" s="492"/>
      <c r="D17" s="22"/>
      <c r="E17" s="22"/>
      <c r="F17" s="217"/>
      <c r="G17" s="218">
        <f t="shared" si="0"/>
        <v>0</v>
      </c>
    </row>
    <row r="18" spans="1:7" ht="15.75" customHeight="1">
      <c r="A18" s="48"/>
      <c r="B18" s="22"/>
      <c r="C18" s="492"/>
      <c r="D18" s="22"/>
      <c r="E18" s="22"/>
      <c r="F18" s="217"/>
      <c r="G18" s="218">
        <f t="shared" si="0"/>
        <v>0</v>
      </c>
    </row>
    <row r="19" spans="1:7" ht="15.75" customHeight="1">
      <c r="A19" s="48"/>
      <c r="B19" s="22"/>
      <c r="C19" s="492"/>
      <c r="D19" s="22"/>
      <c r="E19" s="22"/>
      <c r="F19" s="217"/>
      <c r="G19" s="218">
        <f t="shared" si="0"/>
        <v>0</v>
      </c>
    </row>
    <row r="20" spans="1:7" ht="15.75" customHeight="1">
      <c r="A20" s="48"/>
      <c r="B20" s="22"/>
      <c r="C20" s="492"/>
      <c r="D20" s="22"/>
      <c r="E20" s="22"/>
      <c r="F20" s="217"/>
      <c r="G20" s="218">
        <f t="shared" si="0"/>
        <v>0</v>
      </c>
    </row>
    <row r="21" spans="1:7" ht="15.75" customHeight="1">
      <c r="A21" s="48"/>
      <c r="B21" s="22"/>
      <c r="C21" s="492"/>
      <c r="D21" s="22"/>
      <c r="E21" s="22"/>
      <c r="F21" s="217"/>
      <c r="G21" s="218">
        <f t="shared" si="0"/>
        <v>0</v>
      </c>
    </row>
    <row r="22" spans="1:7" ht="15.75" customHeight="1">
      <c r="A22" s="48"/>
      <c r="B22" s="22"/>
      <c r="C22" s="492"/>
      <c r="D22" s="22"/>
      <c r="E22" s="22"/>
      <c r="F22" s="217"/>
      <c r="G22" s="218">
        <f t="shared" si="0"/>
        <v>0</v>
      </c>
    </row>
    <row r="23" spans="1:7" ht="15.75" customHeight="1" thickBot="1">
      <c r="A23" s="49"/>
      <c r="B23" s="23"/>
      <c r="C23" s="493"/>
      <c r="D23" s="23"/>
      <c r="E23" s="23"/>
      <c r="F23" s="219"/>
      <c r="G23" s="218">
        <f t="shared" si="0"/>
        <v>0</v>
      </c>
    </row>
    <row r="24" spans="1:7" s="47" customFormat="1" ht="18" customHeight="1" thickBot="1">
      <c r="A24" s="81" t="s">
        <v>190</v>
      </c>
      <c r="B24" s="45">
        <f>SUM(B5:B23)</f>
        <v>19069</v>
      </c>
      <c r="C24" s="56"/>
      <c r="D24" s="45">
        <f>SUM(D5:D23)</f>
        <v>0</v>
      </c>
      <c r="E24" s="45">
        <f>SUM(E5:E23)</f>
        <v>19069</v>
      </c>
      <c r="F24" s="45">
        <f>SUM(F5:F23)</f>
        <v>4406</v>
      </c>
      <c r="G24" s="46">
        <f>SUM(G5:G23)</f>
        <v>4406</v>
      </c>
    </row>
  </sheetData>
  <sheetProtection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94" r:id="rId1"/>
  <headerFooter alignWithMargins="0">
    <oddHeader>&amp;R&amp;"Times New Roman CE,Félkövér dőlt"&amp;12 4. melléklet a ....../2014. (......)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48"/>
  <sheetViews>
    <sheetView zoomScaleSheetLayoutView="100" workbookViewId="0" topLeftCell="A4">
      <selection activeCell="F53" sqref="F53:F54"/>
    </sheetView>
  </sheetViews>
  <sheetFormatPr defaultColWidth="9.00390625" defaultRowHeight="12.75"/>
  <cols>
    <col min="1" max="1" width="28.50390625" style="36" customWidth="1"/>
    <col min="2" max="13" width="10.00390625" style="36" customWidth="1"/>
    <col min="14" max="16384" width="9.375" style="36" customWidth="1"/>
  </cols>
  <sheetData>
    <row r="1" spans="1:13" ht="15.75" customHeight="1">
      <c r="A1" s="1171" t="s">
        <v>1007</v>
      </c>
      <c r="B1" s="1171"/>
      <c r="C1" s="1171"/>
      <c r="D1" s="1171"/>
      <c r="E1" s="1171"/>
      <c r="F1" s="1171"/>
      <c r="G1" s="1171"/>
      <c r="H1" s="1171"/>
      <c r="I1" s="1171"/>
      <c r="J1" s="1171"/>
      <c r="K1" s="1171"/>
      <c r="L1" s="1171"/>
      <c r="M1" s="1171"/>
    </row>
    <row r="2" spans="1:13" ht="15.75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1187" t="s">
        <v>187</v>
      </c>
      <c r="M2" s="1187"/>
    </row>
    <row r="3" spans="1:13" ht="13.5" thickBot="1">
      <c r="A3" s="1150" t="s">
        <v>240</v>
      </c>
      <c r="B3" s="1189" t="s">
        <v>488</v>
      </c>
      <c r="C3" s="1189"/>
      <c r="D3" s="1189"/>
      <c r="E3" s="1189"/>
      <c r="F3" s="1189"/>
      <c r="G3" s="1189"/>
      <c r="H3" s="1189"/>
      <c r="I3" s="1189"/>
      <c r="J3" s="1178" t="s">
        <v>490</v>
      </c>
      <c r="K3" s="1178"/>
      <c r="L3" s="1178"/>
      <c r="M3" s="1178"/>
    </row>
    <row r="4" spans="1:13" ht="15" customHeight="1" thickBot="1">
      <c r="A4" s="1133"/>
      <c r="B4" s="1135" t="s">
        <v>491</v>
      </c>
      <c r="C4" s="1183" t="s">
        <v>492</v>
      </c>
      <c r="D4" s="1182" t="s">
        <v>484</v>
      </c>
      <c r="E4" s="1182"/>
      <c r="F4" s="1182"/>
      <c r="G4" s="1182"/>
      <c r="H4" s="1182"/>
      <c r="I4" s="1182"/>
      <c r="J4" s="1179"/>
      <c r="K4" s="1179"/>
      <c r="L4" s="1179"/>
      <c r="M4" s="1179"/>
    </row>
    <row r="5" spans="1:13" ht="21.75" thickBot="1">
      <c r="A5" s="1133"/>
      <c r="B5" s="1135"/>
      <c r="C5" s="1183"/>
      <c r="D5" s="221" t="s">
        <v>491</v>
      </c>
      <c r="E5" s="221" t="s">
        <v>492</v>
      </c>
      <c r="F5" s="221" t="s">
        <v>491</v>
      </c>
      <c r="G5" s="221" t="s">
        <v>492</v>
      </c>
      <c r="H5" s="221" t="s">
        <v>491</v>
      </c>
      <c r="I5" s="221" t="s">
        <v>492</v>
      </c>
      <c r="J5" s="1179"/>
      <c r="K5" s="1179"/>
      <c r="L5" s="1179"/>
      <c r="M5" s="1179"/>
    </row>
    <row r="6" spans="1:13" ht="42.75" thickBot="1">
      <c r="A6" s="1134"/>
      <c r="B6" s="1183" t="s">
        <v>485</v>
      </c>
      <c r="C6" s="1183"/>
      <c r="D6" s="1183" t="s">
        <v>137</v>
      </c>
      <c r="E6" s="1183"/>
      <c r="F6" s="1183" t="s">
        <v>663</v>
      </c>
      <c r="G6" s="1183"/>
      <c r="H6" s="1135" t="s">
        <v>138</v>
      </c>
      <c r="I6" s="1135"/>
      <c r="J6" s="220" t="s">
        <v>137</v>
      </c>
      <c r="K6" s="221" t="s">
        <v>663</v>
      </c>
      <c r="L6" s="220" t="s">
        <v>177</v>
      </c>
      <c r="M6" s="221" t="s">
        <v>664</v>
      </c>
    </row>
    <row r="7" spans="1:13" ht="13.5" thickBot="1">
      <c r="A7" s="222">
        <v>1</v>
      </c>
      <c r="B7" s="220">
        <v>2</v>
      </c>
      <c r="C7" s="220">
        <v>3</v>
      </c>
      <c r="D7" s="223">
        <v>4</v>
      </c>
      <c r="E7" s="221">
        <v>5</v>
      </c>
      <c r="F7" s="221">
        <v>6</v>
      </c>
      <c r="G7" s="221">
        <v>7</v>
      </c>
      <c r="H7" s="220">
        <v>8</v>
      </c>
      <c r="I7" s="223">
        <v>9</v>
      </c>
      <c r="J7" s="223">
        <v>10</v>
      </c>
      <c r="K7" s="223">
        <v>11</v>
      </c>
      <c r="L7" s="223" t="s">
        <v>487</v>
      </c>
      <c r="M7" s="224" t="s">
        <v>486</v>
      </c>
    </row>
    <row r="8" spans="1:13" ht="12.75">
      <c r="A8" s="225" t="s">
        <v>241</v>
      </c>
      <c r="B8" s="226"/>
      <c r="C8" s="245"/>
      <c r="D8" s="245"/>
      <c r="E8" s="256"/>
      <c r="F8" s="226"/>
      <c r="G8" s="245"/>
      <c r="H8" s="245"/>
      <c r="I8" s="245"/>
      <c r="J8" s="245"/>
      <c r="K8" s="245"/>
      <c r="L8" s="227">
        <f aca="true" t="shared" si="0" ref="L8:L14">+J8+K8</f>
        <v>0</v>
      </c>
      <c r="M8" s="260">
        <f>IF((C8&lt;&gt;0),ROUND((L8/C8)*100,1),"")</f>
      </c>
    </row>
    <row r="9" spans="1:13" ht="12.75">
      <c r="A9" s="228" t="s">
        <v>253</v>
      </c>
      <c r="B9" s="229"/>
      <c r="C9" s="230"/>
      <c r="D9" s="230"/>
      <c r="E9" s="230"/>
      <c r="F9" s="229"/>
      <c r="G9" s="230"/>
      <c r="H9" s="230"/>
      <c r="I9" s="230"/>
      <c r="J9" s="230"/>
      <c r="K9" s="230"/>
      <c r="L9" s="231">
        <f t="shared" si="0"/>
        <v>0</v>
      </c>
      <c r="M9" s="261">
        <f aca="true" t="shared" si="1" ref="M9:M14">IF((C9&lt;&gt;0),ROUND((L9/C9)*100,1),"")</f>
      </c>
    </row>
    <row r="10" spans="1:13" ht="12.75">
      <c r="A10" s="232" t="s">
        <v>242</v>
      </c>
      <c r="B10" s="233"/>
      <c r="C10" s="248"/>
      <c r="D10" s="248"/>
      <c r="E10" s="248"/>
      <c r="F10" s="233"/>
      <c r="G10" s="248"/>
      <c r="H10" s="248"/>
      <c r="I10" s="248"/>
      <c r="J10" s="248"/>
      <c r="K10" s="248"/>
      <c r="L10" s="231">
        <f t="shared" si="0"/>
        <v>0</v>
      </c>
      <c r="M10" s="261">
        <f t="shared" si="1"/>
      </c>
    </row>
    <row r="11" spans="1:13" ht="12.75">
      <c r="A11" s="232" t="s">
        <v>254</v>
      </c>
      <c r="B11" s="233"/>
      <c r="C11" s="248"/>
      <c r="D11" s="248"/>
      <c r="E11" s="248"/>
      <c r="F11" s="233"/>
      <c r="G11" s="248"/>
      <c r="H11" s="248"/>
      <c r="I11" s="248"/>
      <c r="J11" s="248"/>
      <c r="K11" s="248"/>
      <c r="L11" s="231">
        <f t="shared" si="0"/>
        <v>0</v>
      </c>
      <c r="M11" s="261">
        <f t="shared" si="1"/>
      </c>
    </row>
    <row r="12" spans="1:13" ht="12.75">
      <c r="A12" s="232" t="s">
        <v>243</v>
      </c>
      <c r="B12" s="233"/>
      <c r="C12" s="248"/>
      <c r="D12" s="248"/>
      <c r="E12" s="248"/>
      <c r="F12" s="233"/>
      <c r="G12" s="248"/>
      <c r="H12" s="248"/>
      <c r="I12" s="248"/>
      <c r="J12" s="248"/>
      <c r="K12" s="248"/>
      <c r="L12" s="231">
        <f t="shared" si="0"/>
        <v>0</v>
      </c>
      <c r="M12" s="261">
        <f t="shared" si="1"/>
      </c>
    </row>
    <row r="13" spans="1:13" ht="12.75">
      <c r="A13" s="232" t="s">
        <v>244</v>
      </c>
      <c r="B13" s="233">
        <v>20163</v>
      </c>
      <c r="C13" s="248">
        <v>4439</v>
      </c>
      <c r="D13" s="248"/>
      <c r="E13" s="248"/>
      <c r="F13" s="233">
        <v>20163</v>
      </c>
      <c r="G13" s="248">
        <v>4439</v>
      </c>
      <c r="H13" s="248"/>
      <c r="I13" s="248"/>
      <c r="J13" s="248"/>
      <c r="K13" s="248">
        <v>4439</v>
      </c>
      <c r="L13" s="231">
        <f t="shared" si="0"/>
        <v>4439</v>
      </c>
      <c r="M13" s="261">
        <f t="shared" si="1"/>
        <v>100</v>
      </c>
    </row>
    <row r="14" spans="1:13" ht="15" customHeight="1" thickBot="1">
      <c r="A14" s="234"/>
      <c r="B14" s="235"/>
      <c r="C14" s="252"/>
      <c r="D14" s="252"/>
      <c r="E14" s="252"/>
      <c r="F14" s="235"/>
      <c r="G14" s="252"/>
      <c r="H14" s="252"/>
      <c r="I14" s="252"/>
      <c r="J14" s="252"/>
      <c r="K14" s="252"/>
      <c r="L14" s="231">
        <f t="shared" si="0"/>
        <v>0</v>
      </c>
      <c r="M14" s="262">
        <f t="shared" si="1"/>
      </c>
    </row>
    <row r="15" spans="1:13" ht="13.5" thickBot="1">
      <c r="A15" s="236" t="s">
        <v>246</v>
      </c>
      <c r="B15" s="237">
        <f>B8+SUM(B10:B14)</f>
        <v>20163</v>
      </c>
      <c r="C15" s="237">
        <f aca="true" t="shared" si="2" ref="C15:L15">C8+SUM(C10:C14)</f>
        <v>4439</v>
      </c>
      <c r="D15" s="237">
        <f t="shared" si="2"/>
        <v>0</v>
      </c>
      <c r="E15" s="237">
        <f t="shared" si="2"/>
        <v>0</v>
      </c>
      <c r="F15" s="237">
        <f t="shared" si="2"/>
        <v>20163</v>
      </c>
      <c r="G15" s="237">
        <f t="shared" si="2"/>
        <v>4439</v>
      </c>
      <c r="H15" s="237">
        <f t="shared" si="2"/>
        <v>0</v>
      </c>
      <c r="I15" s="237">
        <f t="shared" si="2"/>
        <v>0</v>
      </c>
      <c r="J15" s="237">
        <f t="shared" si="2"/>
        <v>0</v>
      </c>
      <c r="K15" s="237">
        <f t="shared" si="2"/>
        <v>4439</v>
      </c>
      <c r="L15" s="237">
        <f t="shared" si="2"/>
        <v>4439</v>
      </c>
      <c r="M15" s="507">
        <f>IF((C15&lt;&gt;0),ROUND((L15/C15)*100,1),"")</f>
        <v>100</v>
      </c>
    </row>
    <row r="16" spans="1:13" ht="12.75">
      <c r="A16" s="238"/>
      <c r="B16" s="239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</row>
    <row r="17" spans="1:13" ht="13.5" thickBot="1">
      <c r="A17" s="241" t="s">
        <v>245</v>
      </c>
      <c r="B17" s="242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</row>
    <row r="18" spans="1:13" ht="12.75">
      <c r="A18" s="244" t="s">
        <v>249</v>
      </c>
      <c r="B18" s="226"/>
      <c r="C18" s="245"/>
      <c r="D18" s="245"/>
      <c r="E18" s="256"/>
      <c r="F18" s="245"/>
      <c r="G18" s="245"/>
      <c r="H18" s="245"/>
      <c r="I18" s="245"/>
      <c r="J18" s="245"/>
      <c r="K18" s="245"/>
      <c r="L18" s="246">
        <f aca="true" t="shared" si="3" ref="L18:L23">+J18+K18</f>
        <v>0</v>
      </c>
      <c r="M18" s="260">
        <f aca="true" t="shared" si="4" ref="M18:M24">IF((C18&lt;&gt;0),ROUND((L18/C18)*100,1),"")</f>
      </c>
    </row>
    <row r="19" spans="1:13" ht="12.75">
      <c r="A19" s="247" t="s">
        <v>250</v>
      </c>
      <c r="B19" s="229">
        <v>19002</v>
      </c>
      <c r="C19" s="248">
        <v>19002</v>
      </c>
      <c r="D19" s="248"/>
      <c r="E19" s="248"/>
      <c r="F19" s="229">
        <v>19002</v>
      </c>
      <c r="G19" s="248">
        <v>19002</v>
      </c>
      <c r="H19" s="248"/>
      <c r="I19" s="248"/>
      <c r="J19" s="248">
        <v>318</v>
      </c>
      <c r="K19" s="248">
        <v>4340</v>
      </c>
      <c r="L19" s="249">
        <f t="shared" si="3"/>
        <v>4658</v>
      </c>
      <c r="M19" s="261">
        <f t="shared" si="4"/>
        <v>24.5</v>
      </c>
    </row>
    <row r="20" spans="1:13" ht="12.75">
      <c r="A20" s="247" t="s">
        <v>251</v>
      </c>
      <c r="B20" s="233">
        <v>1161</v>
      </c>
      <c r="C20" s="248">
        <v>100</v>
      </c>
      <c r="D20" s="248"/>
      <c r="E20" s="248"/>
      <c r="F20" s="233">
        <v>1161</v>
      </c>
      <c r="G20" s="248">
        <v>100</v>
      </c>
      <c r="H20" s="248"/>
      <c r="I20" s="248"/>
      <c r="J20" s="248"/>
      <c r="K20" s="248">
        <v>100</v>
      </c>
      <c r="L20" s="249">
        <f t="shared" si="3"/>
        <v>100</v>
      </c>
      <c r="M20" s="261">
        <f t="shared" si="4"/>
        <v>100</v>
      </c>
    </row>
    <row r="21" spans="1:13" ht="12.75">
      <c r="A21" s="247" t="s">
        <v>252</v>
      </c>
      <c r="B21" s="233"/>
      <c r="C21" s="248"/>
      <c r="D21" s="248"/>
      <c r="E21" s="248"/>
      <c r="F21" s="248"/>
      <c r="G21" s="248"/>
      <c r="H21" s="248"/>
      <c r="I21" s="248"/>
      <c r="J21" s="248"/>
      <c r="K21" s="248"/>
      <c r="L21" s="249">
        <f t="shared" si="3"/>
        <v>0</v>
      </c>
      <c r="M21" s="261">
        <f t="shared" si="4"/>
      </c>
    </row>
    <row r="22" spans="1:13" ht="12.75">
      <c r="A22" s="250"/>
      <c r="B22" s="233"/>
      <c r="C22" s="248"/>
      <c r="D22" s="248"/>
      <c r="E22" s="248"/>
      <c r="F22" s="248"/>
      <c r="G22" s="248"/>
      <c r="H22" s="248"/>
      <c r="I22" s="248"/>
      <c r="J22" s="248"/>
      <c r="K22" s="248"/>
      <c r="L22" s="249">
        <f t="shared" si="3"/>
        <v>0</v>
      </c>
      <c r="M22" s="261">
        <f t="shared" si="4"/>
      </c>
    </row>
    <row r="23" spans="1:13" ht="13.5" thickBot="1">
      <c r="A23" s="251"/>
      <c r="B23" s="235"/>
      <c r="C23" s="252"/>
      <c r="D23" s="252"/>
      <c r="E23" s="252"/>
      <c r="F23" s="252"/>
      <c r="G23" s="252"/>
      <c r="H23" s="252"/>
      <c r="I23" s="252"/>
      <c r="J23" s="252"/>
      <c r="K23" s="252"/>
      <c r="L23" s="249">
        <f t="shared" si="3"/>
        <v>0</v>
      </c>
      <c r="M23" s="262">
        <f t="shared" si="4"/>
      </c>
    </row>
    <row r="24" spans="1:13" ht="13.5" thickBot="1">
      <c r="A24" s="253" t="s">
        <v>230</v>
      </c>
      <c r="B24" s="237">
        <f aca="true" t="shared" si="5" ref="B24:L24">SUM(B18:B23)</f>
        <v>20163</v>
      </c>
      <c r="C24" s="237">
        <f t="shared" si="5"/>
        <v>19102</v>
      </c>
      <c r="D24" s="237">
        <f t="shared" si="5"/>
        <v>0</v>
      </c>
      <c r="E24" s="237">
        <f t="shared" si="5"/>
        <v>0</v>
      </c>
      <c r="F24" s="237">
        <f t="shared" si="5"/>
        <v>20163</v>
      </c>
      <c r="G24" s="237">
        <f t="shared" si="5"/>
        <v>19102</v>
      </c>
      <c r="H24" s="237">
        <f t="shared" si="5"/>
        <v>0</v>
      </c>
      <c r="I24" s="237">
        <f t="shared" si="5"/>
        <v>0</v>
      </c>
      <c r="J24" s="237">
        <f t="shared" si="5"/>
        <v>318</v>
      </c>
      <c r="K24" s="237">
        <f t="shared" si="5"/>
        <v>4440</v>
      </c>
      <c r="L24" s="237">
        <f t="shared" si="5"/>
        <v>4758</v>
      </c>
      <c r="M24" s="507">
        <f t="shared" si="4"/>
        <v>24.9</v>
      </c>
    </row>
    <row r="25" spans="1:13" ht="12.75">
      <c r="A25" s="1188" t="s">
        <v>483</v>
      </c>
      <c r="B25" s="1188"/>
      <c r="C25" s="1188"/>
      <c r="D25" s="1188"/>
      <c r="E25" s="1188"/>
      <c r="F25" s="1188"/>
      <c r="G25" s="1188"/>
      <c r="H25" s="1188"/>
      <c r="I25" s="1188"/>
      <c r="J25" s="1188"/>
      <c r="K25" s="1188"/>
      <c r="L25" s="1188"/>
      <c r="M25" s="1188"/>
    </row>
    <row r="26" spans="1:13" ht="5.25" customHeight="1">
      <c r="A26" s="254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</row>
    <row r="27" spans="1:13" ht="15.75">
      <c r="A27" s="1184" t="s">
        <v>665</v>
      </c>
      <c r="B27" s="1184"/>
      <c r="C27" s="1184"/>
      <c r="D27" s="1184"/>
      <c r="E27" s="1184"/>
      <c r="F27" s="1184"/>
      <c r="G27" s="1184"/>
      <c r="H27" s="1184"/>
      <c r="I27" s="1184"/>
      <c r="J27" s="1184"/>
      <c r="K27" s="1184"/>
      <c r="L27" s="1184"/>
      <c r="M27" s="1184"/>
    </row>
    <row r="28" spans="1:13" ht="12" customHeight="1" thickBo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1187" t="s">
        <v>187</v>
      </c>
      <c r="M28" s="1187"/>
    </row>
    <row r="29" spans="1:13" ht="21.75" thickBot="1">
      <c r="A29" s="1180" t="s">
        <v>247</v>
      </c>
      <c r="B29" s="1181"/>
      <c r="C29" s="1181"/>
      <c r="D29" s="1181"/>
      <c r="E29" s="1181"/>
      <c r="F29" s="1181"/>
      <c r="G29" s="1181"/>
      <c r="H29" s="1181"/>
      <c r="I29" s="1181"/>
      <c r="J29" s="1181"/>
      <c r="K29" s="255" t="s">
        <v>491</v>
      </c>
      <c r="L29" s="255" t="s">
        <v>492</v>
      </c>
      <c r="M29" s="255" t="s">
        <v>490</v>
      </c>
    </row>
    <row r="30" spans="1:13" ht="12.75">
      <c r="A30" s="1172" t="s">
        <v>103</v>
      </c>
      <c r="B30" s="1173"/>
      <c r="C30" s="1173"/>
      <c r="D30" s="1173"/>
      <c r="E30" s="1173"/>
      <c r="F30" s="1173"/>
      <c r="G30" s="1173"/>
      <c r="H30" s="1173"/>
      <c r="I30" s="1173"/>
      <c r="J30" s="1174"/>
      <c r="K30" s="256">
        <v>45</v>
      </c>
      <c r="L30" s="257">
        <v>30</v>
      </c>
      <c r="M30" s="257">
        <v>30</v>
      </c>
    </row>
    <row r="31" spans="1:13" ht="13.5" thickBot="1">
      <c r="A31" s="1175"/>
      <c r="B31" s="1176"/>
      <c r="C31" s="1176"/>
      <c r="D31" s="1176"/>
      <c r="E31" s="1176"/>
      <c r="F31" s="1176"/>
      <c r="G31" s="1176"/>
      <c r="H31" s="1176"/>
      <c r="I31" s="1176"/>
      <c r="J31" s="1177"/>
      <c r="K31" s="258"/>
      <c r="L31" s="252"/>
      <c r="M31" s="252"/>
    </row>
    <row r="32" spans="1:13" ht="13.5" thickBot="1">
      <c r="A32" s="1185" t="s">
        <v>178</v>
      </c>
      <c r="B32" s="1186"/>
      <c r="C32" s="1186"/>
      <c r="D32" s="1186"/>
      <c r="E32" s="1186"/>
      <c r="F32" s="1186"/>
      <c r="G32" s="1186"/>
      <c r="H32" s="1186"/>
      <c r="I32" s="1186"/>
      <c r="J32" s="1186"/>
      <c r="K32" s="259">
        <f>SUM(K30:K31)</f>
        <v>45</v>
      </c>
      <c r="L32" s="259">
        <f>SUM(L30:L31)</f>
        <v>30</v>
      </c>
      <c r="M32" s="259">
        <f>SUM(M30:M31)</f>
        <v>30</v>
      </c>
    </row>
    <row r="48" ht="12.75">
      <c r="A48" s="37"/>
    </row>
  </sheetData>
  <sheetProtection/>
  <mergeCells count="19">
    <mergeCell ref="A27:M27"/>
    <mergeCell ref="A32:J32"/>
    <mergeCell ref="L28:M28"/>
    <mergeCell ref="L2:M2"/>
    <mergeCell ref="A25:M25"/>
    <mergeCell ref="B6:C6"/>
    <mergeCell ref="B3:I3"/>
    <mergeCell ref="D6:E6"/>
    <mergeCell ref="F6:G6"/>
    <mergeCell ref="A1:M1"/>
    <mergeCell ref="A30:J30"/>
    <mergeCell ref="A31:J31"/>
    <mergeCell ref="J3:M5"/>
    <mergeCell ref="A29:J29"/>
    <mergeCell ref="D4:I4"/>
    <mergeCell ref="A3:A6"/>
    <mergeCell ref="H6:I6"/>
    <mergeCell ref="B4:B5"/>
    <mergeCell ref="C4:C5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hozzájárulások&amp;R&amp;"Times New Roman CE,Félkövér dőlt"&amp;11 5. melléklet a ....../2014. (......)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L103"/>
  <sheetViews>
    <sheetView view="pageBreakPreview" zoomScale="160" zoomScaleSheetLayoutView="160" workbookViewId="0" topLeftCell="A40">
      <selection activeCell="F104" sqref="F104"/>
    </sheetView>
  </sheetViews>
  <sheetFormatPr defaultColWidth="9.00390625" defaultRowHeight="12.75"/>
  <cols>
    <col min="1" max="1" width="9.625" style="826" customWidth="1"/>
    <col min="2" max="2" width="9.625" style="827" customWidth="1"/>
    <col min="3" max="3" width="59.375" style="827" customWidth="1"/>
    <col min="4" max="6" width="15.875" style="828" customWidth="1"/>
    <col min="7" max="7" width="9.875" style="726" bestFit="1" customWidth="1"/>
    <col min="8" max="16384" width="9.375" style="726" customWidth="1"/>
  </cols>
  <sheetData>
    <row r="1" spans="1:6" s="714" customFormat="1" ht="16.5" customHeight="1">
      <c r="A1" s="710"/>
      <c r="B1" s="711"/>
      <c r="C1" s="712"/>
      <c r="D1" s="713"/>
      <c r="E1" s="713"/>
      <c r="F1" s="713" t="s">
        <v>827</v>
      </c>
    </row>
    <row r="2" spans="1:6" s="716" customFormat="1" ht="15.75" customHeight="1">
      <c r="A2" s="1191" t="s">
        <v>828</v>
      </c>
      <c r="B2" s="1191"/>
      <c r="C2" s="1192" t="s">
        <v>829</v>
      </c>
      <c r="D2" s="1192"/>
      <c r="E2" s="1192"/>
      <c r="F2" s="715" t="s">
        <v>830</v>
      </c>
    </row>
    <row r="3" spans="1:6" s="716" customFormat="1" ht="15.75">
      <c r="A3" s="717" t="s">
        <v>831</v>
      </c>
      <c r="B3" s="718"/>
      <c r="C3" s="1193" t="s">
        <v>832</v>
      </c>
      <c r="D3" s="1193"/>
      <c r="E3" s="1193"/>
      <c r="F3" s="719" t="s">
        <v>833</v>
      </c>
    </row>
    <row r="4" spans="1:6" s="722" customFormat="1" ht="15.75" customHeight="1">
      <c r="A4" s="720"/>
      <c r="B4" s="720"/>
      <c r="C4" s="720"/>
      <c r="D4" s="721"/>
      <c r="E4" s="721"/>
      <c r="F4" s="721" t="s">
        <v>179</v>
      </c>
    </row>
    <row r="5" spans="1:6" ht="24.75" customHeight="1">
      <c r="A5" s="1194" t="s">
        <v>834</v>
      </c>
      <c r="B5" s="1194"/>
      <c r="C5" s="723" t="s">
        <v>835</v>
      </c>
      <c r="D5" s="724" t="s">
        <v>482</v>
      </c>
      <c r="E5" s="724" t="s">
        <v>489</v>
      </c>
      <c r="F5" s="725" t="s">
        <v>490</v>
      </c>
    </row>
    <row r="6" spans="1:6" s="731" customFormat="1" ht="12.75" customHeight="1">
      <c r="A6" s="727">
        <v>1</v>
      </c>
      <c r="B6" s="728">
        <v>2</v>
      </c>
      <c r="C6" s="728">
        <v>3</v>
      </c>
      <c r="D6" s="728">
        <v>4</v>
      </c>
      <c r="E6" s="729">
        <v>5</v>
      </c>
      <c r="F6" s="730">
        <v>6</v>
      </c>
    </row>
    <row r="7" spans="1:6" s="731" customFormat="1" ht="15.75" customHeight="1">
      <c r="A7" s="1190" t="s">
        <v>180</v>
      </c>
      <c r="B7" s="1190"/>
      <c r="C7" s="1190"/>
      <c r="D7" s="1190"/>
      <c r="E7" s="1190"/>
      <c r="F7" s="1190"/>
    </row>
    <row r="8" spans="1:9" s="731" customFormat="1" ht="12" customHeight="1">
      <c r="A8" s="727" t="s">
        <v>145</v>
      </c>
      <c r="B8" s="732"/>
      <c r="C8" s="733" t="s">
        <v>836</v>
      </c>
      <c r="D8" s="734">
        <f>+D9+D14+D25</f>
        <v>76538</v>
      </c>
      <c r="E8" s="734">
        <f>+E9+E14+E25</f>
        <v>100256</v>
      </c>
      <c r="F8" s="734">
        <f>+F9+F14+F25</f>
        <v>100196</v>
      </c>
      <c r="I8" s="735"/>
    </row>
    <row r="9" spans="1:9" s="735" customFormat="1" ht="12" customHeight="1" thickBot="1">
      <c r="A9" s="727" t="s">
        <v>146</v>
      </c>
      <c r="B9" s="732"/>
      <c r="C9" s="736" t="s">
        <v>837</v>
      </c>
      <c r="D9" s="734">
        <f>SUM(D10:D13)</f>
        <v>47500</v>
      </c>
      <c r="E9" s="734">
        <f>SUM(E10:E13)</f>
        <v>62012</v>
      </c>
      <c r="F9" s="737">
        <f>SUM(F10:F13)</f>
        <v>62012</v>
      </c>
      <c r="H9" s="731"/>
      <c r="I9" s="738"/>
    </row>
    <row r="10" spans="1:8" s="738" customFormat="1" ht="12" customHeight="1">
      <c r="A10" s="739"/>
      <c r="B10" s="740" t="s">
        <v>225</v>
      </c>
      <c r="C10" s="741" t="s">
        <v>182</v>
      </c>
      <c r="D10" s="742">
        <v>38000</v>
      </c>
      <c r="E10" s="749">
        <v>52777</v>
      </c>
      <c r="F10" s="750">
        <v>55319</v>
      </c>
      <c r="G10" s="738">
        <f>'6.2 sz. mell'!F10+'6.3 sz. mell'!F10+'6.4.sz. mell '!F10</f>
        <v>55319</v>
      </c>
      <c r="H10" s="731"/>
    </row>
    <row r="11" spans="1:8" s="738" customFormat="1" ht="12" customHeight="1">
      <c r="A11" s="739"/>
      <c r="B11" s="740" t="s">
        <v>226</v>
      </c>
      <c r="C11" s="744" t="s">
        <v>196</v>
      </c>
      <c r="D11" s="742"/>
      <c r="E11" s="742"/>
      <c r="F11" s="743"/>
      <c r="G11" s="738">
        <f>'6.2 sz. mell'!E11+'6.3 sz. mell'!E11+'6.4.sz. mell '!E11</f>
        <v>0</v>
      </c>
      <c r="H11" s="731"/>
    </row>
    <row r="12" spans="1:8" s="738" customFormat="1" ht="12" customHeight="1">
      <c r="A12" s="739"/>
      <c r="B12" s="740" t="s">
        <v>227</v>
      </c>
      <c r="C12" s="744" t="s">
        <v>277</v>
      </c>
      <c r="D12" s="742">
        <v>9500</v>
      </c>
      <c r="E12" s="742">
        <v>9235</v>
      </c>
      <c r="F12" s="743">
        <v>6693</v>
      </c>
      <c r="G12" s="738">
        <f>'6.2 sz. mell'!E12+'6.3 sz. mell'!E12+'6.4.sz. mell '!E12</f>
        <v>9235</v>
      </c>
      <c r="H12" s="731"/>
    </row>
    <row r="13" spans="1:9" s="738" customFormat="1" ht="12" customHeight="1" thickBot="1">
      <c r="A13" s="739"/>
      <c r="B13" s="740" t="s">
        <v>228</v>
      </c>
      <c r="C13" s="745" t="s">
        <v>278</v>
      </c>
      <c r="D13" s="742"/>
      <c r="E13" s="774"/>
      <c r="F13" s="763"/>
      <c r="G13" s="738">
        <f>'6.2 sz. mell'!E13+'6.3 sz. mell'!E13+'6.4.sz. mell '!E13</f>
        <v>0</v>
      </c>
      <c r="H13" s="731"/>
      <c r="I13" s="735"/>
    </row>
    <row r="14" spans="1:8" s="735" customFormat="1" ht="12" customHeight="1" thickBot="1">
      <c r="A14" s="727" t="s">
        <v>147</v>
      </c>
      <c r="B14" s="732"/>
      <c r="C14" s="736" t="s">
        <v>279</v>
      </c>
      <c r="D14" s="734">
        <f>SUM(D15:D24)</f>
        <v>25838</v>
      </c>
      <c r="E14" s="734">
        <f>SUM(E15:E24)</f>
        <v>34644</v>
      </c>
      <c r="F14" s="734">
        <f>SUM(F15:F24)</f>
        <v>34584</v>
      </c>
      <c r="H14" s="731"/>
    </row>
    <row r="15" spans="1:8" s="735" customFormat="1" ht="12" customHeight="1">
      <c r="A15" s="746"/>
      <c r="B15" s="747" t="s">
        <v>197</v>
      </c>
      <c r="C15" s="748" t="s">
        <v>284</v>
      </c>
      <c r="D15" s="749">
        <v>7456</v>
      </c>
      <c r="E15" s="749">
        <v>10115</v>
      </c>
      <c r="F15" s="750">
        <v>10115</v>
      </c>
      <c r="G15" s="735">
        <f>'6.2 sz. mell'!F15+'6.3 sz. mell'!F15+'6.4.sz. mell '!F15</f>
        <v>10115</v>
      </c>
      <c r="H15" s="731"/>
    </row>
    <row r="16" spans="1:8" s="735" customFormat="1" ht="12" customHeight="1">
      <c r="A16" s="739"/>
      <c r="B16" s="751" t="s">
        <v>198</v>
      </c>
      <c r="C16" s="752" t="s">
        <v>285</v>
      </c>
      <c r="D16" s="742">
        <v>421</v>
      </c>
      <c r="E16" s="742">
        <v>996</v>
      </c>
      <c r="F16" s="743">
        <v>997</v>
      </c>
      <c r="G16" s="735">
        <f>'6.2 sz. mell'!F16+'6.3 sz. mell'!F16+'6.4.sz. mell '!F16</f>
        <v>997</v>
      </c>
      <c r="H16" s="731"/>
    </row>
    <row r="17" spans="1:8" s="735" customFormat="1" ht="12" customHeight="1">
      <c r="A17" s="739"/>
      <c r="B17" s="751" t="s">
        <v>199</v>
      </c>
      <c r="C17" s="752" t="s">
        <v>838</v>
      </c>
      <c r="D17" s="742"/>
      <c r="E17" s="742">
        <v>596</v>
      </c>
      <c r="F17" s="743">
        <v>596</v>
      </c>
      <c r="G17" s="735">
        <f>'6.2 sz. mell'!F17+'6.3 sz. mell'!F17+'6.4.sz. mell '!F17</f>
        <v>596</v>
      </c>
      <c r="H17" s="731"/>
    </row>
    <row r="18" spans="1:8" s="735" customFormat="1" ht="12" customHeight="1">
      <c r="A18" s="739"/>
      <c r="B18" s="751" t="s">
        <v>200</v>
      </c>
      <c r="C18" s="752" t="s">
        <v>286</v>
      </c>
      <c r="D18" s="742">
        <v>5288</v>
      </c>
      <c r="E18" s="742">
        <v>8404</v>
      </c>
      <c r="F18" s="743">
        <v>8403</v>
      </c>
      <c r="G18" s="735">
        <f>'6.2 sz. mell'!F18+'6.3 sz. mell'!F18+'6.4.sz. mell '!F18</f>
        <v>8403</v>
      </c>
      <c r="H18" s="731"/>
    </row>
    <row r="19" spans="1:8" s="735" customFormat="1" ht="12" customHeight="1">
      <c r="A19" s="739"/>
      <c r="B19" s="751" t="s">
        <v>280</v>
      </c>
      <c r="C19" s="752" t="s">
        <v>287</v>
      </c>
      <c r="D19" s="742">
        <v>2624</v>
      </c>
      <c r="E19" s="742">
        <v>1883</v>
      </c>
      <c r="F19" s="743">
        <v>1883</v>
      </c>
      <c r="G19" s="735">
        <f>'6.2 sz. mell'!F19+'6.3 sz. mell'!F19+'6.4.sz. mell '!F19</f>
        <v>1883</v>
      </c>
      <c r="H19" s="731"/>
    </row>
    <row r="20" spans="1:9" s="735" customFormat="1" ht="12" customHeight="1">
      <c r="A20" s="753"/>
      <c r="B20" s="751" t="s">
        <v>281</v>
      </c>
      <c r="C20" s="752" t="s">
        <v>288</v>
      </c>
      <c r="D20" s="754">
        <v>665</v>
      </c>
      <c r="E20" s="742">
        <v>876</v>
      </c>
      <c r="F20" s="743">
        <v>876</v>
      </c>
      <c r="G20" s="735">
        <f>'6.2 sz. mell'!F20+'6.3 sz. mell'!F20+'6.4.sz. mell '!F20</f>
        <v>876</v>
      </c>
      <c r="H20" s="756"/>
      <c r="I20" s="756"/>
    </row>
    <row r="21" spans="1:8" s="738" customFormat="1" ht="12" customHeight="1">
      <c r="A21" s="739"/>
      <c r="B21" s="751" t="s">
        <v>282</v>
      </c>
      <c r="C21" s="752" t="s">
        <v>839</v>
      </c>
      <c r="D21" s="742"/>
      <c r="E21" s="742">
        <v>1448</v>
      </c>
      <c r="F21" s="743">
        <v>1447</v>
      </c>
      <c r="G21" s="735">
        <f>'6.2 sz. mell'!F21+'6.3 sz. mell'!F21+'6.4.sz. mell '!F21</f>
        <v>1447</v>
      </c>
      <c r="H21" s="731"/>
    </row>
    <row r="22" spans="1:8" s="738" customFormat="1" ht="12" customHeight="1">
      <c r="A22" s="757"/>
      <c r="B22" s="751" t="s">
        <v>283</v>
      </c>
      <c r="C22" s="752" t="s">
        <v>345</v>
      </c>
      <c r="D22" s="742">
        <v>4078</v>
      </c>
      <c r="E22" s="742">
        <v>5094</v>
      </c>
      <c r="F22" s="743">
        <v>5095</v>
      </c>
      <c r="G22" s="735">
        <f>'6.2 sz. mell'!F22+'6.3 sz. mell'!F22+'6.4.sz. mell '!F22</f>
        <v>5095</v>
      </c>
      <c r="H22" s="731"/>
    </row>
    <row r="23" spans="1:8" s="738" customFormat="1" ht="12" customHeight="1">
      <c r="A23" s="739"/>
      <c r="B23" s="751" t="s">
        <v>87</v>
      </c>
      <c r="C23" s="752" t="s">
        <v>289</v>
      </c>
      <c r="D23" s="742"/>
      <c r="E23" s="742">
        <v>2124</v>
      </c>
      <c r="F23" s="743">
        <v>2124</v>
      </c>
      <c r="G23" s="735">
        <f>'6.2 sz. mell'!F23+'6.3 sz. mell'!F23+'6.4.sz. mell '!F23</f>
        <v>2124</v>
      </c>
      <c r="H23" s="731"/>
    </row>
    <row r="24" spans="1:8" s="738" customFormat="1" ht="12" customHeight="1" thickBot="1">
      <c r="A24" s="759"/>
      <c r="B24" s="760" t="s">
        <v>88</v>
      </c>
      <c r="C24" s="761" t="s">
        <v>290</v>
      </c>
      <c r="D24" s="762">
        <v>5306</v>
      </c>
      <c r="E24" s="762">
        <v>3108</v>
      </c>
      <c r="F24" s="758">
        <v>3048</v>
      </c>
      <c r="G24" s="735">
        <f>'6.2 sz. mell'!F24+'6.3 sz. mell'!F24+'6.4.sz. mell '!F24</f>
        <v>3048</v>
      </c>
      <c r="H24" s="731"/>
    </row>
    <row r="25" spans="1:8" s="738" customFormat="1" ht="12" customHeight="1" thickBot="1">
      <c r="A25" s="764" t="s">
        <v>148</v>
      </c>
      <c r="B25" s="765"/>
      <c r="C25" s="736" t="s">
        <v>346</v>
      </c>
      <c r="D25" s="779">
        <v>3200</v>
      </c>
      <c r="E25" s="779">
        <v>3600</v>
      </c>
      <c r="F25" s="780">
        <v>3600</v>
      </c>
      <c r="G25" s="735">
        <f>'6.2 sz. mell'!F25+'6.3 sz. mell'!F25+'6.4.sz. mell '!F25</f>
        <v>3600</v>
      </c>
      <c r="H25" s="731"/>
    </row>
    <row r="26" spans="1:8" s="735" customFormat="1" ht="12" customHeight="1" thickBot="1">
      <c r="A26" s="727" t="s">
        <v>149</v>
      </c>
      <c r="B26" s="732"/>
      <c r="C26" s="736" t="s">
        <v>840</v>
      </c>
      <c r="D26" s="734">
        <f>SUM(D27:D34)</f>
        <v>104405</v>
      </c>
      <c r="E26" s="734">
        <f>SUM(E27:E34)</f>
        <v>245866</v>
      </c>
      <c r="F26" s="734">
        <f>SUM(F27:F34)</f>
        <v>245866</v>
      </c>
      <c r="G26" s="735">
        <f>'6.2 sz. mell'!F26+'6.3 sz. mell'!F26+'6.4.sz. mell '!F26</f>
        <v>245866</v>
      </c>
      <c r="H26" s="731"/>
    </row>
    <row r="27" spans="1:8" s="738" customFormat="1" ht="12" customHeight="1">
      <c r="A27" s="739"/>
      <c r="B27" s="740" t="s">
        <v>201</v>
      </c>
      <c r="C27" s="741" t="s">
        <v>841</v>
      </c>
      <c r="D27" s="742">
        <v>104405</v>
      </c>
      <c r="E27" s="749">
        <v>126797</v>
      </c>
      <c r="F27" s="750">
        <v>126797</v>
      </c>
      <c r="G27" s="735">
        <f>'6.2 sz. mell'!F27+'6.3 sz. mell'!F27+'6.4.sz. mell '!F27</f>
        <v>126797</v>
      </c>
      <c r="H27" s="731"/>
    </row>
    <row r="28" spans="1:8" s="738" customFormat="1" ht="12" customHeight="1">
      <c r="A28" s="739"/>
      <c r="B28" s="740" t="s">
        <v>202</v>
      </c>
      <c r="C28" s="744" t="s">
        <v>301</v>
      </c>
      <c r="D28" s="742"/>
      <c r="E28" s="742">
        <v>6927</v>
      </c>
      <c r="F28" s="743">
        <v>6927</v>
      </c>
      <c r="G28" s="735">
        <f>'6.2 sz. mell'!F28+'6.3 sz. mell'!F28+'6.4.sz. mell '!F28</f>
        <v>6927</v>
      </c>
      <c r="H28" s="731"/>
    </row>
    <row r="29" spans="1:8" s="738" customFormat="1" ht="12" customHeight="1">
      <c r="A29" s="739"/>
      <c r="B29" s="740" t="s">
        <v>203</v>
      </c>
      <c r="C29" s="744" t="s">
        <v>206</v>
      </c>
      <c r="D29" s="742"/>
      <c r="E29" s="742">
        <v>110000</v>
      </c>
      <c r="F29" s="743">
        <v>110000</v>
      </c>
      <c r="G29" s="735">
        <f>'6.2 sz. mell'!F29+'6.3 sz. mell'!F29+'6.4.sz. mell '!F29</f>
        <v>110000</v>
      </c>
      <c r="H29" s="731"/>
    </row>
    <row r="30" spans="1:8" s="738" customFormat="1" ht="12" customHeight="1">
      <c r="A30" s="739"/>
      <c r="B30" s="740" t="s">
        <v>294</v>
      </c>
      <c r="C30" s="744" t="s">
        <v>302</v>
      </c>
      <c r="D30" s="742"/>
      <c r="E30" s="742"/>
      <c r="F30" s="743"/>
      <c r="G30" s="735">
        <f>'6.2 sz. mell'!F30+'6.3 sz. mell'!F30+'6.4.sz. mell '!F30</f>
        <v>0</v>
      </c>
      <c r="H30" s="731"/>
    </row>
    <row r="31" spans="1:8" s="738" customFormat="1" ht="12" customHeight="1">
      <c r="A31" s="739"/>
      <c r="B31" s="740" t="s">
        <v>295</v>
      </c>
      <c r="C31" s="744" t="s">
        <v>303</v>
      </c>
      <c r="D31" s="742"/>
      <c r="E31" s="742"/>
      <c r="F31" s="743"/>
      <c r="G31" s="735">
        <f>'6.2 sz. mell'!F31+'6.3 sz. mell'!F31+'6.4.sz. mell '!F31</f>
        <v>0</v>
      </c>
      <c r="H31" s="731"/>
    </row>
    <row r="32" spans="1:8" s="738" customFormat="1" ht="12" customHeight="1">
      <c r="A32" s="739"/>
      <c r="B32" s="740" t="s">
        <v>296</v>
      </c>
      <c r="C32" s="744" t="s">
        <v>842</v>
      </c>
      <c r="D32" s="742"/>
      <c r="E32" s="742"/>
      <c r="F32" s="743"/>
      <c r="G32" s="735">
        <f>'6.2 sz. mell'!F32+'6.3 sz. mell'!F32+'6.4.sz. mell '!F32</f>
        <v>0</v>
      </c>
      <c r="H32" s="731"/>
    </row>
    <row r="33" spans="1:8" s="738" customFormat="1" ht="12" customHeight="1">
      <c r="A33" s="739"/>
      <c r="B33" s="740" t="s">
        <v>297</v>
      </c>
      <c r="C33" s="744" t="s">
        <v>347</v>
      </c>
      <c r="D33" s="742"/>
      <c r="E33" s="742">
        <v>2142</v>
      </c>
      <c r="F33" s="743">
        <v>2142</v>
      </c>
      <c r="G33" s="735">
        <f>'6.2 sz. mell'!F33+'6.3 sz. mell'!F33+'6.4.sz. mell '!F33</f>
        <v>2142</v>
      </c>
      <c r="H33" s="731"/>
    </row>
    <row r="34" spans="1:8" s="738" customFormat="1" ht="12" customHeight="1" thickBot="1">
      <c r="A34" s="757"/>
      <c r="B34" s="766" t="s">
        <v>298</v>
      </c>
      <c r="C34" s="767" t="s">
        <v>843</v>
      </c>
      <c r="D34" s="762"/>
      <c r="E34" s="774"/>
      <c r="F34" s="763"/>
      <c r="G34" s="735">
        <f>'6.2 sz. mell'!F34+'6.3 sz. mell'!F34+'6.4.sz. mell '!F34</f>
        <v>0</v>
      </c>
      <c r="H34" s="731"/>
    </row>
    <row r="35" spans="1:8" s="738" customFormat="1" ht="12" customHeight="1" thickBot="1">
      <c r="A35" s="727" t="s">
        <v>150</v>
      </c>
      <c r="B35" s="768"/>
      <c r="C35" s="733" t="s">
        <v>844</v>
      </c>
      <c r="D35" s="734">
        <f>+D36+D42</f>
        <v>34479</v>
      </c>
      <c r="E35" s="734">
        <f>+E36+E42</f>
        <v>38635</v>
      </c>
      <c r="F35" s="734">
        <f>+F36+F42</f>
        <v>38634</v>
      </c>
      <c r="G35" s="735">
        <f>'6.2 sz. mell'!F35+'6.3 sz. mell'!F35+'6.4.sz. mell '!F35</f>
        <v>38634</v>
      </c>
      <c r="H35" s="731"/>
    </row>
    <row r="36" spans="1:8" s="738" customFormat="1" ht="12" customHeight="1">
      <c r="A36" s="746"/>
      <c r="B36" s="747" t="s">
        <v>204</v>
      </c>
      <c r="C36" s="769" t="s">
        <v>472</v>
      </c>
      <c r="D36" s="1122">
        <f>SUM(D37:D41)</f>
        <v>32104</v>
      </c>
      <c r="E36" s="837">
        <f>SUM(E37:E41)</f>
        <v>36615</v>
      </c>
      <c r="F36" s="770">
        <f>+F37+F39+F41</f>
        <v>36614</v>
      </c>
      <c r="G36" s="735">
        <f>'6.2 sz. mell'!F36+'6.3 sz. mell'!F36+'6.4.sz. mell '!F36</f>
        <v>36614</v>
      </c>
      <c r="H36" s="731"/>
    </row>
    <row r="37" spans="1:8" s="738" customFormat="1" ht="12" customHeight="1">
      <c r="A37" s="739"/>
      <c r="B37" s="751" t="s">
        <v>207</v>
      </c>
      <c r="C37" s="744" t="s">
        <v>348</v>
      </c>
      <c r="D37" s="1123">
        <v>3200</v>
      </c>
      <c r="E37" s="742">
        <v>3649</v>
      </c>
      <c r="F37" s="743">
        <v>3649</v>
      </c>
      <c r="G37" s="735">
        <f>'6.2 sz. mell'!F37+'6.3 sz. mell'!F37+'6.4.sz. mell '!F37</f>
        <v>3649</v>
      </c>
      <c r="H37" s="731"/>
    </row>
    <row r="38" spans="1:8" s="738" customFormat="1" ht="12" customHeight="1">
      <c r="A38" s="739"/>
      <c r="B38" s="751" t="s">
        <v>208</v>
      </c>
      <c r="C38" s="744" t="s">
        <v>349</v>
      </c>
      <c r="D38" s="1123"/>
      <c r="E38" s="742"/>
      <c r="F38" s="743"/>
      <c r="G38" s="735">
        <f>'6.2 sz. mell'!F38+'6.3 sz. mell'!F38+'6.4.sz. mell '!F38</f>
        <v>0</v>
      </c>
      <c r="H38" s="731"/>
    </row>
    <row r="39" spans="1:8" s="738" customFormat="1" ht="12" customHeight="1">
      <c r="A39" s="739"/>
      <c r="B39" s="751" t="s">
        <v>209</v>
      </c>
      <c r="C39" s="744" t="s">
        <v>350</v>
      </c>
      <c r="D39" s="1123">
        <v>6936</v>
      </c>
      <c r="E39" s="742">
        <v>3468</v>
      </c>
      <c r="F39" s="743">
        <v>3468</v>
      </c>
      <c r="G39" s="735">
        <f>'6.2 sz. mell'!F39+'6.3 sz. mell'!F39+'6.4.sz. mell '!F39</f>
        <v>3468</v>
      </c>
      <c r="H39" s="731"/>
    </row>
    <row r="40" spans="1:8" s="738" customFormat="1" ht="12" customHeight="1">
      <c r="A40" s="739"/>
      <c r="B40" s="751" t="s">
        <v>210</v>
      </c>
      <c r="C40" s="744" t="s">
        <v>351</v>
      </c>
      <c r="D40" s="1123"/>
      <c r="E40" s="742"/>
      <c r="F40" s="743"/>
      <c r="G40" s="735">
        <f>'6.2 sz. mell'!F40+'6.3 sz. mell'!F40+'6.4.sz. mell '!F40</f>
        <v>0</v>
      </c>
      <c r="H40" s="731"/>
    </row>
    <row r="41" spans="1:8" s="738" customFormat="1" ht="12" customHeight="1">
      <c r="A41" s="739"/>
      <c r="B41" s="751" t="s">
        <v>305</v>
      </c>
      <c r="C41" s="744" t="s">
        <v>473</v>
      </c>
      <c r="D41" s="1123">
        <v>21968</v>
      </c>
      <c r="E41" s="742">
        <v>29498</v>
      </c>
      <c r="F41" s="743">
        <v>29497</v>
      </c>
      <c r="G41" s="735">
        <f>'6.2 sz. mell'!F41+'6.3 sz. mell'!F41+'6.4.sz. mell '!F41</f>
        <v>29497</v>
      </c>
      <c r="H41" s="731"/>
    </row>
    <row r="42" spans="1:8" s="738" customFormat="1" ht="12" customHeight="1">
      <c r="A42" s="739"/>
      <c r="B42" s="751" t="s">
        <v>205</v>
      </c>
      <c r="C42" s="771" t="s">
        <v>474</v>
      </c>
      <c r="D42" s="1124">
        <f>SUM(D43:D47)</f>
        <v>2375</v>
      </c>
      <c r="E42" s="772">
        <f>SUM(E43:E47)</f>
        <v>2020</v>
      </c>
      <c r="F42" s="773">
        <f>SUM(F43:F47)</f>
        <v>2020</v>
      </c>
      <c r="G42" s="735">
        <f>'6.2 sz. mell'!F42+'6.3 sz. mell'!F42+'6.4.sz. mell '!F42</f>
        <v>2020</v>
      </c>
      <c r="H42" s="731"/>
    </row>
    <row r="43" spans="1:8" s="738" customFormat="1" ht="12" customHeight="1">
      <c r="A43" s="739"/>
      <c r="B43" s="751" t="s">
        <v>213</v>
      </c>
      <c r="C43" s="744" t="s">
        <v>348</v>
      </c>
      <c r="D43" s="1123"/>
      <c r="E43" s="742"/>
      <c r="F43" s="743"/>
      <c r="G43" s="735">
        <f>'6.2 sz. mell'!F43+'6.3 sz. mell'!F43+'6.4.sz. mell '!F43</f>
        <v>0</v>
      </c>
      <c r="H43" s="731"/>
    </row>
    <row r="44" spans="1:8" s="738" customFormat="1" ht="12" customHeight="1">
      <c r="A44" s="739"/>
      <c r="B44" s="751" t="s">
        <v>214</v>
      </c>
      <c r="C44" s="744" t="s">
        <v>349</v>
      </c>
      <c r="D44" s="1123"/>
      <c r="E44" s="742"/>
      <c r="F44" s="743"/>
      <c r="G44" s="735">
        <f>'6.2 sz. mell'!F44+'6.3 sz. mell'!F44+'6.4.sz. mell '!F44</f>
        <v>0</v>
      </c>
      <c r="H44" s="731"/>
    </row>
    <row r="45" spans="1:8" s="738" customFormat="1" ht="12" customHeight="1">
      <c r="A45" s="739"/>
      <c r="B45" s="751" t="s">
        <v>215</v>
      </c>
      <c r="C45" s="744" t="s">
        <v>350</v>
      </c>
      <c r="D45" s="1123"/>
      <c r="E45" s="742"/>
      <c r="F45" s="743"/>
      <c r="G45" s="735">
        <f>'6.2 sz. mell'!F45+'6.3 sz. mell'!F45+'6.4.sz. mell '!F45</f>
        <v>0</v>
      </c>
      <c r="H45" s="731"/>
    </row>
    <row r="46" spans="1:8" s="738" customFormat="1" ht="12" customHeight="1">
      <c r="A46" s="739"/>
      <c r="B46" s="751" t="s">
        <v>216</v>
      </c>
      <c r="C46" s="744" t="s">
        <v>351</v>
      </c>
      <c r="D46" s="1123"/>
      <c r="E46" s="742"/>
      <c r="F46" s="743"/>
      <c r="G46" s="735">
        <f>'6.2 sz. mell'!F46+'6.3 sz. mell'!F46+'6.4.sz. mell '!F46</f>
        <v>0</v>
      </c>
      <c r="H46" s="731"/>
    </row>
    <row r="47" spans="1:8" s="738" customFormat="1" ht="12" customHeight="1">
      <c r="A47" s="759"/>
      <c r="B47" s="760" t="s">
        <v>306</v>
      </c>
      <c r="C47" s="745" t="s">
        <v>475</v>
      </c>
      <c r="D47" s="1125">
        <v>2375</v>
      </c>
      <c r="E47" s="774">
        <v>2020</v>
      </c>
      <c r="F47" s="763">
        <v>2020</v>
      </c>
      <c r="G47" s="735">
        <f>'6.2 sz. mell'!F47+'6.3 sz. mell'!F47+'6.4.sz. mell '!F47</f>
        <v>2020</v>
      </c>
      <c r="H47" s="731"/>
    </row>
    <row r="48" spans="1:8" s="735" customFormat="1" ht="12" customHeight="1" thickBot="1">
      <c r="A48" s="727" t="s">
        <v>151</v>
      </c>
      <c r="B48" s="732"/>
      <c r="C48" s="736" t="s">
        <v>352</v>
      </c>
      <c r="D48" s="734">
        <f>+D49+D50</f>
        <v>0</v>
      </c>
      <c r="E48" s="734">
        <f>+E49+E50</f>
        <v>50</v>
      </c>
      <c r="F48" s="737">
        <f>+F49+F50</f>
        <v>50</v>
      </c>
      <c r="G48" s="735">
        <f>'6.2 sz. mell'!F48+'6.3 sz. mell'!F48+'6.4.sz. mell '!F48</f>
        <v>50</v>
      </c>
      <c r="H48" s="731"/>
    </row>
    <row r="49" spans="1:7" s="738" customFormat="1" ht="12" customHeight="1">
      <c r="A49" s="739"/>
      <c r="B49" s="751" t="s">
        <v>211</v>
      </c>
      <c r="C49" s="741" t="s">
        <v>845</v>
      </c>
      <c r="D49" s="742"/>
      <c r="E49" s="749">
        <v>50</v>
      </c>
      <c r="F49" s="750">
        <v>50</v>
      </c>
      <c r="G49" s="735">
        <f>'6.2 sz. mell'!F49+'6.3 sz. mell'!F49+'6.4.sz. mell '!F49</f>
        <v>50</v>
      </c>
    </row>
    <row r="50" spans="1:7" s="738" customFormat="1" ht="12" customHeight="1" thickBot="1">
      <c r="A50" s="739"/>
      <c r="B50" s="751" t="s">
        <v>212</v>
      </c>
      <c r="C50" s="745" t="s">
        <v>846</v>
      </c>
      <c r="D50" s="742"/>
      <c r="E50" s="774"/>
      <c r="F50" s="763"/>
      <c r="G50" s="735">
        <f>'6.2 sz. mell'!F50+'6.3 sz. mell'!F50+'6.4.sz. mell '!F50</f>
        <v>0</v>
      </c>
    </row>
    <row r="51" spans="1:7" s="738" customFormat="1" ht="12" customHeight="1" thickBot="1">
      <c r="A51" s="727" t="s">
        <v>152</v>
      </c>
      <c r="B51" s="732"/>
      <c r="C51" s="736" t="s">
        <v>847</v>
      </c>
      <c r="D51" s="734">
        <f>+D52+D53+D54</f>
        <v>0</v>
      </c>
      <c r="E51" s="734">
        <f>+E52+E53+E54</f>
        <v>3</v>
      </c>
      <c r="F51" s="737">
        <f>+F52+F53+F54</f>
        <v>3</v>
      </c>
      <c r="G51" s="735">
        <f>'6.2 sz. mell'!F51+'6.3 sz. mell'!F51+'6.4.sz. mell '!F51</f>
        <v>3</v>
      </c>
    </row>
    <row r="52" spans="1:7" s="738" customFormat="1" ht="12" customHeight="1">
      <c r="A52" s="775"/>
      <c r="B52" s="751" t="s">
        <v>310</v>
      </c>
      <c r="C52" s="741" t="s">
        <v>308</v>
      </c>
      <c r="D52" s="776"/>
      <c r="E52" s="749"/>
      <c r="F52" s="750"/>
      <c r="G52" s="735">
        <f>'6.2 sz. mell'!F52+'6.3 sz. mell'!F52+'6.4.sz. mell '!F52</f>
        <v>0</v>
      </c>
    </row>
    <row r="53" spans="1:7" s="738" customFormat="1" ht="12" customHeight="1">
      <c r="A53" s="775"/>
      <c r="B53" s="751" t="s">
        <v>311</v>
      </c>
      <c r="C53" s="744" t="s">
        <v>309</v>
      </c>
      <c r="D53" s="776"/>
      <c r="E53" s="742"/>
      <c r="F53" s="743"/>
      <c r="G53" s="735">
        <f>'6.2 sz. mell'!F53+'6.3 sz. mell'!F53+'6.4.sz. mell '!F53</f>
        <v>0</v>
      </c>
    </row>
    <row r="54" spans="1:7" s="738" customFormat="1" ht="12" customHeight="1" thickBot="1">
      <c r="A54" s="739"/>
      <c r="B54" s="751" t="s">
        <v>399</v>
      </c>
      <c r="C54" s="767" t="s">
        <v>354</v>
      </c>
      <c r="D54" s="742"/>
      <c r="E54" s="774">
        <v>3</v>
      </c>
      <c r="F54" s="763">
        <v>3</v>
      </c>
      <c r="G54" s="735">
        <f>'6.2 sz. mell'!F54+'6.3 sz. mell'!F54+'6.4.sz. mell '!F54</f>
        <v>3</v>
      </c>
    </row>
    <row r="55" spans="1:7" s="738" customFormat="1" ht="12" customHeight="1" thickBot="1">
      <c r="A55" s="727" t="s">
        <v>153</v>
      </c>
      <c r="B55" s="778"/>
      <c r="C55" s="733" t="s">
        <v>89</v>
      </c>
      <c r="D55" s="779"/>
      <c r="E55" s="779">
        <v>1250</v>
      </c>
      <c r="F55" s="780">
        <v>5942</v>
      </c>
      <c r="G55" s="735">
        <f>'6.2 sz. mell'!F55+'6.3 sz. mell'!F55+'6.4.sz. mell '!F55</f>
        <v>5942</v>
      </c>
    </row>
    <row r="56" spans="1:7" s="735" customFormat="1" ht="12" customHeight="1">
      <c r="A56" s="781" t="s">
        <v>154</v>
      </c>
      <c r="B56" s="782"/>
      <c r="C56" s="733" t="s">
        <v>932</v>
      </c>
      <c r="D56" s="783">
        <f>+D9+D14+D25+D26+D35+D48+D51+D55</f>
        <v>215422</v>
      </c>
      <c r="E56" s="783">
        <f>+E9+E14+E25+E26+E35+E48+E51+E55</f>
        <v>386060</v>
      </c>
      <c r="F56" s="783">
        <f>+F9+F14+F25+F26+F35+F48+F51+F55</f>
        <v>390691</v>
      </c>
      <c r="G56" s="735">
        <f>'6.2 sz. mell'!F56+'6.3 sz. mell'!F56+'6.4.sz. mell '!F56</f>
        <v>390691</v>
      </c>
    </row>
    <row r="57" spans="1:7" s="735" customFormat="1" ht="12" customHeight="1">
      <c r="A57" s="727" t="s">
        <v>155</v>
      </c>
      <c r="B57" s="784"/>
      <c r="C57" s="733" t="s">
        <v>358</v>
      </c>
      <c r="D57" s="734">
        <f>+D58+D59</f>
        <v>65000</v>
      </c>
      <c r="E57" s="734">
        <f>+E58+E59</f>
        <v>65839</v>
      </c>
      <c r="F57" s="737">
        <f>+F58+F59</f>
        <v>65839</v>
      </c>
      <c r="G57" s="735">
        <f>'6.2 sz. mell'!F57+'6.3 sz. mell'!F57+'6.4.sz. mell '!F57</f>
        <v>65839</v>
      </c>
    </row>
    <row r="58" spans="1:7" s="735" customFormat="1" ht="12" customHeight="1">
      <c r="A58" s="746"/>
      <c r="B58" s="747" t="s">
        <v>255</v>
      </c>
      <c r="C58" s="785" t="s">
        <v>848</v>
      </c>
      <c r="D58" s="786">
        <v>65000</v>
      </c>
      <c r="E58" s="749">
        <v>65839</v>
      </c>
      <c r="F58" s="750">
        <v>65839</v>
      </c>
      <c r="G58" s="735">
        <f>'6.2 sz. mell'!F58+'6.3 sz. mell'!F58+'6.4.sz. mell '!F58</f>
        <v>65839</v>
      </c>
    </row>
    <row r="59" spans="1:7" s="735" customFormat="1" ht="12" customHeight="1">
      <c r="A59" s="759"/>
      <c r="B59" s="760" t="s">
        <v>256</v>
      </c>
      <c r="C59" s="788" t="s">
        <v>849</v>
      </c>
      <c r="D59" s="774"/>
      <c r="E59" s="774"/>
      <c r="F59" s="763"/>
      <c r="G59" s="735">
        <f>'6.2 sz. mell'!F59+'6.3 sz. mell'!F59+'6.4.sz. mell '!F59</f>
        <v>0</v>
      </c>
    </row>
    <row r="60" spans="1:7" s="735" customFormat="1" ht="12" customHeight="1">
      <c r="A60" s="759" t="s">
        <v>156</v>
      </c>
      <c r="B60" s="760"/>
      <c r="C60" s="736" t="s">
        <v>850</v>
      </c>
      <c r="D60" s="774"/>
      <c r="E60" s="763"/>
      <c r="F60" s="789">
        <v>759</v>
      </c>
      <c r="G60" s="735">
        <f>'6.2 sz. mell'!F60+'6.3 sz. mell'!F60+'6.4.sz. mell '!F60</f>
        <v>759</v>
      </c>
    </row>
    <row r="61" spans="1:7" s="738" customFormat="1" ht="12" customHeight="1">
      <c r="A61" s="790">
        <v>13</v>
      </c>
      <c r="B61" s="791"/>
      <c r="C61" s="792" t="s">
        <v>851</v>
      </c>
      <c r="D61" s="734">
        <f>+D56+D57</f>
        <v>280422</v>
      </c>
      <c r="E61" s="734">
        <f>+E56+E57</f>
        <v>451899</v>
      </c>
      <c r="F61" s="737">
        <f>+F56+F57+F60</f>
        <v>457289</v>
      </c>
      <c r="G61" s="735">
        <f>'6.2 sz. mell'!F61+'6.3 sz. mell'!F61+'6.4.sz. mell '!F61</f>
        <v>457289</v>
      </c>
    </row>
    <row r="62" spans="1:6" s="738" customFormat="1" ht="15" customHeight="1">
      <c r="A62" s="793"/>
      <c r="B62" s="793"/>
      <c r="C62" s="794"/>
      <c r="D62" s="795"/>
      <c r="E62" s="795"/>
      <c r="F62" s="795"/>
    </row>
    <row r="63" spans="1:6" ht="12.75">
      <c r="A63" s="796"/>
      <c r="B63" s="797"/>
      <c r="C63" s="797"/>
      <c r="D63" s="798"/>
      <c r="E63" s="798"/>
      <c r="F63" s="798"/>
    </row>
    <row r="64" spans="1:6" s="731" customFormat="1" ht="16.5" customHeight="1">
      <c r="A64" s="1190" t="s">
        <v>184</v>
      </c>
      <c r="B64" s="1190"/>
      <c r="C64" s="1190"/>
      <c r="D64" s="1190"/>
      <c r="E64" s="1190"/>
      <c r="F64" s="1190"/>
    </row>
    <row r="65" spans="1:7" s="800" customFormat="1" ht="12" customHeight="1" thickBot="1">
      <c r="A65" s="727" t="s">
        <v>145</v>
      </c>
      <c r="B65" s="768"/>
      <c r="C65" s="799" t="s">
        <v>852</v>
      </c>
      <c r="D65" s="734">
        <f>SUM(D66:D70)</f>
        <v>149034</v>
      </c>
      <c r="E65" s="734">
        <f>SUM(E66:E70)</f>
        <v>200208</v>
      </c>
      <c r="F65" s="737">
        <f>SUM(F66:F70)</f>
        <v>167136</v>
      </c>
      <c r="G65" s="800">
        <f>'6.2 sz. mell'!F65+'6.3 sz. mell'!F65+'6.4.sz. mell '!F65</f>
        <v>167136</v>
      </c>
    </row>
    <row r="66" spans="1:7" ht="12" customHeight="1">
      <c r="A66" s="775"/>
      <c r="B66" s="801" t="s">
        <v>217</v>
      </c>
      <c r="C66" s="802" t="s">
        <v>175</v>
      </c>
      <c r="D66" s="776">
        <v>54035</v>
      </c>
      <c r="E66" s="749">
        <v>60953</v>
      </c>
      <c r="F66" s="750">
        <v>58152</v>
      </c>
      <c r="G66" s="800">
        <f>'6.2 sz. mell'!F66+'6.3 sz. mell'!F66+'6.4.sz. mell '!F66</f>
        <v>58152</v>
      </c>
    </row>
    <row r="67" spans="1:7" ht="12" customHeight="1">
      <c r="A67" s="739"/>
      <c r="B67" s="751" t="s">
        <v>218</v>
      </c>
      <c r="C67" s="803" t="s">
        <v>315</v>
      </c>
      <c r="D67" s="742">
        <v>11894</v>
      </c>
      <c r="E67" s="742">
        <v>13443</v>
      </c>
      <c r="F67" s="743">
        <v>13013</v>
      </c>
      <c r="G67" s="800">
        <f>'6.2 sz. mell'!F67+'6.3 sz. mell'!F67+'6.4.sz. mell '!F67</f>
        <v>13013</v>
      </c>
    </row>
    <row r="68" spans="1:7" ht="12" customHeight="1">
      <c r="A68" s="739"/>
      <c r="B68" s="751" t="s">
        <v>219</v>
      </c>
      <c r="C68" s="803" t="s">
        <v>248</v>
      </c>
      <c r="D68" s="742">
        <v>78271</v>
      </c>
      <c r="E68" s="742">
        <v>120352</v>
      </c>
      <c r="F68" s="743">
        <v>90511</v>
      </c>
      <c r="G68" s="800">
        <f>'6.2 sz. mell'!F68+'6.3 sz. mell'!F68+'6.4.sz. mell '!F68</f>
        <v>90511</v>
      </c>
    </row>
    <row r="69" spans="1:7" ht="12" customHeight="1">
      <c r="A69" s="739"/>
      <c r="B69" s="751" t="s">
        <v>220</v>
      </c>
      <c r="C69" s="803" t="s">
        <v>316</v>
      </c>
      <c r="D69" s="742"/>
      <c r="E69" s="762"/>
      <c r="F69" s="758"/>
      <c r="G69" s="800">
        <f>'6.2 sz. mell'!F69+'6.3 sz. mell'!F69+'6.4.sz. mell '!F69</f>
        <v>0</v>
      </c>
    </row>
    <row r="70" spans="1:7" ht="12" customHeight="1">
      <c r="A70" s="739"/>
      <c r="B70" s="751" t="s">
        <v>231</v>
      </c>
      <c r="C70" s="803" t="s">
        <v>317</v>
      </c>
      <c r="D70" s="742">
        <f>SUM(D71:D78)</f>
        <v>4834</v>
      </c>
      <c r="E70" s="742">
        <f>SUM(E71:E78)</f>
        <v>5460</v>
      </c>
      <c r="F70" s="742">
        <f>SUM(F71:F78)</f>
        <v>5460</v>
      </c>
      <c r="G70" s="800">
        <f>'6.2 sz. mell'!F70+'6.3 sz. mell'!F70+'6.4.sz. mell '!F70</f>
        <v>5460</v>
      </c>
    </row>
    <row r="71" spans="1:7" ht="12" customHeight="1">
      <c r="A71" s="739"/>
      <c r="B71" s="751" t="s">
        <v>221</v>
      </c>
      <c r="C71" s="803" t="s">
        <v>334</v>
      </c>
      <c r="D71" s="742"/>
      <c r="E71" s="776"/>
      <c r="F71" s="777"/>
      <c r="G71" s="800">
        <f>'6.2 sz. mell'!F71+'6.3 sz. mell'!F71+'6.4.sz. mell '!F71</f>
        <v>0</v>
      </c>
    </row>
    <row r="72" spans="1:7" ht="12" customHeight="1">
      <c r="A72" s="739"/>
      <c r="B72" s="751" t="s">
        <v>222</v>
      </c>
      <c r="C72" s="804" t="s">
        <v>853</v>
      </c>
      <c r="D72" s="742">
        <v>689</v>
      </c>
      <c r="E72" s="742">
        <v>531</v>
      </c>
      <c r="F72" s="743">
        <v>531</v>
      </c>
      <c r="G72" s="800">
        <f>'6.2 sz. mell'!F72+'6.3 sz. mell'!F72+'6.4.sz. mell '!F72</f>
        <v>531</v>
      </c>
    </row>
    <row r="73" spans="1:7" ht="21" customHeight="1">
      <c r="A73" s="739"/>
      <c r="B73" s="751" t="s">
        <v>232</v>
      </c>
      <c r="C73" s="805" t="s">
        <v>854</v>
      </c>
      <c r="D73" s="742">
        <v>3836</v>
      </c>
      <c r="E73" s="742">
        <v>2188</v>
      </c>
      <c r="F73" s="743">
        <v>2188</v>
      </c>
      <c r="G73" s="800">
        <f>'6.2 sz. mell'!F73+'6.3 sz. mell'!F73+'6.4.sz. mell '!F73</f>
        <v>2188</v>
      </c>
    </row>
    <row r="74" spans="1:7" ht="28.5" customHeight="1">
      <c r="A74" s="739"/>
      <c r="B74" s="751" t="s">
        <v>233</v>
      </c>
      <c r="C74" s="805" t="s">
        <v>855</v>
      </c>
      <c r="D74" s="742">
        <v>309</v>
      </c>
      <c r="E74" s="742">
        <v>2741</v>
      </c>
      <c r="F74" s="743">
        <v>2741</v>
      </c>
      <c r="G74" s="800">
        <f>'6.2 sz. mell'!F74+'6.3 sz. mell'!F74+'6.4.sz. mell '!F74</f>
        <v>2741</v>
      </c>
    </row>
    <row r="75" spans="1:7" ht="12" customHeight="1">
      <c r="A75" s="739"/>
      <c r="B75" s="751" t="s">
        <v>234</v>
      </c>
      <c r="C75" s="805" t="s">
        <v>856</v>
      </c>
      <c r="D75" s="742"/>
      <c r="E75" s="742"/>
      <c r="F75" s="743"/>
      <c r="G75" s="800">
        <f>'6.2 sz. mell'!F75+'6.3 sz. mell'!F75+'6.4.sz. mell '!F75</f>
        <v>0</v>
      </c>
    </row>
    <row r="76" spans="1:7" ht="12" customHeight="1">
      <c r="A76" s="739"/>
      <c r="B76" s="751" t="s">
        <v>235</v>
      </c>
      <c r="C76" s="806" t="s">
        <v>857</v>
      </c>
      <c r="D76" s="742"/>
      <c r="E76" s="742"/>
      <c r="F76" s="743"/>
      <c r="G76" s="800">
        <f>'6.2 sz. mell'!F76+'6.3 sz. mell'!F76+'6.4.sz. mell '!F76</f>
        <v>0</v>
      </c>
    </row>
    <row r="77" spans="1:7" ht="12" customHeight="1">
      <c r="A77" s="739"/>
      <c r="B77" s="751" t="s">
        <v>237</v>
      </c>
      <c r="C77" s="807" t="s">
        <v>858</v>
      </c>
      <c r="D77" s="742"/>
      <c r="E77" s="742"/>
      <c r="F77" s="743"/>
      <c r="G77" s="800">
        <f>'6.2 sz. mell'!F77+'6.3 sz. mell'!F77+'6.4.sz. mell '!F77</f>
        <v>0</v>
      </c>
    </row>
    <row r="78" spans="1:7" ht="12" customHeight="1" thickBot="1">
      <c r="A78" s="757"/>
      <c r="B78" s="808" t="s">
        <v>859</v>
      </c>
      <c r="C78" s="809" t="s">
        <v>860</v>
      </c>
      <c r="D78" s="762"/>
      <c r="E78" s="774"/>
      <c r="F78" s="763"/>
      <c r="G78" s="800">
        <f>'6.2 sz. mell'!F78+'6.3 sz. mell'!F78+'6.4.sz. mell '!F78</f>
        <v>0</v>
      </c>
    </row>
    <row r="79" spans="1:7" ht="12" customHeight="1" thickBot="1">
      <c r="A79" s="727" t="s">
        <v>146</v>
      </c>
      <c r="B79" s="768"/>
      <c r="C79" s="799" t="s">
        <v>861</v>
      </c>
      <c r="D79" s="734">
        <f>SUM(D80:D82)</f>
        <v>21758</v>
      </c>
      <c r="E79" s="734">
        <f>SUM(E80:E82)</f>
        <v>119367</v>
      </c>
      <c r="F79" s="737">
        <f>SUM(F80:F82)</f>
        <v>18706</v>
      </c>
      <c r="G79" s="800">
        <f>'6.2 sz. mell'!F79+'6.3 sz. mell'!F79+'6.4.sz. mell '!F79</f>
        <v>18706</v>
      </c>
    </row>
    <row r="80" spans="1:7" s="800" customFormat="1" ht="12" customHeight="1">
      <c r="A80" s="775"/>
      <c r="B80" s="801" t="s">
        <v>225</v>
      </c>
      <c r="C80" s="785" t="s">
        <v>862</v>
      </c>
      <c r="D80" s="776">
        <v>2756</v>
      </c>
      <c r="E80" s="749">
        <v>2319</v>
      </c>
      <c r="F80" s="750">
        <v>2320</v>
      </c>
      <c r="G80" s="800">
        <f>'6.2 sz. mell'!F80+'6.3 sz. mell'!F80+'6.4.sz. mell '!F80</f>
        <v>2320</v>
      </c>
    </row>
    <row r="81" spans="1:7" ht="12" customHeight="1">
      <c r="A81" s="739"/>
      <c r="B81" s="751" t="s">
        <v>226</v>
      </c>
      <c r="C81" s="744" t="s">
        <v>318</v>
      </c>
      <c r="D81" s="742">
        <v>19002</v>
      </c>
      <c r="E81" s="742">
        <v>19002</v>
      </c>
      <c r="F81" s="743">
        <v>4340</v>
      </c>
      <c r="G81" s="800">
        <f>'6.2 sz. mell'!F81+'6.3 sz. mell'!F81+'6.4.sz. mell '!F81</f>
        <v>4340</v>
      </c>
    </row>
    <row r="82" spans="1:7" ht="12" customHeight="1">
      <c r="A82" s="739"/>
      <c r="B82" s="751" t="s">
        <v>227</v>
      </c>
      <c r="C82" s="744" t="s">
        <v>863</v>
      </c>
      <c r="D82" s="742"/>
      <c r="E82" s="742">
        <f>SUM(E83:E89)</f>
        <v>98046</v>
      </c>
      <c r="F82" s="743">
        <f>SUM(F83:F89)</f>
        <v>12046</v>
      </c>
      <c r="G82" s="800">
        <f>'6.2 sz. mell'!F82+'6.3 sz. mell'!F82+'6.4.sz. mell '!F82</f>
        <v>12046</v>
      </c>
    </row>
    <row r="83" spans="1:7" ht="15" customHeight="1">
      <c r="A83" s="739"/>
      <c r="B83" s="751" t="s">
        <v>228</v>
      </c>
      <c r="C83" s="744" t="s">
        <v>864</v>
      </c>
      <c r="D83" s="742"/>
      <c r="E83" s="742"/>
      <c r="F83" s="743"/>
      <c r="G83" s="800">
        <f>'6.2 sz. mell'!F83+'6.3 sz. mell'!F83+'6.4.sz. mell '!F83</f>
        <v>0</v>
      </c>
    </row>
    <row r="84" spans="1:7" ht="25.5" customHeight="1">
      <c r="A84" s="739"/>
      <c r="B84" s="751" t="s">
        <v>229</v>
      </c>
      <c r="C84" s="805" t="s">
        <v>865</v>
      </c>
      <c r="D84" s="742"/>
      <c r="E84" s="742">
        <v>98008</v>
      </c>
      <c r="F84" s="743">
        <v>12008</v>
      </c>
      <c r="G84" s="800">
        <f>'6.2 sz. mell'!F84+'6.3 sz. mell'!F84+'6.4.sz. mell '!F84</f>
        <v>12008</v>
      </c>
    </row>
    <row r="85" spans="1:7" ht="12" customHeight="1">
      <c r="A85" s="739"/>
      <c r="B85" s="751" t="s">
        <v>236</v>
      </c>
      <c r="C85" s="805" t="s">
        <v>866</v>
      </c>
      <c r="D85" s="742"/>
      <c r="E85" s="742">
        <v>38</v>
      </c>
      <c r="F85" s="743">
        <v>38</v>
      </c>
      <c r="G85" s="800">
        <f>'6.2 sz. mell'!F85+'6.3 sz. mell'!F85+'6.4.sz. mell '!F85</f>
        <v>38</v>
      </c>
    </row>
    <row r="86" spans="1:7" ht="12" customHeight="1">
      <c r="A86" s="739"/>
      <c r="B86" s="751" t="s">
        <v>238</v>
      </c>
      <c r="C86" s="805" t="s">
        <v>867</v>
      </c>
      <c r="D86" s="742"/>
      <c r="E86" s="742"/>
      <c r="F86" s="743"/>
      <c r="G86" s="800">
        <f>'6.2 sz. mell'!F86+'6.3 sz. mell'!F86+'6.4.sz. mell '!F86</f>
        <v>0</v>
      </c>
    </row>
    <row r="87" spans="1:7" s="800" customFormat="1" ht="12" customHeight="1">
      <c r="A87" s="739"/>
      <c r="B87" s="751" t="s">
        <v>319</v>
      </c>
      <c r="C87" s="805" t="s">
        <v>868</v>
      </c>
      <c r="D87" s="742"/>
      <c r="E87" s="742"/>
      <c r="F87" s="743"/>
      <c r="G87" s="800">
        <f>'6.2 sz. mell'!F87+'6.3 sz. mell'!F87+'6.4.sz. mell '!F87</f>
        <v>0</v>
      </c>
    </row>
    <row r="88" spans="1:12" ht="23.25" customHeight="1">
      <c r="A88" s="739"/>
      <c r="B88" s="751" t="s">
        <v>320</v>
      </c>
      <c r="C88" s="805" t="s">
        <v>869</v>
      </c>
      <c r="D88" s="742"/>
      <c r="E88" s="742"/>
      <c r="F88" s="743"/>
      <c r="G88" s="800">
        <f>'6.2 sz. mell'!F88+'6.3 sz. mell'!F88+'6.4.sz. mell '!F88</f>
        <v>0</v>
      </c>
      <c r="L88" s="810"/>
    </row>
    <row r="89" spans="1:7" ht="36" customHeight="1" thickBot="1">
      <c r="A89" s="739"/>
      <c r="B89" s="751" t="s">
        <v>321</v>
      </c>
      <c r="C89" s="811" t="s">
        <v>870</v>
      </c>
      <c r="D89" s="742"/>
      <c r="E89" s="774"/>
      <c r="F89" s="763"/>
      <c r="G89" s="800">
        <f>'6.2 sz. mell'!F89+'6.3 sz. mell'!F89+'6.4.sz. mell '!F89</f>
        <v>0</v>
      </c>
    </row>
    <row r="90" spans="1:7" ht="12" customHeight="1" thickBot="1">
      <c r="A90" s="781" t="s">
        <v>147</v>
      </c>
      <c r="B90" s="812"/>
      <c r="C90" s="813" t="s">
        <v>871</v>
      </c>
      <c r="D90" s="814">
        <f>+D91+D92</f>
        <v>16910</v>
      </c>
      <c r="E90" s="814">
        <f>+E91+E92</f>
        <v>13376</v>
      </c>
      <c r="F90" s="815">
        <f>+F91+F92</f>
        <v>0</v>
      </c>
      <c r="G90" s="800">
        <f>'6.2 sz. mell'!F90+'6.3 sz. mell'!F90+'6.4.sz. mell '!F90</f>
        <v>0</v>
      </c>
    </row>
    <row r="91" spans="1:7" s="800" customFormat="1" ht="12" customHeight="1">
      <c r="A91" s="746"/>
      <c r="B91" s="747" t="s">
        <v>197</v>
      </c>
      <c r="C91" s="816" t="s">
        <v>185</v>
      </c>
      <c r="D91" s="749">
        <v>11910</v>
      </c>
      <c r="E91" s="749">
        <v>8376</v>
      </c>
      <c r="F91" s="750"/>
      <c r="G91" s="800">
        <f>'6.2 sz. mell'!F91+'6.3 sz. mell'!F91+'6.4.sz. mell '!F91</f>
        <v>0</v>
      </c>
    </row>
    <row r="92" spans="1:7" s="800" customFormat="1" ht="12" customHeight="1">
      <c r="A92" s="759"/>
      <c r="B92" s="760" t="s">
        <v>198</v>
      </c>
      <c r="C92" s="817" t="s">
        <v>186</v>
      </c>
      <c r="D92" s="774">
        <v>5000</v>
      </c>
      <c r="E92" s="774">
        <v>5000</v>
      </c>
      <c r="F92" s="763"/>
      <c r="G92" s="800">
        <f>'6.2 sz. mell'!F92+'6.3 sz. mell'!F92+'6.4.sz. mell '!F92</f>
        <v>0</v>
      </c>
    </row>
    <row r="93" spans="1:7" s="800" customFormat="1" ht="12" customHeight="1">
      <c r="A93" s="818" t="s">
        <v>148</v>
      </c>
      <c r="B93" s="819"/>
      <c r="C93" s="736" t="s">
        <v>385</v>
      </c>
      <c r="D93" s="820"/>
      <c r="E93" s="820"/>
      <c r="F93" s="821"/>
      <c r="G93" s="800">
        <f>'6.2 sz. mell'!F93+'6.3 sz. mell'!F93+'6.4.sz. mell '!F93</f>
        <v>0</v>
      </c>
    </row>
    <row r="94" spans="1:7" s="800" customFormat="1" ht="12" customHeight="1">
      <c r="A94" s="727" t="s">
        <v>149</v>
      </c>
      <c r="B94" s="822"/>
      <c r="C94" s="823" t="s">
        <v>872</v>
      </c>
      <c r="D94" s="779">
        <v>92720</v>
      </c>
      <c r="E94" s="779">
        <v>118948</v>
      </c>
      <c r="F94" s="780">
        <v>119444</v>
      </c>
      <c r="G94" s="800">
        <f>'6.2 sz. mell'!F94+'6.3 sz. mell'!F94+'6.4.sz. mell '!F94</f>
        <v>119444</v>
      </c>
    </row>
    <row r="95" spans="1:7" s="800" customFormat="1" ht="12" customHeight="1">
      <c r="A95" s="727" t="s">
        <v>150</v>
      </c>
      <c r="B95" s="768"/>
      <c r="C95" s="733" t="s">
        <v>873</v>
      </c>
      <c r="D95" s="824">
        <f>+D65+D79+D90+D93+D94</f>
        <v>280422</v>
      </c>
      <c r="E95" s="824">
        <f>+E65+E79+E90+E93+E94</f>
        <v>451899</v>
      </c>
      <c r="F95" s="824">
        <f>+F65+F79+F90+F93+F94</f>
        <v>305286</v>
      </c>
      <c r="G95" s="800">
        <f>'6.2 sz. mell'!F95+'6.3 sz. mell'!F95+'6.4.sz. mell '!F95</f>
        <v>305286</v>
      </c>
    </row>
    <row r="96" spans="1:7" s="800" customFormat="1" ht="12" customHeight="1">
      <c r="A96" s="727" t="s">
        <v>151</v>
      </c>
      <c r="B96" s="768"/>
      <c r="C96" s="733" t="s">
        <v>874</v>
      </c>
      <c r="D96" s="734">
        <f>+D97+D98</f>
        <v>0</v>
      </c>
      <c r="E96" s="734">
        <f>+E97+E98</f>
        <v>0</v>
      </c>
      <c r="F96" s="737">
        <f>+F97+F98</f>
        <v>0</v>
      </c>
      <c r="G96" s="800">
        <f>'6.2 sz. mell'!F96+'6.3 sz. mell'!F96+'6.4.sz. mell '!F96</f>
        <v>0</v>
      </c>
    </row>
    <row r="97" spans="1:7" ht="12.75" customHeight="1">
      <c r="A97" s="775"/>
      <c r="B97" s="751" t="s">
        <v>875</v>
      </c>
      <c r="C97" s="785" t="s">
        <v>876</v>
      </c>
      <c r="D97" s="776"/>
      <c r="E97" s="776"/>
      <c r="F97" s="777"/>
      <c r="G97" s="800">
        <f>'6.2 sz. mell'!F97+'6.3 sz. mell'!F97+'6.4.sz. mell '!F97</f>
        <v>0</v>
      </c>
    </row>
    <row r="98" spans="1:7" ht="12" customHeight="1">
      <c r="A98" s="757"/>
      <c r="B98" s="808" t="s">
        <v>212</v>
      </c>
      <c r="C98" s="788" t="s">
        <v>877</v>
      </c>
      <c r="D98" s="762"/>
      <c r="E98" s="762"/>
      <c r="F98" s="758"/>
      <c r="G98" s="800">
        <f>'6.2 sz. mell'!F98+'6.3 sz. mell'!F98+'6.4.sz. mell '!F98</f>
        <v>0</v>
      </c>
    </row>
    <row r="99" spans="1:7" ht="12" customHeight="1">
      <c r="A99" s="757" t="s">
        <v>152</v>
      </c>
      <c r="B99" s="808"/>
      <c r="C99" s="736" t="s">
        <v>878</v>
      </c>
      <c r="D99" s="762"/>
      <c r="E99" s="762"/>
      <c r="F99" s="825">
        <v>-940</v>
      </c>
      <c r="G99" s="800">
        <f>'6.2 sz. mell'!F99+'6.3 sz. mell'!F99+'6.4.sz. mell '!F99</f>
        <v>-940</v>
      </c>
    </row>
    <row r="100" spans="1:7" ht="15" customHeight="1">
      <c r="A100" s="727" t="s">
        <v>153</v>
      </c>
      <c r="B100" s="778"/>
      <c r="C100" s="733" t="s">
        <v>879</v>
      </c>
      <c r="D100" s="734">
        <f>+D95+D96</f>
        <v>280422</v>
      </c>
      <c r="E100" s="734">
        <f>+E95+E96</f>
        <v>451899</v>
      </c>
      <c r="F100" s="737">
        <f>+F95+F96+F99</f>
        <v>304346</v>
      </c>
      <c r="G100" s="800">
        <f>'6.2 sz. mell'!F100+'6.3 sz. mell'!F100+'6.4.sz. mell '!F100</f>
        <v>304346</v>
      </c>
    </row>
    <row r="102" spans="1:6" ht="15" customHeight="1">
      <c r="A102" s="829" t="s">
        <v>880</v>
      </c>
      <c r="B102" s="830"/>
      <c r="C102" s="831"/>
      <c r="D102" s="832">
        <v>19</v>
      </c>
      <c r="E102" s="833">
        <v>19</v>
      </c>
      <c r="F102" s="834">
        <v>19</v>
      </c>
    </row>
    <row r="103" spans="1:6" ht="14.25" customHeight="1">
      <c r="A103" s="829" t="s">
        <v>881</v>
      </c>
      <c r="B103" s="830"/>
      <c r="C103" s="831"/>
      <c r="D103" s="832">
        <v>25</v>
      </c>
      <c r="E103" s="833">
        <v>51</v>
      </c>
      <c r="F103" s="834">
        <v>51</v>
      </c>
    </row>
  </sheetData>
  <sheetProtection selectLockedCells="1" selectUnlockedCells="1"/>
  <mergeCells count="6">
    <mergeCell ref="A7:F7"/>
    <mergeCell ref="A64:F64"/>
    <mergeCell ref="A2:B2"/>
    <mergeCell ref="C2:E2"/>
    <mergeCell ref="C3:E3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  <rowBreaks count="1" manualBreakCount="1">
    <brk id="6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L103"/>
  <sheetViews>
    <sheetView view="pageBreakPreview" zoomScale="160" zoomScaleSheetLayoutView="160" workbookViewId="0" topLeftCell="A85">
      <selection activeCell="D102" sqref="D102:F103"/>
    </sheetView>
  </sheetViews>
  <sheetFormatPr defaultColWidth="9.00390625" defaultRowHeight="12.75"/>
  <cols>
    <col min="1" max="1" width="9.625" style="826" customWidth="1"/>
    <col min="2" max="2" width="9.625" style="827" customWidth="1"/>
    <col min="3" max="3" width="59.375" style="827" customWidth="1"/>
    <col min="4" max="6" width="15.875" style="828" customWidth="1"/>
    <col min="7" max="16384" width="9.375" style="726" customWidth="1"/>
  </cols>
  <sheetData>
    <row r="1" spans="1:6" s="714" customFormat="1" ht="16.5" customHeight="1">
      <c r="A1" s="710"/>
      <c r="B1" s="711"/>
      <c r="C1" s="712"/>
      <c r="D1" s="713"/>
      <c r="E1" s="713"/>
      <c r="F1" s="713" t="s">
        <v>882</v>
      </c>
    </row>
    <row r="2" spans="1:6" s="716" customFormat="1" ht="15.75" customHeight="1">
      <c r="A2" s="1191" t="s">
        <v>828</v>
      </c>
      <c r="B2" s="1191"/>
      <c r="C2" s="1192" t="s">
        <v>829</v>
      </c>
      <c r="D2" s="1192"/>
      <c r="E2" s="1192"/>
      <c r="F2" s="715" t="s">
        <v>830</v>
      </c>
    </row>
    <row r="3" spans="1:6" s="716" customFormat="1" ht="15.75">
      <c r="A3" s="717" t="s">
        <v>831</v>
      </c>
      <c r="B3" s="718"/>
      <c r="C3" s="1193" t="s">
        <v>883</v>
      </c>
      <c r="D3" s="1193"/>
      <c r="E3" s="1193"/>
      <c r="F3" s="719" t="s">
        <v>833</v>
      </c>
    </row>
    <row r="4" spans="1:6" s="722" customFormat="1" ht="15.75" customHeight="1">
      <c r="A4" s="720"/>
      <c r="B4" s="720"/>
      <c r="C4" s="720"/>
      <c r="D4" s="721"/>
      <c r="E4" s="721"/>
      <c r="F4" s="721" t="s">
        <v>179</v>
      </c>
    </row>
    <row r="5" spans="1:6" ht="24.75" customHeight="1">
      <c r="A5" s="1194" t="s">
        <v>834</v>
      </c>
      <c r="B5" s="1194"/>
      <c r="C5" s="723" t="s">
        <v>835</v>
      </c>
      <c r="D5" s="724" t="s">
        <v>482</v>
      </c>
      <c r="E5" s="724" t="s">
        <v>489</v>
      </c>
      <c r="F5" s="725" t="s">
        <v>490</v>
      </c>
    </row>
    <row r="6" spans="1:6" s="731" customFormat="1" ht="12.75" customHeight="1">
      <c r="A6" s="727">
        <v>1</v>
      </c>
      <c r="B6" s="728">
        <v>2</v>
      </c>
      <c r="C6" s="728">
        <v>3</v>
      </c>
      <c r="D6" s="728">
        <v>4</v>
      </c>
      <c r="E6" s="729">
        <v>5</v>
      </c>
      <c r="F6" s="730">
        <v>6</v>
      </c>
    </row>
    <row r="7" spans="1:6" s="731" customFormat="1" ht="15.75" customHeight="1">
      <c r="A7" s="1190" t="s">
        <v>180</v>
      </c>
      <c r="B7" s="1190"/>
      <c r="C7" s="1190"/>
      <c r="D7" s="1190"/>
      <c r="E7" s="1190"/>
      <c r="F7" s="1190"/>
    </row>
    <row r="8" spans="1:6" s="731" customFormat="1" ht="12" customHeight="1">
      <c r="A8" s="727" t="s">
        <v>145</v>
      </c>
      <c r="B8" s="732"/>
      <c r="C8" s="733" t="s">
        <v>836</v>
      </c>
      <c r="D8" s="734">
        <f>+D9+D14+D25</f>
        <v>62965</v>
      </c>
      <c r="E8" s="734">
        <f>+E9+E14+E25</f>
        <v>84896</v>
      </c>
      <c r="F8" s="734">
        <f>+F9+F14+F25</f>
        <v>84894</v>
      </c>
    </row>
    <row r="9" spans="1:6" s="735" customFormat="1" ht="12" customHeight="1" thickBot="1">
      <c r="A9" s="727" t="s">
        <v>146</v>
      </c>
      <c r="B9" s="732"/>
      <c r="C9" s="736" t="s">
        <v>837</v>
      </c>
      <c r="D9" s="734">
        <f>SUM(D10:D13)</f>
        <v>40448</v>
      </c>
      <c r="E9" s="734">
        <f>SUM(E10:E13)</f>
        <v>52838</v>
      </c>
      <c r="F9" s="737">
        <f>SUM(F10:F13)</f>
        <v>52838</v>
      </c>
    </row>
    <row r="10" spans="1:6" s="738" customFormat="1" ht="12" customHeight="1">
      <c r="A10" s="739"/>
      <c r="B10" s="740" t="s">
        <v>225</v>
      </c>
      <c r="C10" s="741" t="s">
        <v>182</v>
      </c>
      <c r="D10" s="742">
        <v>30948</v>
      </c>
      <c r="E10" s="749">
        <v>43603</v>
      </c>
      <c r="F10" s="750">
        <v>46145</v>
      </c>
    </row>
    <row r="11" spans="1:6" s="738" customFormat="1" ht="12" customHeight="1">
      <c r="A11" s="739"/>
      <c r="B11" s="740" t="s">
        <v>226</v>
      </c>
      <c r="C11" s="744" t="s">
        <v>196</v>
      </c>
      <c r="D11" s="742"/>
      <c r="E11" s="742"/>
      <c r="F11" s="743"/>
    </row>
    <row r="12" spans="1:6" s="738" customFormat="1" ht="12" customHeight="1">
      <c r="A12" s="739"/>
      <c r="B12" s="740" t="s">
        <v>227</v>
      </c>
      <c r="C12" s="744" t="s">
        <v>277</v>
      </c>
      <c r="D12" s="742">
        <v>9500</v>
      </c>
      <c r="E12" s="742">
        <v>9235</v>
      </c>
      <c r="F12" s="743">
        <v>6693</v>
      </c>
    </row>
    <row r="13" spans="1:6" s="738" customFormat="1" ht="12" customHeight="1" thickBot="1">
      <c r="A13" s="739"/>
      <c r="B13" s="740" t="s">
        <v>228</v>
      </c>
      <c r="C13" s="745" t="s">
        <v>278</v>
      </c>
      <c r="D13" s="742"/>
      <c r="E13" s="774"/>
      <c r="F13" s="763"/>
    </row>
    <row r="14" spans="1:6" s="735" customFormat="1" ht="12" customHeight="1" thickBot="1">
      <c r="A14" s="727" t="s">
        <v>147</v>
      </c>
      <c r="B14" s="732"/>
      <c r="C14" s="736" t="s">
        <v>279</v>
      </c>
      <c r="D14" s="734">
        <f>SUM(D15:D24)</f>
        <v>19317</v>
      </c>
      <c r="E14" s="734">
        <f>SUM(E15:E24)</f>
        <v>28458</v>
      </c>
      <c r="F14" s="734">
        <f>SUM(F15:F24)</f>
        <v>28456</v>
      </c>
    </row>
    <row r="15" spans="1:6" s="735" customFormat="1" ht="12" customHeight="1">
      <c r="A15" s="746"/>
      <c r="B15" s="740" t="s">
        <v>197</v>
      </c>
      <c r="C15" s="748" t="s">
        <v>284</v>
      </c>
      <c r="D15" s="749">
        <v>5355</v>
      </c>
      <c r="E15" s="749">
        <v>8213</v>
      </c>
      <c r="F15" s="750">
        <v>8213</v>
      </c>
    </row>
    <row r="16" spans="1:6" s="735" customFormat="1" ht="12" customHeight="1">
      <c r="A16" s="739"/>
      <c r="B16" s="740" t="s">
        <v>198</v>
      </c>
      <c r="C16" s="752" t="s">
        <v>285</v>
      </c>
      <c r="D16" s="742"/>
      <c r="E16" s="742">
        <v>94</v>
      </c>
      <c r="F16" s="743">
        <v>94</v>
      </c>
    </row>
    <row r="17" spans="1:6" s="735" customFormat="1" ht="12" customHeight="1">
      <c r="A17" s="739"/>
      <c r="B17" s="740" t="s">
        <v>199</v>
      </c>
      <c r="C17" s="752" t="s">
        <v>838</v>
      </c>
      <c r="D17" s="742"/>
      <c r="E17" s="742">
        <v>596</v>
      </c>
      <c r="F17" s="743">
        <v>596</v>
      </c>
    </row>
    <row r="18" spans="1:6" s="735" customFormat="1" ht="12" customHeight="1">
      <c r="A18" s="739"/>
      <c r="B18" s="740" t="s">
        <v>200</v>
      </c>
      <c r="C18" s="752" t="s">
        <v>286</v>
      </c>
      <c r="D18" s="742">
        <v>5288</v>
      </c>
      <c r="E18" s="742">
        <v>8404</v>
      </c>
      <c r="F18" s="743">
        <v>8403</v>
      </c>
    </row>
    <row r="19" spans="1:6" s="735" customFormat="1" ht="12" customHeight="1">
      <c r="A19" s="739"/>
      <c r="B19" s="740" t="s">
        <v>280</v>
      </c>
      <c r="C19" s="752" t="s">
        <v>287</v>
      </c>
      <c r="D19" s="742">
        <v>2624</v>
      </c>
      <c r="E19" s="742">
        <v>1883</v>
      </c>
      <c r="F19" s="743">
        <v>1883</v>
      </c>
    </row>
    <row r="20" spans="1:6" s="735" customFormat="1" ht="12" customHeight="1">
      <c r="A20" s="753"/>
      <c r="B20" s="740" t="s">
        <v>281</v>
      </c>
      <c r="C20" s="752" t="s">
        <v>288</v>
      </c>
      <c r="D20" s="754"/>
      <c r="E20" s="742"/>
      <c r="F20" s="743"/>
    </row>
    <row r="21" spans="1:6" s="738" customFormat="1" ht="12" customHeight="1">
      <c r="A21" s="739"/>
      <c r="B21" s="740" t="s">
        <v>282</v>
      </c>
      <c r="C21" s="752" t="s">
        <v>839</v>
      </c>
      <c r="D21" s="742"/>
      <c r="E21" s="742">
        <v>1410</v>
      </c>
      <c r="F21" s="743">
        <v>1409</v>
      </c>
    </row>
    <row r="22" spans="1:6" s="738" customFormat="1" ht="12" customHeight="1">
      <c r="A22" s="757"/>
      <c r="B22" s="766" t="s">
        <v>283</v>
      </c>
      <c r="C22" s="752" t="s">
        <v>345</v>
      </c>
      <c r="D22" s="742">
        <v>2694</v>
      </c>
      <c r="E22" s="742">
        <v>3776</v>
      </c>
      <c r="F22" s="743">
        <v>3776</v>
      </c>
    </row>
    <row r="23" spans="1:6" s="738" customFormat="1" ht="12" customHeight="1">
      <c r="A23" s="739"/>
      <c r="B23" s="835" t="s">
        <v>87</v>
      </c>
      <c r="C23" s="752" t="s">
        <v>289</v>
      </c>
      <c r="D23" s="742"/>
      <c r="E23" s="742">
        <v>2124</v>
      </c>
      <c r="F23" s="743">
        <v>2124</v>
      </c>
    </row>
    <row r="24" spans="1:6" s="738" customFormat="1" ht="12" customHeight="1" thickBot="1">
      <c r="A24" s="759"/>
      <c r="B24" s="836" t="s">
        <v>88</v>
      </c>
      <c r="C24" s="761" t="s">
        <v>290</v>
      </c>
      <c r="D24" s="762">
        <v>3356</v>
      </c>
      <c r="E24" s="774">
        <v>1958</v>
      </c>
      <c r="F24" s="763">
        <v>1958</v>
      </c>
    </row>
    <row r="25" spans="1:6" s="738" customFormat="1" ht="12" customHeight="1" thickBot="1">
      <c r="A25" s="764" t="s">
        <v>148</v>
      </c>
      <c r="B25" s="765"/>
      <c r="C25" s="736" t="s">
        <v>346</v>
      </c>
      <c r="D25" s="734">
        <v>3200</v>
      </c>
      <c r="E25" s="734">
        <v>3600</v>
      </c>
      <c r="F25" s="737">
        <v>3600</v>
      </c>
    </row>
    <row r="26" spans="1:6" s="735" customFormat="1" ht="12" customHeight="1" thickBot="1">
      <c r="A26" s="727" t="s">
        <v>149</v>
      </c>
      <c r="B26" s="732"/>
      <c r="C26" s="736" t="s">
        <v>840</v>
      </c>
      <c r="D26" s="734">
        <f>SUM(D27:D34)</f>
        <v>72282</v>
      </c>
      <c r="E26" s="734">
        <f>SUM(E27:E34)</f>
        <v>240366</v>
      </c>
      <c r="F26" s="737">
        <f>SUM(F27:F34)</f>
        <v>240366</v>
      </c>
    </row>
    <row r="27" spans="1:6" s="738" customFormat="1" ht="12" customHeight="1">
      <c r="A27" s="739"/>
      <c r="B27" s="740" t="s">
        <v>201</v>
      </c>
      <c r="C27" s="741" t="s">
        <v>841</v>
      </c>
      <c r="D27" s="742">
        <v>72282</v>
      </c>
      <c r="E27" s="749">
        <v>121297</v>
      </c>
      <c r="F27" s="750">
        <v>121297</v>
      </c>
    </row>
    <row r="28" spans="1:6" s="738" customFormat="1" ht="12" customHeight="1">
      <c r="A28" s="739"/>
      <c r="B28" s="740" t="s">
        <v>202</v>
      </c>
      <c r="C28" s="744" t="s">
        <v>301</v>
      </c>
      <c r="D28" s="742"/>
      <c r="E28" s="742">
        <v>6927</v>
      </c>
      <c r="F28" s="743">
        <v>6927</v>
      </c>
    </row>
    <row r="29" spans="1:6" s="738" customFormat="1" ht="12" customHeight="1">
      <c r="A29" s="739"/>
      <c r="B29" s="740" t="s">
        <v>203</v>
      </c>
      <c r="C29" s="744" t="s">
        <v>206</v>
      </c>
      <c r="D29" s="742"/>
      <c r="E29" s="742">
        <v>110000</v>
      </c>
      <c r="F29" s="743">
        <v>110000</v>
      </c>
    </row>
    <row r="30" spans="1:6" s="738" customFormat="1" ht="12" customHeight="1">
      <c r="A30" s="739"/>
      <c r="B30" s="740" t="s">
        <v>294</v>
      </c>
      <c r="C30" s="744" t="s">
        <v>302</v>
      </c>
      <c r="D30" s="742"/>
      <c r="E30" s="742"/>
      <c r="F30" s="743"/>
    </row>
    <row r="31" spans="1:6" s="738" customFormat="1" ht="12" customHeight="1">
      <c r="A31" s="739"/>
      <c r="B31" s="740" t="s">
        <v>295</v>
      </c>
      <c r="C31" s="744" t="s">
        <v>303</v>
      </c>
      <c r="D31" s="742"/>
      <c r="E31" s="742"/>
      <c r="F31" s="743"/>
    </row>
    <row r="32" spans="1:6" s="738" customFormat="1" ht="12" customHeight="1">
      <c r="A32" s="739"/>
      <c r="B32" s="740" t="s">
        <v>296</v>
      </c>
      <c r="C32" s="744" t="s">
        <v>842</v>
      </c>
      <c r="D32" s="742"/>
      <c r="E32" s="742"/>
      <c r="F32" s="743"/>
    </row>
    <row r="33" spans="1:6" s="738" customFormat="1" ht="12" customHeight="1">
      <c r="A33" s="739"/>
      <c r="B33" s="740" t="s">
        <v>297</v>
      </c>
      <c r="C33" s="744" t="s">
        <v>347</v>
      </c>
      <c r="D33" s="742"/>
      <c r="E33" s="742">
        <v>2142</v>
      </c>
      <c r="F33" s="743">
        <v>2142</v>
      </c>
    </row>
    <row r="34" spans="1:6" s="738" customFormat="1" ht="12" customHeight="1" thickBot="1">
      <c r="A34" s="757"/>
      <c r="B34" s="766" t="s">
        <v>298</v>
      </c>
      <c r="C34" s="767" t="s">
        <v>843</v>
      </c>
      <c r="D34" s="762"/>
      <c r="E34" s="774"/>
      <c r="F34" s="763"/>
    </row>
    <row r="35" spans="1:6" s="738" customFormat="1" ht="12" customHeight="1" thickBot="1">
      <c r="A35" s="727" t="s">
        <v>150</v>
      </c>
      <c r="B35" s="768"/>
      <c r="C35" s="733" t="s">
        <v>844</v>
      </c>
      <c r="D35" s="734">
        <f>+D36+D42</f>
        <v>34479</v>
      </c>
      <c r="E35" s="734">
        <f>+E36+E42</f>
        <v>38635</v>
      </c>
      <c r="F35" s="734">
        <f>+F36+F42</f>
        <v>38634</v>
      </c>
    </row>
    <row r="36" spans="1:6" s="738" customFormat="1" ht="12" customHeight="1" thickBot="1">
      <c r="A36" s="746"/>
      <c r="B36" s="747" t="s">
        <v>204</v>
      </c>
      <c r="C36" s="769" t="s">
        <v>472</v>
      </c>
      <c r="D36" s="837">
        <f>SUM(D37:D41)</f>
        <v>32104</v>
      </c>
      <c r="E36" s="1126">
        <f>SUM(E37:E41)</f>
        <v>36615</v>
      </c>
      <c r="F36" s="1127">
        <f>SUM(F37:F41)</f>
        <v>36614</v>
      </c>
    </row>
    <row r="37" spans="1:6" s="738" customFormat="1" ht="12" customHeight="1">
      <c r="A37" s="739"/>
      <c r="B37" s="751" t="s">
        <v>207</v>
      </c>
      <c r="C37" s="744" t="s">
        <v>348</v>
      </c>
      <c r="D37" s="742">
        <v>3200</v>
      </c>
      <c r="E37" s="749">
        <v>3649</v>
      </c>
      <c r="F37" s="750">
        <v>3649</v>
      </c>
    </row>
    <row r="38" spans="1:6" s="738" customFormat="1" ht="12" customHeight="1">
      <c r="A38" s="739"/>
      <c r="B38" s="751" t="s">
        <v>208</v>
      </c>
      <c r="C38" s="744" t="s">
        <v>349</v>
      </c>
      <c r="D38" s="742"/>
      <c r="E38" s="742"/>
      <c r="F38" s="743"/>
    </row>
    <row r="39" spans="1:6" s="738" customFormat="1" ht="12" customHeight="1">
      <c r="A39" s="739"/>
      <c r="B39" s="751" t="s">
        <v>209</v>
      </c>
      <c r="C39" s="744" t="s">
        <v>350</v>
      </c>
      <c r="D39" s="742">
        <v>6936</v>
      </c>
      <c r="E39" s="742">
        <v>3468</v>
      </c>
      <c r="F39" s="743">
        <v>3468</v>
      </c>
    </row>
    <row r="40" spans="1:6" s="738" customFormat="1" ht="12" customHeight="1">
      <c r="A40" s="739"/>
      <c r="B40" s="751" t="s">
        <v>210</v>
      </c>
      <c r="C40" s="744" t="s">
        <v>351</v>
      </c>
      <c r="D40" s="742"/>
      <c r="E40" s="742"/>
      <c r="F40" s="743"/>
    </row>
    <row r="41" spans="1:6" s="738" customFormat="1" ht="12" customHeight="1">
      <c r="A41" s="739"/>
      <c r="B41" s="751" t="s">
        <v>305</v>
      </c>
      <c r="C41" s="744" t="s">
        <v>473</v>
      </c>
      <c r="D41" s="742">
        <v>21968</v>
      </c>
      <c r="E41" s="742">
        <v>29498</v>
      </c>
      <c r="F41" s="743">
        <v>29497</v>
      </c>
    </row>
    <row r="42" spans="1:6" s="738" customFormat="1" ht="12" customHeight="1">
      <c r="A42" s="739"/>
      <c r="B42" s="751" t="s">
        <v>205</v>
      </c>
      <c r="C42" s="771" t="s">
        <v>474</v>
      </c>
      <c r="D42" s="772">
        <f>SUM(D43:D47)</f>
        <v>2375</v>
      </c>
      <c r="E42" s="772">
        <v>2020</v>
      </c>
      <c r="F42" s="773">
        <f>SUM(F43:F47)</f>
        <v>2020</v>
      </c>
    </row>
    <row r="43" spans="1:6" s="738" customFormat="1" ht="12" customHeight="1">
      <c r="A43" s="739"/>
      <c r="B43" s="751" t="s">
        <v>213</v>
      </c>
      <c r="C43" s="744" t="s">
        <v>348</v>
      </c>
      <c r="D43" s="742"/>
      <c r="E43" s="742"/>
      <c r="F43" s="743"/>
    </row>
    <row r="44" spans="1:6" s="738" customFormat="1" ht="12" customHeight="1">
      <c r="A44" s="739"/>
      <c r="B44" s="751" t="s">
        <v>214</v>
      </c>
      <c r="C44" s="744" t="s">
        <v>349</v>
      </c>
      <c r="D44" s="742"/>
      <c r="E44" s="742"/>
      <c r="F44" s="743"/>
    </row>
    <row r="45" spans="1:6" s="738" customFormat="1" ht="12" customHeight="1">
      <c r="A45" s="739"/>
      <c r="B45" s="751" t="s">
        <v>215</v>
      </c>
      <c r="C45" s="744" t="s">
        <v>350</v>
      </c>
      <c r="D45" s="742"/>
      <c r="E45" s="742"/>
      <c r="F45" s="743"/>
    </row>
    <row r="46" spans="1:6" s="738" customFormat="1" ht="12" customHeight="1">
      <c r="A46" s="739"/>
      <c r="B46" s="751" t="s">
        <v>216</v>
      </c>
      <c r="C46" s="744" t="s">
        <v>351</v>
      </c>
      <c r="D46" s="742"/>
      <c r="E46" s="742"/>
      <c r="F46" s="743"/>
    </row>
    <row r="47" spans="1:6" s="738" customFormat="1" ht="12" customHeight="1" thickBot="1">
      <c r="A47" s="759"/>
      <c r="B47" s="760" t="s">
        <v>306</v>
      </c>
      <c r="C47" s="745" t="s">
        <v>475</v>
      </c>
      <c r="D47" s="774">
        <v>2375</v>
      </c>
      <c r="E47" s="774">
        <v>2020</v>
      </c>
      <c r="F47" s="763">
        <v>2020</v>
      </c>
    </row>
    <row r="48" spans="1:6" s="735" customFormat="1" ht="12" customHeight="1" thickBot="1">
      <c r="A48" s="727" t="s">
        <v>151</v>
      </c>
      <c r="B48" s="732"/>
      <c r="C48" s="736" t="s">
        <v>352</v>
      </c>
      <c r="D48" s="734">
        <f>+D49+D50</f>
        <v>0</v>
      </c>
      <c r="E48" s="734">
        <f>+E49+E50</f>
        <v>0</v>
      </c>
      <c r="F48" s="737">
        <f>+F49+F50</f>
        <v>0</v>
      </c>
    </row>
    <row r="49" spans="1:6" s="738" customFormat="1" ht="12" customHeight="1">
      <c r="A49" s="739"/>
      <c r="B49" s="751" t="s">
        <v>211</v>
      </c>
      <c r="C49" s="741" t="s">
        <v>845</v>
      </c>
      <c r="D49" s="742"/>
      <c r="E49" s="742"/>
      <c r="F49" s="743"/>
    </row>
    <row r="50" spans="1:6" s="738" customFormat="1" ht="12" customHeight="1">
      <c r="A50" s="739"/>
      <c r="B50" s="751" t="s">
        <v>212</v>
      </c>
      <c r="C50" s="745" t="s">
        <v>846</v>
      </c>
      <c r="D50" s="742"/>
      <c r="E50" s="742"/>
      <c r="F50" s="743"/>
    </row>
    <row r="51" spans="1:6" s="738" customFormat="1" ht="12" customHeight="1" thickBot="1">
      <c r="A51" s="727" t="s">
        <v>152</v>
      </c>
      <c r="B51" s="732"/>
      <c r="C51" s="736" t="s">
        <v>847</v>
      </c>
      <c r="D51" s="734">
        <f>+D52+D53+D54</f>
        <v>0</v>
      </c>
      <c r="E51" s="734">
        <f>+E52+E53+E54</f>
        <v>3</v>
      </c>
      <c r="F51" s="737">
        <f>+F52+F53+F54</f>
        <v>3</v>
      </c>
    </row>
    <row r="52" spans="1:6" s="738" customFormat="1" ht="12" customHeight="1">
      <c r="A52" s="775"/>
      <c r="B52" s="751" t="s">
        <v>310</v>
      </c>
      <c r="C52" s="741" t="s">
        <v>308</v>
      </c>
      <c r="D52" s="776"/>
      <c r="E52" s="749"/>
      <c r="F52" s="750"/>
    </row>
    <row r="53" spans="1:6" s="738" customFormat="1" ht="12" customHeight="1">
      <c r="A53" s="775"/>
      <c r="B53" s="751" t="s">
        <v>311</v>
      </c>
      <c r="C53" s="744" t="s">
        <v>309</v>
      </c>
      <c r="D53" s="776"/>
      <c r="E53" s="742"/>
      <c r="F53" s="743"/>
    </row>
    <row r="54" spans="1:6" s="738" customFormat="1" ht="12" customHeight="1" thickBot="1">
      <c r="A54" s="739"/>
      <c r="B54" s="751" t="s">
        <v>399</v>
      </c>
      <c r="C54" s="767" t="s">
        <v>354</v>
      </c>
      <c r="D54" s="742"/>
      <c r="E54" s="774">
        <v>3</v>
      </c>
      <c r="F54" s="763">
        <v>3</v>
      </c>
    </row>
    <row r="55" spans="1:6" s="738" customFormat="1" ht="12" customHeight="1" thickBot="1">
      <c r="A55" s="727" t="s">
        <v>153</v>
      </c>
      <c r="B55" s="778"/>
      <c r="C55" s="733" t="s">
        <v>355</v>
      </c>
      <c r="D55" s="779"/>
      <c r="E55" s="779">
        <v>1250</v>
      </c>
      <c r="F55" s="780">
        <v>5942</v>
      </c>
    </row>
    <row r="56" spans="1:6" s="735" customFormat="1" ht="12" customHeight="1">
      <c r="A56" s="781" t="s">
        <v>154</v>
      </c>
      <c r="B56" s="782"/>
      <c r="C56" s="733" t="s">
        <v>932</v>
      </c>
      <c r="D56" s="783">
        <f>+D9+D14+D25+D26+D35+D48+D51+D55</f>
        <v>169726</v>
      </c>
      <c r="E56" s="783">
        <f>+E9+E14+E25+E26+E35+E48+E51+E55</f>
        <v>365150</v>
      </c>
      <c r="F56" s="838">
        <f>+F9+F14+F25+F26+F35+F48+F51+F55</f>
        <v>369839</v>
      </c>
    </row>
    <row r="57" spans="1:6" s="735" customFormat="1" ht="12" customHeight="1">
      <c r="A57" s="727" t="s">
        <v>155</v>
      </c>
      <c r="B57" s="784"/>
      <c r="C57" s="733" t="s">
        <v>358</v>
      </c>
      <c r="D57" s="734">
        <f>+D58+D59</f>
        <v>27924</v>
      </c>
      <c r="E57" s="734">
        <f>+E58+E59</f>
        <v>0</v>
      </c>
      <c r="F57" s="737">
        <f>+F58+F59</f>
        <v>0</v>
      </c>
    </row>
    <row r="58" spans="1:6" s="735" customFormat="1" ht="12" customHeight="1">
      <c r="A58" s="746"/>
      <c r="B58" s="747" t="s">
        <v>255</v>
      </c>
      <c r="C58" s="785" t="s">
        <v>848</v>
      </c>
      <c r="D58" s="786">
        <v>27924</v>
      </c>
      <c r="E58" s="749"/>
      <c r="F58" s="750"/>
    </row>
    <row r="59" spans="1:6" s="735" customFormat="1" ht="12" customHeight="1" thickBot="1">
      <c r="A59" s="759"/>
      <c r="B59" s="760" t="s">
        <v>256</v>
      </c>
      <c r="C59" s="788" t="s">
        <v>849</v>
      </c>
      <c r="D59" s="774"/>
      <c r="E59" s="774"/>
      <c r="F59" s="763"/>
    </row>
    <row r="60" spans="1:6" s="735" customFormat="1" ht="12" customHeight="1" thickBot="1">
      <c r="A60" s="759" t="s">
        <v>156</v>
      </c>
      <c r="B60" s="760"/>
      <c r="C60" s="736" t="s">
        <v>850</v>
      </c>
      <c r="D60" s="774"/>
      <c r="E60" s="1128"/>
      <c r="F60" s="780">
        <v>759</v>
      </c>
    </row>
    <row r="61" spans="1:6" s="738" customFormat="1" ht="12" customHeight="1" thickBot="1">
      <c r="A61" s="790" t="s">
        <v>157</v>
      </c>
      <c r="B61" s="791"/>
      <c r="C61" s="792" t="s">
        <v>851</v>
      </c>
      <c r="D61" s="734">
        <f>+D56+D57</f>
        <v>197650</v>
      </c>
      <c r="E61" s="734">
        <f>+E56+E57</f>
        <v>365150</v>
      </c>
      <c r="F61" s="737">
        <f>+F56+F57+F60</f>
        <v>370598</v>
      </c>
    </row>
    <row r="62" spans="1:6" s="738" customFormat="1" ht="15" customHeight="1">
      <c r="A62" s="793"/>
      <c r="B62" s="793"/>
      <c r="C62" s="794"/>
      <c r="D62" s="795"/>
      <c r="E62" s="795"/>
      <c r="F62" s="795"/>
    </row>
    <row r="63" spans="1:6" ht="12.75">
      <c r="A63" s="796"/>
      <c r="B63" s="797"/>
      <c r="C63" s="797"/>
      <c r="D63" s="798"/>
      <c r="E63" s="798"/>
      <c r="F63" s="798"/>
    </row>
    <row r="64" spans="1:6" s="731" customFormat="1" ht="16.5" customHeight="1">
      <c r="A64" s="1190" t="s">
        <v>184</v>
      </c>
      <c r="B64" s="1190"/>
      <c r="C64" s="1190"/>
      <c r="D64" s="1190"/>
      <c r="E64" s="1190"/>
      <c r="F64" s="1190"/>
    </row>
    <row r="65" spans="1:6" s="800" customFormat="1" ht="12" customHeight="1" thickBot="1">
      <c r="A65" s="727" t="s">
        <v>145</v>
      </c>
      <c r="B65" s="768"/>
      <c r="C65" s="799" t="s">
        <v>852</v>
      </c>
      <c r="D65" s="734">
        <f>SUM(D66:D70)</f>
        <v>128312</v>
      </c>
      <c r="E65" s="734">
        <f>SUM(E66:E70)</f>
        <v>177441</v>
      </c>
      <c r="F65" s="737">
        <f>SUM(F66:F70)</f>
        <v>144668</v>
      </c>
    </row>
    <row r="66" spans="1:6" ht="12" customHeight="1">
      <c r="A66" s="775"/>
      <c r="B66" s="801" t="s">
        <v>217</v>
      </c>
      <c r="C66" s="802" t="s">
        <v>175</v>
      </c>
      <c r="D66" s="776">
        <v>42365</v>
      </c>
      <c r="E66" s="749">
        <v>48577</v>
      </c>
      <c r="F66" s="750">
        <v>45776</v>
      </c>
    </row>
    <row r="67" spans="1:6" ht="12" customHeight="1">
      <c r="A67" s="739"/>
      <c r="B67" s="751" t="s">
        <v>218</v>
      </c>
      <c r="C67" s="803" t="s">
        <v>315</v>
      </c>
      <c r="D67" s="742">
        <v>8973</v>
      </c>
      <c r="E67" s="742">
        <v>9742</v>
      </c>
      <c r="F67" s="743">
        <v>9611</v>
      </c>
    </row>
    <row r="68" spans="1:6" ht="12" customHeight="1">
      <c r="A68" s="739"/>
      <c r="B68" s="751" t="s">
        <v>219</v>
      </c>
      <c r="C68" s="803" t="s">
        <v>248</v>
      </c>
      <c r="D68" s="742">
        <v>73430</v>
      </c>
      <c r="E68" s="742">
        <v>114765</v>
      </c>
      <c r="F68" s="743">
        <v>84924</v>
      </c>
    </row>
    <row r="69" spans="1:6" ht="12" customHeight="1">
      <c r="A69" s="739"/>
      <c r="B69" s="751" t="s">
        <v>220</v>
      </c>
      <c r="C69" s="803" t="s">
        <v>316</v>
      </c>
      <c r="D69" s="742"/>
      <c r="E69" s="762"/>
      <c r="F69" s="758"/>
    </row>
    <row r="70" spans="1:6" ht="12" customHeight="1">
      <c r="A70" s="739"/>
      <c r="B70" s="751" t="s">
        <v>231</v>
      </c>
      <c r="C70" s="803" t="s">
        <v>317</v>
      </c>
      <c r="D70" s="742">
        <f>SUM(D71:D78)</f>
        <v>3544</v>
      </c>
      <c r="E70" s="742">
        <f>SUM(E71:E78)</f>
        <v>4357</v>
      </c>
      <c r="F70" s="742">
        <f>SUM(F71:F78)</f>
        <v>4357</v>
      </c>
    </row>
    <row r="71" spans="1:6" ht="12" customHeight="1">
      <c r="A71" s="739"/>
      <c r="B71" s="751" t="s">
        <v>221</v>
      </c>
      <c r="C71" s="803" t="s">
        <v>334</v>
      </c>
      <c r="D71" s="742"/>
      <c r="E71" s="776"/>
      <c r="F71" s="777"/>
    </row>
    <row r="72" spans="1:6" ht="21" customHeight="1">
      <c r="A72" s="739"/>
      <c r="B72" s="751" t="s">
        <v>222</v>
      </c>
      <c r="C72" s="804" t="s">
        <v>853</v>
      </c>
      <c r="D72" s="742">
        <v>689</v>
      </c>
      <c r="E72" s="742">
        <v>531</v>
      </c>
      <c r="F72" s="743">
        <v>531</v>
      </c>
    </row>
    <row r="73" spans="1:6" ht="21" customHeight="1">
      <c r="A73" s="739"/>
      <c r="B73" s="751" t="s">
        <v>232</v>
      </c>
      <c r="C73" s="805" t="s">
        <v>854</v>
      </c>
      <c r="D73" s="742">
        <v>2546</v>
      </c>
      <c r="E73" s="742">
        <v>2188</v>
      </c>
      <c r="F73" s="743">
        <v>2188</v>
      </c>
    </row>
    <row r="74" spans="1:6" ht="21" customHeight="1">
      <c r="A74" s="739"/>
      <c r="B74" s="751" t="s">
        <v>233</v>
      </c>
      <c r="C74" s="805" t="s">
        <v>855</v>
      </c>
      <c r="D74" s="742">
        <v>309</v>
      </c>
      <c r="E74" s="742">
        <v>1638</v>
      </c>
      <c r="F74" s="743">
        <v>1638</v>
      </c>
    </row>
    <row r="75" spans="1:6" ht="12" customHeight="1">
      <c r="A75" s="739"/>
      <c r="B75" s="751" t="s">
        <v>234</v>
      </c>
      <c r="C75" s="805" t="s">
        <v>856</v>
      </c>
      <c r="D75" s="742"/>
      <c r="E75" s="742"/>
      <c r="F75" s="743"/>
    </row>
    <row r="76" spans="1:6" ht="12" customHeight="1">
      <c r="A76" s="739"/>
      <c r="B76" s="751" t="s">
        <v>235</v>
      </c>
      <c r="C76" s="806" t="s">
        <v>857</v>
      </c>
      <c r="D76" s="742"/>
      <c r="E76" s="742"/>
      <c r="F76" s="743"/>
    </row>
    <row r="77" spans="1:6" ht="12" customHeight="1">
      <c r="A77" s="739"/>
      <c r="B77" s="751" t="s">
        <v>237</v>
      </c>
      <c r="C77" s="807" t="s">
        <v>858</v>
      </c>
      <c r="D77" s="742"/>
      <c r="E77" s="742"/>
      <c r="F77" s="743"/>
    </row>
    <row r="78" spans="1:6" ht="12" customHeight="1" thickBot="1">
      <c r="A78" s="757"/>
      <c r="B78" s="808" t="s">
        <v>859</v>
      </c>
      <c r="C78" s="809" t="s">
        <v>860</v>
      </c>
      <c r="D78" s="762"/>
      <c r="E78" s="774"/>
      <c r="F78" s="763"/>
    </row>
    <row r="79" spans="1:6" ht="12" customHeight="1" thickBot="1">
      <c r="A79" s="727" t="s">
        <v>146</v>
      </c>
      <c r="B79" s="768"/>
      <c r="C79" s="799" t="s">
        <v>861</v>
      </c>
      <c r="D79" s="734">
        <f>SUM(D80:D82)</f>
        <v>2756</v>
      </c>
      <c r="E79" s="734">
        <f>SUM(E80:E82)</f>
        <v>100065</v>
      </c>
      <c r="F79" s="737">
        <f>SUM(F80:F82)</f>
        <v>14066</v>
      </c>
    </row>
    <row r="80" spans="1:6" s="800" customFormat="1" ht="12" customHeight="1">
      <c r="A80" s="775"/>
      <c r="B80" s="801" t="s">
        <v>225</v>
      </c>
      <c r="C80" s="785" t="s">
        <v>862</v>
      </c>
      <c r="D80" s="776">
        <v>2756</v>
      </c>
      <c r="E80" s="749">
        <v>2019</v>
      </c>
      <c r="F80" s="750">
        <v>2020</v>
      </c>
    </row>
    <row r="81" spans="1:6" ht="12" customHeight="1">
      <c r="A81" s="739"/>
      <c r="B81" s="751" t="s">
        <v>226</v>
      </c>
      <c r="C81" s="744" t="s">
        <v>318</v>
      </c>
      <c r="D81" s="742"/>
      <c r="E81" s="742"/>
      <c r="F81" s="743"/>
    </row>
    <row r="82" spans="1:6" ht="12" customHeight="1">
      <c r="A82" s="739"/>
      <c r="B82" s="751" t="s">
        <v>227</v>
      </c>
      <c r="C82" s="744" t="s">
        <v>863</v>
      </c>
      <c r="D82" s="742">
        <f>SUM(D83:D89)</f>
        <v>0</v>
      </c>
      <c r="E82" s="742">
        <f>SUM(E83:E89)</f>
        <v>98046</v>
      </c>
      <c r="F82" s="742">
        <f>SUM(F83:F89)</f>
        <v>12046</v>
      </c>
    </row>
    <row r="83" spans="1:6" ht="12" customHeight="1">
      <c r="A83" s="739"/>
      <c r="B83" s="751" t="s">
        <v>228</v>
      </c>
      <c r="C83" s="744" t="s">
        <v>864</v>
      </c>
      <c r="D83" s="742"/>
      <c r="E83" s="742"/>
      <c r="F83" s="743"/>
    </row>
    <row r="84" spans="1:6" ht="21.75" customHeight="1">
      <c r="A84" s="739"/>
      <c r="B84" s="751" t="s">
        <v>229</v>
      </c>
      <c r="C84" s="805" t="s">
        <v>865</v>
      </c>
      <c r="D84" s="742"/>
      <c r="E84" s="742">
        <v>98008</v>
      </c>
      <c r="F84" s="743">
        <v>12008</v>
      </c>
    </row>
    <row r="85" spans="1:6" ht="12" customHeight="1">
      <c r="A85" s="739"/>
      <c r="B85" s="751" t="s">
        <v>236</v>
      </c>
      <c r="C85" s="805" t="s">
        <v>866</v>
      </c>
      <c r="D85" s="742"/>
      <c r="E85" s="742">
        <v>38</v>
      </c>
      <c r="F85" s="743">
        <v>38</v>
      </c>
    </row>
    <row r="86" spans="1:6" ht="12" customHeight="1">
      <c r="A86" s="739"/>
      <c r="B86" s="751" t="s">
        <v>238</v>
      </c>
      <c r="C86" s="805" t="s">
        <v>867</v>
      </c>
      <c r="D86" s="742"/>
      <c r="E86" s="742"/>
      <c r="F86" s="743"/>
    </row>
    <row r="87" spans="1:6" s="800" customFormat="1" ht="12" customHeight="1">
      <c r="A87" s="739"/>
      <c r="B87" s="751" t="s">
        <v>319</v>
      </c>
      <c r="C87" s="805" t="s">
        <v>868</v>
      </c>
      <c r="D87" s="742"/>
      <c r="E87" s="742"/>
      <c r="F87" s="743"/>
    </row>
    <row r="88" spans="1:12" ht="23.25" customHeight="1">
      <c r="A88" s="739"/>
      <c r="B88" s="751" t="s">
        <v>320</v>
      </c>
      <c r="C88" s="805" t="s">
        <v>869</v>
      </c>
      <c r="D88" s="742"/>
      <c r="E88" s="742"/>
      <c r="F88" s="743"/>
      <c r="L88" s="810"/>
    </row>
    <row r="89" spans="1:6" ht="36.75" customHeight="1" thickBot="1">
      <c r="A89" s="739"/>
      <c r="B89" s="751" t="s">
        <v>321</v>
      </c>
      <c r="C89" s="811" t="s">
        <v>870</v>
      </c>
      <c r="D89" s="742"/>
      <c r="E89" s="774"/>
      <c r="F89" s="763"/>
    </row>
    <row r="90" spans="1:6" ht="12" customHeight="1" thickBot="1">
      <c r="A90" s="781" t="s">
        <v>147</v>
      </c>
      <c r="B90" s="812"/>
      <c r="C90" s="813" t="s">
        <v>871</v>
      </c>
      <c r="D90" s="814">
        <f>+D91+D92</f>
        <v>16700</v>
      </c>
      <c r="E90" s="814">
        <f>+E91+E92</f>
        <v>13376</v>
      </c>
      <c r="F90" s="815">
        <f>+F91+F92</f>
        <v>0</v>
      </c>
    </row>
    <row r="91" spans="1:6" s="800" customFormat="1" ht="12" customHeight="1">
      <c r="A91" s="746"/>
      <c r="B91" s="747" t="s">
        <v>197</v>
      </c>
      <c r="C91" s="816" t="s">
        <v>185</v>
      </c>
      <c r="D91" s="749">
        <v>11700</v>
      </c>
      <c r="E91" s="749">
        <v>8376</v>
      </c>
      <c r="F91" s="750"/>
    </row>
    <row r="92" spans="1:6" s="800" customFormat="1" ht="12" customHeight="1">
      <c r="A92" s="759"/>
      <c r="B92" s="760" t="s">
        <v>198</v>
      </c>
      <c r="C92" s="817" t="s">
        <v>186</v>
      </c>
      <c r="D92" s="774">
        <v>5000</v>
      </c>
      <c r="E92" s="774">
        <v>5000</v>
      </c>
      <c r="F92" s="763"/>
    </row>
    <row r="93" spans="1:6" s="800" customFormat="1" ht="12" customHeight="1">
      <c r="A93" s="818" t="s">
        <v>148</v>
      </c>
      <c r="B93" s="819"/>
      <c r="C93" s="736" t="s">
        <v>385</v>
      </c>
      <c r="D93" s="820"/>
      <c r="E93" s="820"/>
      <c r="F93" s="821"/>
    </row>
    <row r="94" spans="1:6" s="800" customFormat="1" ht="12" customHeight="1">
      <c r="A94" s="727" t="s">
        <v>149</v>
      </c>
      <c r="B94" s="822"/>
      <c r="C94" s="823" t="s">
        <v>872</v>
      </c>
      <c r="D94" s="779">
        <v>49882</v>
      </c>
      <c r="E94" s="779">
        <v>74268</v>
      </c>
      <c r="F94" s="780">
        <v>74494</v>
      </c>
    </row>
    <row r="95" spans="1:6" s="800" customFormat="1" ht="12" customHeight="1">
      <c r="A95" s="727" t="s">
        <v>150</v>
      </c>
      <c r="B95" s="768"/>
      <c r="C95" s="733" t="s">
        <v>873</v>
      </c>
      <c r="D95" s="824">
        <f>+D65+D79+D90+D93+D94</f>
        <v>197650</v>
      </c>
      <c r="E95" s="824">
        <f>+E65+E79+E90+E93+E94</f>
        <v>365150</v>
      </c>
      <c r="F95" s="839">
        <f>+F65+F79+F90+F93+F94</f>
        <v>233228</v>
      </c>
    </row>
    <row r="96" spans="1:6" s="800" customFormat="1" ht="12" customHeight="1">
      <c r="A96" s="727" t="s">
        <v>151</v>
      </c>
      <c r="B96" s="768"/>
      <c r="C96" s="733" t="s">
        <v>874</v>
      </c>
      <c r="D96" s="734">
        <f>+D97+D98</f>
        <v>0</v>
      </c>
      <c r="E96" s="734">
        <f>+E97+E98</f>
        <v>0</v>
      </c>
      <c r="F96" s="737">
        <f>+F97+F98</f>
        <v>0</v>
      </c>
    </row>
    <row r="97" spans="1:6" ht="12.75" customHeight="1">
      <c r="A97" s="775"/>
      <c r="B97" s="751" t="s">
        <v>875</v>
      </c>
      <c r="C97" s="785" t="s">
        <v>876</v>
      </c>
      <c r="D97" s="776"/>
      <c r="E97" s="776"/>
      <c r="F97" s="777"/>
    </row>
    <row r="98" spans="1:6" ht="12" customHeight="1">
      <c r="A98" s="757"/>
      <c r="B98" s="808" t="s">
        <v>212</v>
      </c>
      <c r="C98" s="788" t="s">
        <v>877</v>
      </c>
      <c r="D98" s="762"/>
      <c r="E98" s="762"/>
      <c r="F98" s="758"/>
    </row>
    <row r="99" spans="1:6" ht="12" customHeight="1">
      <c r="A99" s="727" t="s">
        <v>152</v>
      </c>
      <c r="B99" s="778"/>
      <c r="C99" s="733" t="s">
        <v>878</v>
      </c>
      <c r="D99" s="734"/>
      <c r="E99" s="734"/>
      <c r="F99" s="737">
        <v>-940</v>
      </c>
    </row>
    <row r="100" spans="1:6" ht="15" customHeight="1">
      <c r="A100" s="727" t="s">
        <v>153</v>
      </c>
      <c r="B100" s="778"/>
      <c r="C100" s="733" t="s">
        <v>879</v>
      </c>
      <c r="D100" s="734">
        <f>+D95+D96</f>
        <v>197650</v>
      </c>
      <c r="E100" s="734">
        <f>+E95+E96</f>
        <v>365150</v>
      </c>
      <c r="F100" s="737">
        <f>+F95+F96+F99</f>
        <v>232288</v>
      </c>
    </row>
    <row r="102" spans="1:6" ht="15" customHeight="1">
      <c r="A102" s="829" t="s">
        <v>880</v>
      </c>
      <c r="B102" s="830"/>
      <c r="C102" s="831"/>
      <c r="D102" s="841">
        <v>16.38</v>
      </c>
      <c r="E102" s="1129">
        <v>16.38</v>
      </c>
      <c r="F102" s="842">
        <v>16.38</v>
      </c>
    </row>
    <row r="103" spans="1:6" ht="14.25" customHeight="1">
      <c r="A103" s="829" t="s">
        <v>881</v>
      </c>
      <c r="B103" s="830"/>
      <c r="C103" s="831"/>
      <c r="D103" s="841">
        <v>25</v>
      </c>
      <c r="E103" s="1129">
        <v>51</v>
      </c>
      <c r="F103" s="842">
        <v>51</v>
      </c>
    </row>
  </sheetData>
  <sheetProtection selectLockedCells="1" selectUnlockedCells="1"/>
  <mergeCells count="6">
    <mergeCell ref="A7:F7"/>
    <mergeCell ref="A64:F64"/>
    <mergeCell ref="A2:B2"/>
    <mergeCell ref="C2:E2"/>
    <mergeCell ref="C3:E3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  <rowBreaks count="1" manualBreakCount="1">
    <brk id="6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L103"/>
  <sheetViews>
    <sheetView zoomScaleSheetLayoutView="160" workbookViewId="0" topLeftCell="A1">
      <selection activeCell="F14" sqref="F14"/>
    </sheetView>
  </sheetViews>
  <sheetFormatPr defaultColWidth="9.00390625" defaultRowHeight="12.75"/>
  <cols>
    <col min="1" max="1" width="9.625" style="826" customWidth="1"/>
    <col min="2" max="2" width="9.625" style="827" customWidth="1"/>
    <col min="3" max="3" width="59.375" style="827" customWidth="1"/>
    <col min="4" max="6" width="15.875" style="828" customWidth="1"/>
    <col min="7" max="16384" width="9.375" style="726" customWidth="1"/>
  </cols>
  <sheetData>
    <row r="1" spans="1:6" s="714" customFormat="1" ht="16.5" customHeight="1">
      <c r="A1" s="710"/>
      <c r="B1" s="711"/>
      <c r="C1" s="712"/>
      <c r="D1" s="713"/>
      <c r="E1" s="713"/>
      <c r="F1" s="713" t="s">
        <v>884</v>
      </c>
    </row>
    <row r="2" spans="1:6" s="716" customFormat="1" ht="15.75" customHeight="1">
      <c r="A2" s="1191" t="s">
        <v>828</v>
      </c>
      <c r="B2" s="1191"/>
      <c r="C2" s="1192" t="s">
        <v>829</v>
      </c>
      <c r="D2" s="1192"/>
      <c r="E2" s="1192"/>
      <c r="F2" s="715" t="s">
        <v>830</v>
      </c>
    </row>
    <row r="3" spans="1:6" s="716" customFormat="1" ht="15.75">
      <c r="A3" s="717" t="s">
        <v>831</v>
      </c>
      <c r="B3" s="718"/>
      <c r="C3" s="1193" t="s">
        <v>885</v>
      </c>
      <c r="D3" s="1193"/>
      <c r="E3" s="1193"/>
      <c r="F3" s="719" t="s">
        <v>833</v>
      </c>
    </row>
    <row r="4" spans="1:6" s="722" customFormat="1" ht="15.75" customHeight="1">
      <c r="A4" s="720"/>
      <c r="B4" s="720"/>
      <c r="C4" s="720"/>
      <c r="D4" s="721"/>
      <c r="E4" s="721"/>
      <c r="F4" s="721" t="s">
        <v>179</v>
      </c>
    </row>
    <row r="5" spans="1:6" ht="24.75" customHeight="1">
      <c r="A5" s="1194" t="s">
        <v>834</v>
      </c>
      <c r="B5" s="1194"/>
      <c r="C5" s="723" t="s">
        <v>835</v>
      </c>
      <c r="D5" s="724" t="s">
        <v>482</v>
      </c>
      <c r="E5" s="724" t="s">
        <v>489</v>
      </c>
      <c r="F5" s="725" t="s">
        <v>490</v>
      </c>
    </row>
    <row r="6" spans="1:6" s="731" customFormat="1" ht="12.75" customHeight="1">
      <c r="A6" s="727">
        <v>1</v>
      </c>
      <c r="B6" s="728">
        <v>2</v>
      </c>
      <c r="C6" s="728">
        <v>3</v>
      </c>
      <c r="D6" s="728">
        <v>4</v>
      </c>
      <c r="E6" s="729">
        <v>5</v>
      </c>
      <c r="F6" s="730">
        <v>6</v>
      </c>
    </row>
    <row r="7" spans="1:6" s="731" customFormat="1" ht="15.75" customHeight="1">
      <c r="A7" s="1190" t="s">
        <v>180</v>
      </c>
      <c r="B7" s="1190"/>
      <c r="C7" s="1190"/>
      <c r="D7" s="1190"/>
      <c r="E7" s="1190"/>
      <c r="F7" s="1190"/>
    </row>
    <row r="8" spans="1:6" s="731" customFormat="1" ht="12" customHeight="1">
      <c r="A8" s="727" t="s">
        <v>145</v>
      </c>
      <c r="B8" s="732"/>
      <c r="C8" s="733" t="s">
        <v>836</v>
      </c>
      <c r="D8" s="734">
        <f>+D9+D14</f>
        <v>10684</v>
      </c>
      <c r="E8" s="734">
        <f>+E9+E14</f>
        <v>14909</v>
      </c>
      <c r="F8" s="737">
        <f>+F9+F14</f>
        <v>14851</v>
      </c>
    </row>
    <row r="9" spans="1:6" s="735" customFormat="1" ht="12" customHeight="1" thickBot="1">
      <c r="A9" s="727" t="s">
        <v>146</v>
      </c>
      <c r="B9" s="732"/>
      <c r="C9" s="736" t="s">
        <v>837</v>
      </c>
      <c r="D9" s="734">
        <f>SUM(D10:D13)</f>
        <v>4163</v>
      </c>
      <c r="E9" s="734">
        <f>SUM(E10:E13)</f>
        <v>8723</v>
      </c>
      <c r="F9" s="737">
        <f>SUM(F10:F13)</f>
        <v>8723</v>
      </c>
    </row>
    <row r="10" spans="1:6" s="738" customFormat="1" ht="12" customHeight="1">
      <c r="A10" s="739"/>
      <c r="B10" s="740" t="s">
        <v>225</v>
      </c>
      <c r="C10" s="741" t="s">
        <v>182</v>
      </c>
      <c r="D10" s="742">
        <v>4163</v>
      </c>
      <c r="E10" s="749">
        <v>8723</v>
      </c>
      <c r="F10" s="750">
        <v>8723</v>
      </c>
    </row>
    <row r="11" spans="1:6" s="738" customFormat="1" ht="12" customHeight="1">
      <c r="A11" s="739"/>
      <c r="B11" s="740" t="s">
        <v>226</v>
      </c>
      <c r="C11" s="744" t="s">
        <v>196</v>
      </c>
      <c r="D11" s="742"/>
      <c r="E11" s="742"/>
      <c r="F11" s="743"/>
    </row>
    <row r="12" spans="1:6" s="738" customFormat="1" ht="12" customHeight="1">
      <c r="A12" s="739"/>
      <c r="B12" s="740" t="s">
        <v>227</v>
      </c>
      <c r="C12" s="744" t="s">
        <v>277</v>
      </c>
      <c r="D12" s="742"/>
      <c r="E12" s="742"/>
      <c r="F12" s="743"/>
    </row>
    <row r="13" spans="1:6" s="738" customFormat="1" ht="12" customHeight="1" thickBot="1">
      <c r="A13" s="739"/>
      <c r="B13" s="740" t="s">
        <v>228</v>
      </c>
      <c r="C13" s="745" t="s">
        <v>278</v>
      </c>
      <c r="D13" s="742"/>
      <c r="E13" s="774"/>
      <c r="F13" s="763"/>
    </row>
    <row r="14" spans="1:6" s="735" customFormat="1" ht="12" customHeight="1" thickBot="1">
      <c r="A14" s="727" t="s">
        <v>147</v>
      </c>
      <c r="B14" s="732"/>
      <c r="C14" s="736" t="s">
        <v>279</v>
      </c>
      <c r="D14" s="734">
        <f>SUM(D15:D24)</f>
        <v>6521</v>
      </c>
      <c r="E14" s="734">
        <f>SUM(E15:E24)</f>
        <v>6186</v>
      </c>
      <c r="F14" s="737">
        <f>SUM(F15:F24)</f>
        <v>6128</v>
      </c>
    </row>
    <row r="15" spans="1:6" s="735" customFormat="1" ht="12" customHeight="1">
      <c r="A15" s="746"/>
      <c r="B15" s="740" t="s">
        <v>197</v>
      </c>
      <c r="C15" s="748" t="s">
        <v>284</v>
      </c>
      <c r="D15" s="749">
        <v>2101</v>
      </c>
      <c r="E15" s="749">
        <v>1902</v>
      </c>
      <c r="F15" s="750">
        <v>1902</v>
      </c>
    </row>
    <row r="16" spans="1:6" s="735" customFormat="1" ht="12" customHeight="1">
      <c r="A16" s="739"/>
      <c r="B16" s="740" t="s">
        <v>198</v>
      </c>
      <c r="C16" s="752" t="s">
        <v>285</v>
      </c>
      <c r="D16" s="742">
        <v>421</v>
      </c>
      <c r="E16" s="742">
        <v>902</v>
      </c>
      <c r="F16" s="743">
        <v>903</v>
      </c>
    </row>
    <row r="17" spans="1:6" s="735" customFormat="1" ht="12" customHeight="1">
      <c r="A17" s="739"/>
      <c r="B17" s="740" t="s">
        <v>199</v>
      </c>
      <c r="C17" s="752" t="s">
        <v>838</v>
      </c>
      <c r="D17" s="742"/>
      <c r="E17" s="742"/>
      <c r="F17" s="743"/>
    </row>
    <row r="18" spans="1:6" s="735" customFormat="1" ht="12" customHeight="1">
      <c r="A18" s="739"/>
      <c r="B18" s="740" t="s">
        <v>200</v>
      </c>
      <c r="C18" s="752" t="s">
        <v>286</v>
      </c>
      <c r="D18" s="742"/>
      <c r="E18" s="742"/>
      <c r="F18" s="743"/>
    </row>
    <row r="19" spans="1:6" s="735" customFormat="1" ht="12" customHeight="1">
      <c r="A19" s="739"/>
      <c r="B19" s="740" t="s">
        <v>280</v>
      </c>
      <c r="C19" s="752" t="s">
        <v>287</v>
      </c>
      <c r="D19" s="742"/>
      <c r="E19" s="742"/>
      <c r="F19" s="743"/>
    </row>
    <row r="20" spans="1:6" s="735" customFormat="1" ht="12" customHeight="1">
      <c r="A20" s="753"/>
      <c r="B20" s="740" t="s">
        <v>281</v>
      </c>
      <c r="C20" s="752" t="s">
        <v>288</v>
      </c>
      <c r="D20" s="754">
        <v>665</v>
      </c>
      <c r="E20" s="754">
        <v>876</v>
      </c>
      <c r="F20" s="755">
        <v>876</v>
      </c>
    </row>
    <row r="21" spans="1:6" s="738" customFormat="1" ht="12" customHeight="1">
      <c r="A21" s="739"/>
      <c r="B21" s="740" t="s">
        <v>282</v>
      </c>
      <c r="C21" s="752" t="s">
        <v>839</v>
      </c>
      <c r="D21" s="742"/>
      <c r="E21" s="742">
        <v>38</v>
      </c>
      <c r="F21" s="743">
        <v>38</v>
      </c>
    </row>
    <row r="22" spans="1:6" s="738" customFormat="1" ht="12" customHeight="1">
      <c r="A22" s="757"/>
      <c r="B22" s="766" t="s">
        <v>283</v>
      </c>
      <c r="C22" s="752" t="s">
        <v>345</v>
      </c>
      <c r="D22" s="742">
        <v>1384</v>
      </c>
      <c r="E22" s="742">
        <v>1318</v>
      </c>
      <c r="F22" s="758">
        <v>1319</v>
      </c>
    </row>
    <row r="23" spans="1:6" s="738" customFormat="1" ht="12" customHeight="1">
      <c r="A23" s="739"/>
      <c r="B23" s="835" t="s">
        <v>87</v>
      </c>
      <c r="C23" s="752" t="s">
        <v>289</v>
      </c>
      <c r="D23" s="742"/>
      <c r="E23" s="742"/>
      <c r="F23" s="743"/>
    </row>
    <row r="24" spans="1:6" s="738" customFormat="1" ht="12" customHeight="1" thickBot="1">
      <c r="A24" s="759"/>
      <c r="B24" s="836" t="s">
        <v>88</v>
      </c>
      <c r="C24" s="761" t="s">
        <v>290</v>
      </c>
      <c r="D24" s="762">
        <v>1950</v>
      </c>
      <c r="E24" s="774">
        <v>1150</v>
      </c>
      <c r="F24" s="763">
        <v>1090</v>
      </c>
    </row>
    <row r="25" spans="1:6" s="738" customFormat="1" ht="12" customHeight="1" thickBot="1">
      <c r="A25" s="764" t="s">
        <v>148</v>
      </c>
      <c r="B25" s="765"/>
      <c r="C25" s="736" t="s">
        <v>346</v>
      </c>
      <c r="D25" s="734"/>
      <c r="E25" s="734"/>
      <c r="F25" s="840"/>
    </row>
    <row r="26" spans="1:6" s="735" customFormat="1" ht="12" customHeight="1" thickBot="1">
      <c r="A26" s="727" t="s">
        <v>149</v>
      </c>
      <c r="B26" s="732"/>
      <c r="C26" s="736" t="s">
        <v>840</v>
      </c>
      <c r="D26" s="734">
        <f>SUM(D27:D34)</f>
        <v>6200</v>
      </c>
      <c r="E26" s="734">
        <f>SUM(E27:E34)</f>
        <v>5500</v>
      </c>
      <c r="F26" s="737">
        <f>SUM(F27:F34)</f>
        <v>5500</v>
      </c>
    </row>
    <row r="27" spans="1:6" s="738" customFormat="1" ht="12" customHeight="1">
      <c r="A27" s="739"/>
      <c r="B27" s="740" t="s">
        <v>201</v>
      </c>
      <c r="C27" s="741" t="s">
        <v>841</v>
      </c>
      <c r="D27" s="742">
        <v>6200</v>
      </c>
      <c r="E27" s="749">
        <v>5500</v>
      </c>
      <c r="F27" s="750">
        <v>5500</v>
      </c>
    </row>
    <row r="28" spans="1:6" s="738" customFormat="1" ht="12" customHeight="1">
      <c r="A28" s="739"/>
      <c r="B28" s="740" t="s">
        <v>202</v>
      </c>
      <c r="C28" s="744" t="s">
        <v>301</v>
      </c>
      <c r="D28" s="742"/>
      <c r="E28" s="742"/>
      <c r="F28" s="743"/>
    </row>
    <row r="29" spans="1:6" s="738" customFormat="1" ht="12" customHeight="1">
      <c r="A29" s="739"/>
      <c r="B29" s="740" t="s">
        <v>203</v>
      </c>
      <c r="C29" s="744" t="s">
        <v>206</v>
      </c>
      <c r="D29" s="742"/>
      <c r="E29" s="742"/>
      <c r="F29" s="743"/>
    </row>
    <row r="30" spans="1:6" s="738" customFormat="1" ht="12" customHeight="1">
      <c r="A30" s="739"/>
      <c r="B30" s="740" t="s">
        <v>294</v>
      </c>
      <c r="C30" s="744" t="s">
        <v>302</v>
      </c>
      <c r="D30" s="742"/>
      <c r="E30" s="742"/>
      <c r="F30" s="743"/>
    </row>
    <row r="31" spans="1:6" s="738" customFormat="1" ht="12" customHeight="1">
      <c r="A31" s="739"/>
      <c r="B31" s="740" t="s">
        <v>295</v>
      </c>
      <c r="C31" s="744" t="s">
        <v>303</v>
      </c>
      <c r="D31" s="742"/>
      <c r="E31" s="742"/>
      <c r="F31" s="743"/>
    </row>
    <row r="32" spans="1:6" s="738" customFormat="1" ht="12" customHeight="1">
      <c r="A32" s="739"/>
      <c r="B32" s="740" t="s">
        <v>296</v>
      </c>
      <c r="C32" s="744" t="s">
        <v>842</v>
      </c>
      <c r="D32" s="742"/>
      <c r="E32" s="742"/>
      <c r="F32" s="743"/>
    </row>
    <row r="33" spans="1:6" s="738" customFormat="1" ht="12" customHeight="1">
      <c r="A33" s="739"/>
      <c r="B33" s="740" t="s">
        <v>297</v>
      </c>
      <c r="C33" s="744" t="s">
        <v>347</v>
      </c>
      <c r="D33" s="742"/>
      <c r="E33" s="742"/>
      <c r="F33" s="743"/>
    </row>
    <row r="34" spans="1:6" s="738" customFormat="1" ht="12" customHeight="1" thickBot="1">
      <c r="A34" s="757"/>
      <c r="B34" s="766" t="s">
        <v>298</v>
      </c>
      <c r="C34" s="767" t="s">
        <v>843</v>
      </c>
      <c r="D34" s="762"/>
      <c r="E34" s="774"/>
      <c r="F34" s="763"/>
    </row>
    <row r="35" spans="1:6" s="738" customFormat="1" ht="12" customHeight="1" thickBot="1">
      <c r="A35" s="727" t="s">
        <v>150</v>
      </c>
      <c r="B35" s="768"/>
      <c r="C35" s="733" t="s">
        <v>844</v>
      </c>
      <c r="D35" s="734">
        <f>+D36+D42</f>
        <v>0</v>
      </c>
      <c r="E35" s="734">
        <f>+E36+E42</f>
        <v>0</v>
      </c>
      <c r="F35" s="737">
        <f>+F36+F42</f>
        <v>0</v>
      </c>
    </row>
    <row r="36" spans="1:6" s="738" customFormat="1" ht="12" customHeight="1">
      <c r="A36" s="746"/>
      <c r="B36" s="747" t="s">
        <v>204</v>
      </c>
      <c r="C36" s="769" t="s">
        <v>472</v>
      </c>
      <c r="D36" s="837">
        <f>SUM(D37:D41)</f>
        <v>0</v>
      </c>
      <c r="E36" s="837">
        <f>SUM(E37:E41)</f>
        <v>0</v>
      </c>
      <c r="F36" s="770">
        <f>SUM(F37:F41)</f>
        <v>0</v>
      </c>
    </row>
    <row r="37" spans="1:6" s="738" customFormat="1" ht="12" customHeight="1">
      <c r="A37" s="739"/>
      <c r="B37" s="751" t="s">
        <v>207</v>
      </c>
      <c r="C37" s="744" t="s">
        <v>348</v>
      </c>
      <c r="D37" s="742"/>
      <c r="E37" s="742"/>
      <c r="F37" s="743"/>
    </row>
    <row r="38" spans="1:6" s="738" customFormat="1" ht="12" customHeight="1">
      <c r="A38" s="739"/>
      <c r="B38" s="751" t="s">
        <v>208</v>
      </c>
      <c r="C38" s="744" t="s">
        <v>349</v>
      </c>
      <c r="D38" s="742"/>
      <c r="E38" s="742"/>
      <c r="F38" s="743"/>
    </row>
    <row r="39" spans="1:6" s="738" customFormat="1" ht="12" customHeight="1">
      <c r="A39" s="739"/>
      <c r="B39" s="751" t="s">
        <v>209</v>
      </c>
      <c r="C39" s="744" t="s">
        <v>350</v>
      </c>
      <c r="D39" s="742"/>
      <c r="E39" s="742"/>
      <c r="F39" s="743"/>
    </row>
    <row r="40" spans="1:6" s="738" customFormat="1" ht="12" customHeight="1">
      <c r="A40" s="739"/>
      <c r="B40" s="751" t="s">
        <v>210</v>
      </c>
      <c r="C40" s="744" t="s">
        <v>351</v>
      </c>
      <c r="D40" s="742"/>
      <c r="E40" s="742"/>
      <c r="F40" s="743"/>
    </row>
    <row r="41" spans="1:6" s="738" customFormat="1" ht="12" customHeight="1">
      <c r="A41" s="739"/>
      <c r="B41" s="751" t="s">
        <v>305</v>
      </c>
      <c r="C41" s="744" t="s">
        <v>473</v>
      </c>
      <c r="D41" s="742"/>
      <c r="E41" s="742"/>
      <c r="F41" s="743"/>
    </row>
    <row r="42" spans="1:6" s="738" customFormat="1" ht="12" customHeight="1">
      <c r="A42" s="739"/>
      <c r="B42" s="751" t="s">
        <v>205</v>
      </c>
      <c r="C42" s="771" t="s">
        <v>474</v>
      </c>
      <c r="D42" s="772">
        <f>SUM(D43:D47)</f>
        <v>0</v>
      </c>
      <c r="E42" s="772">
        <f>SUM(E43:E47)</f>
        <v>0</v>
      </c>
      <c r="F42" s="773">
        <f>SUM(F43:F47)</f>
        <v>0</v>
      </c>
    </row>
    <row r="43" spans="1:6" s="738" customFormat="1" ht="12" customHeight="1">
      <c r="A43" s="739"/>
      <c r="B43" s="751" t="s">
        <v>213</v>
      </c>
      <c r="C43" s="744" t="s">
        <v>348</v>
      </c>
      <c r="D43" s="742"/>
      <c r="E43" s="742"/>
      <c r="F43" s="743"/>
    </row>
    <row r="44" spans="1:6" s="738" customFormat="1" ht="12" customHeight="1">
      <c r="A44" s="739"/>
      <c r="B44" s="751" t="s">
        <v>214</v>
      </c>
      <c r="C44" s="744" t="s">
        <v>349</v>
      </c>
      <c r="D44" s="742"/>
      <c r="E44" s="742"/>
      <c r="F44" s="743"/>
    </row>
    <row r="45" spans="1:6" s="738" customFormat="1" ht="12" customHeight="1">
      <c r="A45" s="739"/>
      <c r="B45" s="751" t="s">
        <v>215</v>
      </c>
      <c r="C45" s="744" t="s">
        <v>350</v>
      </c>
      <c r="D45" s="742"/>
      <c r="E45" s="742"/>
      <c r="F45" s="743"/>
    </row>
    <row r="46" spans="1:6" s="738" customFormat="1" ht="12" customHeight="1">
      <c r="A46" s="739"/>
      <c r="B46" s="751" t="s">
        <v>216</v>
      </c>
      <c r="C46" s="744" t="s">
        <v>351</v>
      </c>
      <c r="D46" s="742"/>
      <c r="E46" s="742"/>
      <c r="F46" s="743"/>
    </row>
    <row r="47" spans="1:6" s="738" customFormat="1" ht="12" customHeight="1">
      <c r="A47" s="759"/>
      <c r="B47" s="760" t="s">
        <v>306</v>
      </c>
      <c r="C47" s="745" t="s">
        <v>475</v>
      </c>
      <c r="D47" s="774"/>
      <c r="E47" s="774"/>
      <c r="F47" s="763"/>
    </row>
    <row r="48" spans="1:6" s="735" customFormat="1" ht="12" customHeight="1" thickBot="1">
      <c r="A48" s="727" t="s">
        <v>151</v>
      </c>
      <c r="B48" s="732"/>
      <c r="C48" s="736" t="s">
        <v>352</v>
      </c>
      <c r="D48" s="734">
        <f>+D49+D50</f>
        <v>0</v>
      </c>
      <c r="E48" s="734">
        <f>+E49+E50</f>
        <v>50</v>
      </c>
      <c r="F48" s="737">
        <f>+F49+F50</f>
        <v>50</v>
      </c>
    </row>
    <row r="49" spans="1:6" s="738" customFormat="1" ht="12" customHeight="1">
      <c r="A49" s="739"/>
      <c r="B49" s="751" t="s">
        <v>211</v>
      </c>
      <c r="C49" s="741" t="s">
        <v>845</v>
      </c>
      <c r="D49" s="742"/>
      <c r="E49" s="749">
        <v>50</v>
      </c>
      <c r="F49" s="750">
        <v>50</v>
      </c>
    </row>
    <row r="50" spans="1:6" s="738" customFormat="1" ht="12" customHeight="1" thickBot="1">
      <c r="A50" s="739"/>
      <c r="B50" s="751" t="s">
        <v>212</v>
      </c>
      <c r="C50" s="745" t="s">
        <v>846</v>
      </c>
      <c r="D50" s="742"/>
      <c r="E50" s="774"/>
      <c r="F50" s="763"/>
    </row>
    <row r="51" spans="1:6" s="738" customFormat="1" ht="12" customHeight="1" thickBot="1">
      <c r="A51" s="727" t="s">
        <v>152</v>
      </c>
      <c r="B51" s="732"/>
      <c r="C51" s="736" t="s">
        <v>847</v>
      </c>
      <c r="D51" s="734">
        <f>+D52+D53+D54</f>
        <v>0</v>
      </c>
      <c r="E51" s="734">
        <f>+E52+E53+E54</f>
        <v>0</v>
      </c>
      <c r="F51" s="737">
        <f>+F52+F53+F54</f>
        <v>0</v>
      </c>
    </row>
    <row r="52" spans="1:6" s="738" customFormat="1" ht="12" customHeight="1">
      <c r="A52" s="775"/>
      <c r="B52" s="751" t="s">
        <v>310</v>
      </c>
      <c r="C52" s="741" t="s">
        <v>308</v>
      </c>
      <c r="D52" s="776"/>
      <c r="E52" s="776"/>
      <c r="F52" s="777"/>
    </row>
    <row r="53" spans="1:6" s="738" customFormat="1" ht="12" customHeight="1">
      <c r="A53" s="775"/>
      <c r="B53" s="751" t="s">
        <v>311</v>
      </c>
      <c r="C53" s="744" t="s">
        <v>309</v>
      </c>
      <c r="D53" s="776"/>
      <c r="E53" s="776"/>
      <c r="F53" s="777"/>
    </row>
    <row r="54" spans="1:6" s="738" customFormat="1" ht="12" customHeight="1">
      <c r="A54" s="739"/>
      <c r="B54" s="751" t="s">
        <v>399</v>
      </c>
      <c r="C54" s="767" t="s">
        <v>354</v>
      </c>
      <c r="D54" s="742"/>
      <c r="E54" s="742"/>
      <c r="F54" s="743"/>
    </row>
    <row r="55" spans="1:6" s="738" customFormat="1" ht="12" customHeight="1">
      <c r="A55" s="727" t="s">
        <v>153</v>
      </c>
      <c r="B55" s="778"/>
      <c r="C55" s="733" t="s">
        <v>355</v>
      </c>
      <c r="D55" s="779"/>
      <c r="E55" s="779"/>
      <c r="F55" s="780"/>
    </row>
    <row r="56" spans="1:6" s="735" customFormat="1" ht="12" customHeight="1">
      <c r="A56" s="781" t="s">
        <v>154</v>
      </c>
      <c r="B56" s="782"/>
      <c r="C56" s="733" t="s">
        <v>932</v>
      </c>
      <c r="D56" s="783">
        <f>+D9+D14+D25+D26+D35+D48+D51+D55</f>
        <v>16884</v>
      </c>
      <c r="E56" s="783">
        <f>+E9+E14+E25+E26+E35+E48+E51+E55</f>
        <v>20459</v>
      </c>
      <c r="F56" s="838">
        <f>+F9+F14+F25+F26+F35+F48+F51+F55</f>
        <v>20401</v>
      </c>
    </row>
    <row r="57" spans="1:6" s="735" customFormat="1" ht="12" customHeight="1">
      <c r="A57" s="727" t="s">
        <v>155</v>
      </c>
      <c r="B57" s="784"/>
      <c r="C57" s="733" t="s">
        <v>358</v>
      </c>
      <c r="D57" s="734">
        <f>+D58+D59</f>
        <v>31351</v>
      </c>
      <c r="E57" s="734">
        <f>+E58+E59</f>
        <v>28289</v>
      </c>
      <c r="F57" s="737">
        <v>28289</v>
      </c>
    </row>
    <row r="58" spans="1:6" s="735" customFormat="1" ht="12" customHeight="1">
      <c r="A58" s="746"/>
      <c r="B58" s="747" t="s">
        <v>255</v>
      </c>
      <c r="C58" s="785" t="s">
        <v>848</v>
      </c>
      <c r="D58" s="786">
        <v>31351</v>
      </c>
      <c r="E58" s="786">
        <v>28289</v>
      </c>
      <c r="F58" s="787">
        <v>28289</v>
      </c>
    </row>
    <row r="59" spans="1:6" s="735" customFormat="1" ht="12" customHeight="1" thickBot="1">
      <c r="A59" s="759"/>
      <c r="B59" s="760" t="s">
        <v>256</v>
      </c>
      <c r="C59" s="788" t="s">
        <v>849</v>
      </c>
      <c r="D59" s="774"/>
      <c r="E59" s="774"/>
      <c r="F59" s="763"/>
    </row>
    <row r="60" spans="1:6" s="735" customFormat="1" ht="12" customHeight="1" thickBot="1">
      <c r="A60" s="759" t="s">
        <v>156</v>
      </c>
      <c r="B60" s="760"/>
      <c r="C60" s="736" t="s">
        <v>850</v>
      </c>
      <c r="D60" s="774"/>
      <c r="E60" s="1128"/>
      <c r="F60" s="780"/>
    </row>
    <row r="61" spans="1:6" s="738" customFormat="1" ht="12" customHeight="1" thickBot="1">
      <c r="A61" s="790" t="s">
        <v>157</v>
      </c>
      <c r="B61" s="791"/>
      <c r="C61" s="792" t="s">
        <v>851</v>
      </c>
      <c r="D61" s="734">
        <f>+D56+D57</f>
        <v>48235</v>
      </c>
      <c r="E61" s="734">
        <f>+E56+E57</f>
        <v>48748</v>
      </c>
      <c r="F61" s="737">
        <f>+F56+F57</f>
        <v>48690</v>
      </c>
    </row>
    <row r="62" spans="1:6" s="738" customFormat="1" ht="15" customHeight="1">
      <c r="A62" s="793"/>
      <c r="B62" s="793"/>
      <c r="C62" s="794"/>
      <c r="D62" s="795"/>
      <c r="E62" s="795"/>
      <c r="F62" s="795"/>
    </row>
    <row r="63" spans="1:6" ht="12.75">
      <c r="A63" s="796"/>
      <c r="B63" s="797"/>
      <c r="C63" s="797"/>
      <c r="D63" s="798"/>
      <c r="E63" s="798"/>
      <c r="F63" s="798"/>
    </row>
    <row r="64" spans="1:6" s="731" customFormat="1" ht="16.5" customHeight="1">
      <c r="A64" s="1190" t="s">
        <v>184</v>
      </c>
      <c r="B64" s="1190"/>
      <c r="C64" s="1190"/>
      <c r="D64" s="1190"/>
      <c r="E64" s="1190"/>
      <c r="F64" s="1190"/>
    </row>
    <row r="65" spans="1:6" s="800" customFormat="1" ht="12" customHeight="1" thickBot="1">
      <c r="A65" s="727" t="s">
        <v>145</v>
      </c>
      <c r="B65" s="768"/>
      <c r="C65" s="799" t="s">
        <v>852</v>
      </c>
      <c r="D65" s="734">
        <f>SUM(D66:D70)</f>
        <v>20722</v>
      </c>
      <c r="E65" s="734">
        <f>SUM(E66:E70)</f>
        <v>22767</v>
      </c>
      <c r="F65" s="737">
        <f>SUM(F66:F70)</f>
        <v>22468</v>
      </c>
    </row>
    <row r="66" spans="1:6" ht="12" customHeight="1">
      <c r="A66" s="775"/>
      <c r="B66" s="801" t="s">
        <v>217</v>
      </c>
      <c r="C66" s="802" t="s">
        <v>175</v>
      </c>
      <c r="D66" s="776">
        <v>11670</v>
      </c>
      <c r="E66" s="749">
        <v>12376</v>
      </c>
      <c r="F66" s="750">
        <v>12376</v>
      </c>
    </row>
    <row r="67" spans="1:6" ht="12" customHeight="1">
      <c r="A67" s="739"/>
      <c r="B67" s="751" t="s">
        <v>218</v>
      </c>
      <c r="C67" s="803" t="s">
        <v>315</v>
      </c>
      <c r="D67" s="742">
        <v>2921</v>
      </c>
      <c r="E67" s="742">
        <v>3701</v>
      </c>
      <c r="F67" s="743">
        <v>3402</v>
      </c>
    </row>
    <row r="68" spans="1:6" ht="12" customHeight="1">
      <c r="A68" s="739"/>
      <c r="B68" s="751" t="s">
        <v>219</v>
      </c>
      <c r="C68" s="803" t="s">
        <v>248</v>
      </c>
      <c r="D68" s="742">
        <v>4841</v>
      </c>
      <c r="E68" s="742">
        <v>5587</v>
      </c>
      <c r="F68" s="743">
        <v>5587</v>
      </c>
    </row>
    <row r="69" spans="1:6" ht="12" customHeight="1">
      <c r="A69" s="739"/>
      <c r="B69" s="751" t="s">
        <v>220</v>
      </c>
      <c r="C69" s="803" t="s">
        <v>316</v>
      </c>
      <c r="D69" s="742"/>
      <c r="E69" s="742"/>
      <c r="F69" s="743"/>
    </row>
    <row r="70" spans="1:6" ht="12" customHeight="1">
      <c r="A70" s="739"/>
      <c r="B70" s="751" t="s">
        <v>231</v>
      </c>
      <c r="C70" s="803" t="s">
        <v>317</v>
      </c>
      <c r="D70" s="742">
        <f>SUM(D71:D78)</f>
        <v>1290</v>
      </c>
      <c r="E70" s="742">
        <f>SUM(E71:E78)</f>
        <v>1103</v>
      </c>
      <c r="F70" s="743">
        <f>SUM(F71:F78)</f>
        <v>1103</v>
      </c>
    </row>
    <row r="71" spans="1:6" ht="12" customHeight="1">
      <c r="A71" s="739"/>
      <c r="B71" s="751" t="s">
        <v>221</v>
      </c>
      <c r="C71" s="803" t="s">
        <v>334</v>
      </c>
      <c r="D71" s="742"/>
      <c r="E71" s="742"/>
      <c r="F71" s="743"/>
    </row>
    <row r="72" spans="1:6" ht="12" customHeight="1">
      <c r="A72" s="739"/>
      <c r="B72" s="751" t="s">
        <v>222</v>
      </c>
      <c r="C72" s="804" t="s">
        <v>853</v>
      </c>
      <c r="D72" s="742"/>
      <c r="E72" s="742"/>
      <c r="F72" s="743"/>
    </row>
    <row r="73" spans="1:6" ht="23.25" customHeight="1">
      <c r="A73" s="739"/>
      <c r="B73" s="751" t="s">
        <v>232</v>
      </c>
      <c r="C73" s="805" t="s">
        <v>854</v>
      </c>
      <c r="D73" s="742">
        <v>1290</v>
      </c>
      <c r="E73" s="742"/>
      <c r="F73" s="743"/>
    </row>
    <row r="74" spans="1:6" ht="23.25" customHeight="1">
      <c r="A74" s="739"/>
      <c r="B74" s="751" t="s">
        <v>233</v>
      </c>
      <c r="C74" s="805" t="s">
        <v>855</v>
      </c>
      <c r="D74" s="742"/>
      <c r="E74" s="742">
        <v>1103</v>
      </c>
      <c r="F74" s="743">
        <v>1103</v>
      </c>
    </row>
    <row r="75" spans="1:6" ht="12" customHeight="1">
      <c r="A75" s="739"/>
      <c r="B75" s="751" t="s">
        <v>234</v>
      </c>
      <c r="C75" s="805" t="s">
        <v>856</v>
      </c>
      <c r="D75" s="742"/>
      <c r="E75" s="742"/>
      <c r="F75" s="743"/>
    </row>
    <row r="76" spans="1:6" ht="12" customHeight="1">
      <c r="A76" s="739"/>
      <c r="B76" s="751" t="s">
        <v>235</v>
      </c>
      <c r="C76" s="806" t="s">
        <v>857</v>
      </c>
      <c r="D76" s="742"/>
      <c r="E76" s="742"/>
      <c r="F76" s="743"/>
    </row>
    <row r="77" spans="1:6" ht="12" customHeight="1">
      <c r="A77" s="739"/>
      <c r="B77" s="751" t="s">
        <v>237</v>
      </c>
      <c r="C77" s="807" t="s">
        <v>858</v>
      </c>
      <c r="D77" s="742"/>
      <c r="E77" s="742"/>
      <c r="F77" s="743"/>
    </row>
    <row r="78" spans="1:6" ht="12" customHeight="1" thickBot="1">
      <c r="A78" s="757"/>
      <c r="B78" s="808" t="s">
        <v>859</v>
      </c>
      <c r="C78" s="809" t="s">
        <v>860</v>
      </c>
      <c r="D78" s="762"/>
      <c r="E78" s="774"/>
      <c r="F78" s="763"/>
    </row>
    <row r="79" spans="1:6" ht="12" customHeight="1" thickBot="1">
      <c r="A79" s="727" t="s">
        <v>146</v>
      </c>
      <c r="B79" s="768"/>
      <c r="C79" s="799" t="s">
        <v>861</v>
      </c>
      <c r="D79" s="734">
        <f>SUM(D80:D82)</f>
        <v>19002</v>
      </c>
      <c r="E79" s="734">
        <f>SUM(E80:E82)</f>
        <v>19302</v>
      </c>
      <c r="F79" s="737">
        <f>SUM(F80:F82)</f>
        <v>4640</v>
      </c>
    </row>
    <row r="80" spans="1:6" s="800" customFormat="1" ht="12" customHeight="1">
      <c r="A80" s="775"/>
      <c r="B80" s="801" t="s">
        <v>225</v>
      </c>
      <c r="C80" s="785" t="s">
        <v>862</v>
      </c>
      <c r="D80" s="776"/>
      <c r="E80" s="749">
        <v>300</v>
      </c>
      <c r="F80" s="750">
        <v>300</v>
      </c>
    </row>
    <row r="81" spans="1:6" ht="12" customHeight="1">
      <c r="A81" s="739"/>
      <c r="B81" s="751" t="s">
        <v>226</v>
      </c>
      <c r="C81" s="744" t="s">
        <v>318</v>
      </c>
      <c r="D81" s="742">
        <v>19002</v>
      </c>
      <c r="E81" s="742">
        <v>19002</v>
      </c>
      <c r="F81" s="743">
        <v>4340</v>
      </c>
    </row>
    <row r="82" spans="1:6" ht="12" customHeight="1">
      <c r="A82" s="739"/>
      <c r="B82" s="751" t="s">
        <v>227</v>
      </c>
      <c r="C82" s="744" t="s">
        <v>863</v>
      </c>
      <c r="D82" s="742">
        <f>SUM(D83:D89)</f>
        <v>0</v>
      </c>
      <c r="E82" s="742">
        <f>SUM(E83:E89)</f>
        <v>0</v>
      </c>
      <c r="F82" s="743"/>
    </row>
    <row r="83" spans="1:6" ht="12" customHeight="1">
      <c r="A83" s="739"/>
      <c r="B83" s="751" t="s">
        <v>228</v>
      </c>
      <c r="C83" s="744" t="s">
        <v>864</v>
      </c>
      <c r="D83" s="742"/>
      <c r="E83" s="742"/>
      <c r="F83" s="743"/>
    </row>
    <row r="84" spans="1:6" ht="12" customHeight="1">
      <c r="A84" s="739"/>
      <c r="B84" s="751" t="s">
        <v>229</v>
      </c>
      <c r="C84" s="805" t="s">
        <v>865</v>
      </c>
      <c r="D84" s="742"/>
      <c r="E84" s="742"/>
      <c r="F84" s="743"/>
    </row>
    <row r="85" spans="1:6" ht="12" customHeight="1">
      <c r="A85" s="739"/>
      <c r="B85" s="751" t="s">
        <v>236</v>
      </c>
      <c r="C85" s="805" t="s">
        <v>866</v>
      </c>
      <c r="D85" s="742"/>
      <c r="E85" s="742"/>
      <c r="F85" s="743"/>
    </row>
    <row r="86" spans="1:6" ht="12" customHeight="1">
      <c r="A86" s="739"/>
      <c r="B86" s="751" t="s">
        <v>238</v>
      </c>
      <c r="C86" s="805" t="s">
        <v>867</v>
      </c>
      <c r="D86" s="742"/>
      <c r="E86" s="742"/>
      <c r="F86" s="743"/>
    </row>
    <row r="87" spans="1:6" s="800" customFormat="1" ht="12" customHeight="1">
      <c r="A87" s="739"/>
      <c r="B87" s="751" t="s">
        <v>319</v>
      </c>
      <c r="C87" s="805" t="s">
        <v>868</v>
      </c>
      <c r="D87" s="742"/>
      <c r="E87" s="742"/>
      <c r="F87" s="743"/>
    </row>
    <row r="88" spans="1:12" ht="23.25" customHeight="1">
      <c r="A88" s="739"/>
      <c r="B88" s="751" t="s">
        <v>320</v>
      </c>
      <c r="C88" s="805" t="s">
        <v>869</v>
      </c>
      <c r="D88" s="742"/>
      <c r="E88" s="742"/>
      <c r="F88" s="743"/>
      <c r="L88" s="810"/>
    </row>
    <row r="89" spans="1:6" ht="21" customHeight="1" thickBot="1">
      <c r="A89" s="739"/>
      <c r="B89" s="751" t="s">
        <v>321</v>
      </c>
      <c r="C89" s="811" t="s">
        <v>870</v>
      </c>
      <c r="D89" s="742"/>
      <c r="E89" s="774"/>
      <c r="F89" s="763"/>
    </row>
    <row r="90" spans="1:6" ht="12" customHeight="1" thickBot="1">
      <c r="A90" s="781" t="s">
        <v>147</v>
      </c>
      <c r="B90" s="812"/>
      <c r="C90" s="813" t="s">
        <v>871</v>
      </c>
      <c r="D90" s="814">
        <f>+D91+D92</f>
        <v>210</v>
      </c>
      <c r="E90" s="814">
        <f>+E91+E92</f>
        <v>0</v>
      </c>
      <c r="F90" s="815">
        <f>+F91+F92</f>
        <v>0</v>
      </c>
    </row>
    <row r="91" spans="1:6" s="800" customFormat="1" ht="12" customHeight="1">
      <c r="A91" s="746"/>
      <c r="B91" s="747" t="s">
        <v>197</v>
      </c>
      <c r="C91" s="816" t="s">
        <v>185</v>
      </c>
      <c r="D91" s="749">
        <v>210</v>
      </c>
      <c r="E91" s="749"/>
      <c r="F91" s="750"/>
    </row>
    <row r="92" spans="1:6" s="800" customFormat="1" ht="12" customHeight="1">
      <c r="A92" s="759"/>
      <c r="B92" s="760" t="s">
        <v>198</v>
      </c>
      <c r="C92" s="817" t="s">
        <v>186</v>
      </c>
      <c r="D92" s="774"/>
      <c r="E92" s="774"/>
      <c r="F92" s="763"/>
    </row>
    <row r="93" spans="1:6" s="800" customFormat="1" ht="12" customHeight="1">
      <c r="A93" s="818" t="s">
        <v>148</v>
      </c>
      <c r="B93" s="819"/>
      <c r="C93" s="736" t="s">
        <v>385</v>
      </c>
      <c r="D93" s="820"/>
      <c r="E93" s="820"/>
      <c r="F93" s="821"/>
    </row>
    <row r="94" spans="1:6" s="800" customFormat="1" ht="12" customHeight="1">
      <c r="A94" s="727" t="s">
        <v>149</v>
      </c>
      <c r="B94" s="822"/>
      <c r="C94" s="823" t="s">
        <v>872</v>
      </c>
      <c r="D94" s="779">
        <v>8301</v>
      </c>
      <c r="E94" s="779">
        <v>6679</v>
      </c>
      <c r="F94" s="780">
        <v>6679</v>
      </c>
    </row>
    <row r="95" spans="1:6" s="800" customFormat="1" ht="12" customHeight="1">
      <c r="A95" s="727" t="s">
        <v>150</v>
      </c>
      <c r="B95" s="768"/>
      <c r="C95" s="733" t="s">
        <v>873</v>
      </c>
      <c r="D95" s="824">
        <f>+D65+D79+D90+D93+D94</f>
        <v>48235</v>
      </c>
      <c r="E95" s="824">
        <f>+E65+E79+E90+E93+E94</f>
        <v>48748</v>
      </c>
      <c r="F95" s="839">
        <f>+F65+F79+F90+F93+F94</f>
        <v>33787</v>
      </c>
    </row>
    <row r="96" spans="1:6" s="800" customFormat="1" ht="12" customHeight="1">
      <c r="A96" s="727" t="s">
        <v>151</v>
      </c>
      <c r="B96" s="768"/>
      <c r="C96" s="733" t="s">
        <v>874</v>
      </c>
      <c r="D96" s="734">
        <f>+D97+D98</f>
        <v>0</v>
      </c>
      <c r="E96" s="734">
        <f>+E97+E98</f>
        <v>0</v>
      </c>
      <c r="F96" s="737">
        <f>+F97+F98</f>
        <v>0</v>
      </c>
    </row>
    <row r="97" spans="1:6" ht="12.75" customHeight="1">
      <c r="A97" s="775"/>
      <c r="B97" s="751" t="s">
        <v>875</v>
      </c>
      <c r="C97" s="785" t="s">
        <v>876</v>
      </c>
      <c r="D97" s="776"/>
      <c r="E97" s="776"/>
      <c r="F97" s="777"/>
    </row>
    <row r="98" spans="1:6" ht="12" customHeight="1">
      <c r="A98" s="757"/>
      <c r="B98" s="808" t="s">
        <v>212</v>
      </c>
      <c r="C98" s="788" t="s">
        <v>877</v>
      </c>
      <c r="D98" s="762"/>
      <c r="E98" s="762"/>
      <c r="F98" s="758"/>
    </row>
    <row r="99" spans="1:6" ht="12" customHeight="1">
      <c r="A99" s="727" t="s">
        <v>152</v>
      </c>
      <c r="B99" s="778"/>
      <c r="C99" s="733" t="s">
        <v>878</v>
      </c>
      <c r="D99" s="734"/>
      <c r="E99" s="734"/>
      <c r="F99" s="737"/>
    </row>
    <row r="100" spans="1:6" ht="15" customHeight="1">
      <c r="A100" s="727" t="s">
        <v>153</v>
      </c>
      <c r="B100" s="778"/>
      <c r="C100" s="733" t="s">
        <v>879</v>
      </c>
      <c r="D100" s="734">
        <f>+D95+D96</f>
        <v>48235</v>
      </c>
      <c r="E100" s="734">
        <f>+E95+E96</f>
        <v>48748</v>
      </c>
      <c r="F100" s="737">
        <f>+F95+F96</f>
        <v>33787</v>
      </c>
    </row>
    <row r="102" spans="1:6" ht="15" customHeight="1">
      <c r="A102" s="829" t="s">
        <v>880</v>
      </c>
      <c r="B102" s="830"/>
      <c r="C102" s="831"/>
      <c r="D102" s="841">
        <v>2.62</v>
      </c>
      <c r="E102" s="841">
        <v>2.62</v>
      </c>
      <c r="F102" s="864">
        <v>2.62</v>
      </c>
    </row>
    <row r="103" spans="1:6" ht="14.25" customHeight="1">
      <c r="A103" s="829" t="s">
        <v>881</v>
      </c>
      <c r="B103" s="830"/>
      <c r="C103" s="831"/>
      <c r="D103" s="841">
        <v>0</v>
      </c>
      <c r="E103" s="841">
        <v>0</v>
      </c>
      <c r="F103" s="864">
        <v>0</v>
      </c>
    </row>
  </sheetData>
  <sheetProtection selectLockedCells="1" selectUnlockedCells="1"/>
  <mergeCells count="6">
    <mergeCell ref="A7:F7"/>
    <mergeCell ref="A64:F64"/>
    <mergeCell ref="A2:B2"/>
    <mergeCell ref="C2:E2"/>
    <mergeCell ref="C3:E3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  <rowBreaks count="1" manualBreakCount="1">
    <brk id="6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L103"/>
  <sheetViews>
    <sheetView zoomScaleSheetLayoutView="160" workbookViewId="0" topLeftCell="A52">
      <selection activeCell="F2" sqref="F2"/>
    </sheetView>
  </sheetViews>
  <sheetFormatPr defaultColWidth="9.00390625" defaultRowHeight="12.75"/>
  <cols>
    <col min="1" max="1" width="9.625" style="826" customWidth="1"/>
    <col min="2" max="2" width="9.625" style="827" customWidth="1"/>
    <col min="3" max="3" width="59.375" style="827" customWidth="1"/>
    <col min="4" max="6" width="15.875" style="828" customWidth="1"/>
    <col min="7" max="16384" width="9.375" style="726" customWidth="1"/>
  </cols>
  <sheetData>
    <row r="1" spans="1:6" s="714" customFormat="1" ht="16.5" customHeight="1">
      <c r="A1" s="710"/>
      <c r="B1" s="711"/>
      <c r="C1" s="712"/>
      <c r="D1" s="713"/>
      <c r="E1" s="713"/>
      <c r="F1" s="713" t="s">
        <v>651</v>
      </c>
    </row>
    <row r="2" spans="1:6" s="716" customFormat="1" ht="15.75" customHeight="1">
      <c r="A2" s="1191" t="s">
        <v>828</v>
      </c>
      <c r="B2" s="1191"/>
      <c r="C2" s="1192" t="s">
        <v>829</v>
      </c>
      <c r="D2" s="1192"/>
      <c r="E2" s="1192"/>
      <c r="F2" s="715" t="s">
        <v>830</v>
      </c>
    </row>
    <row r="3" spans="1:6" s="716" customFormat="1" ht="15.75">
      <c r="A3" s="717" t="s">
        <v>831</v>
      </c>
      <c r="B3" s="718"/>
      <c r="C3" s="1193" t="s">
        <v>886</v>
      </c>
      <c r="D3" s="1193"/>
      <c r="E3" s="1193"/>
      <c r="F3" s="719" t="s">
        <v>833</v>
      </c>
    </row>
    <row r="4" spans="1:6" s="722" customFormat="1" ht="15.75" customHeight="1">
      <c r="A4" s="720"/>
      <c r="B4" s="720"/>
      <c r="C4" s="720"/>
      <c r="D4" s="721"/>
      <c r="E4" s="721"/>
      <c r="F4" s="721" t="s">
        <v>179</v>
      </c>
    </row>
    <row r="5" spans="1:6" ht="24.75" customHeight="1">
      <c r="A5" s="1194" t="s">
        <v>834</v>
      </c>
      <c r="B5" s="1194"/>
      <c r="C5" s="723" t="s">
        <v>835</v>
      </c>
      <c r="D5" s="724" t="s">
        <v>482</v>
      </c>
      <c r="E5" s="724" t="s">
        <v>489</v>
      </c>
      <c r="F5" s="725" t="s">
        <v>490</v>
      </c>
    </row>
    <row r="6" spans="1:6" s="731" customFormat="1" ht="12.75" customHeight="1">
      <c r="A6" s="727">
        <v>1</v>
      </c>
      <c r="B6" s="728">
        <v>2</v>
      </c>
      <c r="C6" s="728">
        <v>3</v>
      </c>
      <c r="D6" s="728">
        <v>4</v>
      </c>
      <c r="E6" s="729">
        <v>5</v>
      </c>
      <c r="F6" s="730">
        <v>6</v>
      </c>
    </row>
    <row r="7" spans="1:6" s="731" customFormat="1" ht="15.75" customHeight="1">
      <c r="A7" s="1190" t="s">
        <v>180</v>
      </c>
      <c r="B7" s="1190"/>
      <c r="C7" s="1190"/>
      <c r="D7" s="1190"/>
      <c r="E7" s="1190"/>
      <c r="F7" s="1190"/>
    </row>
    <row r="8" spans="1:6" s="731" customFormat="1" ht="12" customHeight="1">
      <c r="A8" s="727" t="s">
        <v>145</v>
      </c>
      <c r="B8" s="732"/>
      <c r="C8" s="733" t="s">
        <v>836</v>
      </c>
      <c r="D8" s="734">
        <f>+D9+D14</f>
        <v>2889</v>
      </c>
      <c r="E8" s="734">
        <f>+E9+E14</f>
        <v>451</v>
      </c>
      <c r="F8" s="737">
        <f>+F9+F14</f>
        <v>451</v>
      </c>
    </row>
    <row r="9" spans="1:6" s="735" customFormat="1" ht="12" customHeight="1" thickBot="1">
      <c r="A9" s="727" t="s">
        <v>146</v>
      </c>
      <c r="B9" s="732"/>
      <c r="C9" s="736" t="s">
        <v>837</v>
      </c>
      <c r="D9" s="734">
        <f>SUM(D10:D13)</f>
        <v>2889</v>
      </c>
      <c r="E9" s="734">
        <f>SUM(E10:E13)</f>
        <v>451</v>
      </c>
      <c r="F9" s="737">
        <f>SUM(F10:F13)</f>
        <v>451</v>
      </c>
    </row>
    <row r="10" spans="1:6" s="738" customFormat="1" ht="12" customHeight="1">
      <c r="A10" s="739"/>
      <c r="B10" s="740" t="s">
        <v>225</v>
      </c>
      <c r="C10" s="741" t="s">
        <v>182</v>
      </c>
      <c r="D10" s="742">
        <v>2889</v>
      </c>
      <c r="E10" s="749">
        <v>451</v>
      </c>
      <c r="F10" s="750">
        <v>451</v>
      </c>
    </row>
    <row r="11" spans="1:6" s="738" customFormat="1" ht="12" customHeight="1">
      <c r="A11" s="739"/>
      <c r="B11" s="740" t="s">
        <v>226</v>
      </c>
      <c r="C11" s="744" t="s">
        <v>196</v>
      </c>
      <c r="D11" s="742"/>
      <c r="E11" s="742"/>
      <c r="F11" s="743"/>
    </row>
    <row r="12" spans="1:6" s="738" customFormat="1" ht="12" customHeight="1">
      <c r="A12" s="739"/>
      <c r="B12" s="740" t="s">
        <v>227</v>
      </c>
      <c r="C12" s="744" t="s">
        <v>277</v>
      </c>
      <c r="D12" s="742"/>
      <c r="E12" s="742"/>
      <c r="F12" s="743"/>
    </row>
    <row r="13" spans="1:6" s="738" customFormat="1" ht="12" customHeight="1" thickBot="1">
      <c r="A13" s="739"/>
      <c r="B13" s="740" t="s">
        <v>228</v>
      </c>
      <c r="C13" s="745" t="s">
        <v>278</v>
      </c>
      <c r="D13" s="742"/>
      <c r="E13" s="774"/>
      <c r="F13" s="763"/>
    </row>
    <row r="14" spans="1:6" s="735" customFormat="1" ht="12" customHeight="1" thickBot="1">
      <c r="A14" s="727" t="s">
        <v>147</v>
      </c>
      <c r="B14" s="732"/>
      <c r="C14" s="736" t="s">
        <v>279</v>
      </c>
      <c r="D14" s="734">
        <f>SUM(D15:D22)</f>
        <v>0</v>
      </c>
      <c r="E14" s="734">
        <f>SUM(E15:E22)</f>
        <v>0</v>
      </c>
      <c r="F14" s="737">
        <f>SUM(F15:F22)</f>
        <v>0</v>
      </c>
    </row>
    <row r="15" spans="1:6" s="735" customFormat="1" ht="12" customHeight="1">
      <c r="A15" s="746"/>
      <c r="B15" s="740" t="s">
        <v>197</v>
      </c>
      <c r="C15" s="748" t="s">
        <v>284</v>
      </c>
      <c r="D15" s="749"/>
      <c r="E15" s="749"/>
      <c r="F15" s="750"/>
    </row>
    <row r="16" spans="1:6" s="735" customFormat="1" ht="12" customHeight="1">
      <c r="A16" s="739"/>
      <c r="B16" s="740" t="s">
        <v>198</v>
      </c>
      <c r="C16" s="752" t="s">
        <v>285</v>
      </c>
      <c r="D16" s="742"/>
      <c r="E16" s="742"/>
      <c r="F16" s="743"/>
    </row>
    <row r="17" spans="1:6" s="735" customFormat="1" ht="12" customHeight="1">
      <c r="A17" s="739"/>
      <c r="B17" s="740" t="s">
        <v>199</v>
      </c>
      <c r="C17" s="752" t="s">
        <v>838</v>
      </c>
      <c r="D17" s="742"/>
      <c r="E17" s="742"/>
      <c r="F17" s="743"/>
    </row>
    <row r="18" spans="1:6" s="735" customFormat="1" ht="12" customHeight="1">
      <c r="A18" s="739"/>
      <c r="B18" s="740" t="s">
        <v>200</v>
      </c>
      <c r="C18" s="752" t="s">
        <v>286</v>
      </c>
      <c r="D18" s="742"/>
      <c r="E18" s="742"/>
      <c r="F18" s="743"/>
    </row>
    <row r="19" spans="1:6" s="735" customFormat="1" ht="12" customHeight="1">
      <c r="A19" s="739"/>
      <c r="B19" s="740" t="s">
        <v>280</v>
      </c>
      <c r="C19" s="752" t="s">
        <v>287</v>
      </c>
      <c r="D19" s="742"/>
      <c r="E19" s="742"/>
      <c r="F19" s="743"/>
    </row>
    <row r="20" spans="1:6" s="735" customFormat="1" ht="12" customHeight="1">
      <c r="A20" s="753"/>
      <c r="B20" s="740" t="s">
        <v>281</v>
      </c>
      <c r="C20" s="752" t="s">
        <v>288</v>
      </c>
      <c r="D20" s="754"/>
      <c r="E20" s="742"/>
      <c r="F20" s="743"/>
    </row>
    <row r="21" spans="1:6" s="738" customFormat="1" ht="12" customHeight="1">
      <c r="A21" s="739"/>
      <c r="B21" s="740" t="s">
        <v>282</v>
      </c>
      <c r="C21" s="752" t="s">
        <v>839</v>
      </c>
      <c r="D21" s="742"/>
      <c r="E21" s="742"/>
      <c r="F21" s="743"/>
    </row>
    <row r="22" spans="1:6" s="738" customFormat="1" ht="12" customHeight="1">
      <c r="A22" s="757"/>
      <c r="B22" s="766" t="s">
        <v>283</v>
      </c>
      <c r="C22" s="752" t="s">
        <v>345</v>
      </c>
      <c r="D22" s="742"/>
      <c r="E22" s="742"/>
      <c r="F22" s="743"/>
    </row>
    <row r="23" spans="1:6" s="738" customFormat="1" ht="12" customHeight="1">
      <c r="A23" s="739"/>
      <c r="B23" s="835" t="s">
        <v>87</v>
      </c>
      <c r="C23" s="752" t="s">
        <v>289</v>
      </c>
      <c r="D23" s="742"/>
      <c r="E23" s="742"/>
      <c r="F23" s="743"/>
    </row>
    <row r="24" spans="1:6" s="738" customFormat="1" ht="12" customHeight="1" thickBot="1">
      <c r="A24" s="759"/>
      <c r="B24" s="836" t="s">
        <v>88</v>
      </c>
      <c r="C24" s="761" t="s">
        <v>290</v>
      </c>
      <c r="D24" s="762"/>
      <c r="E24" s="774"/>
      <c r="F24" s="763"/>
    </row>
    <row r="25" spans="1:6" s="738" customFormat="1" ht="12" customHeight="1" thickBot="1">
      <c r="A25" s="764" t="s">
        <v>148</v>
      </c>
      <c r="B25" s="765"/>
      <c r="C25" s="736" t="s">
        <v>346</v>
      </c>
      <c r="D25" s="733"/>
      <c r="E25" s="733"/>
      <c r="F25" s="1130"/>
    </row>
    <row r="26" spans="1:6" s="735" customFormat="1" ht="12" customHeight="1" thickBot="1">
      <c r="A26" s="727" t="s">
        <v>149</v>
      </c>
      <c r="B26" s="732"/>
      <c r="C26" s="736" t="s">
        <v>840</v>
      </c>
      <c r="D26" s="734">
        <f>SUM(D27:D34)</f>
        <v>25923</v>
      </c>
      <c r="E26" s="734">
        <f>SUM(E27:E34)</f>
        <v>0</v>
      </c>
      <c r="F26" s="737">
        <f>SUM(F27:F34)</f>
        <v>0</v>
      </c>
    </row>
    <row r="27" spans="1:6" s="738" customFormat="1" ht="12" customHeight="1">
      <c r="A27" s="739"/>
      <c r="B27" s="740" t="s">
        <v>201</v>
      </c>
      <c r="C27" s="741" t="s">
        <v>841</v>
      </c>
      <c r="D27" s="742">
        <v>25923</v>
      </c>
      <c r="E27" s="749"/>
      <c r="F27" s="750"/>
    </row>
    <row r="28" spans="1:6" s="738" customFormat="1" ht="12" customHeight="1">
      <c r="A28" s="739"/>
      <c r="B28" s="740" t="s">
        <v>202</v>
      </c>
      <c r="C28" s="744" t="s">
        <v>301</v>
      </c>
      <c r="D28" s="742"/>
      <c r="E28" s="742"/>
      <c r="F28" s="743"/>
    </row>
    <row r="29" spans="1:6" s="738" customFormat="1" ht="12" customHeight="1">
      <c r="A29" s="739"/>
      <c r="B29" s="740" t="s">
        <v>203</v>
      </c>
      <c r="C29" s="744" t="s">
        <v>206</v>
      </c>
      <c r="D29" s="742"/>
      <c r="E29" s="742"/>
      <c r="F29" s="743"/>
    </row>
    <row r="30" spans="1:6" s="738" customFormat="1" ht="12" customHeight="1">
      <c r="A30" s="739"/>
      <c r="B30" s="740" t="s">
        <v>294</v>
      </c>
      <c r="C30" s="744" t="s">
        <v>302</v>
      </c>
      <c r="D30" s="742"/>
      <c r="E30" s="742"/>
      <c r="F30" s="743"/>
    </row>
    <row r="31" spans="1:6" s="738" customFormat="1" ht="12" customHeight="1">
      <c r="A31" s="739"/>
      <c r="B31" s="740" t="s">
        <v>295</v>
      </c>
      <c r="C31" s="744" t="s">
        <v>303</v>
      </c>
      <c r="D31" s="742"/>
      <c r="E31" s="742"/>
      <c r="F31" s="743"/>
    </row>
    <row r="32" spans="1:6" s="738" customFormat="1" ht="12" customHeight="1">
      <c r="A32" s="739"/>
      <c r="B32" s="740" t="s">
        <v>296</v>
      </c>
      <c r="C32" s="744" t="s">
        <v>842</v>
      </c>
      <c r="D32" s="742"/>
      <c r="E32" s="742"/>
      <c r="F32" s="743"/>
    </row>
    <row r="33" spans="1:6" s="738" customFormat="1" ht="12" customHeight="1">
      <c r="A33" s="739"/>
      <c r="B33" s="740" t="s">
        <v>297</v>
      </c>
      <c r="C33" s="744" t="s">
        <v>347</v>
      </c>
      <c r="D33" s="742"/>
      <c r="E33" s="742"/>
      <c r="F33" s="743"/>
    </row>
    <row r="34" spans="1:6" s="738" customFormat="1" ht="12" customHeight="1" thickBot="1">
      <c r="A34" s="757"/>
      <c r="B34" s="766" t="s">
        <v>298</v>
      </c>
      <c r="C34" s="767" t="s">
        <v>843</v>
      </c>
      <c r="D34" s="762"/>
      <c r="E34" s="774"/>
      <c r="F34" s="763"/>
    </row>
    <row r="35" spans="1:6" s="738" customFormat="1" ht="12" customHeight="1" thickBot="1">
      <c r="A35" s="727" t="s">
        <v>150</v>
      </c>
      <c r="B35" s="768"/>
      <c r="C35" s="733" t="s">
        <v>844</v>
      </c>
      <c r="D35" s="734">
        <f>+D36+D42</f>
        <v>0</v>
      </c>
      <c r="E35" s="734">
        <f>+E36+E42</f>
        <v>0</v>
      </c>
      <c r="F35" s="737">
        <f>+F36+F42</f>
        <v>0</v>
      </c>
    </row>
    <row r="36" spans="1:6" s="738" customFormat="1" ht="12" customHeight="1">
      <c r="A36" s="746"/>
      <c r="B36" s="747" t="s">
        <v>204</v>
      </c>
      <c r="C36" s="769" t="s">
        <v>472</v>
      </c>
      <c r="D36" s="837">
        <f>SUM(D37:D41)</f>
        <v>0</v>
      </c>
      <c r="E36" s="837">
        <f>SUM(E37:E41)</f>
        <v>0</v>
      </c>
      <c r="F36" s="770">
        <f>SUM(F37:F41)</f>
        <v>0</v>
      </c>
    </row>
    <row r="37" spans="1:6" s="738" customFormat="1" ht="12" customHeight="1">
      <c r="A37" s="739"/>
      <c r="B37" s="751" t="s">
        <v>207</v>
      </c>
      <c r="C37" s="744" t="s">
        <v>348</v>
      </c>
      <c r="D37" s="742"/>
      <c r="E37" s="742"/>
      <c r="F37" s="743"/>
    </row>
    <row r="38" spans="1:6" s="738" customFormat="1" ht="12" customHeight="1">
      <c r="A38" s="739"/>
      <c r="B38" s="751" t="s">
        <v>208</v>
      </c>
      <c r="C38" s="744" t="s">
        <v>349</v>
      </c>
      <c r="D38" s="742"/>
      <c r="E38" s="742"/>
      <c r="F38" s="743"/>
    </row>
    <row r="39" spans="1:6" s="738" customFormat="1" ht="12" customHeight="1">
      <c r="A39" s="739"/>
      <c r="B39" s="751" t="s">
        <v>209</v>
      </c>
      <c r="C39" s="744" t="s">
        <v>350</v>
      </c>
      <c r="D39" s="742"/>
      <c r="E39" s="742"/>
      <c r="F39" s="743"/>
    </row>
    <row r="40" spans="1:6" s="738" customFormat="1" ht="12" customHeight="1">
      <c r="A40" s="739"/>
      <c r="B40" s="751" t="s">
        <v>210</v>
      </c>
      <c r="C40" s="744" t="s">
        <v>351</v>
      </c>
      <c r="D40" s="742"/>
      <c r="E40" s="742"/>
      <c r="F40" s="743"/>
    </row>
    <row r="41" spans="1:6" s="738" customFormat="1" ht="12" customHeight="1">
      <c r="A41" s="739"/>
      <c r="B41" s="751" t="s">
        <v>305</v>
      </c>
      <c r="C41" s="744" t="s">
        <v>473</v>
      </c>
      <c r="D41" s="742"/>
      <c r="E41" s="742"/>
      <c r="F41" s="743"/>
    </row>
    <row r="42" spans="1:6" s="738" customFormat="1" ht="12" customHeight="1">
      <c r="A42" s="739"/>
      <c r="B42" s="751" t="s">
        <v>205</v>
      </c>
      <c r="C42" s="771" t="s">
        <v>474</v>
      </c>
      <c r="D42" s="772">
        <f>SUM(D43:D47)</f>
        <v>0</v>
      </c>
      <c r="E42" s="772">
        <f>SUM(E43:E47)</f>
        <v>0</v>
      </c>
      <c r="F42" s="773">
        <f>SUM(F43:F47)</f>
        <v>0</v>
      </c>
    </row>
    <row r="43" spans="1:6" s="738" customFormat="1" ht="12" customHeight="1">
      <c r="A43" s="739"/>
      <c r="B43" s="751" t="s">
        <v>213</v>
      </c>
      <c r="C43" s="744" t="s">
        <v>348</v>
      </c>
      <c r="D43" s="742"/>
      <c r="E43" s="742"/>
      <c r="F43" s="743"/>
    </row>
    <row r="44" spans="1:6" s="738" customFormat="1" ht="12" customHeight="1">
      <c r="A44" s="739"/>
      <c r="B44" s="751" t="s">
        <v>214</v>
      </c>
      <c r="C44" s="744" t="s">
        <v>349</v>
      </c>
      <c r="D44" s="742"/>
      <c r="E44" s="742"/>
      <c r="F44" s="743"/>
    </row>
    <row r="45" spans="1:6" s="738" customFormat="1" ht="12" customHeight="1">
      <c r="A45" s="739"/>
      <c r="B45" s="751" t="s">
        <v>215</v>
      </c>
      <c r="C45" s="744" t="s">
        <v>350</v>
      </c>
      <c r="D45" s="742"/>
      <c r="E45" s="742"/>
      <c r="F45" s="743"/>
    </row>
    <row r="46" spans="1:6" s="738" customFormat="1" ht="12" customHeight="1">
      <c r="A46" s="739"/>
      <c r="B46" s="751" t="s">
        <v>216</v>
      </c>
      <c r="C46" s="744" t="s">
        <v>351</v>
      </c>
      <c r="D46" s="742"/>
      <c r="E46" s="742"/>
      <c r="F46" s="743"/>
    </row>
    <row r="47" spans="1:6" s="738" customFormat="1" ht="12" customHeight="1">
      <c r="A47" s="759"/>
      <c r="B47" s="760" t="s">
        <v>306</v>
      </c>
      <c r="C47" s="745" t="s">
        <v>475</v>
      </c>
      <c r="D47" s="774"/>
      <c r="E47" s="774"/>
      <c r="F47" s="763"/>
    </row>
    <row r="48" spans="1:6" s="735" customFormat="1" ht="12" customHeight="1">
      <c r="A48" s="727" t="s">
        <v>151</v>
      </c>
      <c r="B48" s="732"/>
      <c r="C48" s="736" t="s">
        <v>352</v>
      </c>
      <c r="D48" s="734">
        <f>+D49+D50</f>
        <v>0</v>
      </c>
      <c r="E48" s="734">
        <f>+E49+E50</f>
        <v>0</v>
      </c>
      <c r="F48" s="737">
        <f>+F49+F50</f>
        <v>0</v>
      </c>
    </row>
    <row r="49" spans="1:6" s="738" customFormat="1" ht="12" customHeight="1">
      <c r="A49" s="739"/>
      <c r="B49" s="751" t="s">
        <v>211</v>
      </c>
      <c r="C49" s="741" t="s">
        <v>845</v>
      </c>
      <c r="D49" s="742"/>
      <c r="E49" s="742"/>
      <c r="F49" s="743"/>
    </row>
    <row r="50" spans="1:6" s="738" customFormat="1" ht="12" customHeight="1">
      <c r="A50" s="739"/>
      <c r="B50" s="751" t="s">
        <v>212</v>
      </c>
      <c r="C50" s="745" t="s">
        <v>846</v>
      </c>
      <c r="D50" s="742"/>
      <c r="E50" s="742"/>
      <c r="F50" s="743"/>
    </row>
    <row r="51" spans="1:6" s="738" customFormat="1" ht="12" customHeight="1">
      <c r="A51" s="727" t="s">
        <v>152</v>
      </c>
      <c r="B51" s="732"/>
      <c r="C51" s="736" t="s">
        <v>847</v>
      </c>
      <c r="D51" s="734">
        <f>+D52+D53+D54</f>
        <v>0</v>
      </c>
      <c r="E51" s="734">
        <f>+E52+E53+E54</f>
        <v>0</v>
      </c>
      <c r="F51" s="737">
        <f>+F52+F53+F54</f>
        <v>0</v>
      </c>
    </row>
    <row r="52" spans="1:6" s="738" customFormat="1" ht="12" customHeight="1">
      <c r="A52" s="775"/>
      <c r="B52" s="751" t="s">
        <v>310</v>
      </c>
      <c r="C52" s="741" t="s">
        <v>308</v>
      </c>
      <c r="D52" s="776"/>
      <c r="E52" s="776"/>
      <c r="F52" s="777"/>
    </row>
    <row r="53" spans="1:6" s="738" customFormat="1" ht="12" customHeight="1">
      <c r="A53" s="775"/>
      <c r="B53" s="751" t="s">
        <v>311</v>
      </c>
      <c r="C53" s="744" t="s">
        <v>309</v>
      </c>
      <c r="D53" s="776"/>
      <c r="E53" s="776"/>
      <c r="F53" s="777"/>
    </row>
    <row r="54" spans="1:6" s="738" customFormat="1" ht="12" customHeight="1">
      <c r="A54" s="739"/>
      <c r="B54" s="751" t="s">
        <v>399</v>
      </c>
      <c r="C54" s="767" t="s">
        <v>354</v>
      </c>
      <c r="D54" s="742"/>
      <c r="E54" s="742"/>
      <c r="F54" s="743"/>
    </row>
    <row r="55" spans="1:6" s="738" customFormat="1" ht="12" customHeight="1">
      <c r="A55" s="727" t="s">
        <v>153</v>
      </c>
      <c r="B55" s="778"/>
      <c r="C55" s="733" t="s">
        <v>355</v>
      </c>
      <c r="D55" s="779"/>
      <c r="E55" s="779"/>
      <c r="F55" s="780"/>
    </row>
    <row r="56" spans="1:6" s="735" customFormat="1" ht="12" customHeight="1">
      <c r="A56" s="781" t="s">
        <v>154</v>
      </c>
      <c r="B56" s="782"/>
      <c r="C56" s="733" t="s">
        <v>932</v>
      </c>
      <c r="D56" s="783">
        <f>+D9+D14+D25+D26+D35+D48+D51+D55</f>
        <v>28812</v>
      </c>
      <c r="E56" s="783">
        <f>+E9+E14+E25+E26+E35+E48+E51+E55</f>
        <v>451</v>
      </c>
      <c r="F56" s="838">
        <f>+F9+F14+F25+F26+F35+F48+F51+F55</f>
        <v>451</v>
      </c>
    </row>
    <row r="57" spans="1:6" s="735" customFormat="1" ht="12" customHeight="1">
      <c r="A57" s="727" t="s">
        <v>155</v>
      </c>
      <c r="B57" s="784"/>
      <c r="C57" s="733" t="s">
        <v>358</v>
      </c>
      <c r="D57" s="734">
        <f>+D58+D59</f>
        <v>5725</v>
      </c>
      <c r="E57" s="734">
        <f>+E58+E59</f>
        <v>37550</v>
      </c>
      <c r="F57" s="737">
        <f>+F58+F59</f>
        <v>37550</v>
      </c>
    </row>
    <row r="58" spans="1:6" s="735" customFormat="1" ht="12" customHeight="1">
      <c r="A58" s="746"/>
      <c r="B58" s="747" t="s">
        <v>255</v>
      </c>
      <c r="C58" s="785" t="s">
        <v>848</v>
      </c>
      <c r="D58" s="786">
        <v>5725</v>
      </c>
      <c r="E58" s="749">
        <v>37550</v>
      </c>
      <c r="F58" s="750">
        <v>37550</v>
      </c>
    </row>
    <row r="59" spans="1:6" s="735" customFormat="1" ht="12" customHeight="1" thickBot="1">
      <c r="A59" s="759"/>
      <c r="B59" s="760" t="s">
        <v>256</v>
      </c>
      <c r="C59" s="788" t="s">
        <v>849</v>
      </c>
      <c r="D59" s="774"/>
      <c r="E59" s="774"/>
      <c r="F59" s="763"/>
    </row>
    <row r="60" spans="1:6" s="735" customFormat="1" ht="12" customHeight="1" thickBot="1">
      <c r="A60" s="759" t="s">
        <v>156</v>
      </c>
      <c r="B60" s="760"/>
      <c r="C60" s="736" t="s">
        <v>850</v>
      </c>
      <c r="D60" s="774"/>
      <c r="E60" s="1128"/>
      <c r="F60" s="780"/>
    </row>
    <row r="61" spans="1:6" s="738" customFormat="1" ht="12" customHeight="1" thickBot="1">
      <c r="A61" s="790" t="s">
        <v>157</v>
      </c>
      <c r="B61" s="791"/>
      <c r="C61" s="792" t="s">
        <v>851</v>
      </c>
      <c r="D61" s="734">
        <f>+D56+D57</f>
        <v>34537</v>
      </c>
      <c r="E61" s="734">
        <f>+E56+E57</f>
        <v>38001</v>
      </c>
      <c r="F61" s="737">
        <f>+F56+F57</f>
        <v>38001</v>
      </c>
    </row>
    <row r="62" spans="1:6" s="738" customFormat="1" ht="15" customHeight="1">
      <c r="A62" s="793"/>
      <c r="B62" s="793"/>
      <c r="C62" s="794"/>
      <c r="D62" s="795"/>
      <c r="E62" s="795"/>
      <c r="F62" s="795"/>
    </row>
    <row r="63" spans="1:6" ht="12.75">
      <c r="A63" s="796"/>
      <c r="B63" s="797"/>
      <c r="C63" s="797"/>
      <c r="D63" s="798"/>
      <c r="E63" s="798"/>
      <c r="F63" s="798"/>
    </row>
    <row r="64" spans="1:6" s="731" customFormat="1" ht="16.5" customHeight="1">
      <c r="A64" s="1190" t="s">
        <v>184</v>
      </c>
      <c r="B64" s="1190"/>
      <c r="C64" s="1190"/>
      <c r="D64" s="1190"/>
      <c r="E64" s="1190"/>
      <c r="F64" s="1190"/>
    </row>
    <row r="65" spans="1:6" s="800" customFormat="1" ht="12" customHeight="1">
      <c r="A65" s="727" t="s">
        <v>145</v>
      </c>
      <c r="B65" s="768"/>
      <c r="C65" s="799" t="s">
        <v>852</v>
      </c>
      <c r="D65" s="734">
        <f>SUM(D66:D70)</f>
        <v>0</v>
      </c>
      <c r="E65" s="734">
        <f>SUM(E66:E70)</f>
        <v>0</v>
      </c>
      <c r="F65" s="737">
        <f>SUM(F66:F70)</f>
        <v>0</v>
      </c>
    </row>
    <row r="66" spans="1:6" ht="12" customHeight="1">
      <c r="A66" s="775"/>
      <c r="B66" s="801" t="s">
        <v>217</v>
      </c>
      <c r="C66" s="802" t="s">
        <v>175</v>
      </c>
      <c r="D66" s="776"/>
      <c r="E66" s="776"/>
      <c r="F66" s="777"/>
    </row>
    <row r="67" spans="1:6" ht="12" customHeight="1">
      <c r="A67" s="739"/>
      <c r="B67" s="751" t="s">
        <v>218</v>
      </c>
      <c r="C67" s="803" t="s">
        <v>315</v>
      </c>
      <c r="D67" s="742"/>
      <c r="E67" s="742"/>
      <c r="F67" s="743"/>
    </row>
    <row r="68" spans="1:6" ht="12" customHeight="1">
      <c r="A68" s="739"/>
      <c r="B68" s="751" t="s">
        <v>219</v>
      </c>
      <c r="C68" s="803" t="s">
        <v>248</v>
      </c>
      <c r="D68" s="742"/>
      <c r="E68" s="742"/>
      <c r="F68" s="743"/>
    </row>
    <row r="69" spans="1:6" ht="12" customHeight="1">
      <c r="A69" s="739"/>
      <c r="B69" s="751" t="s">
        <v>220</v>
      </c>
      <c r="C69" s="803" t="s">
        <v>316</v>
      </c>
      <c r="D69" s="742"/>
      <c r="E69" s="742"/>
      <c r="F69" s="743"/>
    </row>
    <row r="70" spans="1:6" ht="12" customHeight="1">
      <c r="A70" s="739"/>
      <c r="B70" s="751" t="s">
        <v>231</v>
      </c>
      <c r="C70" s="803" t="s">
        <v>317</v>
      </c>
      <c r="D70" s="742"/>
      <c r="E70" s="742"/>
      <c r="F70" s="743"/>
    </row>
    <row r="71" spans="1:6" ht="12" customHeight="1">
      <c r="A71" s="739"/>
      <c r="B71" s="751" t="s">
        <v>221</v>
      </c>
      <c r="C71" s="803" t="s">
        <v>334</v>
      </c>
      <c r="D71" s="742"/>
      <c r="E71" s="742"/>
      <c r="F71" s="743"/>
    </row>
    <row r="72" spans="1:6" ht="12" customHeight="1">
      <c r="A72" s="739"/>
      <c r="B72" s="751" t="s">
        <v>222</v>
      </c>
      <c r="C72" s="804" t="s">
        <v>853</v>
      </c>
      <c r="D72" s="742"/>
      <c r="E72" s="742"/>
      <c r="F72" s="743"/>
    </row>
    <row r="73" spans="1:6" ht="12" customHeight="1">
      <c r="A73" s="739"/>
      <c r="B73" s="751" t="s">
        <v>232</v>
      </c>
      <c r="C73" s="805" t="s">
        <v>854</v>
      </c>
      <c r="D73" s="742"/>
      <c r="E73" s="742"/>
      <c r="F73" s="743"/>
    </row>
    <row r="74" spans="1:6" ht="12" customHeight="1">
      <c r="A74" s="739"/>
      <c r="B74" s="751" t="s">
        <v>233</v>
      </c>
      <c r="C74" s="805" t="s">
        <v>855</v>
      </c>
      <c r="D74" s="742"/>
      <c r="E74" s="742"/>
      <c r="F74" s="743"/>
    </row>
    <row r="75" spans="1:6" ht="12" customHeight="1">
      <c r="A75" s="739"/>
      <c r="B75" s="751" t="s">
        <v>234</v>
      </c>
      <c r="C75" s="805" t="s">
        <v>856</v>
      </c>
      <c r="D75" s="742"/>
      <c r="E75" s="742"/>
      <c r="F75" s="743"/>
    </row>
    <row r="76" spans="1:6" ht="12" customHeight="1">
      <c r="A76" s="739"/>
      <c r="B76" s="751" t="s">
        <v>235</v>
      </c>
      <c r="C76" s="806" t="s">
        <v>857</v>
      </c>
      <c r="D76" s="742"/>
      <c r="E76" s="742"/>
      <c r="F76" s="743"/>
    </row>
    <row r="77" spans="1:6" ht="12" customHeight="1">
      <c r="A77" s="739"/>
      <c r="B77" s="751" t="s">
        <v>237</v>
      </c>
      <c r="C77" s="807" t="s">
        <v>858</v>
      </c>
      <c r="D77" s="742"/>
      <c r="E77" s="742"/>
      <c r="F77" s="743"/>
    </row>
    <row r="78" spans="1:6" ht="12" customHeight="1">
      <c r="A78" s="757"/>
      <c r="B78" s="808" t="s">
        <v>859</v>
      </c>
      <c r="C78" s="809" t="s">
        <v>860</v>
      </c>
      <c r="D78" s="762"/>
      <c r="E78" s="762"/>
      <c r="F78" s="758"/>
    </row>
    <row r="79" spans="1:6" ht="12" customHeight="1">
      <c r="A79" s="727" t="s">
        <v>146</v>
      </c>
      <c r="B79" s="768"/>
      <c r="C79" s="799" t="s">
        <v>861</v>
      </c>
      <c r="D79" s="734">
        <f>SUM(D80:D82)</f>
        <v>0</v>
      </c>
      <c r="E79" s="734">
        <f>SUM(E80:E82)</f>
        <v>0</v>
      </c>
      <c r="F79" s="737">
        <f>SUM(F80:F82)</f>
        <v>0</v>
      </c>
    </row>
    <row r="80" spans="1:6" s="800" customFormat="1" ht="12" customHeight="1">
      <c r="A80" s="775"/>
      <c r="B80" s="801" t="s">
        <v>225</v>
      </c>
      <c r="C80" s="785" t="s">
        <v>862</v>
      </c>
      <c r="D80" s="776"/>
      <c r="E80" s="776"/>
      <c r="F80" s="777"/>
    </row>
    <row r="81" spans="1:6" ht="12" customHeight="1">
      <c r="A81" s="739"/>
      <c r="B81" s="751" t="s">
        <v>226</v>
      </c>
      <c r="C81" s="744" t="s">
        <v>318</v>
      </c>
      <c r="D81" s="742"/>
      <c r="E81" s="742"/>
      <c r="F81" s="743"/>
    </row>
    <row r="82" spans="1:6" ht="12" customHeight="1">
      <c r="A82" s="739"/>
      <c r="B82" s="751" t="s">
        <v>227</v>
      </c>
      <c r="C82" s="744" t="s">
        <v>863</v>
      </c>
      <c r="D82" s="742"/>
      <c r="E82" s="742"/>
      <c r="F82" s="743"/>
    </row>
    <row r="83" spans="1:6" ht="22.5">
      <c r="A83" s="739"/>
      <c r="B83" s="751" t="s">
        <v>228</v>
      </c>
      <c r="C83" s="744" t="s">
        <v>864</v>
      </c>
      <c r="D83" s="742"/>
      <c r="E83" s="742"/>
      <c r="F83" s="743"/>
    </row>
    <row r="84" spans="1:6" ht="12" customHeight="1">
      <c r="A84" s="739"/>
      <c r="B84" s="751" t="s">
        <v>229</v>
      </c>
      <c r="C84" s="805" t="s">
        <v>865</v>
      </c>
      <c r="D84" s="742"/>
      <c r="E84" s="742"/>
      <c r="F84" s="743"/>
    </row>
    <row r="85" spans="1:6" ht="12" customHeight="1">
      <c r="A85" s="739"/>
      <c r="B85" s="751" t="s">
        <v>236</v>
      </c>
      <c r="C85" s="805" t="s">
        <v>866</v>
      </c>
      <c r="D85" s="742"/>
      <c r="E85" s="742"/>
      <c r="F85" s="743"/>
    </row>
    <row r="86" spans="1:6" ht="12" customHeight="1">
      <c r="A86" s="739"/>
      <c r="B86" s="751" t="s">
        <v>238</v>
      </c>
      <c r="C86" s="805" t="s">
        <v>867</v>
      </c>
      <c r="D86" s="742"/>
      <c r="E86" s="742"/>
      <c r="F86" s="743"/>
    </row>
    <row r="87" spans="1:6" s="800" customFormat="1" ht="12" customHeight="1">
      <c r="A87" s="739"/>
      <c r="B87" s="751" t="s">
        <v>319</v>
      </c>
      <c r="C87" s="805" t="s">
        <v>868</v>
      </c>
      <c r="D87" s="742"/>
      <c r="E87" s="742"/>
      <c r="F87" s="743"/>
    </row>
    <row r="88" spans="1:12" ht="23.25" customHeight="1">
      <c r="A88" s="739"/>
      <c r="B88" s="751" t="s">
        <v>320</v>
      </c>
      <c r="C88" s="805" t="s">
        <v>869</v>
      </c>
      <c r="D88" s="742"/>
      <c r="E88" s="742"/>
      <c r="F88" s="743"/>
      <c r="L88" s="810"/>
    </row>
    <row r="89" spans="1:6" ht="21" customHeight="1">
      <c r="A89" s="739"/>
      <c r="B89" s="751" t="s">
        <v>321</v>
      </c>
      <c r="C89" s="811" t="s">
        <v>870</v>
      </c>
      <c r="D89" s="742"/>
      <c r="E89" s="742"/>
      <c r="F89" s="743"/>
    </row>
    <row r="90" spans="1:6" ht="12" customHeight="1">
      <c r="A90" s="781" t="s">
        <v>147</v>
      </c>
      <c r="B90" s="812"/>
      <c r="C90" s="813" t="s">
        <v>871</v>
      </c>
      <c r="D90" s="814">
        <f>+D91+D92</f>
        <v>0</v>
      </c>
      <c r="E90" s="814">
        <f>+E91+E92</f>
        <v>0</v>
      </c>
      <c r="F90" s="815">
        <f>+F91+F92</f>
        <v>0</v>
      </c>
    </row>
    <row r="91" spans="1:6" s="800" customFormat="1" ht="12" customHeight="1">
      <c r="A91" s="746"/>
      <c r="B91" s="747" t="s">
        <v>197</v>
      </c>
      <c r="C91" s="816" t="s">
        <v>185</v>
      </c>
      <c r="D91" s="749"/>
      <c r="E91" s="749"/>
      <c r="F91" s="750"/>
    </row>
    <row r="92" spans="1:6" s="800" customFormat="1" ht="12" customHeight="1">
      <c r="A92" s="759"/>
      <c r="B92" s="760" t="s">
        <v>198</v>
      </c>
      <c r="C92" s="817" t="s">
        <v>186</v>
      </c>
      <c r="D92" s="774"/>
      <c r="E92" s="774"/>
      <c r="F92" s="763"/>
    </row>
    <row r="93" spans="1:6" s="800" customFormat="1" ht="12" customHeight="1">
      <c r="A93" s="818" t="s">
        <v>148</v>
      </c>
      <c r="B93" s="819"/>
      <c r="C93" s="736" t="s">
        <v>385</v>
      </c>
      <c r="D93" s="820"/>
      <c r="E93" s="820"/>
      <c r="F93" s="821"/>
    </row>
    <row r="94" spans="1:6" s="800" customFormat="1" ht="12" customHeight="1">
      <c r="A94" s="727" t="s">
        <v>149</v>
      </c>
      <c r="B94" s="822"/>
      <c r="C94" s="823" t="s">
        <v>872</v>
      </c>
      <c r="D94" s="779">
        <v>34537</v>
      </c>
      <c r="E94" s="779">
        <v>38001</v>
      </c>
      <c r="F94" s="780">
        <v>38271</v>
      </c>
    </row>
    <row r="95" spans="1:6" s="800" customFormat="1" ht="12" customHeight="1">
      <c r="A95" s="727" t="s">
        <v>150</v>
      </c>
      <c r="B95" s="768"/>
      <c r="C95" s="733" t="s">
        <v>873</v>
      </c>
      <c r="D95" s="824">
        <f>+D65+D79+D90+D93+D94</f>
        <v>34537</v>
      </c>
      <c r="E95" s="824">
        <f>+E65+E79+E90+E93+E94</f>
        <v>38001</v>
      </c>
      <c r="F95" s="839">
        <f>+F65+F79+F90+F93+F94</f>
        <v>38271</v>
      </c>
    </row>
    <row r="96" spans="1:6" s="800" customFormat="1" ht="12" customHeight="1">
      <c r="A96" s="727" t="s">
        <v>151</v>
      </c>
      <c r="B96" s="768"/>
      <c r="C96" s="733" t="s">
        <v>874</v>
      </c>
      <c r="D96" s="734">
        <f>+D97+D98</f>
        <v>0</v>
      </c>
      <c r="E96" s="734">
        <f>+E97+E98</f>
        <v>0</v>
      </c>
      <c r="F96" s="737">
        <f>+F97+F98</f>
        <v>0</v>
      </c>
    </row>
    <row r="97" spans="1:6" ht="12.75" customHeight="1">
      <c r="A97" s="775"/>
      <c r="B97" s="751" t="s">
        <v>875</v>
      </c>
      <c r="C97" s="785" t="s">
        <v>876</v>
      </c>
      <c r="D97" s="776"/>
      <c r="E97" s="776"/>
      <c r="F97" s="777"/>
    </row>
    <row r="98" spans="1:6" ht="12" customHeight="1">
      <c r="A98" s="757"/>
      <c r="B98" s="808" t="s">
        <v>212</v>
      </c>
      <c r="C98" s="788" t="s">
        <v>877</v>
      </c>
      <c r="D98" s="762"/>
      <c r="E98" s="762"/>
      <c r="F98" s="758"/>
    </row>
    <row r="99" spans="1:6" ht="12" customHeight="1">
      <c r="A99" s="727" t="s">
        <v>152</v>
      </c>
      <c r="B99" s="778"/>
      <c r="C99" s="733" t="s">
        <v>878</v>
      </c>
      <c r="D99" s="734"/>
      <c r="E99" s="734"/>
      <c r="F99" s="737"/>
    </row>
    <row r="100" spans="1:6" ht="15" customHeight="1">
      <c r="A100" s="727" t="s">
        <v>153</v>
      </c>
      <c r="B100" s="778"/>
      <c r="C100" s="733" t="s">
        <v>879</v>
      </c>
      <c r="D100" s="734">
        <f>+D95+D96</f>
        <v>34537</v>
      </c>
      <c r="E100" s="734">
        <f>+E95+E96</f>
        <v>38001</v>
      </c>
      <c r="F100" s="737">
        <f>+F95+F96</f>
        <v>38271</v>
      </c>
    </row>
    <row r="102" spans="1:6" ht="15" customHeight="1">
      <c r="A102" s="829" t="s">
        <v>880</v>
      </c>
      <c r="B102" s="830"/>
      <c r="C102" s="831"/>
      <c r="D102" s="832">
        <v>0</v>
      </c>
      <c r="E102" s="834">
        <v>0</v>
      </c>
      <c r="F102" s="834">
        <v>0</v>
      </c>
    </row>
    <row r="103" spans="1:6" ht="14.25" customHeight="1">
      <c r="A103" s="829" t="s">
        <v>881</v>
      </c>
      <c r="B103" s="830"/>
      <c r="C103" s="831"/>
      <c r="D103" s="832">
        <v>0</v>
      </c>
      <c r="E103" s="834">
        <v>0</v>
      </c>
      <c r="F103" s="834">
        <v>0</v>
      </c>
    </row>
  </sheetData>
  <sheetProtection selectLockedCells="1" selectUnlockedCells="1"/>
  <mergeCells count="6">
    <mergeCell ref="A7:F7"/>
    <mergeCell ref="A64:F64"/>
    <mergeCell ref="A2:B2"/>
    <mergeCell ref="C2:E2"/>
    <mergeCell ref="C3:E3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  <rowBreaks count="1" manualBreakCount="1">
    <brk id="6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G54"/>
  <sheetViews>
    <sheetView view="pageBreakPreview" zoomScale="160" zoomScaleSheetLayoutView="160" workbookViewId="0" topLeftCell="A1">
      <selection activeCell="C2" sqref="C2:E2"/>
    </sheetView>
  </sheetViews>
  <sheetFormatPr defaultColWidth="9.00390625" defaultRowHeight="12.75"/>
  <cols>
    <col min="1" max="1" width="9.625" style="861" customWidth="1"/>
    <col min="2" max="2" width="9.625" style="862" customWidth="1"/>
    <col min="3" max="3" width="59.375" style="862" customWidth="1"/>
    <col min="4" max="6" width="15.875" style="862" customWidth="1"/>
    <col min="7" max="16384" width="9.375" style="726" customWidth="1"/>
  </cols>
  <sheetData>
    <row r="1" spans="1:6" s="714" customFormat="1" ht="21" customHeight="1">
      <c r="A1" s="710"/>
      <c r="B1" s="711"/>
      <c r="C1" s="712"/>
      <c r="D1" s="713"/>
      <c r="E1" s="713"/>
      <c r="F1" s="713" t="s">
        <v>887</v>
      </c>
    </row>
    <row r="2" spans="1:6" s="716" customFormat="1" ht="25.5" customHeight="1">
      <c r="A2" s="1191" t="s">
        <v>888</v>
      </c>
      <c r="B2" s="1191"/>
      <c r="C2" s="1192" t="s">
        <v>889</v>
      </c>
      <c r="D2" s="1192"/>
      <c r="E2" s="1192"/>
      <c r="F2" s="843" t="s">
        <v>890</v>
      </c>
    </row>
    <row r="3" spans="1:6" s="716" customFormat="1" ht="15.75">
      <c r="A3" s="717" t="s">
        <v>831</v>
      </c>
      <c r="B3" s="718"/>
      <c r="C3" s="1193" t="s">
        <v>891</v>
      </c>
      <c r="D3" s="1193"/>
      <c r="E3" s="1193"/>
      <c r="F3" s="844" t="s">
        <v>892</v>
      </c>
    </row>
    <row r="4" spans="1:6" s="722" customFormat="1" ht="15.75" customHeight="1">
      <c r="A4" s="720"/>
      <c r="B4" s="720"/>
      <c r="C4" s="720"/>
      <c r="D4" s="721"/>
      <c r="E4" s="721"/>
      <c r="F4" s="721" t="s">
        <v>179</v>
      </c>
    </row>
    <row r="5" spans="1:6" ht="24.75" customHeight="1">
      <c r="A5" s="1194" t="s">
        <v>834</v>
      </c>
      <c r="B5" s="1194"/>
      <c r="C5" s="723" t="s">
        <v>835</v>
      </c>
      <c r="D5" s="724" t="s">
        <v>482</v>
      </c>
      <c r="E5" s="724" t="s">
        <v>489</v>
      </c>
      <c r="F5" s="725" t="s">
        <v>490</v>
      </c>
    </row>
    <row r="6" spans="1:6" s="731" customFormat="1" ht="12.75" customHeight="1">
      <c r="A6" s="727">
        <v>1</v>
      </c>
      <c r="B6" s="728">
        <v>2</v>
      </c>
      <c r="C6" s="728">
        <v>3</v>
      </c>
      <c r="D6" s="728">
        <v>4</v>
      </c>
      <c r="E6" s="729">
        <v>5</v>
      </c>
      <c r="F6" s="730">
        <v>6</v>
      </c>
    </row>
    <row r="7" spans="1:6" s="731" customFormat="1" ht="15.75" customHeight="1">
      <c r="A7" s="1190" t="s">
        <v>180</v>
      </c>
      <c r="B7" s="1190"/>
      <c r="C7" s="1190"/>
      <c r="D7" s="1190"/>
      <c r="E7" s="1190"/>
      <c r="F7" s="1190"/>
    </row>
    <row r="8" spans="1:7" s="735" customFormat="1" ht="12" customHeight="1" thickBot="1">
      <c r="A8" s="727" t="s">
        <v>145</v>
      </c>
      <c r="B8" s="732"/>
      <c r="C8" s="845" t="s">
        <v>933</v>
      </c>
      <c r="D8" s="734">
        <f>SUM(D9:D16)</f>
        <v>0</v>
      </c>
      <c r="E8" s="734">
        <f>SUM(E9:E18)</f>
        <v>170</v>
      </c>
      <c r="F8" s="734">
        <f>SUM(F9:F18)</f>
        <v>170</v>
      </c>
      <c r="G8" s="735">
        <f>'7.2. sz. mell'!F8+'7.3. sz. mell'!F8+'7.4. sz. mell'!F8</f>
        <v>170</v>
      </c>
    </row>
    <row r="9" spans="1:7" s="735" customFormat="1" ht="12" customHeight="1">
      <c r="A9" s="746"/>
      <c r="B9" s="740" t="s">
        <v>217</v>
      </c>
      <c r="C9" s="886" t="s">
        <v>284</v>
      </c>
      <c r="D9" s="749"/>
      <c r="E9" s="749"/>
      <c r="F9" s="750"/>
      <c r="G9" s="735">
        <f>'7.2. sz. mell'!F9+'7.3. sz. mell'!F9+'7.4. sz. mell'!F9</f>
        <v>0</v>
      </c>
    </row>
    <row r="10" spans="1:7" s="735" customFormat="1" ht="12" customHeight="1">
      <c r="A10" s="739"/>
      <c r="B10" s="740" t="s">
        <v>218</v>
      </c>
      <c r="C10" s="509" t="s">
        <v>285</v>
      </c>
      <c r="D10" s="742"/>
      <c r="E10" s="742">
        <v>139</v>
      </c>
      <c r="F10" s="743">
        <v>139</v>
      </c>
      <c r="G10" s="735">
        <f>'7.2. sz. mell'!F10+'7.3. sz. mell'!F10+'7.4. sz. mell'!F10</f>
        <v>139</v>
      </c>
    </row>
    <row r="11" spans="1:7" s="735" customFormat="1" ht="12" customHeight="1">
      <c r="A11" s="739"/>
      <c r="B11" s="740" t="s">
        <v>219</v>
      </c>
      <c r="C11" s="509" t="s">
        <v>838</v>
      </c>
      <c r="D11" s="742"/>
      <c r="E11" s="742"/>
      <c r="F11" s="743"/>
      <c r="G11" s="735">
        <f>'7.2. sz. mell'!F11+'7.3. sz. mell'!F11+'7.4. sz. mell'!F11</f>
        <v>0</v>
      </c>
    </row>
    <row r="12" spans="1:7" s="735" customFormat="1" ht="12" customHeight="1">
      <c r="A12" s="739"/>
      <c r="B12" s="740" t="s">
        <v>220</v>
      </c>
      <c r="C12" s="509" t="s">
        <v>286</v>
      </c>
      <c r="D12" s="742"/>
      <c r="E12" s="742"/>
      <c r="F12" s="743"/>
      <c r="G12" s="735">
        <f>'7.2. sz. mell'!F12+'7.3. sz. mell'!F12+'7.4. sz. mell'!F12</f>
        <v>0</v>
      </c>
    </row>
    <row r="13" spans="1:7" s="735" customFormat="1" ht="12" customHeight="1">
      <c r="A13" s="739"/>
      <c r="B13" s="740" t="s">
        <v>893</v>
      </c>
      <c r="C13" s="509" t="s">
        <v>287</v>
      </c>
      <c r="D13" s="742"/>
      <c r="E13" s="742"/>
      <c r="F13" s="743"/>
      <c r="G13" s="735">
        <f>'7.2. sz. mell'!F13+'7.3. sz. mell'!F13+'7.4. sz. mell'!F13</f>
        <v>0</v>
      </c>
    </row>
    <row r="14" spans="1:7" s="735" customFormat="1" ht="12" customHeight="1">
      <c r="A14" s="753"/>
      <c r="B14" s="740" t="s">
        <v>221</v>
      </c>
      <c r="C14" s="509" t="s">
        <v>288</v>
      </c>
      <c r="D14" s="742"/>
      <c r="E14" s="742"/>
      <c r="F14" s="755"/>
      <c r="G14" s="735">
        <f>'7.2. sz. mell'!F14+'7.3. sz. mell'!F14+'7.4. sz. mell'!F14</f>
        <v>0</v>
      </c>
    </row>
    <row r="15" spans="1:7" s="738" customFormat="1" ht="12" customHeight="1">
      <c r="A15" s="739"/>
      <c r="B15" s="740" t="s">
        <v>222</v>
      </c>
      <c r="C15" s="509" t="s">
        <v>839</v>
      </c>
      <c r="D15" s="754"/>
      <c r="E15" s="754"/>
      <c r="F15" s="743"/>
      <c r="G15" s="735">
        <f>'7.2. sz. mell'!F15+'7.3. sz. mell'!F15+'7.4. sz. mell'!F15</f>
        <v>0</v>
      </c>
    </row>
    <row r="16" spans="1:7" s="738" customFormat="1" ht="12" customHeight="1">
      <c r="A16" s="739"/>
      <c r="B16" s="740" t="s">
        <v>232</v>
      </c>
      <c r="C16" s="509" t="s">
        <v>345</v>
      </c>
      <c r="D16" s="742"/>
      <c r="E16" s="742"/>
      <c r="F16" s="743"/>
      <c r="G16" s="735">
        <f>'7.2. sz. mell'!F16+'7.3. sz. mell'!F16+'7.4. sz. mell'!F16</f>
        <v>0</v>
      </c>
    </row>
    <row r="17" spans="1:7" s="738" customFormat="1" ht="12" customHeight="1">
      <c r="A17" s="757"/>
      <c r="B17" s="766" t="s">
        <v>233</v>
      </c>
      <c r="C17" s="509" t="s">
        <v>289</v>
      </c>
      <c r="D17" s="762"/>
      <c r="E17" s="762"/>
      <c r="F17" s="758"/>
      <c r="G17" s="735">
        <f>'7.2. sz. mell'!F17+'7.3. sz. mell'!F17+'7.4. sz. mell'!F17</f>
        <v>0</v>
      </c>
    </row>
    <row r="18" spans="1:7" s="738" customFormat="1" ht="12" customHeight="1" thickBot="1">
      <c r="A18" s="759"/>
      <c r="B18" s="846" t="s">
        <v>234</v>
      </c>
      <c r="C18" s="513" t="s">
        <v>290</v>
      </c>
      <c r="D18" s="762"/>
      <c r="E18" s="774">
        <v>31</v>
      </c>
      <c r="F18" s="763">
        <v>31</v>
      </c>
      <c r="G18" s="735">
        <f>'7.2. sz. mell'!F18+'7.3. sz. mell'!F18+'7.4. sz. mell'!F18</f>
        <v>31</v>
      </c>
    </row>
    <row r="19" spans="1:7" s="735" customFormat="1" ht="12" customHeight="1" thickBot="1">
      <c r="A19" s="727" t="s">
        <v>146</v>
      </c>
      <c r="B19" s="732"/>
      <c r="C19" s="845" t="s">
        <v>894</v>
      </c>
      <c r="D19" s="734">
        <f>SUM(D20+D22)</f>
        <v>3680</v>
      </c>
      <c r="E19" s="734">
        <f>SUM(E20+E22)</f>
        <v>451</v>
      </c>
      <c r="F19" s="737">
        <f>SUM(F20+F22)</f>
        <v>451</v>
      </c>
      <c r="G19" s="735">
        <f>'7.2. sz. mell'!F19+'7.3. sz. mell'!F19+'7.4. sz. mell'!F19</f>
        <v>451</v>
      </c>
    </row>
    <row r="20" spans="1:7" s="738" customFormat="1" ht="12" customHeight="1">
      <c r="A20" s="739"/>
      <c r="B20" s="740" t="s">
        <v>225</v>
      </c>
      <c r="C20" s="848" t="s">
        <v>895</v>
      </c>
      <c r="D20" s="742">
        <v>3680</v>
      </c>
      <c r="E20" s="749">
        <v>451</v>
      </c>
      <c r="F20" s="750">
        <v>451</v>
      </c>
      <c r="G20" s="735">
        <f>'7.2. sz. mell'!F20+'7.3. sz. mell'!F20+'7.4. sz. mell'!F20</f>
        <v>451</v>
      </c>
    </row>
    <row r="21" spans="1:7" s="738" customFormat="1" ht="12" customHeight="1">
      <c r="A21" s="739"/>
      <c r="B21" s="740" t="s">
        <v>226</v>
      </c>
      <c r="C21" s="752" t="s">
        <v>896</v>
      </c>
      <c r="D21" s="742"/>
      <c r="E21" s="742"/>
      <c r="F21" s="743"/>
      <c r="G21" s="735">
        <f>'7.2. sz. mell'!F21+'7.3. sz. mell'!F21+'7.4. sz. mell'!F21</f>
        <v>0</v>
      </c>
    </row>
    <row r="22" spans="1:7" s="738" customFormat="1" ht="12" customHeight="1">
      <c r="A22" s="739"/>
      <c r="B22" s="740" t="s">
        <v>227</v>
      </c>
      <c r="C22" s="752" t="s">
        <v>897</v>
      </c>
      <c r="D22" s="742"/>
      <c r="E22" s="742"/>
      <c r="F22" s="743"/>
      <c r="G22" s="735">
        <f>'7.2. sz. mell'!F22+'7.3. sz. mell'!F22+'7.4. sz. mell'!F22</f>
        <v>0</v>
      </c>
    </row>
    <row r="23" spans="1:7" s="738" customFormat="1" ht="12" customHeight="1" thickBot="1">
      <c r="A23" s="739"/>
      <c r="B23" s="740" t="s">
        <v>228</v>
      </c>
      <c r="C23" s="752" t="s">
        <v>896</v>
      </c>
      <c r="D23" s="742"/>
      <c r="E23" s="774"/>
      <c r="F23" s="763"/>
      <c r="G23" s="735">
        <f>'7.2. sz. mell'!F23+'7.3. sz. mell'!F23+'7.4. sz. mell'!F23</f>
        <v>0</v>
      </c>
    </row>
    <row r="24" spans="1:7" s="738" customFormat="1" ht="12" customHeight="1" thickBot="1">
      <c r="A24" s="727" t="s">
        <v>147</v>
      </c>
      <c r="B24" s="768"/>
      <c r="C24" s="768" t="s">
        <v>898</v>
      </c>
      <c r="D24" s="734">
        <f>+D25+D26</f>
        <v>0</v>
      </c>
      <c r="E24" s="734">
        <f>+E25+E26</f>
        <v>0</v>
      </c>
      <c r="F24" s="737">
        <f>+F25+F26</f>
        <v>0</v>
      </c>
      <c r="G24" s="735">
        <f>'7.2. sz. mell'!F24+'7.3. sz. mell'!F24+'7.4. sz. mell'!F24</f>
        <v>0</v>
      </c>
    </row>
    <row r="25" spans="1:7" s="738" customFormat="1" ht="12" customHeight="1">
      <c r="A25" s="746"/>
      <c r="B25" s="849" t="s">
        <v>197</v>
      </c>
      <c r="C25" s="748" t="s">
        <v>353</v>
      </c>
      <c r="D25" s="749"/>
      <c r="E25" s="749"/>
      <c r="F25" s="750"/>
      <c r="G25" s="735">
        <f>'7.2. sz. mell'!F25+'7.3. sz. mell'!F25+'7.4. sz. mell'!F25</f>
        <v>0</v>
      </c>
    </row>
    <row r="26" spans="1:7" s="738" customFormat="1" ht="12" customHeight="1">
      <c r="A26" s="764"/>
      <c r="B26" s="850" t="s">
        <v>198</v>
      </c>
      <c r="C26" s="761" t="s">
        <v>357</v>
      </c>
      <c r="D26" s="851"/>
      <c r="E26" s="851"/>
      <c r="F26" s="852"/>
      <c r="G26" s="735">
        <f>'7.2. sz. mell'!F26+'7.3. sz. mell'!F26+'7.4. sz. mell'!F26</f>
        <v>0</v>
      </c>
    </row>
    <row r="27" spans="1:7" s="738" customFormat="1" ht="12" customHeight="1">
      <c r="A27" s="727" t="s">
        <v>148</v>
      </c>
      <c r="B27" s="768"/>
      <c r="C27" s="768" t="s">
        <v>899</v>
      </c>
      <c r="D27" s="779"/>
      <c r="E27" s="779">
        <v>112</v>
      </c>
      <c r="F27" s="780">
        <v>112</v>
      </c>
      <c r="G27" s="735">
        <f>'7.2. sz. mell'!F27+'7.3. sz. mell'!F27+'7.4. sz. mell'!F27</f>
        <v>112</v>
      </c>
    </row>
    <row r="28" spans="1:7" s="735" customFormat="1" ht="12" customHeight="1">
      <c r="A28" s="727" t="s">
        <v>149</v>
      </c>
      <c r="B28" s="732"/>
      <c r="C28" s="768" t="s">
        <v>900</v>
      </c>
      <c r="D28" s="779"/>
      <c r="E28" s="779"/>
      <c r="F28" s="780">
        <v>80155</v>
      </c>
      <c r="G28" s="735">
        <f>'7.2. sz. mell'!F28+'7.3. sz. mell'!F28+'7.4. sz. mell'!F28</f>
        <v>80155</v>
      </c>
    </row>
    <row r="29" spans="1:7" s="735" customFormat="1" ht="12" customHeight="1">
      <c r="A29" s="727" t="s">
        <v>150</v>
      </c>
      <c r="B29" s="784"/>
      <c r="C29" s="768" t="s">
        <v>901</v>
      </c>
      <c r="D29" s="734">
        <f>+D8+D19+D24+D27+D28</f>
        <v>3680</v>
      </c>
      <c r="E29" s="734">
        <f>+E8+E19+E24+E27+E28</f>
        <v>733</v>
      </c>
      <c r="F29" s="737">
        <f>+F8+F19+F24+F27+F28</f>
        <v>80888</v>
      </c>
      <c r="G29" s="735">
        <f>'7.2. sz. mell'!F29+'7.3. sz. mell'!F29+'7.4. sz. mell'!F29</f>
        <v>80888</v>
      </c>
    </row>
    <row r="30" spans="1:7" s="735" customFormat="1" ht="12" customHeight="1">
      <c r="A30" s="853" t="s">
        <v>151</v>
      </c>
      <c r="B30" s="854"/>
      <c r="C30" s="812" t="s">
        <v>902</v>
      </c>
      <c r="D30" s="814">
        <f>+D31+D32</f>
        <v>0</v>
      </c>
      <c r="E30" s="814">
        <f>+E31+E32</f>
        <v>2798</v>
      </c>
      <c r="F30" s="815">
        <f>+F31+F32</f>
        <v>2798</v>
      </c>
      <c r="G30" s="735">
        <f>'7.2. sz. mell'!F30+'7.3. sz. mell'!F30+'7.4. sz. mell'!F30</f>
        <v>2798</v>
      </c>
    </row>
    <row r="31" spans="1:7" s="735" customFormat="1" ht="12" customHeight="1">
      <c r="A31" s="746"/>
      <c r="B31" s="747" t="s">
        <v>211</v>
      </c>
      <c r="C31" s="748" t="s">
        <v>455</v>
      </c>
      <c r="D31" s="749"/>
      <c r="E31" s="749">
        <v>2798</v>
      </c>
      <c r="F31" s="750">
        <v>2798</v>
      </c>
      <c r="G31" s="735">
        <f>'7.2. sz. mell'!F31+'7.3. sz. mell'!F31+'7.4. sz. mell'!F31</f>
        <v>2798</v>
      </c>
    </row>
    <row r="32" spans="1:7" s="738" customFormat="1" ht="12" customHeight="1">
      <c r="A32" s="855"/>
      <c r="B32" s="760" t="s">
        <v>212</v>
      </c>
      <c r="C32" s="847" t="s">
        <v>903</v>
      </c>
      <c r="D32" s="774"/>
      <c r="E32" s="774"/>
      <c r="F32" s="763"/>
      <c r="G32" s="735">
        <f>'7.2. sz. mell'!F32+'7.3. sz. mell'!F32+'7.4. sz. mell'!F32</f>
        <v>0</v>
      </c>
    </row>
    <row r="33" spans="1:7" s="738" customFormat="1" ht="12" customHeight="1">
      <c r="A33" s="790" t="s">
        <v>152</v>
      </c>
      <c r="B33" s="856"/>
      <c r="C33" s="857" t="s">
        <v>904</v>
      </c>
      <c r="D33" s="779"/>
      <c r="E33" s="779"/>
      <c r="F33" s="780"/>
      <c r="G33" s="735">
        <f>'7.2. sz. mell'!F33+'7.3. sz. mell'!F33+'7.4. sz. mell'!F33</f>
        <v>0</v>
      </c>
    </row>
    <row r="34" spans="1:7" s="738" customFormat="1" ht="15" customHeight="1">
      <c r="A34" s="790" t="s">
        <v>153</v>
      </c>
      <c r="B34" s="858"/>
      <c r="C34" s="859" t="s">
        <v>905</v>
      </c>
      <c r="D34" s="734">
        <f>+D29+D30+D33</f>
        <v>3680</v>
      </c>
      <c r="E34" s="734">
        <f>+E29+E30+E33</f>
        <v>3531</v>
      </c>
      <c r="F34" s="737">
        <f>+F29+F30+F33</f>
        <v>83686</v>
      </c>
      <c r="G34" s="735">
        <f>'7.2. sz. mell'!F34+'7.3. sz. mell'!F34+'7.4. sz. mell'!F34</f>
        <v>83686</v>
      </c>
    </row>
    <row r="35" spans="1:6" s="738" customFormat="1" ht="15" customHeight="1">
      <c r="A35" s="793"/>
      <c r="B35" s="793"/>
      <c r="C35" s="794"/>
      <c r="D35" s="795"/>
      <c r="E35" s="795"/>
      <c r="F35" s="795"/>
    </row>
    <row r="36" spans="1:6" ht="12.75">
      <c r="A36" s="796"/>
      <c r="B36" s="797"/>
      <c r="C36" s="797"/>
      <c r="D36" s="798"/>
      <c r="E36" s="798"/>
      <c r="F36" s="798"/>
    </row>
    <row r="37" spans="1:6" s="731" customFormat="1" ht="16.5" customHeight="1">
      <c r="A37" s="1190" t="s">
        <v>184</v>
      </c>
      <c r="B37" s="1190"/>
      <c r="C37" s="1190"/>
      <c r="D37" s="1190"/>
      <c r="E37" s="1190"/>
      <c r="F37" s="1190"/>
    </row>
    <row r="38" spans="1:7" s="800" customFormat="1" ht="12" customHeight="1" thickBot="1">
      <c r="A38" s="727" t="s">
        <v>145</v>
      </c>
      <c r="B38" s="768"/>
      <c r="C38" s="768" t="s">
        <v>852</v>
      </c>
      <c r="D38" s="734">
        <f>SUM(D39:D43)</f>
        <v>78941</v>
      </c>
      <c r="E38" s="734">
        <f>SUM(E39:E43)</f>
        <v>83180</v>
      </c>
      <c r="F38" s="737">
        <f>SUM(F39:F43)</f>
        <v>83132</v>
      </c>
      <c r="G38" s="800">
        <f>'7.2. sz. mell'!F38+'7.3. sz. mell'!F37+'7.4. sz. mell'!F38</f>
        <v>83132</v>
      </c>
    </row>
    <row r="39" spans="1:7" ht="12" customHeight="1">
      <c r="A39" s="775"/>
      <c r="B39" s="801" t="s">
        <v>217</v>
      </c>
      <c r="C39" s="848" t="s">
        <v>175</v>
      </c>
      <c r="D39" s="776">
        <v>17999</v>
      </c>
      <c r="E39" s="749">
        <v>19809</v>
      </c>
      <c r="F39" s="750">
        <v>19808</v>
      </c>
      <c r="G39" s="800">
        <f>'7.2. sz. mell'!F39+'7.3. sz. mell'!F38+'7.4. sz. mell'!F39</f>
        <v>19808</v>
      </c>
    </row>
    <row r="40" spans="1:7" ht="12" customHeight="1">
      <c r="A40" s="739"/>
      <c r="B40" s="751" t="s">
        <v>218</v>
      </c>
      <c r="C40" s="752" t="s">
        <v>315</v>
      </c>
      <c r="D40" s="742">
        <v>4611</v>
      </c>
      <c r="E40" s="742">
        <v>5085</v>
      </c>
      <c r="F40" s="743">
        <v>5085</v>
      </c>
      <c r="G40" s="800">
        <f>'7.2. sz. mell'!F40+'7.3. sz. mell'!F39+'7.4. sz. mell'!F40</f>
        <v>5085</v>
      </c>
    </row>
    <row r="41" spans="1:7" ht="12" customHeight="1">
      <c r="A41" s="739"/>
      <c r="B41" s="751" t="s">
        <v>219</v>
      </c>
      <c r="C41" s="752" t="s">
        <v>248</v>
      </c>
      <c r="D41" s="742">
        <v>11927</v>
      </c>
      <c r="E41" s="742">
        <v>15950</v>
      </c>
      <c r="F41" s="743">
        <v>15904</v>
      </c>
      <c r="G41" s="800">
        <f>'7.2. sz. mell'!F41+'7.3. sz. mell'!F40+'7.4. sz. mell'!F41</f>
        <v>15904</v>
      </c>
    </row>
    <row r="42" spans="1:7" ht="12" customHeight="1">
      <c r="A42" s="739"/>
      <c r="B42" s="751" t="s">
        <v>220</v>
      </c>
      <c r="C42" s="752" t="s">
        <v>316</v>
      </c>
      <c r="D42" s="742"/>
      <c r="E42" s="742"/>
      <c r="F42" s="743"/>
      <c r="G42" s="800">
        <f>'7.2. sz. mell'!F42+'7.3. sz. mell'!F41+'7.4. sz. mell'!F42</f>
        <v>0</v>
      </c>
    </row>
    <row r="43" spans="1:7" ht="12" customHeight="1" thickBot="1">
      <c r="A43" s="739"/>
      <c r="B43" s="751" t="s">
        <v>231</v>
      </c>
      <c r="C43" s="752" t="s">
        <v>317</v>
      </c>
      <c r="D43" s="742">
        <v>44404</v>
      </c>
      <c r="E43" s="774">
        <v>42336</v>
      </c>
      <c r="F43" s="763">
        <v>42335</v>
      </c>
      <c r="G43" s="800">
        <f>'7.2. sz. mell'!F43+'7.3. sz. mell'!F42+'7.4. sz. mell'!F43</f>
        <v>42335</v>
      </c>
    </row>
    <row r="44" spans="1:7" ht="12" customHeight="1" thickBot="1">
      <c r="A44" s="727" t="s">
        <v>146</v>
      </c>
      <c r="B44" s="768"/>
      <c r="C44" s="768" t="s">
        <v>906</v>
      </c>
      <c r="D44" s="734">
        <f>SUM(D45:D47)</f>
        <v>0</v>
      </c>
      <c r="E44" s="734">
        <f>SUM(E45:E47)</f>
        <v>237</v>
      </c>
      <c r="F44" s="737">
        <f>SUM(F45:F47)</f>
        <v>236</v>
      </c>
      <c r="G44" s="800">
        <f>'7.2. sz. mell'!F44+'7.3. sz. mell'!F43+'7.4. sz. mell'!F44</f>
        <v>236</v>
      </c>
    </row>
    <row r="45" spans="1:7" s="800" customFormat="1" ht="12" customHeight="1">
      <c r="A45" s="775"/>
      <c r="B45" s="801" t="s">
        <v>225</v>
      </c>
      <c r="C45" s="848" t="s">
        <v>381</v>
      </c>
      <c r="D45" s="776"/>
      <c r="E45" s="749">
        <v>170</v>
      </c>
      <c r="F45" s="750">
        <v>170</v>
      </c>
      <c r="G45" s="800">
        <f>'7.2. sz. mell'!F45+'7.3. sz. mell'!F44+'7.4. sz. mell'!F45</f>
        <v>170</v>
      </c>
    </row>
    <row r="46" spans="1:7" ht="12" customHeight="1">
      <c r="A46" s="739"/>
      <c r="B46" s="751" t="s">
        <v>226</v>
      </c>
      <c r="C46" s="752" t="s">
        <v>318</v>
      </c>
      <c r="D46" s="742"/>
      <c r="E46" s="742">
        <v>67</v>
      </c>
      <c r="F46" s="743">
        <v>66</v>
      </c>
      <c r="G46" s="800">
        <f>'7.2. sz. mell'!F46+'7.3. sz. mell'!F45+'7.4. sz. mell'!F46</f>
        <v>66</v>
      </c>
    </row>
    <row r="47" spans="1:7" ht="12" customHeight="1">
      <c r="A47" s="739"/>
      <c r="B47" s="751" t="s">
        <v>227</v>
      </c>
      <c r="C47" s="752" t="s">
        <v>907</v>
      </c>
      <c r="D47" s="742"/>
      <c r="E47" s="742"/>
      <c r="F47" s="743"/>
      <c r="G47" s="800">
        <f>'7.2. sz. mell'!F47+'7.3. sz. mell'!F46+'7.4. sz. mell'!F47</f>
        <v>0</v>
      </c>
    </row>
    <row r="48" spans="1:7" ht="12" customHeight="1" thickBot="1">
      <c r="A48" s="739"/>
      <c r="B48" s="751" t="s">
        <v>228</v>
      </c>
      <c r="C48" s="752" t="s">
        <v>908</v>
      </c>
      <c r="D48" s="742"/>
      <c r="E48" s="774"/>
      <c r="F48" s="763"/>
      <c r="G48" s="800">
        <f>'7.2. sz. mell'!F48+'7.3. sz. mell'!F47+'7.4. sz. mell'!F48</f>
        <v>0</v>
      </c>
    </row>
    <row r="49" spans="1:7" ht="12" customHeight="1" thickBot="1">
      <c r="A49" s="727" t="s">
        <v>147</v>
      </c>
      <c r="B49" s="768"/>
      <c r="C49" s="768" t="s">
        <v>909</v>
      </c>
      <c r="D49" s="779"/>
      <c r="E49" s="779"/>
      <c r="F49" s="780"/>
      <c r="G49" s="800">
        <f>'7.2. sz. mell'!F49+'7.3. sz. mell'!F48+'7.4. sz. mell'!F49</f>
        <v>0</v>
      </c>
    </row>
    <row r="50" spans="1:7" s="738" customFormat="1" ht="12" customHeight="1">
      <c r="A50" s="790" t="s">
        <v>148</v>
      </c>
      <c r="B50" s="856"/>
      <c r="C50" s="857" t="s">
        <v>910</v>
      </c>
      <c r="D50" s="779"/>
      <c r="E50" s="779"/>
      <c r="F50" s="780">
        <v>-1035</v>
      </c>
      <c r="G50" s="800">
        <f>'7.2. sz. mell'!F50+'7.3. sz. mell'!F49+'7.4. sz. mell'!F50</f>
        <v>-1035</v>
      </c>
    </row>
    <row r="51" spans="1:7" ht="15" customHeight="1">
      <c r="A51" s="727" t="s">
        <v>149</v>
      </c>
      <c r="B51" s="778"/>
      <c r="C51" s="860" t="s">
        <v>911</v>
      </c>
      <c r="D51" s="734">
        <f>+D38+D44+D49+D50</f>
        <v>78941</v>
      </c>
      <c r="E51" s="734">
        <f>+E38+E44+E49+E50</f>
        <v>83417</v>
      </c>
      <c r="F51" s="737">
        <f>+F38+F44+F49+F50</f>
        <v>82333</v>
      </c>
      <c r="G51" s="800">
        <f>'7.2. sz. mell'!F51+'7.3. sz. mell'!F50+'7.4. sz. mell'!F51</f>
        <v>82333</v>
      </c>
    </row>
    <row r="52" spans="4:6" ht="12.75">
      <c r="D52" s="863"/>
      <c r="E52" s="863"/>
      <c r="F52" s="863"/>
    </row>
    <row r="53" spans="1:6" ht="15" customHeight="1">
      <c r="A53" s="829" t="s">
        <v>880</v>
      </c>
      <c r="B53" s="830"/>
      <c r="C53" s="831"/>
      <c r="D53" s="841">
        <v>6.22</v>
      </c>
      <c r="E53" s="841">
        <v>8</v>
      </c>
      <c r="F53" s="864">
        <v>8</v>
      </c>
    </row>
    <row r="54" spans="1:6" ht="14.25" customHeight="1">
      <c r="A54" s="829" t="s">
        <v>881</v>
      </c>
      <c r="B54" s="830"/>
      <c r="C54" s="831"/>
      <c r="D54" s="841">
        <v>0</v>
      </c>
      <c r="E54" s="841">
        <v>0</v>
      </c>
      <c r="F54" s="864">
        <v>0</v>
      </c>
    </row>
  </sheetData>
  <sheetProtection selectLockedCells="1" selectUnlockedCells="1"/>
  <mergeCells count="6">
    <mergeCell ref="A7:F7"/>
    <mergeCell ref="A37:F37"/>
    <mergeCell ref="A2:B2"/>
    <mergeCell ref="C2:E2"/>
    <mergeCell ref="C3:E3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F54"/>
  <sheetViews>
    <sheetView view="pageBreakPreview" zoomScale="160" zoomScaleSheetLayoutView="160" workbookViewId="0" topLeftCell="A1">
      <selection activeCell="C2" sqref="C2:E2"/>
    </sheetView>
  </sheetViews>
  <sheetFormatPr defaultColWidth="9.00390625" defaultRowHeight="12.75"/>
  <cols>
    <col min="1" max="1" width="9.625" style="872" customWidth="1"/>
    <col min="2" max="2" width="9.625" style="726" customWidth="1"/>
    <col min="3" max="3" width="59.375" style="726" customWidth="1"/>
    <col min="4" max="6" width="15.875" style="726" customWidth="1"/>
    <col min="7" max="16384" width="9.375" style="726" customWidth="1"/>
  </cols>
  <sheetData>
    <row r="1" spans="1:6" s="714" customFormat="1" ht="21" customHeight="1" thickBot="1">
      <c r="A1" s="710"/>
      <c r="B1" s="711"/>
      <c r="C1" s="866"/>
      <c r="D1" s="713"/>
      <c r="E1" s="713"/>
      <c r="F1" s="713" t="s">
        <v>912</v>
      </c>
    </row>
    <row r="2" spans="1:6" s="716" customFormat="1" ht="25.5" customHeight="1">
      <c r="A2" s="1191" t="s">
        <v>888</v>
      </c>
      <c r="B2" s="1191"/>
      <c r="C2" s="1192" t="s">
        <v>889</v>
      </c>
      <c r="D2" s="1192"/>
      <c r="E2" s="1192"/>
      <c r="F2" s="867" t="s">
        <v>890</v>
      </c>
    </row>
    <row r="3" spans="1:6" s="716" customFormat="1" ht="16.5" thickBot="1">
      <c r="A3" s="717" t="s">
        <v>831</v>
      </c>
      <c r="B3" s="718"/>
      <c r="C3" s="1195" t="s">
        <v>883</v>
      </c>
      <c r="D3" s="1195"/>
      <c r="E3" s="1195"/>
      <c r="F3" s="868" t="s">
        <v>830</v>
      </c>
    </row>
    <row r="4" spans="1:6" s="722" customFormat="1" ht="15.75" customHeight="1">
      <c r="A4" s="720"/>
      <c r="B4" s="720"/>
      <c r="C4" s="720"/>
      <c r="D4" s="721"/>
      <c r="E4" s="721"/>
      <c r="F4" s="721" t="s">
        <v>179</v>
      </c>
    </row>
    <row r="5" spans="1:6" ht="24.75" customHeight="1">
      <c r="A5" s="1194" t="s">
        <v>834</v>
      </c>
      <c r="B5" s="1194"/>
      <c r="C5" s="723" t="s">
        <v>835</v>
      </c>
      <c r="D5" s="724" t="s">
        <v>482</v>
      </c>
      <c r="E5" s="724" t="s">
        <v>489</v>
      </c>
      <c r="F5" s="725" t="s">
        <v>490</v>
      </c>
    </row>
    <row r="6" spans="1:6" s="731" customFormat="1" ht="12.75" customHeight="1">
      <c r="A6" s="727">
        <v>1</v>
      </c>
      <c r="B6" s="728">
        <v>2</v>
      </c>
      <c r="C6" s="728">
        <v>3</v>
      </c>
      <c r="D6" s="728">
        <v>4</v>
      </c>
      <c r="E6" s="729">
        <v>5</v>
      </c>
      <c r="F6" s="730">
        <v>6</v>
      </c>
    </row>
    <row r="7" spans="1:6" s="731" customFormat="1" ht="15.75" customHeight="1">
      <c r="A7" s="1190" t="s">
        <v>180</v>
      </c>
      <c r="B7" s="1190"/>
      <c r="C7" s="1190"/>
      <c r="D7" s="1190"/>
      <c r="E7" s="1190"/>
      <c r="F7" s="1190"/>
    </row>
    <row r="8" spans="1:6" s="735" customFormat="1" ht="12" customHeight="1">
      <c r="A8" s="727" t="s">
        <v>145</v>
      </c>
      <c r="B8" s="732"/>
      <c r="C8" s="887" t="s">
        <v>933</v>
      </c>
      <c r="D8" s="734">
        <f>SUM(D9:D16)</f>
        <v>0</v>
      </c>
      <c r="E8" s="734">
        <f>SUM(E9:E16)</f>
        <v>0</v>
      </c>
      <c r="F8" s="737">
        <f>SUM(F9:F18)</f>
        <v>0</v>
      </c>
    </row>
    <row r="9" spans="1:6" s="735" customFormat="1" ht="12" customHeight="1">
      <c r="A9" s="746"/>
      <c r="B9" s="740" t="s">
        <v>217</v>
      </c>
      <c r="C9" s="886" t="s">
        <v>284</v>
      </c>
      <c r="D9" s="749"/>
      <c r="E9" s="749"/>
      <c r="F9" s="750"/>
    </row>
    <row r="10" spans="1:6" s="735" customFormat="1" ht="12" customHeight="1">
      <c r="A10" s="739"/>
      <c r="B10" s="740" t="s">
        <v>218</v>
      </c>
      <c r="C10" s="509" t="s">
        <v>285</v>
      </c>
      <c r="D10" s="742"/>
      <c r="E10" s="742"/>
      <c r="F10" s="743"/>
    </row>
    <row r="11" spans="1:6" s="735" customFormat="1" ht="12" customHeight="1">
      <c r="A11" s="739"/>
      <c r="B11" s="740" t="s">
        <v>219</v>
      </c>
      <c r="C11" s="509" t="s">
        <v>838</v>
      </c>
      <c r="D11" s="742"/>
      <c r="E11" s="742"/>
      <c r="F11" s="743"/>
    </row>
    <row r="12" spans="1:6" s="735" customFormat="1" ht="12" customHeight="1">
      <c r="A12" s="739"/>
      <c r="B12" s="740" t="s">
        <v>220</v>
      </c>
      <c r="C12" s="509" t="s">
        <v>286</v>
      </c>
      <c r="D12" s="742"/>
      <c r="E12" s="742"/>
      <c r="F12" s="743"/>
    </row>
    <row r="13" spans="1:6" s="735" customFormat="1" ht="12" customHeight="1">
      <c r="A13" s="739"/>
      <c r="B13" s="740" t="s">
        <v>893</v>
      </c>
      <c r="C13" s="509" t="s">
        <v>287</v>
      </c>
      <c r="D13" s="742"/>
      <c r="E13" s="742"/>
      <c r="F13" s="743"/>
    </row>
    <row r="14" spans="1:6" s="735" customFormat="1" ht="12" customHeight="1">
      <c r="A14" s="753"/>
      <c r="B14" s="740" t="s">
        <v>221</v>
      </c>
      <c r="C14" s="509" t="s">
        <v>288</v>
      </c>
      <c r="D14" s="754"/>
      <c r="E14" s="754"/>
      <c r="F14" s="755"/>
    </row>
    <row r="15" spans="1:6" s="738" customFormat="1" ht="12" customHeight="1">
      <c r="A15" s="739"/>
      <c r="B15" s="740" t="s">
        <v>222</v>
      </c>
      <c r="C15" s="509" t="s">
        <v>839</v>
      </c>
      <c r="D15" s="742"/>
      <c r="E15" s="742"/>
      <c r="F15" s="743"/>
    </row>
    <row r="16" spans="1:6" s="738" customFormat="1" ht="12" customHeight="1">
      <c r="A16" s="739"/>
      <c r="B16" s="740" t="s">
        <v>232</v>
      </c>
      <c r="C16" s="509" t="s">
        <v>345</v>
      </c>
      <c r="D16" s="742"/>
      <c r="E16" s="742"/>
      <c r="F16" s="743"/>
    </row>
    <row r="17" spans="1:6" s="738" customFormat="1" ht="12" customHeight="1">
      <c r="A17" s="757"/>
      <c r="B17" s="766" t="s">
        <v>233</v>
      </c>
      <c r="C17" s="509" t="s">
        <v>289</v>
      </c>
      <c r="D17" s="762"/>
      <c r="E17" s="762"/>
      <c r="F17" s="758"/>
    </row>
    <row r="18" spans="1:6" s="738" customFormat="1" ht="12" customHeight="1">
      <c r="A18" s="759"/>
      <c r="B18" s="846" t="s">
        <v>234</v>
      </c>
      <c r="C18" s="513" t="s">
        <v>290</v>
      </c>
      <c r="D18" s="774"/>
      <c r="E18" s="774"/>
      <c r="F18" s="763"/>
    </row>
    <row r="19" spans="1:6" s="735" customFormat="1" ht="12" customHeight="1" thickBot="1">
      <c r="A19" s="727" t="s">
        <v>146</v>
      </c>
      <c r="B19" s="732"/>
      <c r="C19" s="845" t="s">
        <v>894</v>
      </c>
      <c r="D19" s="734">
        <f>SUM(D20+D22)</f>
        <v>3680</v>
      </c>
      <c r="E19" s="734">
        <f>SUM(E20+E22)</f>
        <v>451</v>
      </c>
      <c r="F19" s="737">
        <f>SUM(F20+F22)</f>
        <v>451</v>
      </c>
    </row>
    <row r="20" spans="1:6" s="738" customFormat="1" ht="12" customHeight="1">
      <c r="A20" s="739"/>
      <c r="B20" s="740" t="s">
        <v>225</v>
      </c>
      <c r="C20" s="848" t="s">
        <v>895</v>
      </c>
      <c r="D20" s="742">
        <v>3680</v>
      </c>
      <c r="E20" s="749">
        <v>451</v>
      </c>
      <c r="F20" s="750">
        <v>451</v>
      </c>
    </row>
    <row r="21" spans="1:6" s="738" customFormat="1" ht="12" customHeight="1">
      <c r="A21" s="739"/>
      <c r="B21" s="740" t="s">
        <v>226</v>
      </c>
      <c r="C21" s="752" t="s">
        <v>896</v>
      </c>
      <c r="D21" s="742"/>
      <c r="E21" s="742"/>
      <c r="F21" s="743"/>
    </row>
    <row r="22" spans="1:6" s="738" customFormat="1" ht="12" customHeight="1">
      <c r="A22" s="739"/>
      <c r="B22" s="740" t="s">
        <v>227</v>
      </c>
      <c r="C22" s="752" t="s">
        <v>897</v>
      </c>
      <c r="D22" s="742"/>
      <c r="E22" s="742"/>
      <c r="F22" s="743"/>
    </row>
    <row r="23" spans="1:6" s="738" customFormat="1" ht="12" customHeight="1" thickBot="1">
      <c r="A23" s="739"/>
      <c r="B23" s="740" t="s">
        <v>228</v>
      </c>
      <c r="C23" s="752" t="s">
        <v>896</v>
      </c>
      <c r="D23" s="742"/>
      <c r="E23" s="774"/>
      <c r="F23" s="763"/>
    </row>
    <row r="24" spans="1:6" s="738" customFormat="1" ht="12" customHeight="1" thickBot="1">
      <c r="A24" s="727" t="s">
        <v>147</v>
      </c>
      <c r="B24" s="768"/>
      <c r="C24" s="768" t="s">
        <v>898</v>
      </c>
      <c r="D24" s="734">
        <f>+D25+D26</f>
        <v>0</v>
      </c>
      <c r="E24" s="734">
        <f>+E25+E26</f>
        <v>0</v>
      </c>
      <c r="F24" s="737">
        <f>+F25+F26</f>
        <v>0</v>
      </c>
    </row>
    <row r="25" spans="1:6" s="735" customFormat="1" ht="12" customHeight="1">
      <c r="A25" s="746"/>
      <c r="B25" s="849" t="s">
        <v>197</v>
      </c>
      <c r="C25" s="748" t="s">
        <v>353</v>
      </c>
      <c r="D25" s="749"/>
      <c r="E25" s="749"/>
      <c r="F25" s="750"/>
    </row>
    <row r="26" spans="1:6" s="735" customFormat="1" ht="12" customHeight="1">
      <c r="A26" s="764"/>
      <c r="B26" s="850" t="s">
        <v>198</v>
      </c>
      <c r="C26" s="761" t="s">
        <v>357</v>
      </c>
      <c r="D26" s="851"/>
      <c r="E26" s="851"/>
      <c r="F26" s="852"/>
    </row>
    <row r="27" spans="1:6" s="735" customFormat="1" ht="12" customHeight="1">
      <c r="A27" s="764" t="s">
        <v>148</v>
      </c>
      <c r="B27" s="850"/>
      <c r="C27" s="869" t="s">
        <v>899</v>
      </c>
      <c r="D27" s="870"/>
      <c r="E27" s="870"/>
      <c r="F27" s="840"/>
    </row>
    <row r="28" spans="1:6" s="735" customFormat="1" ht="12" customHeight="1">
      <c r="A28" s="727" t="s">
        <v>149</v>
      </c>
      <c r="B28" s="732"/>
      <c r="C28" s="768" t="s">
        <v>900</v>
      </c>
      <c r="D28" s="779"/>
      <c r="E28" s="779"/>
      <c r="F28" s="780">
        <v>41884</v>
      </c>
    </row>
    <row r="29" spans="1:6" s="738" customFormat="1" ht="12" customHeight="1">
      <c r="A29" s="727" t="s">
        <v>150</v>
      </c>
      <c r="B29" s="784"/>
      <c r="C29" s="768" t="s">
        <v>913</v>
      </c>
      <c r="D29" s="734">
        <f>D8+D19+D28+D24</f>
        <v>3680</v>
      </c>
      <c r="E29" s="734">
        <f>E8+E19+E28+E24</f>
        <v>451</v>
      </c>
      <c r="F29" s="737">
        <f>F8+F19+F24+F28+F27</f>
        <v>42335</v>
      </c>
    </row>
    <row r="30" spans="1:6" s="738" customFormat="1" ht="15" customHeight="1">
      <c r="A30" s="853" t="s">
        <v>151</v>
      </c>
      <c r="B30" s="854"/>
      <c r="C30" s="812" t="s">
        <v>914</v>
      </c>
      <c r="D30" s="814">
        <f>+D31+D32</f>
        <v>0</v>
      </c>
      <c r="E30" s="814">
        <f>+E31+E32</f>
        <v>0</v>
      </c>
      <c r="F30" s="815"/>
    </row>
    <row r="31" spans="1:6" s="738" customFormat="1" ht="15" customHeight="1">
      <c r="A31" s="746"/>
      <c r="B31" s="747" t="s">
        <v>211</v>
      </c>
      <c r="C31" s="748" t="s">
        <v>455</v>
      </c>
      <c r="D31" s="749"/>
      <c r="E31" s="749"/>
      <c r="F31" s="750"/>
    </row>
    <row r="32" spans="1:6" ht="15">
      <c r="A32" s="855"/>
      <c r="B32" s="760" t="s">
        <v>212</v>
      </c>
      <c r="C32" s="847" t="s">
        <v>903</v>
      </c>
      <c r="D32" s="774"/>
      <c r="E32" s="774"/>
      <c r="F32" s="763"/>
    </row>
    <row r="33" spans="1:6" s="731" customFormat="1" ht="16.5" customHeight="1">
      <c r="A33" s="790" t="s">
        <v>152</v>
      </c>
      <c r="B33" s="856"/>
      <c r="C33" s="857" t="s">
        <v>904</v>
      </c>
      <c r="D33" s="779"/>
      <c r="E33" s="779"/>
      <c r="F33" s="780"/>
    </row>
    <row r="34" spans="1:6" s="800" customFormat="1" ht="12" customHeight="1">
      <c r="A34" s="790" t="s">
        <v>153</v>
      </c>
      <c r="B34" s="858"/>
      <c r="C34" s="871" t="s">
        <v>915</v>
      </c>
      <c r="D34" s="734">
        <f>+D29+D30+D33</f>
        <v>3680</v>
      </c>
      <c r="E34" s="734">
        <f>+E29+E30+E33</f>
        <v>451</v>
      </c>
      <c r="F34" s="737">
        <f>F29+F30</f>
        <v>42335</v>
      </c>
    </row>
    <row r="35" spans="1:6" ht="12" customHeight="1">
      <c r="A35" s="793"/>
      <c r="B35" s="793"/>
      <c r="C35" s="794"/>
      <c r="D35" s="795"/>
      <c r="E35" s="795"/>
      <c r="F35" s="795"/>
    </row>
    <row r="36" spans="1:6" ht="12" customHeight="1">
      <c r="A36" s="796"/>
      <c r="B36" s="797"/>
      <c r="C36" s="797"/>
      <c r="D36" s="798"/>
      <c r="E36" s="798"/>
      <c r="F36" s="798"/>
    </row>
    <row r="37" spans="1:6" ht="12" customHeight="1">
      <c r="A37" s="1190" t="s">
        <v>184</v>
      </c>
      <c r="B37" s="1190"/>
      <c r="C37" s="1190"/>
      <c r="D37" s="1190"/>
      <c r="E37" s="1190"/>
      <c r="F37" s="1190"/>
    </row>
    <row r="38" spans="1:6" ht="12" customHeight="1" thickBot="1">
      <c r="A38" s="727" t="s">
        <v>145</v>
      </c>
      <c r="B38" s="768"/>
      <c r="C38" s="768" t="s">
        <v>852</v>
      </c>
      <c r="D38" s="734">
        <f>SUM(D39:D43)</f>
        <v>44404</v>
      </c>
      <c r="E38" s="734">
        <f>SUM(E39:E43)</f>
        <v>42336</v>
      </c>
      <c r="F38" s="737">
        <f>SUM(F39:F43)</f>
        <v>42335</v>
      </c>
    </row>
    <row r="39" spans="1:6" ht="12" customHeight="1">
      <c r="A39" s="775"/>
      <c r="B39" s="801" t="s">
        <v>217</v>
      </c>
      <c r="C39" s="848" t="s">
        <v>175</v>
      </c>
      <c r="D39" s="776"/>
      <c r="E39" s="749"/>
      <c r="F39" s="750"/>
    </row>
    <row r="40" spans="1:6" ht="12" customHeight="1">
      <c r="A40" s="739"/>
      <c r="B40" s="751" t="s">
        <v>218</v>
      </c>
      <c r="C40" s="752" t="s">
        <v>315</v>
      </c>
      <c r="D40" s="742"/>
      <c r="E40" s="742"/>
      <c r="F40" s="743"/>
    </row>
    <row r="41" spans="1:6" s="800" customFormat="1" ht="12" customHeight="1">
      <c r="A41" s="739"/>
      <c r="B41" s="751" t="s">
        <v>219</v>
      </c>
      <c r="C41" s="752" t="s">
        <v>248</v>
      </c>
      <c r="D41" s="742"/>
      <c r="E41" s="742"/>
      <c r="F41" s="743"/>
    </row>
    <row r="42" spans="1:6" ht="12" customHeight="1">
      <c r="A42" s="739"/>
      <c r="B42" s="751" t="s">
        <v>220</v>
      </c>
      <c r="C42" s="752" t="s">
        <v>316</v>
      </c>
      <c r="D42" s="742"/>
      <c r="E42" s="742"/>
      <c r="F42" s="743"/>
    </row>
    <row r="43" spans="1:6" ht="12" customHeight="1" thickBot="1">
      <c r="A43" s="739"/>
      <c r="B43" s="751" t="s">
        <v>231</v>
      </c>
      <c r="C43" s="752" t="s">
        <v>317</v>
      </c>
      <c r="D43" s="742">
        <v>44404</v>
      </c>
      <c r="E43" s="774">
        <v>42336</v>
      </c>
      <c r="F43" s="763">
        <v>42335</v>
      </c>
    </row>
    <row r="44" spans="1:6" ht="12" customHeight="1" thickBot="1">
      <c r="A44" s="727" t="s">
        <v>146</v>
      </c>
      <c r="B44" s="768"/>
      <c r="C44" s="768" t="s">
        <v>906</v>
      </c>
      <c r="D44" s="734">
        <f>SUM(D45:D47)</f>
        <v>0</v>
      </c>
      <c r="E44" s="734">
        <f>SUM(E45:E47)</f>
        <v>0</v>
      </c>
      <c r="F44" s="737">
        <f>SUM(F45:F47)</f>
        <v>0</v>
      </c>
    </row>
    <row r="45" spans="1:6" ht="12" customHeight="1">
      <c r="A45" s="775"/>
      <c r="B45" s="801" t="s">
        <v>225</v>
      </c>
      <c r="C45" s="848" t="s">
        <v>381</v>
      </c>
      <c r="D45" s="776"/>
      <c r="E45" s="776"/>
      <c r="F45" s="777"/>
    </row>
    <row r="46" spans="1:6" ht="15" customHeight="1">
      <c r="A46" s="739"/>
      <c r="B46" s="751" t="s">
        <v>226</v>
      </c>
      <c r="C46" s="752" t="s">
        <v>318</v>
      </c>
      <c r="D46" s="742"/>
      <c r="E46" s="742"/>
      <c r="F46" s="743"/>
    </row>
    <row r="47" spans="1:6" ht="12.75">
      <c r="A47" s="739"/>
      <c r="B47" s="751" t="s">
        <v>227</v>
      </c>
      <c r="C47" s="752" t="s">
        <v>907</v>
      </c>
      <c r="D47" s="742"/>
      <c r="E47" s="742"/>
      <c r="F47" s="743"/>
    </row>
    <row r="48" spans="1:6" ht="15" customHeight="1">
      <c r="A48" s="739"/>
      <c r="B48" s="751" t="s">
        <v>228</v>
      </c>
      <c r="C48" s="752" t="s">
        <v>908</v>
      </c>
      <c r="D48" s="742"/>
      <c r="E48" s="742"/>
      <c r="F48" s="743"/>
    </row>
    <row r="49" spans="1:6" ht="14.25" customHeight="1">
      <c r="A49" s="727" t="s">
        <v>147</v>
      </c>
      <c r="B49" s="768"/>
      <c r="C49" s="768" t="s">
        <v>909</v>
      </c>
      <c r="D49" s="779"/>
      <c r="E49" s="779"/>
      <c r="F49" s="780"/>
    </row>
    <row r="50" spans="1:6" ht="12.75">
      <c r="A50" s="790" t="s">
        <v>148</v>
      </c>
      <c r="B50" s="856"/>
      <c r="C50" s="857" t="s">
        <v>910</v>
      </c>
      <c r="D50" s="779"/>
      <c r="E50" s="779"/>
      <c r="F50" s="780"/>
    </row>
    <row r="51" spans="1:6" ht="12.75">
      <c r="A51" s="727" t="s">
        <v>149</v>
      </c>
      <c r="B51" s="778"/>
      <c r="C51" s="860" t="s">
        <v>911</v>
      </c>
      <c r="D51" s="734">
        <f>+D38+D44+D49+D50</f>
        <v>44404</v>
      </c>
      <c r="E51" s="734">
        <f>+E38+E44+E49+E50</f>
        <v>42336</v>
      </c>
      <c r="F51" s="737">
        <f>+F38+F44+F49+F50</f>
        <v>42335</v>
      </c>
    </row>
    <row r="52" spans="1:6" ht="12.75">
      <c r="A52" s="861"/>
      <c r="B52" s="862"/>
      <c r="C52" s="862"/>
      <c r="D52" s="863"/>
      <c r="E52" s="863"/>
      <c r="F52" s="863"/>
    </row>
    <row r="53" spans="1:6" ht="12.75">
      <c r="A53" s="829" t="s">
        <v>880</v>
      </c>
      <c r="B53" s="830"/>
      <c r="C53" s="831"/>
      <c r="D53" s="841">
        <v>0</v>
      </c>
      <c r="E53" s="841">
        <v>0</v>
      </c>
      <c r="F53" s="864">
        <v>0</v>
      </c>
    </row>
    <row r="54" spans="1:6" ht="12.75">
      <c r="A54" s="829" t="s">
        <v>881</v>
      </c>
      <c r="B54" s="830"/>
      <c r="C54" s="831"/>
      <c r="D54" s="841">
        <v>0</v>
      </c>
      <c r="E54" s="841">
        <v>0</v>
      </c>
      <c r="F54" s="864">
        <v>0</v>
      </c>
    </row>
  </sheetData>
  <sheetProtection selectLockedCells="1" selectUnlockedCells="1"/>
  <mergeCells count="6">
    <mergeCell ref="A7:F7"/>
    <mergeCell ref="A37:F37"/>
    <mergeCell ref="A2:B2"/>
    <mergeCell ref="C2:E2"/>
    <mergeCell ref="C3:E3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F53"/>
  <sheetViews>
    <sheetView zoomScaleSheetLayoutView="160" workbookViewId="0" topLeftCell="A1">
      <selection activeCell="C2" sqref="C2:E2"/>
    </sheetView>
  </sheetViews>
  <sheetFormatPr defaultColWidth="9.00390625" defaultRowHeight="12.75"/>
  <cols>
    <col min="1" max="1" width="9.625" style="872" customWidth="1"/>
    <col min="2" max="2" width="9.625" style="726" customWidth="1"/>
    <col min="3" max="3" width="59.375" style="726" customWidth="1"/>
    <col min="4" max="6" width="15.875" style="726" customWidth="1"/>
    <col min="7" max="16384" width="9.375" style="726" customWidth="1"/>
  </cols>
  <sheetData>
    <row r="1" spans="1:6" s="714" customFormat="1" ht="21" customHeight="1">
      <c r="A1" s="1196" t="s">
        <v>105</v>
      </c>
      <c r="B1" s="1196"/>
      <c r="C1" s="866"/>
      <c r="D1" s="713"/>
      <c r="E1" s="713"/>
      <c r="F1" s="713" t="s">
        <v>916</v>
      </c>
    </row>
    <row r="2" spans="1:6" s="716" customFormat="1" ht="25.5" customHeight="1">
      <c r="A2" s="1191" t="s">
        <v>888</v>
      </c>
      <c r="B2" s="1191"/>
      <c r="C2" s="1192" t="s">
        <v>889</v>
      </c>
      <c r="D2" s="1192"/>
      <c r="E2" s="1192"/>
      <c r="F2" s="867" t="s">
        <v>890</v>
      </c>
    </row>
    <row r="3" spans="1:6" s="716" customFormat="1" ht="15.75">
      <c r="A3" s="717" t="s">
        <v>831</v>
      </c>
      <c r="B3" s="718"/>
      <c r="C3" s="1195" t="s">
        <v>885</v>
      </c>
      <c r="D3" s="1195"/>
      <c r="E3" s="1195"/>
      <c r="F3" s="868" t="s">
        <v>890</v>
      </c>
    </row>
    <row r="4" spans="1:6" s="722" customFormat="1" ht="15.75" customHeight="1">
      <c r="A4" s="720"/>
      <c r="B4" s="720"/>
      <c r="C4" s="720"/>
      <c r="F4" s="721" t="s">
        <v>179</v>
      </c>
    </row>
    <row r="5" spans="1:6" ht="24.75" customHeight="1">
      <c r="A5" s="1194" t="s">
        <v>834</v>
      </c>
      <c r="B5" s="1194"/>
      <c r="C5" s="723" t="s">
        <v>835</v>
      </c>
      <c r="D5" s="724" t="s">
        <v>482</v>
      </c>
      <c r="E5" s="724" t="s">
        <v>489</v>
      </c>
      <c r="F5" s="725" t="s">
        <v>490</v>
      </c>
    </row>
    <row r="6" spans="1:6" s="731" customFormat="1" ht="12.75" customHeight="1">
      <c r="A6" s="727">
        <v>1</v>
      </c>
      <c r="B6" s="728">
        <v>2</v>
      </c>
      <c r="C6" s="728">
        <v>3</v>
      </c>
      <c r="D6" s="728">
        <v>4</v>
      </c>
      <c r="E6" s="729">
        <v>5</v>
      </c>
      <c r="F6" s="730">
        <v>6</v>
      </c>
    </row>
    <row r="7" spans="1:6" s="731" customFormat="1" ht="15.75" customHeight="1">
      <c r="A7" s="1190" t="s">
        <v>180</v>
      </c>
      <c r="B7" s="1190"/>
      <c r="C7" s="1190"/>
      <c r="D7" s="1190"/>
      <c r="E7" s="1190"/>
      <c r="F7" s="1190"/>
    </row>
    <row r="8" spans="1:6" s="735" customFormat="1" ht="12" customHeight="1">
      <c r="A8" s="727" t="s">
        <v>145</v>
      </c>
      <c r="B8" s="732"/>
      <c r="C8" s="887" t="s">
        <v>933</v>
      </c>
      <c r="D8" s="734">
        <f>SUM(D9:D16)</f>
        <v>0</v>
      </c>
      <c r="E8" s="734">
        <f>SUM(E9:E16)</f>
        <v>0</v>
      </c>
      <c r="F8" s="737">
        <f>SUM(F9:F16)</f>
        <v>0</v>
      </c>
    </row>
    <row r="9" spans="1:6" s="735" customFormat="1" ht="12" customHeight="1">
      <c r="A9" s="746"/>
      <c r="B9" s="740" t="s">
        <v>217</v>
      </c>
      <c r="C9" s="886" t="s">
        <v>284</v>
      </c>
      <c r="D9" s="749"/>
      <c r="E9" s="749"/>
      <c r="F9" s="750"/>
    </row>
    <row r="10" spans="1:6" s="735" customFormat="1" ht="12" customHeight="1">
      <c r="A10" s="739"/>
      <c r="B10" s="740" t="s">
        <v>218</v>
      </c>
      <c r="C10" s="509" t="s">
        <v>285</v>
      </c>
      <c r="D10" s="742"/>
      <c r="E10" s="742"/>
      <c r="F10" s="743"/>
    </row>
    <row r="11" spans="1:6" s="735" customFormat="1" ht="12" customHeight="1">
      <c r="A11" s="739"/>
      <c r="B11" s="740" t="s">
        <v>219</v>
      </c>
      <c r="C11" s="509" t="s">
        <v>838</v>
      </c>
      <c r="D11" s="742"/>
      <c r="E11" s="742"/>
      <c r="F11" s="743"/>
    </row>
    <row r="12" spans="1:6" s="735" customFormat="1" ht="12" customHeight="1">
      <c r="A12" s="739"/>
      <c r="B12" s="740" t="s">
        <v>220</v>
      </c>
      <c r="C12" s="509" t="s">
        <v>286</v>
      </c>
      <c r="D12" s="742"/>
      <c r="E12" s="742"/>
      <c r="F12" s="743"/>
    </row>
    <row r="13" spans="1:6" s="735" customFormat="1" ht="12" customHeight="1">
      <c r="A13" s="739"/>
      <c r="B13" s="740" t="s">
        <v>893</v>
      </c>
      <c r="C13" s="509" t="s">
        <v>287</v>
      </c>
      <c r="D13" s="742"/>
      <c r="E13" s="742"/>
      <c r="F13" s="743"/>
    </row>
    <row r="14" spans="1:6" s="735" customFormat="1" ht="12" customHeight="1">
      <c r="A14" s="753"/>
      <c r="B14" s="740" t="s">
        <v>221</v>
      </c>
      <c r="C14" s="509" t="s">
        <v>288</v>
      </c>
      <c r="D14" s="754"/>
      <c r="E14" s="754"/>
      <c r="F14" s="755"/>
    </row>
    <row r="15" spans="1:6" s="738" customFormat="1" ht="12" customHeight="1">
      <c r="A15" s="739"/>
      <c r="B15" s="740" t="s">
        <v>222</v>
      </c>
      <c r="C15" s="509" t="s">
        <v>839</v>
      </c>
      <c r="D15" s="742"/>
      <c r="E15" s="742"/>
      <c r="F15" s="743"/>
    </row>
    <row r="16" spans="1:6" s="738" customFormat="1" ht="12" customHeight="1">
      <c r="A16" s="739"/>
      <c r="B16" s="740" t="s">
        <v>232</v>
      </c>
      <c r="C16" s="509" t="s">
        <v>345</v>
      </c>
      <c r="D16" s="742"/>
      <c r="E16" s="742"/>
      <c r="F16" s="743"/>
    </row>
    <row r="17" spans="1:6" s="738" customFormat="1" ht="12" customHeight="1">
      <c r="A17" s="757"/>
      <c r="B17" s="766" t="s">
        <v>233</v>
      </c>
      <c r="C17" s="509" t="s">
        <v>289</v>
      </c>
      <c r="D17" s="762"/>
      <c r="E17" s="762"/>
      <c r="F17" s="758"/>
    </row>
    <row r="18" spans="1:6" s="738" customFormat="1" ht="12" customHeight="1">
      <c r="A18" s="759"/>
      <c r="B18" s="846" t="s">
        <v>234</v>
      </c>
      <c r="C18" s="513" t="s">
        <v>290</v>
      </c>
      <c r="D18" s="774"/>
      <c r="E18" s="774"/>
      <c r="F18" s="763"/>
    </row>
    <row r="19" spans="1:6" s="735" customFormat="1" ht="12" customHeight="1">
      <c r="A19" s="727" t="s">
        <v>146</v>
      </c>
      <c r="B19" s="732"/>
      <c r="C19" s="845" t="s">
        <v>894</v>
      </c>
      <c r="D19" s="734">
        <f>SUM(D20+D22)</f>
        <v>0</v>
      </c>
      <c r="E19" s="734">
        <f>SUM(E20+E22)</f>
        <v>0</v>
      </c>
      <c r="F19" s="737">
        <f>SUM(F20+F22)</f>
        <v>0</v>
      </c>
    </row>
    <row r="20" spans="1:6" s="738" customFormat="1" ht="12" customHeight="1">
      <c r="A20" s="739"/>
      <c r="B20" s="740" t="s">
        <v>225</v>
      </c>
      <c r="C20" s="848" t="s">
        <v>895</v>
      </c>
      <c r="D20" s="742"/>
      <c r="E20" s="742"/>
      <c r="F20" s="743"/>
    </row>
    <row r="21" spans="1:6" s="738" customFormat="1" ht="12" customHeight="1">
      <c r="A21" s="739"/>
      <c r="B21" s="740" t="s">
        <v>226</v>
      </c>
      <c r="C21" s="752" t="s">
        <v>896</v>
      </c>
      <c r="D21" s="742"/>
      <c r="E21" s="742"/>
      <c r="F21" s="743"/>
    </row>
    <row r="22" spans="1:6" s="738" customFormat="1" ht="12" customHeight="1">
      <c r="A22" s="739"/>
      <c r="B22" s="740" t="s">
        <v>227</v>
      </c>
      <c r="C22" s="752" t="s">
        <v>897</v>
      </c>
      <c r="D22" s="742"/>
      <c r="E22" s="742"/>
      <c r="F22" s="743"/>
    </row>
    <row r="23" spans="1:6" s="738" customFormat="1" ht="12" customHeight="1">
      <c r="A23" s="739"/>
      <c r="B23" s="740" t="s">
        <v>228</v>
      </c>
      <c r="C23" s="752" t="s">
        <v>896</v>
      </c>
      <c r="D23" s="742"/>
      <c r="E23" s="742"/>
      <c r="F23" s="743"/>
    </row>
    <row r="24" spans="1:6" s="738" customFormat="1" ht="12" customHeight="1">
      <c r="A24" s="727" t="s">
        <v>147</v>
      </c>
      <c r="B24" s="768"/>
      <c r="C24" s="768" t="s">
        <v>898</v>
      </c>
      <c r="D24" s="734">
        <f>+D25+D26</f>
        <v>0</v>
      </c>
      <c r="E24" s="734">
        <f>+E25+E26</f>
        <v>0</v>
      </c>
      <c r="F24" s="737">
        <f>+F25+F26</f>
        <v>0</v>
      </c>
    </row>
    <row r="25" spans="1:6" s="735" customFormat="1" ht="12" customHeight="1">
      <c r="A25" s="746"/>
      <c r="B25" s="849" t="s">
        <v>197</v>
      </c>
      <c r="C25" s="748" t="s">
        <v>353</v>
      </c>
      <c r="D25" s="749"/>
      <c r="E25" s="749"/>
      <c r="F25" s="750"/>
    </row>
    <row r="26" spans="1:6" s="735" customFormat="1" ht="12" customHeight="1">
      <c r="A26" s="764"/>
      <c r="B26" s="850" t="s">
        <v>198</v>
      </c>
      <c r="C26" s="761" t="s">
        <v>357</v>
      </c>
      <c r="D26" s="851"/>
      <c r="E26" s="851"/>
      <c r="F26" s="852"/>
    </row>
    <row r="27" spans="1:6" s="735" customFormat="1" ht="12" customHeight="1">
      <c r="A27" s="727" t="s">
        <v>148</v>
      </c>
      <c r="B27" s="732"/>
      <c r="C27" s="768" t="s">
        <v>917</v>
      </c>
      <c r="D27" s="779"/>
      <c r="E27" s="779"/>
      <c r="F27" s="780"/>
    </row>
    <row r="28" spans="1:6" s="735" customFormat="1" ht="12" customHeight="1">
      <c r="A28" s="727" t="s">
        <v>149</v>
      </c>
      <c r="B28" s="784"/>
      <c r="C28" s="768" t="s">
        <v>913</v>
      </c>
      <c r="D28" s="734"/>
      <c r="E28" s="734"/>
      <c r="F28" s="737"/>
    </row>
    <row r="29" spans="1:6" s="738" customFormat="1" ht="12" customHeight="1">
      <c r="A29" s="853" t="s">
        <v>150</v>
      </c>
      <c r="B29" s="854"/>
      <c r="C29" s="812" t="s">
        <v>918</v>
      </c>
      <c r="D29" s="814">
        <f>+D30+D31</f>
        <v>0</v>
      </c>
      <c r="E29" s="814">
        <f>+E30+E31</f>
        <v>0</v>
      </c>
      <c r="F29" s="815">
        <f>+F30+F31</f>
        <v>0</v>
      </c>
    </row>
    <row r="30" spans="1:6" s="738" customFormat="1" ht="15" customHeight="1">
      <c r="A30" s="746"/>
      <c r="B30" s="747" t="s">
        <v>204</v>
      </c>
      <c r="C30" s="748" t="s">
        <v>455</v>
      </c>
      <c r="D30" s="749"/>
      <c r="E30" s="749"/>
      <c r="F30" s="750"/>
    </row>
    <row r="31" spans="1:6" s="738" customFormat="1" ht="15" customHeight="1">
      <c r="A31" s="855"/>
      <c r="B31" s="760" t="s">
        <v>205</v>
      </c>
      <c r="C31" s="847" t="s">
        <v>903</v>
      </c>
      <c r="D31" s="774"/>
      <c r="E31" s="774"/>
      <c r="F31" s="763"/>
    </row>
    <row r="32" spans="1:6" ht="12.75">
      <c r="A32" s="790" t="s">
        <v>151</v>
      </c>
      <c r="B32" s="856"/>
      <c r="C32" s="857" t="s">
        <v>919</v>
      </c>
      <c r="D32" s="779"/>
      <c r="E32" s="779"/>
      <c r="F32" s="780"/>
    </row>
    <row r="33" spans="1:6" s="731" customFormat="1" ht="16.5" customHeight="1">
      <c r="A33" s="790" t="s">
        <v>152</v>
      </c>
      <c r="B33" s="858"/>
      <c r="C33" s="859" t="s">
        <v>915</v>
      </c>
      <c r="D33" s="734">
        <f>+D28+D29+D32</f>
        <v>0</v>
      </c>
      <c r="E33" s="734">
        <f>+E28+E29+E32</f>
        <v>0</v>
      </c>
      <c r="F33" s="737">
        <f>+F28+F29+F32</f>
        <v>0</v>
      </c>
    </row>
    <row r="34" spans="1:6" s="800" customFormat="1" ht="12" customHeight="1">
      <c r="A34" s="793"/>
      <c r="B34" s="793"/>
      <c r="C34" s="794"/>
      <c r="D34" s="795"/>
      <c r="E34" s="795"/>
      <c r="F34" s="795"/>
    </row>
    <row r="35" spans="1:6" ht="12" customHeight="1">
      <c r="A35" s="796"/>
      <c r="B35" s="797"/>
      <c r="C35" s="797"/>
      <c r="D35" s="798"/>
      <c r="E35" s="798"/>
      <c r="F35" s="798"/>
    </row>
    <row r="36" spans="1:6" ht="12" customHeight="1">
      <c r="A36" s="1190" t="s">
        <v>184</v>
      </c>
      <c r="B36" s="1190"/>
      <c r="C36" s="1190"/>
      <c r="D36" s="1190"/>
      <c r="E36" s="1190"/>
      <c r="F36" s="1190"/>
    </row>
    <row r="37" spans="1:6" ht="12" customHeight="1">
      <c r="A37" s="727" t="s">
        <v>145</v>
      </c>
      <c r="B37" s="768"/>
      <c r="C37" s="768" t="s">
        <v>852</v>
      </c>
      <c r="D37" s="734">
        <f>SUM(D38:D42)</f>
        <v>0</v>
      </c>
      <c r="E37" s="734">
        <f>SUM(E38:E42)</f>
        <v>0</v>
      </c>
      <c r="F37" s="737">
        <f>SUM(F38:F42)</f>
        <v>0</v>
      </c>
    </row>
    <row r="38" spans="1:6" ht="12" customHeight="1">
      <c r="A38" s="775"/>
      <c r="B38" s="801" t="s">
        <v>217</v>
      </c>
      <c r="C38" s="848" t="s">
        <v>175</v>
      </c>
      <c r="D38" s="776"/>
      <c r="E38" s="776"/>
      <c r="F38" s="777"/>
    </row>
    <row r="39" spans="1:6" ht="12" customHeight="1">
      <c r="A39" s="739"/>
      <c r="B39" s="751" t="s">
        <v>218</v>
      </c>
      <c r="C39" s="752" t="s">
        <v>315</v>
      </c>
      <c r="D39" s="742"/>
      <c r="E39" s="742"/>
      <c r="F39" s="743"/>
    </row>
    <row r="40" spans="1:6" ht="12" customHeight="1">
      <c r="A40" s="739"/>
      <c r="B40" s="751" t="s">
        <v>219</v>
      </c>
      <c r="C40" s="752" t="s">
        <v>248</v>
      </c>
      <c r="D40" s="742"/>
      <c r="E40" s="742"/>
      <c r="F40" s="743"/>
    </row>
    <row r="41" spans="1:6" s="800" customFormat="1" ht="12" customHeight="1">
      <c r="A41" s="739"/>
      <c r="B41" s="751" t="s">
        <v>220</v>
      </c>
      <c r="C41" s="752" t="s">
        <v>316</v>
      </c>
      <c r="D41" s="742"/>
      <c r="E41" s="742"/>
      <c r="F41" s="743"/>
    </row>
    <row r="42" spans="1:6" ht="12" customHeight="1">
      <c r="A42" s="739"/>
      <c r="B42" s="751" t="s">
        <v>231</v>
      </c>
      <c r="C42" s="752" t="s">
        <v>317</v>
      </c>
      <c r="D42" s="742"/>
      <c r="E42" s="742"/>
      <c r="F42" s="743"/>
    </row>
    <row r="43" spans="1:6" ht="12" customHeight="1">
      <c r="A43" s="727" t="s">
        <v>146</v>
      </c>
      <c r="B43" s="768"/>
      <c r="C43" s="768" t="s">
        <v>906</v>
      </c>
      <c r="D43" s="734">
        <f>SUM(D44:D46)</f>
        <v>0</v>
      </c>
      <c r="E43" s="734">
        <f>SUM(E44:E46)</f>
        <v>0</v>
      </c>
      <c r="F43" s="737">
        <f>SUM(F44:F46)</f>
        <v>0</v>
      </c>
    </row>
    <row r="44" spans="1:6" ht="12" customHeight="1">
      <c r="A44" s="775"/>
      <c r="B44" s="801" t="s">
        <v>225</v>
      </c>
      <c r="C44" s="848" t="s">
        <v>381</v>
      </c>
      <c r="D44" s="776"/>
      <c r="E44" s="776"/>
      <c r="F44" s="777"/>
    </row>
    <row r="45" spans="1:6" ht="12" customHeight="1">
      <c r="A45" s="739"/>
      <c r="B45" s="751" t="s">
        <v>226</v>
      </c>
      <c r="C45" s="752" t="s">
        <v>318</v>
      </c>
      <c r="D45" s="742"/>
      <c r="E45" s="742"/>
      <c r="F45" s="743"/>
    </row>
    <row r="46" spans="1:6" ht="15" customHeight="1">
      <c r="A46" s="739"/>
      <c r="B46" s="751" t="s">
        <v>227</v>
      </c>
      <c r="C46" s="752" t="s">
        <v>907</v>
      </c>
      <c r="D46" s="742"/>
      <c r="E46" s="742"/>
      <c r="F46" s="743"/>
    </row>
    <row r="47" spans="1:6" ht="22.5">
      <c r="A47" s="739"/>
      <c r="B47" s="751" t="s">
        <v>228</v>
      </c>
      <c r="C47" s="752" t="s">
        <v>908</v>
      </c>
      <c r="D47" s="742"/>
      <c r="E47" s="742"/>
      <c r="F47" s="743"/>
    </row>
    <row r="48" spans="1:6" ht="15" customHeight="1">
      <c r="A48" s="727" t="s">
        <v>147</v>
      </c>
      <c r="B48" s="768"/>
      <c r="C48" s="768" t="s">
        <v>909</v>
      </c>
      <c r="D48" s="779"/>
      <c r="E48" s="779"/>
      <c r="F48" s="780"/>
    </row>
    <row r="49" spans="1:6" ht="14.25" customHeight="1">
      <c r="A49" s="790" t="s">
        <v>148</v>
      </c>
      <c r="B49" s="856"/>
      <c r="C49" s="857" t="s">
        <v>910</v>
      </c>
      <c r="D49" s="779"/>
      <c r="E49" s="779"/>
      <c r="F49" s="780"/>
    </row>
    <row r="50" spans="1:6" ht="12.75">
      <c r="A50" s="727" t="s">
        <v>149</v>
      </c>
      <c r="B50" s="778"/>
      <c r="C50" s="860" t="s">
        <v>911</v>
      </c>
      <c r="D50" s="734">
        <f>+D37+D43+D48+D49</f>
        <v>0</v>
      </c>
      <c r="E50" s="734">
        <f>+E37+E43+E48+E49</f>
        <v>0</v>
      </c>
      <c r="F50" s="737">
        <f>+F37+F43+F48+F49</f>
        <v>0</v>
      </c>
    </row>
    <row r="51" spans="1:6" ht="12.75">
      <c r="A51" s="861"/>
      <c r="B51" s="862"/>
      <c r="C51" s="862"/>
      <c r="D51" s="863"/>
      <c r="E51" s="863"/>
      <c r="F51" s="863"/>
    </row>
    <row r="52" spans="1:6" ht="12.75">
      <c r="A52" s="829" t="s">
        <v>880</v>
      </c>
      <c r="B52" s="830"/>
      <c r="C52" s="831"/>
      <c r="D52" s="832"/>
      <c r="E52" s="832"/>
      <c r="F52" s="865"/>
    </row>
    <row r="53" spans="1:6" ht="12.75">
      <c r="A53" s="829" t="s">
        <v>881</v>
      </c>
      <c r="B53" s="830"/>
      <c r="C53" s="831"/>
      <c r="D53" s="832"/>
      <c r="E53" s="832"/>
      <c r="F53" s="865"/>
    </row>
  </sheetData>
  <sheetProtection selectLockedCells="1" selectUnlockedCells="1"/>
  <mergeCells count="7">
    <mergeCell ref="A5:B5"/>
    <mergeCell ref="A7:F7"/>
    <mergeCell ref="A36:F36"/>
    <mergeCell ref="A1:B1"/>
    <mergeCell ref="A2:B2"/>
    <mergeCell ref="C2:E2"/>
    <mergeCell ref="C3:E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54"/>
  <sheetViews>
    <sheetView zoomScaleSheetLayoutView="160" workbookViewId="0" topLeftCell="A1">
      <selection activeCell="C2" sqref="C2:E2"/>
    </sheetView>
  </sheetViews>
  <sheetFormatPr defaultColWidth="9.00390625" defaultRowHeight="12.75"/>
  <cols>
    <col min="1" max="1" width="9.625" style="872" customWidth="1"/>
    <col min="2" max="2" width="9.625" style="726" customWidth="1"/>
    <col min="3" max="3" width="59.375" style="726" customWidth="1"/>
    <col min="4" max="6" width="15.875" style="726" customWidth="1"/>
    <col min="7" max="16384" width="9.375" style="726" customWidth="1"/>
  </cols>
  <sheetData>
    <row r="1" spans="1:6" s="714" customFormat="1" ht="21" customHeight="1" thickBot="1">
      <c r="A1" s="710"/>
      <c r="B1" s="711"/>
      <c r="C1" s="866"/>
      <c r="D1" s="713"/>
      <c r="E1" s="713"/>
      <c r="F1" s="713" t="s">
        <v>920</v>
      </c>
    </row>
    <row r="2" spans="1:6" s="716" customFormat="1" ht="25.5" customHeight="1">
      <c r="A2" s="1191" t="s">
        <v>888</v>
      </c>
      <c r="B2" s="1191"/>
      <c r="C2" s="1192" t="s">
        <v>889</v>
      </c>
      <c r="D2" s="1192"/>
      <c r="E2" s="1192"/>
      <c r="F2" s="867" t="s">
        <v>890</v>
      </c>
    </row>
    <row r="3" spans="1:6" s="716" customFormat="1" ht="16.5" thickBot="1">
      <c r="A3" s="717" t="s">
        <v>831</v>
      </c>
      <c r="B3" s="718"/>
      <c r="C3" s="1195" t="s">
        <v>921</v>
      </c>
      <c r="D3" s="1195"/>
      <c r="E3" s="1195"/>
      <c r="F3" s="868" t="s">
        <v>922</v>
      </c>
    </row>
    <row r="4" spans="1:6" s="722" customFormat="1" ht="15.75" customHeight="1">
      <c r="A4" s="720"/>
      <c r="B4" s="720"/>
      <c r="C4" s="720"/>
      <c r="F4" s="721" t="s">
        <v>179</v>
      </c>
    </row>
    <row r="5" spans="1:6" ht="24.75" customHeight="1">
      <c r="A5" s="1194" t="s">
        <v>834</v>
      </c>
      <c r="B5" s="1194"/>
      <c r="C5" s="723" t="s">
        <v>835</v>
      </c>
      <c r="D5" s="724" t="s">
        <v>482</v>
      </c>
      <c r="E5" s="724" t="s">
        <v>489</v>
      </c>
      <c r="F5" s="725" t="s">
        <v>490</v>
      </c>
    </row>
    <row r="6" spans="1:6" s="731" customFormat="1" ht="12.75" customHeight="1">
      <c r="A6" s="727">
        <v>1</v>
      </c>
      <c r="B6" s="728">
        <v>2</v>
      </c>
      <c r="C6" s="728">
        <v>3</v>
      </c>
      <c r="D6" s="728">
        <v>4</v>
      </c>
      <c r="E6" s="729">
        <v>5</v>
      </c>
      <c r="F6" s="730">
        <v>6</v>
      </c>
    </row>
    <row r="7" spans="1:6" s="731" customFormat="1" ht="15.75" customHeight="1" thickBot="1">
      <c r="A7" s="1190" t="s">
        <v>180</v>
      </c>
      <c r="B7" s="1190"/>
      <c r="C7" s="1190"/>
      <c r="D7" s="1190"/>
      <c r="E7" s="1190"/>
      <c r="F7" s="1190"/>
    </row>
    <row r="8" spans="1:6" s="735" customFormat="1" ht="12" customHeight="1" thickBot="1">
      <c r="A8" s="727" t="s">
        <v>145</v>
      </c>
      <c r="B8" s="732"/>
      <c r="C8" s="887" t="s">
        <v>933</v>
      </c>
      <c r="D8" s="734">
        <f>SUM(D9:D16)</f>
        <v>0</v>
      </c>
      <c r="E8" s="734">
        <f>SUM(E9:E18)</f>
        <v>170</v>
      </c>
      <c r="F8" s="737">
        <f>SUM(F9:F18)</f>
        <v>170</v>
      </c>
    </row>
    <row r="9" spans="1:6" s="735" customFormat="1" ht="12" customHeight="1">
      <c r="A9" s="746"/>
      <c r="B9" s="740" t="s">
        <v>217</v>
      </c>
      <c r="C9" s="886" t="s">
        <v>284</v>
      </c>
      <c r="D9" s="749"/>
      <c r="E9" s="749"/>
      <c r="F9" s="750"/>
    </row>
    <row r="10" spans="1:6" s="735" customFormat="1" ht="12" customHeight="1">
      <c r="A10" s="739"/>
      <c r="B10" s="740" t="s">
        <v>218</v>
      </c>
      <c r="C10" s="509" t="s">
        <v>285</v>
      </c>
      <c r="D10" s="742"/>
      <c r="E10" s="742">
        <v>139</v>
      </c>
      <c r="F10" s="743">
        <v>139</v>
      </c>
    </row>
    <row r="11" spans="1:6" s="735" customFormat="1" ht="12" customHeight="1">
      <c r="A11" s="739"/>
      <c r="B11" s="740" t="s">
        <v>219</v>
      </c>
      <c r="C11" s="509" t="s">
        <v>838</v>
      </c>
      <c r="D11" s="742"/>
      <c r="E11" s="742"/>
      <c r="F11" s="743"/>
    </row>
    <row r="12" spans="1:6" s="735" customFormat="1" ht="12" customHeight="1">
      <c r="A12" s="739"/>
      <c r="B12" s="740" t="s">
        <v>220</v>
      </c>
      <c r="C12" s="509" t="s">
        <v>286</v>
      </c>
      <c r="D12" s="742"/>
      <c r="E12" s="742"/>
      <c r="F12" s="743"/>
    </row>
    <row r="13" spans="1:6" s="735" customFormat="1" ht="12" customHeight="1">
      <c r="A13" s="739"/>
      <c r="B13" s="740" t="s">
        <v>893</v>
      </c>
      <c r="C13" s="509" t="s">
        <v>287</v>
      </c>
      <c r="D13" s="742"/>
      <c r="E13" s="742"/>
      <c r="F13" s="743"/>
    </row>
    <row r="14" spans="1:6" s="735" customFormat="1" ht="12" customHeight="1">
      <c r="A14" s="753"/>
      <c r="B14" s="740" t="s">
        <v>221</v>
      </c>
      <c r="C14" s="509" t="s">
        <v>288</v>
      </c>
      <c r="D14" s="742"/>
      <c r="E14" s="742"/>
      <c r="F14" s="755"/>
    </row>
    <row r="15" spans="1:6" s="738" customFormat="1" ht="12" customHeight="1">
      <c r="A15" s="739"/>
      <c r="B15" s="740" t="s">
        <v>222</v>
      </c>
      <c r="C15" s="509" t="s">
        <v>839</v>
      </c>
      <c r="D15" s="742"/>
      <c r="E15" s="742"/>
      <c r="F15" s="743"/>
    </row>
    <row r="16" spans="1:6" s="738" customFormat="1" ht="12" customHeight="1">
      <c r="A16" s="739"/>
      <c r="B16" s="740" t="s">
        <v>232</v>
      </c>
      <c r="C16" s="509" t="s">
        <v>345</v>
      </c>
      <c r="D16" s="742"/>
      <c r="E16" s="742"/>
      <c r="F16" s="743"/>
    </row>
    <row r="17" spans="1:6" s="738" customFormat="1" ht="12" customHeight="1">
      <c r="A17" s="757"/>
      <c r="B17" s="766" t="s">
        <v>233</v>
      </c>
      <c r="C17" s="509" t="s">
        <v>289</v>
      </c>
      <c r="D17" s="742"/>
      <c r="E17" s="742"/>
      <c r="F17" s="758"/>
    </row>
    <row r="18" spans="1:6" s="738" customFormat="1" ht="12" customHeight="1" thickBot="1">
      <c r="A18" s="759"/>
      <c r="B18" s="846" t="s">
        <v>234</v>
      </c>
      <c r="C18" s="513" t="s">
        <v>290</v>
      </c>
      <c r="D18" s="762"/>
      <c r="E18" s="774">
        <v>31</v>
      </c>
      <c r="F18" s="763">
        <v>31</v>
      </c>
    </row>
    <row r="19" spans="1:6" s="735" customFormat="1" ht="12" customHeight="1" thickBot="1">
      <c r="A19" s="727" t="s">
        <v>146</v>
      </c>
      <c r="B19" s="732"/>
      <c r="C19" s="845" t="s">
        <v>894</v>
      </c>
      <c r="D19" s="734">
        <f>SUM(D20+D22)</f>
        <v>0</v>
      </c>
      <c r="E19" s="734">
        <f>SUM(E20+E22)</f>
        <v>0</v>
      </c>
      <c r="F19" s="737">
        <f>SUM(F20+F22)</f>
        <v>0</v>
      </c>
    </row>
    <row r="20" spans="1:6" s="738" customFormat="1" ht="12" customHeight="1">
      <c r="A20" s="739"/>
      <c r="B20" s="740" t="s">
        <v>225</v>
      </c>
      <c r="C20" s="848" t="s">
        <v>895</v>
      </c>
      <c r="D20" s="742"/>
      <c r="E20" s="742"/>
      <c r="F20" s="743"/>
    </row>
    <row r="21" spans="1:6" s="738" customFormat="1" ht="12" customHeight="1">
      <c r="A21" s="739"/>
      <c r="B21" s="740" t="s">
        <v>226</v>
      </c>
      <c r="C21" s="752" t="s">
        <v>896</v>
      </c>
      <c r="D21" s="742"/>
      <c r="E21" s="742"/>
      <c r="F21" s="743"/>
    </row>
    <row r="22" spans="1:6" s="738" customFormat="1" ht="12" customHeight="1">
      <c r="A22" s="739"/>
      <c r="B22" s="740" t="s">
        <v>227</v>
      </c>
      <c r="C22" s="752" t="s">
        <v>897</v>
      </c>
      <c r="D22" s="742"/>
      <c r="E22" s="742"/>
      <c r="F22" s="743"/>
    </row>
    <row r="23" spans="1:6" s="738" customFormat="1" ht="12" customHeight="1">
      <c r="A23" s="739"/>
      <c r="B23" s="740" t="s">
        <v>228</v>
      </c>
      <c r="C23" s="752" t="s">
        <v>896</v>
      </c>
      <c r="D23" s="742"/>
      <c r="E23" s="742"/>
      <c r="F23" s="743"/>
    </row>
    <row r="24" spans="1:6" s="738" customFormat="1" ht="12" customHeight="1">
      <c r="A24" s="727" t="s">
        <v>147</v>
      </c>
      <c r="B24" s="768"/>
      <c r="C24" s="768" t="s">
        <v>898</v>
      </c>
      <c r="D24" s="734">
        <f>+D25+D26</f>
        <v>0</v>
      </c>
      <c r="E24" s="734">
        <f>+E25+E26</f>
        <v>0</v>
      </c>
      <c r="F24" s="737">
        <f>+F25+F26</f>
        <v>0</v>
      </c>
    </row>
    <row r="25" spans="1:6" s="735" customFormat="1" ht="12" customHeight="1">
      <c r="A25" s="746"/>
      <c r="B25" s="849" t="s">
        <v>197</v>
      </c>
      <c r="C25" s="748" t="s">
        <v>353</v>
      </c>
      <c r="D25" s="749"/>
      <c r="E25" s="749"/>
      <c r="F25" s="750"/>
    </row>
    <row r="26" spans="1:6" s="735" customFormat="1" ht="12" customHeight="1">
      <c r="A26" s="764"/>
      <c r="B26" s="850" t="s">
        <v>198</v>
      </c>
      <c r="C26" s="761" t="s">
        <v>357</v>
      </c>
      <c r="D26" s="851"/>
      <c r="E26" s="851"/>
      <c r="F26" s="852"/>
    </row>
    <row r="27" spans="1:6" s="735" customFormat="1" ht="12" customHeight="1">
      <c r="A27" s="764" t="s">
        <v>148</v>
      </c>
      <c r="B27" s="850"/>
      <c r="C27" s="869" t="s">
        <v>899</v>
      </c>
      <c r="D27" s="851"/>
      <c r="E27" s="890">
        <v>112</v>
      </c>
      <c r="F27" s="840">
        <v>112</v>
      </c>
    </row>
    <row r="28" spans="1:6" s="735" customFormat="1" ht="12" customHeight="1">
      <c r="A28" s="727" t="s">
        <v>149</v>
      </c>
      <c r="B28" s="732"/>
      <c r="C28" s="768" t="s">
        <v>900</v>
      </c>
      <c r="D28" s="779">
        <v>34537</v>
      </c>
      <c r="E28" s="779">
        <v>38001</v>
      </c>
      <c r="F28" s="780">
        <v>38271</v>
      </c>
    </row>
    <row r="29" spans="1:6" s="735" customFormat="1" ht="12" customHeight="1">
      <c r="A29" s="727"/>
      <c r="B29" s="784"/>
      <c r="C29" s="768" t="s">
        <v>913</v>
      </c>
      <c r="D29" s="734">
        <f>D8+D19+D24+D28</f>
        <v>34537</v>
      </c>
      <c r="E29" s="734">
        <f>E8+E19+E24+E28+E27</f>
        <v>38283</v>
      </c>
      <c r="F29" s="734">
        <f>F8+F19+F24+F28+F27</f>
        <v>38553</v>
      </c>
    </row>
    <row r="30" spans="1:6" s="738" customFormat="1" ht="12" customHeight="1">
      <c r="A30" s="853" t="s">
        <v>151</v>
      </c>
      <c r="B30" s="854"/>
      <c r="C30" s="812" t="s">
        <v>914</v>
      </c>
      <c r="D30" s="814">
        <f>+D31+D32</f>
        <v>0</v>
      </c>
      <c r="E30" s="814">
        <f>+E31+E32</f>
        <v>2798</v>
      </c>
      <c r="F30" s="815">
        <f>+F31+F32</f>
        <v>2798</v>
      </c>
    </row>
    <row r="31" spans="1:6" s="738" customFormat="1" ht="15" customHeight="1">
      <c r="A31" s="746"/>
      <c r="B31" s="747" t="s">
        <v>204</v>
      </c>
      <c r="C31" s="748" t="s">
        <v>455</v>
      </c>
      <c r="D31" s="749"/>
      <c r="E31" s="749">
        <v>2798</v>
      </c>
      <c r="F31" s="750">
        <v>2798</v>
      </c>
    </row>
    <row r="32" spans="1:6" s="738" customFormat="1" ht="15" customHeight="1">
      <c r="A32" s="855"/>
      <c r="B32" s="760" t="s">
        <v>205</v>
      </c>
      <c r="C32" s="847" t="s">
        <v>903</v>
      </c>
      <c r="D32" s="774"/>
      <c r="E32" s="774"/>
      <c r="F32" s="763"/>
    </row>
    <row r="33" spans="1:6" ht="12.75">
      <c r="A33" s="790" t="s">
        <v>152</v>
      </c>
      <c r="B33" s="856"/>
      <c r="C33" s="857" t="s">
        <v>904</v>
      </c>
      <c r="D33" s="779"/>
      <c r="E33" s="779"/>
      <c r="F33" s="780"/>
    </row>
    <row r="34" spans="1:6" s="731" customFormat="1" ht="16.5" customHeight="1">
      <c r="A34" s="790" t="s">
        <v>153</v>
      </c>
      <c r="B34" s="858"/>
      <c r="C34" s="859" t="s">
        <v>915</v>
      </c>
      <c r="D34" s="734">
        <f>+D29+D30+D33</f>
        <v>34537</v>
      </c>
      <c r="E34" s="734">
        <f>+E29+E30+E33</f>
        <v>41081</v>
      </c>
      <c r="F34" s="737">
        <f>+F29+F30+F33</f>
        <v>41351</v>
      </c>
    </row>
    <row r="35" spans="1:6" s="800" customFormat="1" ht="12" customHeight="1">
      <c r="A35" s="793"/>
      <c r="B35" s="793"/>
      <c r="C35" s="794"/>
      <c r="D35" s="795"/>
      <c r="E35" s="795"/>
      <c r="F35" s="795"/>
    </row>
    <row r="36" spans="1:6" ht="12" customHeight="1">
      <c r="A36" s="796"/>
      <c r="B36" s="797"/>
      <c r="C36" s="797"/>
      <c r="D36" s="798"/>
      <c r="E36" s="798"/>
      <c r="F36" s="798"/>
    </row>
    <row r="37" spans="1:6" ht="12" customHeight="1">
      <c r="A37" s="1190" t="s">
        <v>184</v>
      </c>
      <c r="B37" s="1190"/>
      <c r="C37" s="1190"/>
      <c r="D37" s="1190"/>
      <c r="E37" s="1190"/>
      <c r="F37" s="1190"/>
    </row>
    <row r="38" spans="1:6" ht="12" customHeight="1" thickBot="1">
      <c r="A38" s="727" t="s">
        <v>145</v>
      </c>
      <c r="B38" s="768"/>
      <c r="C38" s="768" t="s">
        <v>852</v>
      </c>
      <c r="D38" s="734">
        <f>SUM(D39:D43)</f>
        <v>34537</v>
      </c>
      <c r="E38" s="734">
        <f>SUM(E39:E43)</f>
        <v>40844</v>
      </c>
      <c r="F38" s="737">
        <f>SUM(F39:F43)</f>
        <v>40797</v>
      </c>
    </row>
    <row r="39" spans="1:6" ht="12" customHeight="1">
      <c r="A39" s="775"/>
      <c r="B39" s="801" t="s">
        <v>217</v>
      </c>
      <c r="C39" s="848" t="s">
        <v>175</v>
      </c>
      <c r="D39" s="776">
        <v>17999</v>
      </c>
      <c r="E39" s="749">
        <v>19809</v>
      </c>
      <c r="F39" s="750">
        <v>19808</v>
      </c>
    </row>
    <row r="40" spans="1:6" ht="12" customHeight="1">
      <c r="A40" s="739"/>
      <c r="B40" s="751" t="s">
        <v>218</v>
      </c>
      <c r="C40" s="752" t="s">
        <v>315</v>
      </c>
      <c r="D40" s="742">
        <v>4611</v>
      </c>
      <c r="E40" s="742">
        <v>5085</v>
      </c>
      <c r="F40" s="743">
        <v>5085</v>
      </c>
    </row>
    <row r="41" spans="1:6" ht="12" customHeight="1">
      <c r="A41" s="739"/>
      <c r="B41" s="751" t="s">
        <v>219</v>
      </c>
      <c r="C41" s="752" t="s">
        <v>248</v>
      </c>
      <c r="D41" s="742">
        <v>11927</v>
      </c>
      <c r="E41" s="742">
        <v>15950</v>
      </c>
      <c r="F41" s="743">
        <v>15904</v>
      </c>
    </row>
    <row r="42" spans="1:6" s="800" customFormat="1" ht="12" customHeight="1">
      <c r="A42" s="739"/>
      <c r="B42" s="751" t="s">
        <v>220</v>
      </c>
      <c r="C42" s="752" t="s">
        <v>316</v>
      </c>
      <c r="D42" s="742"/>
      <c r="E42" s="762"/>
      <c r="F42" s="758"/>
    </row>
    <row r="43" spans="1:6" ht="12" customHeight="1" thickBot="1">
      <c r="A43" s="739"/>
      <c r="B43" s="751" t="s">
        <v>231</v>
      </c>
      <c r="C43" s="752" t="s">
        <v>317</v>
      </c>
      <c r="D43" s="742"/>
      <c r="E43" s="774"/>
      <c r="F43" s="763"/>
    </row>
    <row r="44" spans="1:6" ht="12" customHeight="1" thickBot="1">
      <c r="A44" s="727" t="s">
        <v>146</v>
      </c>
      <c r="B44" s="768"/>
      <c r="C44" s="768" t="s">
        <v>906</v>
      </c>
      <c r="D44" s="734">
        <f>SUM(D45:D47)</f>
        <v>0</v>
      </c>
      <c r="E44" s="734">
        <f>SUM(E45:E47)</f>
        <v>237</v>
      </c>
      <c r="F44" s="737">
        <f>SUM(F45:F47)</f>
        <v>236</v>
      </c>
    </row>
    <row r="45" spans="1:6" ht="12" customHeight="1">
      <c r="A45" s="775"/>
      <c r="B45" s="801" t="s">
        <v>225</v>
      </c>
      <c r="C45" s="848" t="s">
        <v>381</v>
      </c>
      <c r="D45" s="776"/>
      <c r="E45" s="749">
        <v>170</v>
      </c>
      <c r="F45" s="750">
        <v>170</v>
      </c>
    </row>
    <row r="46" spans="1:6" ht="12" customHeight="1">
      <c r="A46" s="739"/>
      <c r="B46" s="751" t="s">
        <v>226</v>
      </c>
      <c r="C46" s="752" t="s">
        <v>318</v>
      </c>
      <c r="D46" s="742"/>
      <c r="E46" s="742">
        <v>67</v>
      </c>
      <c r="F46" s="743">
        <v>66</v>
      </c>
    </row>
    <row r="47" spans="1:6" ht="15" customHeight="1">
      <c r="A47" s="739"/>
      <c r="B47" s="751" t="s">
        <v>227</v>
      </c>
      <c r="C47" s="752" t="s">
        <v>907</v>
      </c>
      <c r="D47" s="742"/>
      <c r="E47" s="742"/>
      <c r="F47" s="743"/>
    </row>
    <row r="48" spans="1:6" ht="23.25" thickBot="1">
      <c r="A48" s="739"/>
      <c r="B48" s="751" t="s">
        <v>228</v>
      </c>
      <c r="C48" s="752" t="s">
        <v>908</v>
      </c>
      <c r="D48" s="742"/>
      <c r="E48" s="774"/>
      <c r="F48" s="763"/>
    </row>
    <row r="49" spans="1:6" ht="15" customHeight="1" thickBot="1">
      <c r="A49" s="727" t="s">
        <v>147</v>
      </c>
      <c r="B49" s="768"/>
      <c r="C49" s="768" t="s">
        <v>909</v>
      </c>
      <c r="D49" s="779"/>
      <c r="E49" s="779"/>
      <c r="F49" s="780"/>
    </row>
    <row r="50" spans="1:6" ht="14.25" customHeight="1">
      <c r="A50" s="790" t="s">
        <v>148</v>
      </c>
      <c r="B50" s="856"/>
      <c r="C50" s="857" t="s">
        <v>910</v>
      </c>
      <c r="D50" s="779"/>
      <c r="E50" s="779"/>
      <c r="F50" s="780">
        <v>-1035</v>
      </c>
    </row>
    <row r="51" spans="1:6" ht="12.75">
      <c r="A51" s="727" t="s">
        <v>149</v>
      </c>
      <c r="B51" s="778"/>
      <c r="C51" s="860" t="s">
        <v>911</v>
      </c>
      <c r="D51" s="734">
        <f>+D38+D44+D49+D50</f>
        <v>34537</v>
      </c>
      <c r="E51" s="734">
        <f>+E38+E44+E49+E50</f>
        <v>41081</v>
      </c>
      <c r="F51" s="737">
        <f>+F38+F44+F49+F50</f>
        <v>39998</v>
      </c>
    </row>
    <row r="52" spans="1:6" ht="13.5" thickBot="1">
      <c r="A52" s="861"/>
      <c r="B52" s="862"/>
      <c r="C52" s="862"/>
      <c r="D52" s="863"/>
      <c r="E52" s="863"/>
      <c r="F52" s="863"/>
    </row>
    <row r="53" spans="1:6" ht="13.5" thickBot="1">
      <c r="A53" s="829" t="s">
        <v>880</v>
      </c>
      <c r="B53" s="830"/>
      <c r="C53" s="831"/>
      <c r="D53" s="841">
        <v>6.22</v>
      </c>
      <c r="E53" s="882">
        <v>8</v>
      </c>
      <c r="F53" s="883">
        <v>8</v>
      </c>
    </row>
    <row r="54" spans="1:6" ht="13.5" thickBot="1">
      <c r="A54" s="829" t="s">
        <v>881</v>
      </c>
      <c r="B54" s="830"/>
      <c r="C54" s="831"/>
      <c r="D54" s="841">
        <v>0</v>
      </c>
      <c r="E54" s="884">
        <v>0</v>
      </c>
      <c r="F54" s="885">
        <v>0</v>
      </c>
    </row>
  </sheetData>
  <sheetProtection selectLockedCells="1" selectUnlockedCells="1"/>
  <mergeCells count="6">
    <mergeCell ref="A7:F7"/>
    <mergeCell ref="A37:F37"/>
    <mergeCell ref="A2:B2"/>
    <mergeCell ref="C2:E2"/>
    <mergeCell ref="C3:E3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31"/>
  <sheetViews>
    <sheetView zoomScaleSheetLayoutView="100" workbookViewId="0" topLeftCell="A1">
      <selection activeCell="A1" sqref="A1:IV1"/>
    </sheetView>
  </sheetViews>
  <sheetFormatPr defaultColWidth="9.00390625" defaultRowHeight="12.75"/>
  <cols>
    <col min="1" max="1" width="9.50390625" style="205" customWidth="1"/>
    <col min="2" max="2" width="60.875" style="205" customWidth="1"/>
    <col min="3" max="5" width="15.875" style="206" customWidth="1"/>
    <col min="6" max="16384" width="9.375" style="29" customWidth="1"/>
  </cols>
  <sheetData>
    <row r="1" spans="1:5" ht="15.75" customHeight="1">
      <c r="A1" s="1156" t="s">
        <v>142</v>
      </c>
      <c r="B1" s="1156"/>
      <c r="C1" s="1156"/>
      <c r="D1" s="1156"/>
      <c r="E1" s="1156"/>
    </row>
    <row r="2" spans="1:5" ht="15.75" customHeight="1" thickBot="1">
      <c r="A2" s="207" t="s">
        <v>262</v>
      </c>
      <c r="B2" s="207"/>
      <c r="C2" s="136"/>
      <c r="D2" s="136"/>
      <c r="E2" s="136" t="s">
        <v>398</v>
      </c>
    </row>
    <row r="3" spans="1:5" ht="15.75" customHeight="1">
      <c r="A3" s="1157" t="s">
        <v>195</v>
      </c>
      <c r="B3" s="1159" t="s">
        <v>144</v>
      </c>
      <c r="C3" s="1161" t="s">
        <v>126</v>
      </c>
      <c r="D3" s="1161"/>
      <c r="E3" s="1162"/>
    </row>
    <row r="4" spans="1:5" ht="37.5" customHeight="1" thickBot="1">
      <c r="A4" s="1158"/>
      <c r="B4" s="1160"/>
      <c r="C4" s="210" t="s">
        <v>482</v>
      </c>
      <c r="D4" s="210" t="s">
        <v>489</v>
      </c>
      <c r="E4" s="211" t="s">
        <v>490</v>
      </c>
    </row>
    <row r="5" spans="1:5" s="30" customFormat="1" ht="12" customHeight="1" thickBot="1">
      <c r="A5" s="26">
        <v>1</v>
      </c>
      <c r="B5" s="27">
        <v>2</v>
      </c>
      <c r="C5" s="27">
        <v>3</v>
      </c>
      <c r="D5" s="27">
        <v>4</v>
      </c>
      <c r="E5" s="28">
        <v>5</v>
      </c>
    </row>
    <row r="6" spans="1:5" s="1" customFormat="1" ht="12" customHeight="1" thickBot="1">
      <c r="A6" s="20" t="s">
        <v>145</v>
      </c>
      <c r="B6" s="19" t="s">
        <v>276</v>
      </c>
      <c r="C6" s="263">
        <f>+C7+C12+C23</f>
        <v>84392</v>
      </c>
      <c r="D6" s="263">
        <f>+D7+D12+D23</f>
        <v>108826</v>
      </c>
      <c r="E6" s="119">
        <f>+E7+E12+E23</f>
        <v>108765</v>
      </c>
    </row>
    <row r="7" spans="1:5" s="1" customFormat="1" ht="12" customHeight="1" thickBot="1">
      <c r="A7" s="18" t="s">
        <v>146</v>
      </c>
      <c r="B7" s="101" t="s">
        <v>470</v>
      </c>
      <c r="C7" s="264">
        <f>+C8+C9+C10+C11</f>
        <v>47500</v>
      </c>
      <c r="D7" s="264">
        <f>+D8+D9+D10+D11</f>
        <v>62124</v>
      </c>
      <c r="E7" s="120">
        <f>+E8+E9+E10+E11</f>
        <v>62124</v>
      </c>
    </row>
    <row r="8" spans="1:5" s="1" customFormat="1" ht="12" customHeight="1">
      <c r="A8" s="12" t="s">
        <v>225</v>
      </c>
      <c r="B8" s="193" t="s">
        <v>182</v>
      </c>
      <c r="C8" s="510">
        <v>38000</v>
      </c>
      <c r="D8" s="581">
        <v>52777</v>
      </c>
      <c r="E8" s="582">
        <v>55319</v>
      </c>
    </row>
    <row r="9" spans="1:5" s="1" customFormat="1" ht="12" customHeight="1">
      <c r="A9" s="12" t="s">
        <v>226</v>
      </c>
      <c r="B9" s="115" t="s">
        <v>196</v>
      </c>
      <c r="C9" s="510"/>
      <c r="D9" s="510"/>
      <c r="E9" s="583"/>
    </row>
    <row r="10" spans="1:5" s="1" customFormat="1" ht="12" customHeight="1">
      <c r="A10" s="12" t="s">
        <v>227</v>
      </c>
      <c r="B10" s="115" t="s">
        <v>277</v>
      </c>
      <c r="C10" s="510">
        <v>9500</v>
      </c>
      <c r="D10" s="510">
        <v>9235</v>
      </c>
      <c r="E10" s="583">
        <v>6693</v>
      </c>
    </row>
    <row r="11" spans="1:5" s="1" customFormat="1" ht="12" customHeight="1" thickBot="1">
      <c r="A11" s="12" t="s">
        <v>228</v>
      </c>
      <c r="B11" s="194" t="s">
        <v>278</v>
      </c>
      <c r="C11" s="510"/>
      <c r="D11" s="562">
        <v>112</v>
      </c>
      <c r="E11" s="584">
        <v>112</v>
      </c>
    </row>
    <row r="12" spans="1:5" s="1" customFormat="1" ht="12" customHeight="1" thickBot="1">
      <c r="A12" s="18" t="s">
        <v>147</v>
      </c>
      <c r="B12" s="19" t="s">
        <v>279</v>
      </c>
      <c r="C12" s="264">
        <f>+C13+C14+C15+C16+C17+C18+C19+C20+C21+C22</f>
        <v>33692</v>
      </c>
      <c r="D12" s="264">
        <f>+D13+D14+D15+D16+D17+D18+D19+D20+D21+D22</f>
        <v>43102</v>
      </c>
      <c r="E12" s="120">
        <f>+E13+E14+E15+E16+E17+E18+E19+E20+E21+E22</f>
        <v>43041</v>
      </c>
    </row>
    <row r="13" spans="1:5" s="1" customFormat="1" ht="12" customHeight="1">
      <c r="A13" s="15" t="s">
        <v>197</v>
      </c>
      <c r="B13" s="8" t="s">
        <v>284</v>
      </c>
      <c r="C13" s="516">
        <v>7456</v>
      </c>
      <c r="D13" s="581">
        <f>10115</f>
        <v>10115</v>
      </c>
      <c r="E13" s="582">
        <v>10115</v>
      </c>
    </row>
    <row r="14" spans="1:5" s="1" customFormat="1" ht="12" customHeight="1">
      <c r="A14" s="12" t="s">
        <v>198</v>
      </c>
      <c r="B14" s="6" t="s">
        <v>285</v>
      </c>
      <c r="C14" s="510">
        <v>421</v>
      </c>
      <c r="D14" s="510">
        <f>996+139</f>
        <v>1135</v>
      </c>
      <c r="E14" s="583">
        <v>1136</v>
      </c>
    </row>
    <row r="15" spans="1:5" s="1" customFormat="1" ht="12" customHeight="1">
      <c r="A15" s="12" t="s">
        <v>199</v>
      </c>
      <c r="B15" s="6" t="s">
        <v>838</v>
      </c>
      <c r="C15" s="510">
        <v>0</v>
      </c>
      <c r="D15" s="510">
        <f>596</f>
        <v>596</v>
      </c>
      <c r="E15" s="583">
        <v>596</v>
      </c>
    </row>
    <row r="16" spans="1:5" s="1" customFormat="1" ht="12" customHeight="1">
      <c r="A16" s="12" t="s">
        <v>200</v>
      </c>
      <c r="B16" s="6" t="s">
        <v>286</v>
      </c>
      <c r="C16" s="510">
        <v>5288</v>
      </c>
      <c r="D16" s="510">
        <v>8404</v>
      </c>
      <c r="E16" s="583">
        <v>8403</v>
      </c>
    </row>
    <row r="17" spans="1:5" s="1" customFormat="1" ht="12" customHeight="1">
      <c r="A17" s="11" t="s">
        <v>280</v>
      </c>
      <c r="B17" s="6" t="s">
        <v>287</v>
      </c>
      <c r="C17" s="510">
        <v>9314</v>
      </c>
      <c r="D17" s="510">
        <f>1883+5315+551</f>
        <v>7749</v>
      </c>
      <c r="E17" s="585">
        <v>7749</v>
      </c>
    </row>
    <row r="18" spans="1:5" s="1" customFormat="1" ht="12" customHeight="1">
      <c r="A18" s="12" t="s">
        <v>281</v>
      </c>
      <c r="B18" s="873" t="s">
        <v>288</v>
      </c>
      <c r="C18" s="510">
        <v>665</v>
      </c>
      <c r="D18" s="510">
        <v>876</v>
      </c>
      <c r="E18" s="583">
        <v>876</v>
      </c>
    </row>
    <row r="19" spans="1:5" s="1" customFormat="1" ht="12" customHeight="1">
      <c r="A19" s="12" t="s">
        <v>282</v>
      </c>
      <c r="B19" s="873" t="s">
        <v>839</v>
      </c>
      <c r="C19" s="510"/>
      <c r="D19" s="510">
        <f>1448+243</f>
        <v>1691</v>
      </c>
      <c r="E19" s="583">
        <v>1691</v>
      </c>
    </row>
    <row r="20" spans="1:5" s="1" customFormat="1" ht="13.5" customHeight="1">
      <c r="A20" s="12" t="s">
        <v>283</v>
      </c>
      <c r="B20" s="6" t="s">
        <v>345</v>
      </c>
      <c r="C20" s="510">
        <v>5242</v>
      </c>
      <c r="D20" s="510">
        <f>5094+149+2029</f>
        <v>7272</v>
      </c>
      <c r="E20" s="583">
        <v>7272</v>
      </c>
    </row>
    <row r="21" spans="1:5" s="511" customFormat="1" ht="12" customHeight="1">
      <c r="A21" s="515" t="s">
        <v>87</v>
      </c>
      <c r="B21" s="6" t="s">
        <v>289</v>
      </c>
      <c r="C21" s="510"/>
      <c r="D21" s="510">
        <v>2124</v>
      </c>
      <c r="E21" s="599">
        <v>2124</v>
      </c>
    </row>
    <row r="22" spans="1:5" s="511" customFormat="1" ht="12" customHeight="1" thickBot="1">
      <c r="A22" s="512" t="s">
        <v>88</v>
      </c>
      <c r="B22" s="5" t="s">
        <v>290</v>
      </c>
      <c r="C22" s="514">
        <v>5306</v>
      </c>
      <c r="D22" s="514">
        <f>3108+31+1</f>
        <v>3140</v>
      </c>
      <c r="E22" s="600">
        <v>3079</v>
      </c>
    </row>
    <row r="23" spans="1:5" s="1" customFormat="1" ht="12" customHeight="1" thickBot="1">
      <c r="A23" s="18" t="s">
        <v>291</v>
      </c>
      <c r="B23" s="19" t="s">
        <v>346</v>
      </c>
      <c r="C23" s="525">
        <v>3200</v>
      </c>
      <c r="D23" s="586">
        <v>3600</v>
      </c>
      <c r="E23" s="587">
        <v>3600</v>
      </c>
    </row>
    <row r="24" spans="1:5" s="1" customFormat="1" ht="12" customHeight="1" thickBot="1">
      <c r="A24" s="18" t="s">
        <v>149</v>
      </c>
      <c r="B24" s="19" t="s">
        <v>293</v>
      </c>
      <c r="C24" s="264">
        <f>+C25+C26+C27+C28+C29+C30+C31+C32</f>
        <v>104405</v>
      </c>
      <c r="D24" s="264">
        <f>+D25+D26+D27+D28+D29+D30+D31+D32</f>
        <v>245866</v>
      </c>
      <c r="E24" s="120">
        <f>+E25+E26+E27+E28+E29+E30+E31+E32</f>
        <v>245866</v>
      </c>
    </row>
    <row r="25" spans="1:5" s="1" customFormat="1" ht="12" customHeight="1">
      <c r="A25" s="13" t="s">
        <v>201</v>
      </c>
      <c r="B25" s="7" t="s">
        <v>299</v>
      </c>
      <c r="C25" s="517">
        <v>104405</v>
      </c>
      <c r="D25" s="581">
        <v>126797</v>
      </c>
      <c r="E25" s="582">
        <v>126797</v>
      </c>
    </row>
    <row r="26" spans="1:5" s="1" customFormat="1" ht="12" customHeight="1">
      <c r="A26" s="12" t="s">
        <v>202</v>
      </c>
      <c r="B26" s="6" t="s">
        <v>300</v>
      </c>
      <c r="C26" s="510"/>
      <c r="D26" s="510">
        <v>6927</v>
      </c>
      <c r="E26" s="583">
        <v>6927</v>
      </c>
    </row>
    <row r="27" spans="1:5" s="1" customFormat="1" ht="12" customHeight="1">
      <c r="A27" s="12" t="s">
        <v>203</v>
      </c>
      <c r="B27" s="6" t="s">
        <v>301</v>
      </c>
      <c r="C27" s="510"/>
      <c r="D27" s="510">
        <v>110000</v>
      </c>
      <c r="E27" s="583">
        <v>110000</v>
      </c>
    </row>
    <row r="28" spans="1:5" s="1" customFormat="1" ht="12" customHeight="1">
      <c r="A28" s="14" t="s">
        <v>294</v>
      </c>
      <c r="B28" s="6" t="s">
        <v>206</v>
      </c>
      <c r="C28" s="518"/>
      <c r="D28" s="518"/>
      <c r="E28" s="588"/>
    </row>
    <row r="29" spans="1:5" s="1" customFormat="1" ht="12" customHeight="1">
      <c r="A29" s="14" t="s">
        <v>295</v>
      </c>
      <c r="B29" s="6" t="s">
        <v>302</v>
      </c>
      <c r="C29" s="518"/>
      <c r="D29" s="518"/>
      <c r="E29" s="588"/>
    </row>
    <row r="30" spans="1:5" s="1" customFormat="1" ht="12" customHeight="1">
      <c r="A30" s="12" t="s">
        <v>296</v>
      </c>
      <c r="B30" s="6" t="s">
        <v>303</v>
      </c>
      <c r="C30" s="510"/>
      <c r="D30" s="510"/>
      <c r="E30" s="583"/>
    </row>
    <row r="31" spans="1:5" s="1" customFormat="1" ht="12" customHeight="1">
      <c r="A31" s="12" t="s">
        <v>297</v>
      </c>
      <c r="B31" s="6" t="s">
        <v>347</v>
      </c>
      <c r="C31" s="510"/>
      <c r="D31" s="510">
        <v>2142</v>
      </c>
      <c r="E31" s="523">
        <v>2142</v>
      </c>
    </row>
    <row r="32" spans="1:5" s="1" customFormat="1" ht="12" customHeight="1" thickBot="1">
      <c r="A32" s="12" t="s">
        <v>298</v>
      </c>
      <c r="B32" s="10" t="s">
        <v>304</v>
      </c>
      <c r="C32" s="510"/>
      <c r="D32" s="562"/>
      <c r="E32" s="589"/>
    </row>
    <row r="33" spans="1:5" s="1" customFormat="1" ht="12" customHeight="1" thickBot="1">
      <c r="A33" s="94" t="s">
        <v>150</v>
      </c>
      <c r="B33" s="19" t="s">
        <v>471</v>
      </c>
      <c r="C33" s="264">
        <f>+C34+C40</f>
        <v>38159</v>
      </c>
      <c r="D33" s="264">
        <f>+D34+D40</f>
        <v>39086</v>
      </c>
      <c r="E33" s="120">
        <f>+E34+E40</f>
        <v>39085</v>
      </c>
    </row>
    <row r="34" spans="1:5" s="1" customFormat="1" ht="12" customHeight="1">
      <c r="A34" s="95" t="s">
        <v>204</v>
      </c>
      <c r="B34" s="195" t="s">
        <v>472</v>
      </c>
      <c r="C34" s="271">
        <f>+C35+C36+C37+C38+C39</f>
        <v>35784</v>
      </c>
      <c r="D34" s="597">
        <f>+D35+D36+D37+D38+D39</f>
        <v>37066</v>
      </c>
      <c r="E34" s="598">
        <f>+E35+E36+E37+E38+E39</f>
        <v>37065</v>
      </c>
    </row>
    <row r="35" spans="1:5" s="1" customFormat="1" ht="12" customHeight="1">
      <c r="A35" s="96" t="s">
        <v>207</v>
      </c>
      <c r="B35" s="102" t="s">
        <v>348</v>
      </c>
      <c r="C35" s="510">
        <v>3200</v>
      </c>
      <c r="D35" s="517">
        <v>3649</v>
      </c>
      <c r="E35" s="601">
        <v>3649</v>
      </c>
    </row>
    <row r="36" spans="1:5" s="1" customFormat="1" ht="12" customHeight="1">
      <c r="A36" s="96" t="s">
        <v>208</v>
      </c>
      <c r="B36" s="102" t="s">
        <v>349</v>
      </c>
      <c r="C36" s="510"/>
      <c r="D36" s="510"/>
      <c r="E36" s="523"/>
    </row>
    <row r="37" spans="1:5" s="1" customFormat="1" ht="12" customHeight="1">
      <c r="A37" s="96" t="s">
        <v>209</v>
      </c>
      <c r="B37" s="102" t="s">
        <v>350</v>
      </c>
      <c r="C37" s="510">
        <v>6936</v>
      </c>
      <c r="D37" s="510">
        <v>3468</v>
      </c>
      <c r="E37" s="523">
        <v>3468</v>
      </c>
    </row>
    <row r="38" spans="1:5" s="1" customFormat="1" ht="12" customHeight="1">
      <c r="A38" s="96" t="s">
        <v>210</v>
      </c>
      <c r="B38" s="102" t="s">
        <v>351</v>
      </c>
      <c r="C38" s="510"/>
      <c r="D38" s="510"/>
      <c r="E38" s="523"/>
    </row>
    <row r="39" spans="1:5" s="1" customFormat="1" ht="12" customHeight="1">
      <c r="A39" s="96" t="s">
        <v>305</v>
      </c>
      <c r="B39" s="102" t="s">
        <v>473</v>
      </c>
      <c r="C39" s="510">
        <v>25648</v>
      </c>
      <c r="D39" s="524">
        <v>29949</v>
      </c>
      <c r="E39" s="602">
        <v>29948</v>
      </c>
    </row>
    <row r="40" spans="1:5" s="1" customFormat="1" ht="12" customHeight="1">
      <c r="A40" s="96" t="s">
        <v>205</v>
      </c>
      <c r="B40" s="103" t="s">
        <v>474</v>
      </c>
      <c r="C40" s="272">
        <f>+C41+C42+C43+C44+C45</f>
        <v>2375</v>
      </c>
      <c r="D40" s="272">
        <f>+D41+D42+D43+D44+D45</f>
        <v>2020</v>
      </c>
      <c r="E40" s="131">
        <f>+E41+E42+E43+E44+E45</f>
        <v>2020</v>
      </c>
    </row>
    <row r="41" spans="1:5" s="1" customFormat="1" ht="12" customHeight="1">
      <c r="A41" s="96" t="s">
        <v>213</v>
      </c>
      <c r="B41" s="102" t="s">
        <v>348</v>
      </c>
      <c r="C41" s="270"/>
      <c r="D41" s="270"/>
      <c r="E41" s="276"/>
    </row>
    <row r="42" spans="1:5" s="1" customFormat="1" ht="12" customHeight="1">
      <c r="A42" s="96" t="s">
        <v>214</v>
      </c>
      <c r="B42" s="102" t="s">
        <v>349</v>
      </c>
      <c r="C42" s="270"/>
      <c r="D42" s="270"/>
      <c r="E42" s="126"/>
    </row>
    <row r="43" spans="1:5" s="1" customFormat="1" ht="12" customHeight="1">
      <c r="A43" s="96" t="s">
        <v>215</v>
      </c>
      <c r="B43" s="102" t="s">
        <v>350</v>
      </c>
      <c r="C43" s="270"/>
      <c r="D43" s="270"/>
      <c r="E43" s="126"/>
    </row>
    <row r="44" spans="1:5" s="1" customFormat="1" ht="12" customHeight="1">
      <c r="A44" s="96" t="s">
        <v>216</v>
      </c>
      <c r="B44" s="104" t="s">
        <v>351</v>
      </c>
      <c r="C44" s="270"/>
      <c r="D44" s="270"/>
      <c r="E44" s="126"/>
    </row>
    <row r="45" spans="1:5" s="1" customFormat="1" ht="12" customHeight="1" thickBot="1">
      <c r="A45" s="97" t="s">
        <v>306</v>
      </c>
      <c r="B45" s="105" t="s">
        <v>475</v>
      </c>
      <c r="C45" s="518">
        <v>2375</v>
      </c>
      <c r="D45" s="874">
        <v>2020</v>
      </c>
      <c r="E45" s="589">
        <v>2020</v>
      </c>
    </row>
    <row r="46" spans="1:5" s="1" customFormat="1" ht="12" customHeight="1" thickBot="1">
      <c r="A46" s="18" t="s">
        <v>307</v>
      </c>
      <c r="B46" s="196" t="s">
        <v>352</v>
      </c>
      <c r="C46" s="264">
        <f>+C47+C48</f>
        <v>0</v>
      </c>
      <c r="D46" s="264">
        <f>+D47+D48</f>
        <v>50</v>
      </c>
      <c r="E46" s="120">
        <f>+E47+E48</f>
        <v>50</v>
      </c>
    </row>
    <row r="47" spans="1:5" s="1" customFormat="1" ht="12" customHeight="1">
      <c r="A47" s="13" t="s">
        <v>211</v>
      </c>
      <c r="B47" s="115" t="s">
        <v>353</v>
      </c>
      <c r="C47" s="517"/>
      <c r="D47" s="581">
        <v>50</v>
      </c>
      <c r="E47" s="582">
        <v>50</v>
      </c>
    </row>
    <row r="48" spans="1:5" s="1" customFormat="1" ht="12" customHeight="1" thickBot="1">
      <c r="A48" s="11" t="s">
        <v>212</v>
      </c>
      <c r="B48" s="110" t="s">
        <v>357</v>
      </c>
      <c r="C48" s="519"/>
      <c r="D48" s="591"/>
      <c r="E48" s="596"/>
    </row>
    <row r="49" spans="1:5" s="1" customFormat="1" ht="12" customHeight="1" thickBot="1">
      <c r="A49" s="18" t="s">
        <v>152</v>
      </c>
      <c r="B49" s="196" t="s">
        <v>356</v>
      </c>
      <c r="C49" s="264">
        <f>+C50+C51+C52</f>
        <v>0</v>
      </c>
      <c r="D49" s="264">
        <f>+D50+D51+D52</f>
        <v>3</v>
      </c>
      <c r="E49" s="120">
        <f>+E50+E51+E52</f>
        <v>3</v>
      </c>
    </row>
    <row r="50" spans="1:5" s="1" customFormat="1" ht="12" customHeight="1">
      <c r="A50" s="13" t="s">
        <v>310</v>
      </c>
      <c r="B50" s="115" t="s">
        <v>308</v>
      </c>
      <c r="C50" s="517"/>
      <c r="D50" s="581"/>
      <c r="E50" s="590"/>
    </row>
    <row r="51" spans="1:5" s="1" customFormat="1" ht="12" customHeight="1">
      <c r="A51" s="12" t="s">
        <v>311</v>
      </c>
      <c r="B51" s="102" t="s">
        <v>309</v>
      </c>
      <c r="C51" s="510"/>
      <c r="D51" s="510"/>
      <c r="E51" s="523"/>
    </row>
    <row r="52" spans="1:5" s="1" customFormat="1" ht="12" customHeight="1" thickBot="1">
      <c r="A52" s="11" t="s">
        <v>399</v>
      </c>
      <c r="B52" s="110" t="s">
        <v>354</v>
      </c>
      <c r="C52" s="519"/>
      <c r="D52" s="591">
        <v>3</v>
      </c>
      <c r="E52" s="592">
        <v>3</v>
      </c>
    </row>
    <row r="53" spans="1:5" s="1" customFormat="1" ht="17.25" customHeight="1" thickBot="1">
      <c r="A53" s="526" t="s">
        <v>312</v>
      </c>
      <c r="B53" s="527" t="s">
        <v>89</v>
      </c>
      <c r="C53" s="528"/>
      <c r="D53" s="593">
        <v>1250</v>
      </c>
      <c r="E53" s="594">
        <v>5942</v>
      </c>
    </row>
    <row r="54" spans="1:5" s="1" customFormat="1" ht="12" customHeight="1" thickBot="1">
      <c r="A54" s="18" t="s">
        <v>154</v>
      </c>
      <c r="B54" s="21" t="s">
        <v>313</v>
      </c>
      <c r="C54" s="280">
        <f>+C7+C12+C23+C24+C33+C46+C49+C53</f>
        <v>226956</v>
      </c>
      <c r="D54" s="280">
        <f>+D7+D12+D23+D24+D33+D46+D49+D53</f>
        <v>395081</v>
      </c>
      <c r="E54" s="128">
        <f>+E7+E12+E23+E24+E33+E46+E49+E53</f>
        <v>399711</v>
      </c>
    </row>
    <row r="55" spans="1:5" s="1" customFormat="1" ht="12" customHeight="1" thickBot="1">
      <c r="A55" s="106" t="s">
        <v>155</v>
      </c>
      <c r="B55" s="101" t="s">
        <v>358</v>
      </c>
      <c r="C55" s="281">
        <f>+C56+C62</f>
        <v>65000</v>
      </c>
      <c r="D55" s="281">
        <f>+D56+D62</f>
        <v>70965</v>
      </c>
      <c r="E55" s="129">
        <f>+E56+E62</f>
        <v>70965</v>
      </c>
    </row>
    <row r="56" spans="1:5" s="1" customFormat="1" ht="12" customHeight="1">
      <c r="A56" s="197" t="s">
        <v>255</v>
      </c>
      <c r="B56" s="195" t="s">
        <v>439</v>
      </c>
      <c r="C56" s="271">
        <f>+C57+C58+C59+C60+C61</f>
        <v>65000</v>
      </c>
      <c r="D56" s="597">
        <f>+D57+D58+D59+D60+D61</f>
        <v>70965</v>
      </c>
      <c r="E56" s="598">
        <f>+E57+E58+E59+E60+E61</f>
        <v>70965</v>
      </c>
    </row>
    <row r="57" spans="1:5" s="1" customFormat="1" ht="12" customHeight="1">
      <c r="A57" s="107" t="s">
        <v>370</v>
      </c>
      <c r="B57" s="102" t="s">
        <v>359</v>
      </c>
      <c r="C57" s="510">
        <v>65000</v>
      </c>
      <c r="D57" s="522">
        <v>70965</v>
      </c>
      <c r="E57" s="523">
        <v>70965</v>
      </c>
    </row>
    <row r="58" spans="1:5" s="1" customFormat="1" ht="12" customHeight="1">
      <c r="A58" s="107" t="s">
        <v>371</v>
      </c>
      <c r="B58" s="102" t="s">
        <v>360</v>
      </c>
      <c r="C58" s="510"/>
      <c r="D58" s="510"/>
      <c r="E58" s="523"/>
    </row>
    <row r="59" spans="1:5" s="1" customFormat="1" ht="12" customHeight="1">
      <c r="A59" s="107" t="s">
        <v>372</v>
      </c>
      <c r="B59" s="102" t="s">
        <v>361</v>
      </c>
      <c r="C59" s="510"/>
      <c r="D59" s="510"/>
      <c r="E59" s="523"/>
    </row>
    <row r="60" spans="1:5" s="1" customFormat="1" ht="12" customHeight="1">
      <c r="A60" s="107" t="s">
        <v>373</v>
      </c>
      <c r="B60" s="102" t="s">
        <v>362</v>
      </c>
      <c r="C60" s="510"/>
      <c r="D60" s="510"/>
      <c r="E60" s="523"/>
    </row>
    <row r="61" spans="1:5" s="1" customFormat="1" ht="12" customHeight="1">
      <c r="A61" s="107" t="s">
        <v>374</v>
      </c>
      <c r="B61" s="102" t="s">
        <v>363</v>
      </c>
      <c r="C61" s="510"/>
      <c r="D61" s="510"/>
      <c r="E61" s="523"/>
    </row>
    <row r="62" spans="1:5" s="1" customFormat="1" ht="12" customHeight="1">
      <c r="A62" s="108" t="s">
        <v>256</v>
      </c>
      <c r="B62" s="103" t="s">
        <v>438</v>
      </c>
      <c r="C62" s="520">
        <f>+C63+C64+C65+C66+C67</f>
        <v>0</v>
      </c>
      <c r="D62" s="520"/>
      <c r="E62" s="595">
        <f>+E63+E64+E65+E66+E67</f>
        <v>0</v>
      </c>
    </row>
    <row r="63" spans="1:5" s="1" customFormat="1" ht="12" customHeight="1">
      <c r="A63" s="107" t="s">
        <v>375</v>
      </c>
      <c r="B63" s="102" t="s">
        <v>364</v>
      </c>
      <c r="C63" s="510"/>
      <c r="D63" s="510"/>
      <c r="E63" s="523"/>
    </row>
    <row r="64" spans="1:5" s="1" customFormat="1" ht="12" customHeight="1">
      <c r="A64" s="107" t="s">
        <v>376</v>
      </c>
      <c r="B64" s="102" t="s">
        <v>365</v>
      </c>
      <c r="C64" s="510"/>
      <c r="D64" s="510"/>
      <c r="E64" s="523"/>
    </row>
    <row r="65" spans="1:5" s="1" customFormat="1" ht="12" customHeight="1">
      <c r="A65" s="107" t="s">
        <v>377</v>
      </c>
      <c r="B65" s="102" t="s">
        <v>366</v>
      </c>
      <c r="C65" s="510"/>
      <c r="D65" s="510"/>
      <c r="E65" s="523"/>
    </row>
    <row r="66" spans="1:5" s="1" customFormat="1" ht="12" customHeight="1">
      <c r="A66" s="107" t="s">
        <v>378</v>
      </c>
      <c r="B66" s="102" t="s">
        <v>367</v>
      </c>
      <c r="C66" s="510"/>
      <c r="D66" s="510"/>
      <c r="E66" s="523"/>
    </row>
    <row r="67" spans="1:5" s="1" customFormat="1" ht="12" customHeight="1" thickBot="1">
      <c r="A67" s="109" t="s">
        <v>379</v>
      </c>
      <c r="B67" s="110" t="s">
        <v>368</v>
      </c>
      <c r="C67" s="521"/>
      <c r="D67" s="562"/>
      <c r="E67" s="589"/>
    </row>
    <row r="68" spans="1:5" s="1" customFormat="1" ht="24.75" thickBot="1">
      <c r="A68" s="111" t="s">
        <v>156</v>
      </c>
      <c r="B68" s="198" t="s">
        <v>436</v>
      </c>
      <c r="C68" s="281">
        <f>+C54+C55</f>
        <v>291956</v>
      </c>
      <c r="D68" s="281">
        <f>+D54+D55</f>
        <v>466046</v>
      </c>
      <c r="E68" s="129">
        <f>+E54+E55</f>
        <v>470676</v>
      </c>
    </row>
    <row r="69" spans="1:5" s="1" customFormat="1" ht="13.5" customHeight="1" thickBot="1">
      <c r="A69" s="112" t="s">
        <v>157</v>
      </c>
      <c r="B69" s="199" t="s">
        <v>369</v>
      </c>
      <c r="C69" s="282"/>
      <c r="D69" s="282"/>
      <c r="E69" s="137">
        <v>759</v>
      </c>
    </row>
    <row r="70" spans="1:5" s="1" customFormat="1" ht="12" customHeight="1" thickBot="1">
      <c r="A70" s="111" t="s">
        <v>158</v>
      </c>
      <c r="B70" s="198" t="s">
        <v>437</v>
      </c>
      <c r="C70" s="283">
        <f>+C68+C69</f>
        <v>291956</v>
      </c>
      <c r="D70" s="283">
        <f>+D68+D69</f>
        <v>466046</v>
      </c>
      <c r="E70" s="138">
        <f>+E68+E69</f>
        <v>471435</v>
      </c>
    </row>
    <row r="71" spans="1:5" s="1" customFormat="1" ht="83.25" customHeight="1">
      <c r="A71" s="3"/>
      <c r="B71" s="4"/>
      <c r="C71" s="132"/>
      <c r="D71" s="132"/>
      <c r="E71" s="132"/>
    </row>
    <row r="72" spans="1:5" ht="16.5" customHeight="1">
      <c r="A72" s="1156" t="s">
        <v>174</v>
      </c>
      <c r="B72" s="1156"/>
      <c r="C72" s="1156"/>
      <c r="D72" s="1156"/>
      <c r="E72" s="1156"/>
    </row>
    <row r="73" spans="1:5" s="139" customFormat="1" ht="16.5" customHeight="1" thickBot="1">
      <c r="A73" s="208" t="s">
        <v>263</v>
      </c>
      <c r="B73" s="208"/>
      <c r="C73" s="67"/>
      <c r="D73" s="67"/>
      <c r="E73" s="67" t="s">
        <v>398</v>
      </c>
    </row>
    <row r="74" spans="1:5" s="139" customFormat="1" ht="16.5" customHeight="1">
      <c r="A74" s="1157" t="s">
        <v>195</v>
      </c>
      <c r="B74" s="1159" t="s">
        <v>481</v>
      </c>
      <c r="C74" s="1161" t="s">
        <v>126</v>
      </c>
      <c r="D74" s="1161"/>
      <c r="E74" s="1162"/>
    </row>
    <row r="75" spans="1:5" ht="37.5" customHeight="1" thickBot="1">
      <c r="A75" s="1158"/>
      <c r="B75" s="1160"/>
      <c r="C75" s="210" t="s">
        <v>482</v>
      </c>
      <c r="D75" s="210" t="s">
        <v>489</v>
      </c>
      <c r="E75" s="211" t="s">
        <v>490</v>
      </c>
    </row>
    <row r="76" spans="1:5" s="30" customFormat="1" ht="12" customHeight="1" thickBot="1">
      <c r="A76" s="26">
        <v>1</v>
      </c>
      <c r="B76" s="27">
        <v>2</v>
      </c>
      <c r="C76" s="27">
        <v>3</v>
      </c>
      <c r="D76" s="27">
        <v>4</v>
      </c>
      <c r="E76" s="28">
        <v>5</v>
      </c>
    </row>
    <row r="77" spans="1:5" ht="12" customHeight="1" thickBot="1">
      <c r="A77" s="20" t="s">
        <v>145</v>
      </c>
      <c r="B77" s="25" t="s">
        <v>314</v>
      </c>
      <c r="C77" s="263">
        <f>+C78+C79+C80+C81+C82</f>
        <v>253288</v>
      </c>
      <c r="D77" s="263">
        <f>+D78+D79+D80+D81+D82</f>
        <v>333066</v>
      </c>
      <c r="E77" s="119">
        <f>+E78+E79+E80+E81+E82</f>
        <v>299727</v>
      </c>
    </row>
    <row r="78" spans="1:5" ht="12" customHeight="1">
      <c r="A78" s="15" t="s">
        <v>217</v>
      </c>
      <c r="B78" s="8" t="s">
        <v>175</v>
      </c>
      <c r="C78" s="516">
        <v>82664</v>
      </c>
      <c r="D78" s="581">
        <f>60953+19809+11872+11956</f>
        <v>104590</v>
      </c>
      <c r="E78" s="582">
        <v>101788</v>
      </c>
    </row>
    <row r="79" spans="1:5" ht="12" customHeight="1">
      <c r="A79" s="12" t="s">
        <v>218</v>
      </c>
      <c r="B79" s="6" t="s">
        <v>315</v>
      </c>
      <c r="C79" s="510">
        <v>19234</v>
      </c>
      <c r="D79" s="510">
        <f>13443+5085+3122+3137</f>
        <v>24787</v>
      </c>
      <c r="E79" s="583">
        <v>24358</v>
      </c>
    </row>
    <row r="80" spans="1:5" ht="12" customHeight="1">
      <c r="A80" s="12" t="s">
        <v>219</v>
      </c>
      <c r="B80" s="6" t="s">
        <v>248</v>
      </c>
      <c r="C80" s="518">
        <v>102152</v>
      </c>
      <c r="D80" s="518">
        <f>120352+15950+14799+4792</f>
        <v>155893</v>
      </c>
      <c r="E80" s="588">
        <v>125786</v>
      </c>
    </row>
    <row r="81" spans="1:5" ht="12" customHeight="1">
      <c r="A81" s="12" t="s">
        <v>220</v>
      </c>
      <c r="B81" s="9" t="s">
        <v>316</v>
      </c>
      <c r="C81" s="518"/>
      <c r="D81" s="518"/>
      <c r="E81" s="588"/>
    </row>
    <row r="82" spans="1:5" ht="12" customHeight="1">
      <c r="A82" s="12" t="s">
        <v>231</v>
      </c>
      <c r="B82" s="17" t="s">
        <v>317</v>
      </c>
      <c r="C82" s="518">
        <f>SUM(C83:C89)</f>
        <v>49238</v>
      </c>
      <c r="D82" s="510">
        <f>SUM(D83:D89)</f>
        <v>47796</v>
      </c>
      <c r="E82" s="888">
        <f>SUM(E83:E89)</f>
        <v>47795</v>
      </c>
    </row>
    <row r="83" spans="1:5" ht="12" customHeight="1">
      <c r="A83" s="12" t="s">
        <v>221</v>
      </c>
      <c r="B83" s="6" t="s">
        <v>334</v>
      </c>
      <c r="C83" s="518"/>
      <c r="D83" s="519"/>
      <c r="E83" s="588"/>
    </row>
    <row r="84" spans="1:5" ht="12" customHeight="1">
      <c r="A84" s="12" t="s">
        <v>222</v>
      </c>
      <c r="B84" s="68" t="s">
        <v>335</v>
      </c>
      <c r="C84" s="518">
        <v>45093</v>
      </c>
      <c r="D84" s="518">
        <f>531+42336</f>
        <v>42867</v>
      </c>
      <c r="E84" s="588">
        <v>42866</v>
      </c>
    </row>
    <row r="85" spans="1:5" ht="12" customHeight="1">
      <c r="A85" s="12" t="s">
        <v>232</v>
      </c>
      <c r="B85" s="68" t="s">
        <v>380</v>
      </c>
      <c r="C85" s="518">
        <v>3836</v>
      </c>
      <c r="D85" s="518">
        <v>2188</v>
      </c>
      <c r="E85" s="588">
        <v>2188</v>
      </c>
    </row>
    <row r="86" spans="1:5" ht="12" customHeight="1">
      <c r="A86" s="12" t="s">
        <v>233</v>
      </c>
      <c r="B86" s="69" t="s">
        <v>336</v>
      </c>
      <c r="C86" s="518">
        <v>309</v>
      </c>
      <c r="D86" s="518">
        <v>2741</v>
      </c>
      <c r="E86" s="588">
        <v>2741</v>
      </c>
    </row>
    <row r="87" spans="1:5" ht="12" customHeight="1">
      <c r="A87" s="11" t="s">
        <v>234</v>
      </c>
      <c r="B87" s="70" t="s">
        <v>337</v>
      </c>
      <c r="C87" s="518"/>
      <c r="D87" s="518"/>
      <c r="E87" s="588"/>
    </row>
    <row r="88" spans="1:5" ht="12" customHeight="1">
      <c r="A88" s="12" t="s">
        <v>235</v>
      </c>
      <c r="B88" s="70" t="s">
        <v>338</v>
      </c>
      <c r="C88" s="518"/>
      <c r="D88" s="518"/>
      <c r="E88" s="588"/>
    </row>
    <row r="89" spans="1:5" ht="12" customHeight="1" thickBot="1">
      <c r="A89" s="16" t="s">
        <v>237</v>
      </c>
      <c r="B89" s="71" t="s">
        <v>339</v>
      </c>
      <c r="C89" s="521"/>
      <c r="D89" s="562"/>
      <c r="E89" s="584"/>
    </row>
    <row r="90" spans="1:5" ht="12" customHeight="1" thickBot="1">
      <c r="A90" s="18" t="s">
        <v>146</v>
      </c>
      <c r="B90" s="24" t="s">
        <v>400</v>
      </c>
      <c r="C90" s="264">
        <f>+C91+C92+C93</f>
        <v>21758</v>
      </c>
      <c r="D90" s="264">
        <f>+D91+D92+D93</f>
        <v>119604</v>
      </c>
      <c r="E90" s="120">
        <f>+E91+E92+E93</f>
        <v>18942</v>
      </c>
    </row>
    <row r="91" spans="1:5" ht="12" customHeight="1">
      <c r="A91" s="13" t="s">
        <v>225</v>
      </c>
      <c r="B91" s="6" t="s">
        <v>381</v>
      </c>
      <c r="C91" s="517">
        <v>2756</v>
      </c>
      <c r="D91" s="581">
        <f>2319+170</f>
        <v>2489</v>
      </c>
      <c r="E91" s="582">
        <v>2490</v>
      </c>
    </row>
    <row r="92" spans="1:5" ht="12" customHeight="1">
      <c r="A92" s="13" t="s">
        <v>226</v>
      </c>
      <c r="B92" s="10" t="s">
        <v>318</v>
      </c>
      <c r="C92" s="510">
        <v>19002</v>
      </c>
      <c r="D92" s="518">
        <f>19002+67</f>
        <v>19069</v>
      </c>
      <c r="E92" s="588">
        <v>4406</v>
      </c>
    </row>
    <row r="93" spans="1:5" ht="12" customHeight="1">
      <c r="A93" s="13" t="s">
        <v>227</v>
      </c>
      <c r="B93" s="102" t="s">
        <v>401</v>
      </c>
      <c r="C93" s="510">
        <f>SUM(C94:C100)</f>
        <v>0</v>
      </c>
      <c r="D93" s="510">
        <f>SUM(D94:D100)</f>
        <v>98046</v>
      </c>
      <c r="E93" s="888">
        <f>SUM(E94:E100)</f>
        <v>12046</v>
      </c>
    </row>
    <row r="94" spans="1:5" ht="12" customHeight="1">
      <c r="A94" s="13" t="s">
        <v>228</v>
      </c>
      <c r="B94" s="102" t="s">
        <v>476</v>
      </c>
      <c r="C94" s="510"/>
      <c r="D94" s="517"/>
      <c r="E94" s="583"/>
    </row>
    <row r="95" spans="1:5" ht="12" customHeight="1">
      <c r="A95" s="13" t="s">
        <v>229</v>
      </c>
      <c r="B95" s="102" t="s">
        <v>414</v>
      </c>
      <c r="C95" s="510"/>
      <c r="D95" s="510">
        <v>98008</v>
      </c>
      <c r="E95" s="583">
        <v>12008</v>
      </c>
    </row>
    <row r="96" spans="1:5" ht="15.75">
      <c r="A96" s="13" t="s">
        <v>236</v>
      </c>
      <c r="B96" s="102" t="s">
        <v>415</v>
      </c>
      <c r="C96" s="510"/>
      <c r="D96" s="510">
        <v>38</v>
      </c>
      <c r="E96" s="583">
        <v>38</v>
      </c>
    </row>
    <row r="97" spans="1:5" ht="12" customHeight="1">
      <c r="A97" s="13" t="s">
        <v>238</v>
      </c>
      <c r="B97" s="200" t="s">
        <v>383</v>
      </c>
      <c r="C97" s="510"/>
      <c r="D97" s="510"/>
      <c r="E97" s="583"/>
    </row>
    <row r="98" spans="1:5" ht="12" customHeight="1">
      <c r="A98" s="13" t="s">
        <v>319</v>
      </c>
      <c r="B98" s="200" t="s">
        <v>384</v>
      </c>
      <c r="C98" s="510"/>
      <c r="D98" s="510"/>
      <c r="E98" s="583"/>
    </row>
    <row r="99" spans="1:5" ht="21.75" customHeight="1">
      <c r="A99" s="13" t="s">
        <v>320</v>
      </c>
      <c r="B99" s="200" t="s">
        <v>382</v>
      </c>
      <c r="C99" s="510"/>
      <c r="D99" s="510"/>
      <c r="E99" s="583"/>
    </row>
    <row r="100" spans="1:5" ht="24" customHeight="1" thickBot="1">
      <c r="A100" s="11" t="s">
        <v>321</v>
      </c>
      <c r="B100" s="201" t="s">
        <v>502</v>
      </c>
      <c r="C100" s="518"/>
      <c r="D100" s="562"/>
      <c r="E100" s="584"/>
    </row>
    <row r="101" spans="1:5" ht="12" customHeight="1" thickBot="1">
      <c r="A101" s="18" t="s">
        <v>147</v>
      </c>
      <c r="B101" s="58" t="s">
        <v>416</v>
      </c>
      <c r="C101" s="264">
        <f>+C102+C103</f>
        <v>16910</v>
      </c>
      <c r="D101" s="264">
        <f>+D102+D103</f>
        <v>13376</v>
      </c>
      <c r="E101" s="120">
        <f>+E102+E103</f>
        <v>0</v>
      </c>
    </row>
    <row r="102" spans="1:5" ht="12" customHeight="1">
      <c r="A102" s="13" t="s">
        <v>197</v>
      </c>
      <c r="B102" s="7" t="s">
        <v>185</v>
      </c>
      <c r="C102" s="517">
        <v>11910</v>
      </c>
      <c r="D102" s="581">
        <v>8376</v>
      </c>
      <c r="E102" s="582"/>
    </row>
    <row r="103" spans="1:5" ht="12" customHeight="1" thickBot="1">
      <c r="A103" s="14" t="s">
        <v>198</v>
      </c>
      <c r="B103" s="10" t="s">
        <v>186</v>
      </c>
      <c r="C103" s="518">
        <v>5000</v>
      </c>
      <c r="D103" s="562">
        <v>5000</v>
      </c>
      <c r="E103" s="584"/>
    </row>
    <row r="104" spans="1:5" s="100" customFormat="1" ht="12" customHeight="1" thickBot="1">
      <c r="A104" s="106" t="s">
        <v>148</v>
      </c>
      <c r="B104" s="101" t="s">
        <v>385</v>
      </c>
      <c r="C104" s="284"/>
      <c r="D104" s="284"/>
      <c r="E104" s="285"/>
    </row>
    <row r="105" spans="1:5" ht="12" customHeight="1" thickBot="1">
      <c r="A105" s="98" t="s">
        <v>149</v>
      </c>
      <c r="B105" s="99" t="s">
        <v>267</v>
      </c>
      <c r="C105" s="263">
        <f>+C77+C90+C101+C104</f>
        <v>291956</v>
      </c>
      <c r="D105" s="263">
        <f>+D77+D90+D101+D104</f>
        <v>466046</v>
      </c>
      <c r="E105" s="119">
        <f>+E77+E90+E101+E104</f>
        <v>318669</v>
      </c>
    </row>
    <row r="106" spans="1:5" ht="12" customHeight="1" thickBot="1">
      <c r="A106" s="106" t="s">
        <v>150</v>
      </c>
      <c r="B106" s="101" t="s">
        <v>477</v>
      </c>
      <c r="C106" s="264">
        <f>+C107+C115</f>
        <v>0</v>
      </c>
      <c r="D106" s="264">
        <f>+D107+D115</f>
        <v>0</v>
      </c>
      <c r="E106" s="120">
        <f>+E107+E115</f>
        <v>0</v>
      </c>
    </row>
    <row r="107" spans="1:5" ht="12" customHeight="1" thickBot="1">
      <c r="A107" s="113" t="s">
        <v>204</v>
      </c>
      <c r="B107" s="202" t="s">
        <v>78</v>
      </c>
      <c r="C107" s="264">
        <f>+C108+C109+C110+C111+C112+C113+C114</f>
        <v>0</v>
      </c>
      <c r="D107" s="264">
        <f>+D108+D109+D110+D111+D112+D113+D114</f>
        <v>0</v>
      </c>
      <c r="E107" s="120">
        <f>+E108+E109+E110+E111+E112+E113+E114</f>
        <v>0</v>
      </c>
    </row>
    <row r="108" spans="1:5" ht="12" customHeight="1">
      <c r="A108" s="114" t="s">
        <v>207</v>
      </c>
      <c r="B108" s="115" t="s">
        <v>386</v>
      </c>
      <c r="C108" s="265"/>
      <c r="D108" s="265"/>
      <c r="E108" s="121"/>
    </row>
    <row r="109" spans="1:5" ht="12" customHeight="1">
      <c r="A109" s="107" t="s">
        <v>208</v>
      </c>
      <c r="B109" s="102" t="s">
        <v>387</v>
      </c>
      <c r="C109" s="265"/>
      <c r="D109" s="265"/>
      <c r="E109" s="121"/>
    </row>
    <row r="110" spans="1:5" ht="12" customHeight="1">
      <c r="A110" s="107" t="s">
        <v>209</v>
      </c>
      <c r="B110" s="102" t="s">
        <v>388</v>
      </c>
      <c r="C110" s="265"/>
      <c r="D110" s="265"/>
      <c r="E110" s="121"/>
    </row>
    <row r="111" spans="1:5" ht="12" customHeight="1">
      <c r="A111" s="107" t="s">
        <v>210</v>
      </c>
      <c r="B111" s="102" t="s">
        <v>389</v>
      </c>
      <c r="C111" s="265"/>
      <c r="D111" s="265"/>
      <c r="E111" s="121"/>
    </row>
    <row r="112" spans="1:5" ht="12" customHeight="1">
      <c r="A112" s="107" t="s">
        <v>305</v>
      </c>
      <c r="B112" s="102" t="s">
        <v>390</v>
      </c>
      <c r="C112" s="265"/>
      <c r="D112" s="265"/>
      <c r="E112" s="121"/>
    </row>
    <row r="113" spans="1:5" ht="12" customHeight="1">
      <c r="A113" s="107" t="s">
        <v>322</v>
      </c>
      <c r="B113" s="102" t="s">
        <v>391</v>
      </c>
      <c r="C113" s="265"/>
      <c r="D113" s="265"/>
      <c r="E113" s="121"/>
    </row>
    <row r="114" spans="1:5" ht="12" customHeight="1" thickBot="1">
      <c r="A114" s="116" t="s">
        <v>323</v>
      </c>
      <c r="B114" s="117" t="s">
        <v>392</v>
      </c>
      <c r="C114" s="265"/>
      <c r="D114" s="265"/>
      <c r="E114" s="121"/>
    </row>
    <row r="115" spans="1:5" ht="12" customHeight="1" thickBot="1">
      <c r="A115" s="113" t="s">
        <v>205</v>
      </c>
      <c r="B115" s="202" t="s">
        <v>79</v>
      </c>
      <c r="C115" s="264">
        <f>+C116+C117+C118+C119+C120+C121+C122+C123</f>
        <v>0</v>
      </c>
      <c r="D115" s="264">
        <f>+D116+D117+D118+D119+D120+D121+D122+D123</f>
        <v>0</v>
      </c>
      <c r="E115" s="120">
        <f>+E116+E117+E118+E119+E120+E121+E122+E123</f>
        <v>0</v>
      </c>
    </row>
    <row r="116" spans="1:5" ht="12" customHeight="1">
      <c r="A116" s="114" t="s">
        <v>213</v>
      </c>
      <c r="B116" s="115" t="s">
        <v>386</v>
      </c>
      <c r="C116" s="265"/>
      <c r="D116" s="265"/>
      <c r="E116" s="121"/>
    </row>
    <row r="117" spans="1:5" ht="12" customHeight="1">
      <c r="A117" s="107" t="s">
        <v>214</v>
      </c>
      <c r="B117" s="102" t="s">
        <v>393</v>
      </c>
      <c r="C117" s="265"/>
      <c r="D117" s="265"/>
      <c r="E117" s="121"/>
    </row>
    <row r="118" spans="1:5" ht="12" customHeight="1">
      <c r="A118" s="107" t="s">
        <v>215</v>
      </c>
      <c r="B118" s="102" t="s">
        <v>388</v>
      </c>
      <c r="C118" s="265"/>
      <c r="D118" s="265"/>
      <c r="E118" s="121"/>
    </row>
    <row r="119" spans="1:5" ht="12" customHeight="1">
      <c r="A119" s="107" t="s">
        <v>216</v>
      </c>
      <c r="B119" s="102" t="s">
        <v>389</v>
      </c>
      <c r="C119" s="265"/>
      <c r="D119" s="265"/>
      <c r="E119" s="121"/>
    </row>
    <row r="120" spans="1:5" ht="12" customHeight="1">
      <c r="A120" s="107" t="s">
        <v>306</v>
      </c>
      <c r="B120" s="102" t="s">
        <v>390</v>
      </c>
      <c r="C120" s="265"/>
      <c r="D120" s="265"/>
      <c r="E120" s="121"/>
    </row>
    <row r="121" spans="1:5" ht="12" customHeight="1">
      <c r="A121" s="107" t="s">
        <v>324</v>
      </c>
      <c r="B121" s="102" t="s">
        <v>394</v>
      </c>
      <c r="C121" s="265"/>
      <c r="D121" s="265"/>
      <c r="E121" s="121"/>
    </row>
    <row r="122" spans="1:5" ht="12" customHeight="1">
      <c r="A122" s="107" t="s">
        <v>325</v>
      </c>
      <c r="B122" s="102" t="s">
        <v>392</v>
      </c>
      <c r="C122" s="265"/>
      <c r="D122" s="265"/>
      <c r="E122" s="121"/>
    </row>
    <row r="123" spans="1:5" ht="12" customHeight="1" thickBot="1">
      <c r="A123" s="116" t="s">
        <v>326</v>
      </c>
      <c r="B123" s="117" t="s">
        <v>478</v>
      </c>
      <c r="C123" s="265"/>
      <c r="D123" s="265"/>
      <c r="E123" s="121"/>
    </row>
    <row r="124" spans="1:5" ht="24.75" thickBot="1">
      <c r="A124" s="106" t="s">
        <v>151</v>
      </c>
      <c r="B124" s="198" t="s">
        <v>395</v>
      </c>
      <c r="C124" s="286">
        <f>+C105+C106</f>
        <v>291956</v>
      </c>
      <c r="D124" s="286">
        <f>+D105+D106</f>
        <v>466046</v>
      </c>
      <c r="E124" s="133">
        <f>+E105+E106</f>
        <v>318669</v>
      </c>
    </row>
    <row r="125" spans="1:9" ht="15" customHeight="1" thickBot="1">
      <c r="A125" s="106" t="s">
        <v>152</v>
      </c>
      <c r="B125" s="198" t="s">
        <v>396</v>
      </c>
      <c r="C125" s="287"/>
      <c r="D125" s="287"/>
      <c r="E125" s="134">
        <v>-1916</v>
      </c>
      <c r="F125" s="31"/>
      <c r="G125" s="59"/>
      <c r="H125" s="59"/>
      <c r="I125" s="59"/>
    </row>
    <row r="126" spans="1:5" s="1" customFormat="1" ht="12.75" customHeight="1" thickBot="1">
      <c r="A126" s="118" t="s">
        <v>153</v>
      </c>
      <c r="B126" s="199" t="s">
        <v>397</v>
      </c>
      <c r="C126" s="281">
        <f>+C124+C125</f>
        <v>291956</v>
      </c>
      <c r="D126" s="281">
        <f>+D124+D125</f>
        <v>466046</v>
      </c>
      <c r="E126" s="129">
        <f>+E124+E125</f>
        <v>316753</v>
      </c>
    </row>
    <row r="127" spans="1:5" ht="7.5" customHeight="1">
      <c r="A127" s="203"/>
      <c r="B127" s="203"/>
      <c r="C127" s="204"/>
      <c r="D127" s="204"/>
      <c r="E127" s="204"/>
    </row>
    <row r="128" spans="1:5" ht="15.75">
      <c r="A128" s="209" t="s">
        <v>270</v>
      </c>
      <c r="B128" s="209"/>
      <c r="C128" s="209"/>
      <c r="D128" s="209"/>
      <c r="E128" s="209"/>
    </row>
    <row r="129" spans="1:5" ht="15" customHeight="1" thickBot="1">
      <c r="A129" s="207" t="s">
        <v>264</v>
      </c>
      <c r="B129" s="207"/>
      <c r="C129" s="136"/>
      <c r="D129" s="136"/>
      <c r="E129" s="136" t="s">
        <v>398</v>
      </c>
    </row>
    <row r="130" spans="1:5" ht="24.75" customHeight="1" thickBot="1">
      <c r="A130" s="18">
        <v>1</v>
      </c>
      <c r="B130" s="24" t="s">
        <v>333</v>
      </c>
      <c r="C130" s="135">
        <f>+C54-C105</f>
        <v>-65000</v>
      </c>
      <c r="D130" s="135">
        <f>+D54-D105</f>
        <v>-70965</v>
      </c>
      <c r="E130" s="120">
        <f>+E54-E105</f>
        <v>81042</v>
      </c>
    </row>
    <row r="131" spans="1:5" ht="7.5" customHeight="1">
      <c r="A131" s="203"/>
      <c r="B131" s="203"/>
      <c r="C131" s="204"/>
      <c r="D131" s="204"/>
      <c r="E131" s="204"/>
    </row>
    <row r="133" ht="12.75" customHeight="1"/>
    <row r="134" ht="13.5" customHeight="1"/>
    <row r="135" ht="13.5" customHeight="1"/>
    <row r="136" ht="13.5" customHeight="1"/>
    <row r="137" ht="7.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</sheetData>
  <sheetProtection/>
  <mergeCells count="8">
    <mergeCell ref="A1:E1"/>
    <mergeCell ref="A72:E72"/>
    <mergeCell ref="A74:A75"/>
    <mergeCell ref="B74:B75"/>
    <mergeCell ref="C74:E74"/>
    <mergeCell ref="A3:A4"/>
    <mergeCell ref="B3:B4"/>
    <mergeCell ref="C3:E3"/>
  </mergeCells>
  <printOptions horizontalCentered="1"/>
  <pageMargins left="0.7874015748031497" right="0.7874015748031497" top="1.4566929133858268" bottom="0.5905511811023623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Alattyán Község Önkormányzata
2013. ÉVI ZÁRSZÁMADÁSÁNAK PÉNZÜGYI MÉRLEGE&amp;10
&amp;R&amp;"Times New Roman CE,Félkövér dőlt"&amp;11 1.1. melléklet a 6/2014. (IV.29.) önkormányzati rendelethez</oddHeader>
  </headerFooter>
  <rowBreaks count="1" manualBreakCount="1">
    <brk id="71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G54"/>
  <sheetViews>
    <sheetView view="pageBreakPreview" zoomScale="160" zoomScaleSheetLayoutView="160" workbookViewId="0" topLeftCell="A31">
      <selection activeCell="C9" sqref="C9"/>
    </sheetView>
  </sheetViews>
  <sheetFormatPr defaultColWidth="9.00390625" defaultRowHeight="12.75"/>
  <cols>
    <col min="1" max="1" width="9.625" style="861" customWidth="1"/>
    <col min="2" max="2" width="9.625" style="862" customWidth="1"/>
    <col min="3" max="3" width="59.375" style="862" customWidth="1"/>
    <col min="4" max="6" width="15.875" style="862" customWidth="1"/>
    <col min="7" max="16384" width="9.375" style="726" customWidth="1"/>
  </cols>
  <sheetData>
    <row r="1" spans="1:6" s="714" customFormat="1" ht="21" customHeight="1">
      <c r="A1" s="710"/>
      <c r="B1" s="711"/>
      <c r="C1" s="712"/>
      <c r="D1" s="713"/>
      <c r="E1" s="713"/>
      <c r="F1" s="713" t="s">
        <v>923</v>
      </c>
    </row>
    <row r="2" spans="1:6" s="716" customFormat="1" ht="25.5" customHeight="1">
      <c r="A2" s="1191" t="s">
        <v>888</v>
      </c>
      <c r="B2" s="1191"/>
      <c r="C2" s="1192" t="s">
        <v>924</v>
      </c>
      <c r="D2" s="1192"/>
      <c r="E2" s="1192"/>
      <c r="F2" s="843" t="s">
        <v>890</v>
      </c>
    </row>
    <row r="3" spans="1:6" s="716" customFormat="1" ht="15.75">
      <c r="A3" s="717" t="s">
        <v>831</v>
      </c>
      <c r="B3" s="718"/>
      <c r="C3" s="1193" t="s">
        <v>891</v>
      </c>
      <c r="D3" s="1193"/>
      <c r="E3" s="1193"/>
      <c r="F3" s="844" t="s">
        <v>892</v>
      </c>
    </row>
    <row r="4" spans="1:6" s="722" customFormat="1" ht="15.75" customHeight="1">
      <c r="A4" s="720"/>
      <c r="B4" s="720"/>
      <c r="C4" s="720"/>
      <c r="D4" s="721"/>
      <c r="E4" s="721"/>
      <c r="F4" s="721" t="s">
        <v>179</v>
      </c>
    </row>
    <row r="5" spans="1:6" ht="24.75" customHeight="1">
      <c r="A5" s="1194" t="s">
        <v>834</v>
      </c>
      <c r="B5" s="1194"/>
      <c r="C5" s="723" t="s">
        <v>835</v>
      </c>
      <c r="D5" s="724" t="s">
        <v>482</v>
      </c>
      <c r="E5" s="724" t="s">
        <v>489</v>
      </c>
      <c r="F5" s="725" t="s">
        <v>490</v>
      </c>
    </row>
    <row r="6" spans="1:6" s="731" customFormat="1" ht="12.75" customHeight="1">
      <c r="A6" s="727">
        <v>1</v>
      </c>
      <c r="B6" s="728">
        <v>2</v>
      </c>
      <c r="C6" s="728">
        <v>3</v>
      </c>
      <c r="D6" s="728">
        <v>4</v>
      </c>
      <c r="E6" s="729">
        <v>5</v>
      </c>
      <c r="F6" s="730">
        <v>6</v>
      </c>
    </row>
    <row r="7" spans="1:6" s="731" customFormat="1" ht="15.75" customHeight="1">
      <c r="A7" s="1190" t="s">
        <v>180</v>
      </c>
      <c r="B7" s="1190"/>
      <c r="C7" s="1190"/>
      <c r="D7" s="1190"/>
      <c r="E7" s="1190"/>
      <c r="F7" s="1190"/>
    </row>
    <row r="8" spans="1:7" s="735" customFormat="1" ht="12" customHeight="1" thickBot="1">
      <c r="A8" s="727" t="s">
        <v>145</v>
      </c>
      <c r="B8" s="732"/>
      <c r="C8" s="887" t="s">
        <v>933</v>
      </c>
      <c r="D8" s="734">
        <f>SUM(D9:D16)</f>
        <v>7854</v>
      </c>
      <c r="E8" s="734">
        <f>SUM(E9:E16)</f>
        <v>7587</v>
      </c>
      <c r="F8" s="737">
        <f>SUM(F9:F16)</f>
        <v>7588</v>
      </c>
      <c r="G8" s="735">
        <f>'8.2. sz. mell'!F8+'8.3. sz. mell'!F8</f>
        <v>7588</v>
      </c>
    </row>
    <row r="9" spans="1:7" s="735" customFormat="1" ht="12" customHeight="1">
      <c r="A9" s="746"/>
      <c r="B9" s="740" t="s">
        <v>217</v>
      </c>
      <c r="C9" s="886" t="s">
        <v>284</v>
      </c>
      <c r="D9" s="749"/>
      <c r="E9" s="749"/>
      <c r="F9" s="750"/>
      <c r="G9" s="735">
        <f>'8.2. sz. mell'!F9+'8.3. sz. mell'!F9</f>
        <v>0</v>
      </c>
    </row>
    <row r="10" spans="1:7" s="735" customFormat="1" ht="12" customHeight="1">
      <c r="A10" s="739"/>
      <c r="B10" s="740" t="s">
        <v>218</v>
      </c>
      <c r="C10" s="509" t="s">
        <v>285</v>
      </c>
      <c r="D10" s="742"/>
      <c r="E10" s="742"/>
      <c r="F10" s="743"/>
      <c r="G10" s="735">
        <f>'8.2. sz. mell'!F10+'8.3. sz. mell'!F10</f>
        <v>0</v>
      </c>
    </row>
    <row r="11" spans="1:7" s="735" customFormat="1" ht="12" customHeight="1">
      <c r="A11" s="739"/>
      <c r="B11" s="740" t="s">
        <v>219</v>
      </c>
      <c r="C11" s="509" t="s">
        <v>838</v>
      </c>
      <c r="D11" s="742"/>
      <c r="E11" s="742"/>
      <c r="F11" s="743"/>
      <c r="G11" s="735">
        <f>'8.2. sz. mell'!F11+'8.3. sz. mell'!F11</f>
        <v>0</v>
      </c>
    </row>
    <row r="12" spans="1:7" s="735" customFormat="1" ht="12" customHeight="1">
      <c r="A12" s="739"/>
      <c r="B12" s="740" t="s">
        <v>220</v>
      </c>
      <c r="C12" s="509" t="s">
        <v>286</v>
      </c>
      <c r="D12" s="742"/>
      <c r="E12" s="742"/>
      <c r="F12" s="743"/>
      <c r="G12" s="735">
        <f>'8.2. sz. mell'!F12+'8.3. sz. mell'!F12</f>
        <v>0</v>
      </c>
    </row>
    <row r="13" spans="1:7" s="735" customFormat="1" ht="12" customHeight="1">
      <c r="A13" s="739"/>
      <c r="B13" s="740" t="s">
        <v>893</v>
      </c>
      <c r="C13" s="509" t="s">
        <v>287</v>
      </c>
      <c r="D13" s="742">
        <v>6690</v>
      </c>
      <c r="E13" s="742">
        <v>5315</v>
      </c>
      <c r="F13" s="743">
        <v>5315</v>
      </c>
      <c r="G13" s="735">
        <f>'8.2. sz. mell'!F13+'8.3. sz. mell'!F13</f>
        <v>5315</v>
      </c>
    </row>
    <row r="14" spans="1:7" s="735" customFormat="1" ht="12" customHeight="1">
      <c r="A14" s="753"/>
      <c r="B14" s="740" t="s">
        <v>221</v>
      </c>
      <c r="C14" s="509" t="s">
        <v>288</v>
      </c>
      <c r="D14" s="742"/>
      <c r="E14" s="742"/>
      <c r="F14" s="743"/>
      <c r="G14" s="735">
        <f>'8.2. sz. mell'!F14+'8.3. sz. mell'!F14</f>
        <v>0</v>
      </c>
    </row>
    <row r="15" spans="1:7" s="738" customFormat="1" ht="12" customHeight="1">
      <c r="A15" s="739"/>
      <c r="B15" s="740" t="s">
        <v>222</v>
      </c>
      <c r="C15" s="509" t="s">
        <v>839</v>
      </c>
      <c r="D15" s="742"/>
      <c r="E15" s="742">
        <v>243</v>
      </c>
      <c r="F15" s="743">
        <v>244</v>
      </c>
      <c r="G15" s="735">
        <f>'8.2. sz. mell'!F15+'8.3. sz. mell'!F15</f>
        <v>244</v>
      </c>
    </row>
    <row r="16" spans="1:7" s="738" customFormat="1" ht="12" customHeight="1">
      <c r="A16" s="739"/>
      <c r="B16" s="740" t="s">
        <v>232</v>
      </c>
      <c r="C16" s="509" t="s">
        <v>345</v>
      </c>
      <c r="D16" s="742">
        <v>1164</v>
      </c>
      <c r="E16" s="742">
        <v>2029</v>
      </c>
      <c r="F16" s="743">
        <v>2029</v>
      </c>
      <c r="G16" s="735">
        <f>'8.2. sz. mell'!F16+'8.3. sz. mell'!F16</f>
        <v>2029</v>
      </c>
    </row>
    <row r="17" spans="1:7" s="738" customFormat="1" ht="12" customHeight="1">
      <c r="A17" s="757"/>
      <c r="B17" s="766" t="s">
        <v>233</v>
      </c>
      <c r="C17" s="509" t="s">
        <v>289</v>
      </c>
      <c r="D17" s="742"/>
      <c r="E17" s="742"/>
      <c r="F17" s="743"/>
      <c r="G17" s="735">
        <f>'8.2. sz. mell'!F17+'8.3. sz. mell'!F17</f>
        <v>0</v>
      </c>
    </row>
    <row r="18" spans="1:7" s="738" customFormat="1" ht="12" customHeight="1" thickBot="1">
      <c r="A18" s="759"/>
      <c r="B18" s="846" t="s">
        <v>234</v>
      </c>
      <c r="C18" s="513" t="s">
        <v>290</v>
      </c>
      <c r="D18" s="762"/>
      <c r="E18" s="774">
        <v>1</v>
      </c>
      <c r="F18" s="763"/>
      <c r="G18" s="735">
        <f>'8.2. sz. mell'!F18+'8.3. sz. mell'!F18</f>
        <v>0</v>
      </c>
    </row>
    <row r="19" spans="1:7" s="735" customFormat="1" ht="12" customHeight="1" thickBot="1">
      <c r="A19" s="727" t="s">
        <v>146</v>
      </c>
      <c r="B19" s="732"/>
      <c r="C19" s="845" t="s">
        <v>894</v>
      </c>
      <c r="D19" s="734">
        <f>SUM(D20+D22)</f>
        <v>0</v>
      </c>
      <c r="E19" s="734">
        <f>SUM(E20+E22)</f>
        <v>0</v>
      </c>
      <c r="F19" s="737">
        <f>SUM(F20+F22)</f>
        <v>0</v>
      </c>
      <c r="G19" s="735">
        <f>'8.2. sz. mell'!F19+'8.3. sz. mell'!F19</f>
        <v>0</v>
      </c>
    </row>
    <row r="20" spans="1:7" s="738" customFormat="1" ht="12" customHeight="1">
      <c r="A20" s="739"/>
      <c r="B20" s="740" t="s">
        <v>225</v>
      </c>
      <c r="C20" s="848" t="s">
        <v>895</v>
      </c>
      <c r="D20" s="742"/>
      <c r="E20" s="742"/>
      <c r="F20" s="743"/>
      <c r="G20" s="735">
        <f>'8.2. sz. mell'!F20+'8.3. sz. mell'!F20</f>
        <v>0</v>
      </c>
    </row>
    <row r="21" spans="1:7" s="738" customFormat="1" ht="12" customHeight="1">
      <c r="A21" s="739"/>
      <c r="B21" s="740" t="s">
        <v>226</v>
      </c>
      <c r="C21" s="752" t="s">
        <v>896</v>
      </c>
      <c r="D21" s="742"/>
      <c r="E21" s="742"/>
      <c r="F21" s="743"/>
      <c r="G21" s="735">
        <f>'8.2. sz. mell'!F21+'8.3. sz. mell'!F21</f>
        <v>0</v>
      </c>
    </row>
    <row r="22" spans="1:7" s="738" customFormat="1" ht="12" customHeight="1">
      <c r="A22" s="739"/>
      <c r="B22" s="740" t="s">
        <v>227</v>
      </c>
      <c r="C22" s="752" t="s">
        <v>897</v>
      </c>
      <c r="D22" s="742"/>
      <c r="E22" s="742"/>
      <c r="F22" s="743"/>
      <c r="G22" s="735">
        <f>'8.2. sz. mell'!F22+'8.3. sz. mell'!F22</f>
        <v>0</v>
      </c>
    </row>
    <row r="23" spans="1:7" s="738" customFormat="1" ht="12" customHeight="1">
      <c r="A23" s="739"/>
      <c r="B23" s="740" t="s">
        <v>228</v>
      </c>
      <c r="C23" s="752" t="s">
        <v>896</v>
      </c>
      <c r="D23" s="742"/>
      <c r="E23" s="742"/>
      <c r="F23" s="743"/>
      <c r="G23" s="735">
        <f>'8.2. sz. mell'!F23+'8.3. sz. mell'!F23</f>
        <v>0</v>
      </c>
    </row>
    <row r="24" spans="1:7" s="738" customFormat="1" ht="12" customHeight="1">
      <c r="A24" s="727" t="s">
        <v>147</v>
      </c>
      <c r="B24" s="768"/>
      <c r="C24" s="768" t="s">
        <v>898</v>
      </c>
      <c r="D24" s="734">
        <f>+D25+D26</f>
        <v>0</v>
      </c>
      <c r="E24" s="734">
        <f>+E25+E26</f>
        <v>0</v>
      </c>
      <c r="F24" s="737">
        <f>+F25+F26</f>
        <v>0</v>
      </c>
      <c r="G24" s="735">
        <f>'8.2. sz. mell'!F24+'8.3. sz. mell'!F24</f>
        <v>0</v>
      </c>
    </row>
    <row r="25" spans="1:7" s="738" customFormat="1" ht="12" customHeight="1">
      <c r="A25" s="746"/>
      <c r="B25" s="849" t="s">
        <v>197</v>
      </c>
      <c r="C25" s="748" t="s">
        <v>353</v>
      </c>
      <c r="D25" s="749"/>
      <c r="E25" s="749"/>
      <c r="F25" s="750"/>
      <c r="G25" s="735">
        <f>'8.2. sz. mell'!F25+'8.3. sz. mell'!F25</f>
        <v>0</v>
      </c>
    </row>
    <row r="26" spans="1:7" s="738" customFormat="1" ht="12" customHeight="1">
      <c r="A26" s="764"/>
      <c r="B26" s="850" t="s">
        <v>198</v>
      </c>
      <c r="C26" s="761" t="s">
        <v>357</v>
      </c>
      <c r="D26" s="851"/>
      <c r="E26" s="851"/>
      <c r="F26" s="852"/>
      <c r="G26" s="735">
        <f>'8.2. sz. mell'!F26+'8.3. sz. mell'!F26</f>
        <v>0</v>
      </c>
    </row>
    <row r="27" spans="1:7" s="738" customFormat="1" ht="12" customHeight="1">
      <c r="A27" s="727" t="s">
        <v>148</v>
      </c>
      <c r="B27" s="768"/>
      <c r="C27" s="768" t="s">
        <v>899</v>
      </c>
      <c r="D27" s="779"/>
      <c r="E27" s="779"/>
      <c r="F27" s="780"/>
      <c r="G27" s="735"/>
    </row>
    <row r="28" spans="1:7" s="735" customFormat="1" ht="12" customHeight="1">
      <c r="A28" s="727" t="s">
        <v>149</v>
      </c>
      <c r="B28" s="732"/>
      <c r="C28" s="768" t="s">
        <v>900</v>
      </c>
      <c r="D28" s="779">
        <v>17459</v>
      </c>
      <c r="E28" s="779">
        <v>19877</v>
      </c>
      <c r="F28" s="780">
        <v>20130</v>
      </c>
      <c r="G28" s="735">
        <f>'8.2. sz. mell'!F28+'8.3. sz. mell'!F28</f>
        <v>0</v>
      </c>
    </row>
    <row r="29" spans="1:6" s="735" customFormat="1" ht="12" customHeight="1">
      <c r="A29" s="727" t="s">
        <v>150</v>
      </c>
      <c r="B29" s="784"/>
      <c r="C29" s="768" t="s">
        <v>901</v>
      </c>
      <c r="D29" s="734">
        <f>+D8+D19+D24+D27+D28</f>
        <v>25313</v>
      </c>
      <c r="E29" s="734">
        <f>+E8+E19+E24+E27+E28</f>
        <v>27464</v>
      </c>
      <c r="F29" s="737">
        <f>+F8+F19+F24+F27+F28</f>
        <v>27718</v>
      </c>
    </row>
    <row r="30" spans="1:7" s="735" customFormat="1" ht="12" customHeight="1">
      <c r="A30" s="853" t="s">
        <v>151</v>
      </c>
      <c r="B30" s="854"/>
      <c r="C30" s="812" t="s">
        <v>902</v>
      </c>
      <c r="D30" s="814">
        <f>+D31+D32</f>
        <v>0</v>
      </c>
      <c r="E30" s="814">
        <f>+E31+E32</f>
        <v>2328</v>
      </c>
      <c r="F30" s="815">
        <f>+F31+F32</f>
        <v>2328</v>
      </c>
      <c r="G30" s="735">
        <f>'8.2. sz. mell'!F30+'8.3. sz. mell'!F30</f>
        <v>2328</v>
      </c>
    </row>
    <row r="31" spans="1:7" s="735" customFormat="1" ht="12" customHeight="1">
      <c r="A31" s="746"/>
      <c r="B31" s="747" t="s">
        <v>211</v>
      </c>
      <c r="C31" s="748" t="s">
        <v>455</v>
      </c>
      <c r="D31" s="749"/>
      <c r="E31" s="749">
        <v>2328</v>
      </c>
      <c r="F31" s="750">
        <v>2328</v>
      </c>
      <c r="G31" s="735">
        <f>'8.2. sz. mell'!F31+'8.3. sz. mell'!F31</f>
        <v>0</v>
      </c>
    </row>
    <row r="32" spans="1:7" s="738" customFormat="1" ht="12" customHeight="1">
      <c r="A32" s="855"/>
      <c r="B32" s="760" t="s">
        <v>212</v>
      </c>
      <c r="C32" s="847" t="s">
        <v>903</v>
      </c>
      <c r="D32" s="774"/>
      <c r="E32" s="774"/>
      <c r="F32" s="763"/>
      <c r="G32" s="735">
        <f>'8.2. sz. mell'!F32+'8.3. sz. mell'!F32</f>
        <v>0</v>
      </c>
    </row>
    <row r="33" spans="1:7" s="738" customFormat="1" ht="12" customHeight="1">
      <c r="A33" s="790" t="s">
        <v>152</v>
      </c>
      <c r="B33" s="856"/>
      <c r="C33" s="857" t="s">
        <v>904</v>
      </c>
      <c r="D33" s="779"/>
      <c r="E33" s="779"/>
      <c r="F33" s="780"/>
      <c r="G33" s="735">
        <f>'8.2. sz. mell'!F33+'8.3. sz. mell'!F33</f>
        <v>30046</v>
      </c>
    </row>
    <row r="34" spans="1:7" s="738" customFormat="1" ht="15" customHeight="1">
      <c r="A34" s="790" t="s">
        <v>153</v>
      </c>
      <c r="B34" s="858"/>
      <c r="C34" s="859" t="s">
        <v>905</v>
      </c>
      <c r="D34" s="734">
        <f>+D29+D30+D33</f>
        <v>25313</v>
      </c>
      <c r="E34" s="734">
        <f>+E29+E30+E33</f>
        <v>29792</v>
      </c>
      <c r="F34" s="737">
        <f>+F29+F30+F33</f>
        <v>30046</v>
      </c>
      <c r="G34" s="735">
        <f>'8.2. sz. mell'!F34+'8.3. sz. mell'!F34</f>
        <v>0</v>
      </c>
    </row>
    <row r="35" spans="1:6" s="738" customFormat="1" ht="15" customHeight="1">
      <c r="A35" s="793"/>
      <c r="B35" s="793"/>
      <c r="C35" s="794"/>
      <c r="D35" s="795"/>
      <c r="E35" s="795"/>
      <c r="F35" s="795"/>
    </row>
    <row r="36" spans="1:6" ht="12.75">
      <c r="A36" s="796"/>
      <c r="B36" s="797"/>
      <c r="C36" s="797"/>
      <c r="D36" s="798"/>
      <c r="E36" s="798"/>
      <c r="F36" s="798"/>
    </row>
    <row r="37" spans="1:6" s="731" customFormat="1" ht="16.5" customHeight="1">
      <c r="A37" s="1190" t="s">
        <v>184</v>
      </c>
      <c r="B37" s="1190"/>
      <c r="C37" s="1190"/>
      <c r="D37" s="1190"/>
      <c r="E37" s="1190"/>
      <c r="F37" s="1190"/>
    </row>
    <row r="38" spans="1:7" s="800" customFormat="1" ht="12" customHeight="1" thickBot="1">
      <c r="A38" s="727" t="s">
        <v>145</v>
      </c>
      <c r="B38" s="768"/>
      <c r="C38" s="768" t="s">
        <v>852</v>
      </c>
      <c r="D38" s="734">
        <f>SUM(D39:D43)</f>
        <v>25313</v>
      </c>
      <c r="E38" s="734">
        <f>SUM(E39:E43)</f>
        <v>29793</v>
      </c>
      <c r="F38" s="737">
        <f>SUM(F39:F43)</f>
        <v>29724</v>
      </c>
      <c r="G38" s="800">
        <f>'8.2. sz. mell'!F37+'8.3. sz. mell'!F37</f>
        <v>29724</v>
      </c>
    </row>
    <row r="39" spans="1:7" ht="12" customHeight="1">
      <c r="A39" s="775"/>
      <c r="B39" s="801" t="s">
        <v>217</v>
      </c>
      <c r="C39" s="848" t="s">
        <v>175</v>
      </c>
      <c r="D39" s="776">
        <v>10630</v>
      </c>
      <c r="E39" s="749">
        <v>11872</v>
      </c>
      <c r="F39" s="750">
        <v>11872</v>
      </c>
      <c r="G39" s="800">
        <f>'8.2. sz. mell'!F38+'8.3. sz. mell'!F38</f>
        <v>11872</v>
      </c>
    </row>
    <row r="40" spans="1:7" ht="12" customHeight="1">
      <c r="A40" s="739"/>
      <c r="B40" s="751" t="s">
        <v>218</v>
      </c>
      <c r="C40" s="752" t="s">
        <v>315</v>
      </c>
      <c r="D40" s="742">
        <v>2729</v>
      </c>
      <c r="E40" s="742">
        <v>3122</v>
      </c>
      <c r="F40" s="743">
        <v>3123</v>
      </c>
      <c r="G40" s="800">
        <f>'8.2. sz. mell'!F39+'8.3. sz. mell'!F39</f>
        <v>3123</v>
      </c>
    </row>
    <row r="41" spans="1:7" ht="12" customHeight="1">
      <c r="A41" s="739"/>
      <c r="B41" s="751" t="s">
        <v>219</v>
      </c>
      <c r="C41" s="752" t="s">
        <v>248</v>
      </c>
      <c r="D41" s="742">
        <v>11954</v>
      </c>
      <c r="E41" s="742">
        <v>14799</v>
      </c>
      <c r="F41" s="743">
        <v>14729</v>
      </c>
      <c r="G41" s="800">
        <f>'8.2. sz. mell'!F40+'8.3. sz. mell'!F40</f>
        <v>14729</v>
      </c>
    </row>
    <row r="42" spans="1:7" ht="12" customHeight="1">
      <c r="A42" s="739"/>
      <c r="B42" s="751" t="s">
        <v>220</v>
      </c>
      <c r="C42" s="752" t="s">
        <v>316</v>
      </c>
      <c r="D42" s="742"/>
      <c r="E42" s="742"/>
      <c r="F42" s="743"/>
      <c r="G42" s="800">
        <f>'8.2. sz. mell'!F41+'8.3. sz. mell'!F41</f>
        <v>0</v>
      </c>
    </row>
    <row r="43" spans="1:7" ht="12" customHeight="1" thickBot="1">
      <c r="A43" s="739"/>
      <c r="B43" s="751" t="s">
        <v>231</v>
      </c>
      <c r="C43" s="752" t="s">
        <v>317</v>
      </c>
      <c r="D43" s="742"/>
      <c r="E43" s="774"/>
      <c r="F43" s="763"/>
      <c r="G43" s="800">
        <f>'8.2. sz. mell'!F42+'8.3. sz. mell'!F42</f>
        <v>0</v>
      </c>
    </row>
    <row r="44" spans="1:7" ht="12" customHeight="1" thickBot="1">
      <c r="A44" s="727" t="s">
        <v>146</v>
      </c>
      <c r="B44" s="768"/>
      <c r="C44" s="768" t="s">
        <v>906</v>
      </c>
      <c r="D44" s="734">
        <f>SUM(D45:D47)</f>
        <v>0</v>
      </c>
      <c r="E44" s="734">
        <f>SUM(E45:E47)</f>
        <v>0</v>
      </c>
      <c r="F44" s="737">
        <f>SUM(F45:F47)</f>
        <v>0</v>
      </c>
      <c r="G44" s="800">
        <f>'8.2. sz. mell'!F43+'8.3. sz. mell'!F43</f>
        <v>0</v>
      </c>
    </row>
    <row r="45" spans="1:7" s="800" customFormat="1" ht="12" customHeight="1">
      <c r="A45" s="775"/>
      <c r="B45" s="801" t="s">
        <v>225</v>
      </c>
      <c r="C45" s="848" t="s">
        <v>381</v>
      </c>
      <c r="D45" s="776"/>
      <c r="E45" s="776"/>
      <c r="F45" s="777"/>
      <c r="G45" s="800">
        <f>'8.2. sz. mell'!F44+'8.3. sz. mell'!F44</f>
        <v>0</v>
      </c>
    </row>
    <row r="46" spans="1:7" ht="12" customHeight="1">
      <c r="A46" s="739"/>
      <c r="B46" s="751" t="s">
        <v>226</v>
      </c>
      <c r="C46" s="752" t="s">
        <v>318</v>
      </c>
      <c r="D46" s="742"/>
      <c r="E46" s="742"/>
      <c r="F46" s="743"/>
      <c r="G46" s="800">
        <f>'8.2. sz. mell'!F45+'8.3. sz. mell'!F45</f>
        <v>0</v>
      </c>
    </row>
    <row r="47" spans="1:7" ht="12" customHeight="1">
      <c r="A47" s="739"/>
      <c r="B47" s="751" t="s">
        <v>227</v>
      </c>
      <c r="C47" s="752" t="s">
        <v>907</v>
      </c>
      <c r="D47" s="742"/>
      <c r="E47" s="742"/>
      <c r="F47" s="743"/>
      <c r="G47" s="800">
        <f>'8.2. sz. mell'!F46+'8.3. sz. mell'!F46</f>
        <v>0</v>
      </c>
    </row>
    <row r="48" spans="1:7" ht="12" customHeight="1">
      <c r="A48" s="739"/>
      <c r="B48" s="751" t="s">
        <v>228</v>
      </c>
      <c r="C48" s="752" t="s">
        <v>908</v>
      </c>
      <c r="D48" s="742"/>
      <c r="E48" s="742"/>
      <c r="F48" s="743"/>
      <c r="G48" s="800">
        <f>'8.2. sz. mell'!F47+'8.3. sz. mell'!F47</f>
        <v>0</v>
      </c>
    </row>
    <row r="49" spans="1:7" ht="12" customHeight="1">
      <c r="A49" s="727" t="s">
        <v>147</v>
      </c>
      <c r="B49" s="768"/>
      <c r="C49" s="768" t="s">
        <v>909</v>
      </c>
      <c r="D49" s="779"/>
      <c r="E49" s="779"/>
      <c r="F49" s="780"/>
      <c r="G49" s="800">
        <f>'8.2. sz. mell'!F48+'8.3. sz. mell'!F48</f>
        <v>0</v>
      </c>
    </row>
    <row r="50" spans="1:7" s="738" customFormat="1" ht="12" customHeight="1">
      <c r="A50" s="790" t="s">
        <v>148</v>
      </c>
      <c r="B50" s="856"/>
      <c r="C50" s="857" t="s">
        <v>910</v>
      </c>
      <c r="D50" s="779"/>
      <c r="E50" s="779"/>
      <c r="F50" s="780">
        <v>-5</v>
      </c>
      <c r="G50" s="800">
        <f>'8.2. sz. mell'!F49+'8.3. sz. mell'!F49</f>
        <v>-5</v>
      </c>
    </row>
    <row r="51" spans="1:7" ht="15" customHeight="1">
      <c r="A51" s="727" t="s">
        <v>149</v>
      </c>
      <c r="B51" s="778"/>
      <c r="C51" s="860" t="s">
        <v>911</v>
      </c>
      <c r="D51" s="734">
        <f>+D38+D44+D49+D50</f>
        <v>25313</v>
      </c>
      <c r="E51" s="734">
        <f>+E38+E44+E49+E50</f>
        <v>29793</v>
      </c>
      <c r="F51" s="737">
        <f>+F38+F44+F49+F50</f>
        <v>29719</v>
      </c>
      <c r="G51" s="800">
        <f>'8.2. sz. mell'!F50+'8.3. sz. mell'!F50</f>
        <v>29719</v>
      </c>
    </row>
    <row r="52" spans="4:6" ht="13.5" thickBot="1">
      <c r="D52" s="863"/>
      <c r="E52" s="863"/>
      <c r="F52" s="863"/>
    </row>
    <row r="53" spans="1:6" ht="15" customHeight="1" thickBot="1">
      <c r="A53" s="829" t="s">
        <v>880</v>
      </c>
      <c r="B53" s="830"/>
      <c r="C53" s="831"/>
      <c r="D53" s="841">
        <v>6</v>
      </c>
      <c r="E53" s="882">
        <v>6</v>
      </c>
      <c r="F53" s="883">
        <v>6</v>
      </c>
    </row>
    <row r="54" spans="1:6" ht="14.25" customHeight="1" thickBot="1">
      <c r="A54" s="829" t="s">
        <v>881</v>
      </c>
      <c r="B54" s="830"/>
      <c r="C54" s="831"/>
      <c r="D54" s="841">
        <v>0</v>
      </c>
      <c r="E54" s="884">
        <v>0</v>
      </c>
      <c r="F54" s="885">
        <v>0</v>
      </c>
    </row>
  </sheetData>
  <sheetProtection selectLockedCells="1" selectUnlockedCells="1"/>
  <mergeCells count="6">
    <mergeCell ref="A7:F7"/>
    <mergeCell ref="A37:F37"/>
    <mergeCell ref="A2:B2"/>
    <mergeCell ref="C2:E2"/>
    <mergeCell ref="C3:E3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F53"/>
  <sheetViews>
    <sheetView zoomScaleSheetLayoutView="160" workbookViewId="0" topLeftCell="A16">
      <selection activeCell="C9" sqref="C9"/>
    </sheetView>
  </sheetViews>
  <sheetFormatPr defaultColWidth="9.00390625" defaultRowHeight="12.75"/>
  <cols>
    <col min="1" max="1" width="9.625" style="872" customWidth="1"/>
    <col min="2" max="2" width="9.625" style="726" customWidth="1"/>
    <col min="3" max="3" width="59.375" style="726" customWidth="1"/>
    <col min="4" max="6" width="15.875" style="726" customWidth="1"/>
    <col min="7" max="16384" width="9.375" style="726" customWidth="1"/>
  </cols>
  <sheetData>
    <row r="1" spans="1:6" s="714" customFormat="1" ht="21" customHeight="1">
      <c r="A1" s="710"/>
      <c r="B1" s="711"/>
      <c r="C1" s="866"/>
      <c r="D1" s="713"/>
      <c r="E1" s="713"/>
      <c r="F1" s="713" t="s">
        <v>925</v>
      </c>
    </row>
    <row r="2" spans="1:6" s="716" customFormat="1" ht="25.5" customHeight="1">
      <c r="A2" s="1191" t="s">
        <v>888</v>
      </c>
      <c r="B2" s="1191"/>
      <c r="C2" s="1197" t="s">
        <v>924</v>
      </c>
      <c r="D2" s="1197"/>
      <c r="E2" s="1197"/>
      <c r="F2" s="867" t="s">
        <v>890</v>
      </c>
    </row>
    <row r="3" spans="1:6" s="716" customFormat="1" ht="15.75">
      <c r="A3" s="717" t="s">
        <v>831</v>
      </c>
      <c r="B3" s="718"/>
      <c r="C3" s="1195" t="s">
        <v>883</v>
      </c>
      <c r="D3" s="1195"/>
      <c r="E3" s="1195"/>
      <c r="F3" s="868" t="s">
        <v>830</v>
      </c>
    </row>
    <row r="4" spans="1:6" s="722" customFormat="1" ht="15.75" customHeight="1">
      <c r="A4" s="720"/>
      <c r="B4" s="720"/>
      <c r="C4" s="720"/>
      <c r="D4" s="721"/>
      <c r="E4" s="721"/>
      <c r="F4" s="721" t="s">
        <v>179</v>
      </c>
    </row>
    <row r="5" spans="1:6" ht="24.75" customHeight="1">
      <c r="A5" s="1194" t="s">
        <v>834</v>
      </c>
      <c r="B5" s="1194"/>
      <c r="C5" s="723" t="s">
        <v>835</v>
      </c>
      <c r="D5" s="724" t="s">
        <v>482</v>
      </c>
      <c r="E5" s="724" t="s">
        <v>489</v>
      </c>
      <c r="F5" s="725" t="s">
        <v>490</v>
      </c>
    </row>
    <row r="6" spans="1:6" s="731" customFormat="1" ht="12.75" customHeight="1">
      <c r="A6" s="727">
        <v>1</v>
      </c>
      <c r="B6" s="728">
        <v>2</v>
      </c>
      <c r="C6" s="728">
        <v>3</v>
      </c>
      <c r="D6" s="728">
        <v>4</v>
      </c>
      <c r="E6" s="729">
        <v>5</v>
      </c>
      <c r="F6" s="730">
        <v>6</v>
      </c>
    </row>
    <row r="7" spans="1:6" s="731" customFormat="1" ht="15.75" customHeight="1">
      <c r="A7" s="1190" t="s">
        <v>180</v>
      </c>
      <c r="B7" s="1190"/>
      <c r="C7" s="1190"/>
      <c r="D7" s="1190"/>
      <c r="E7" s="1190"/>
      <c r="F7" s="1190"/>
    </row>
    <row r="8" spans="1:6" s="735" customFormat="1" ht="12" customHeight="1" thickBot="1">
      <c r="A8" s="727" t="s">
        <v>145</v>
      </c>
      <c r="B8" s="732"/>
      <c r="C8" s="887" t="s">
        <v>933</v>
      </c>
      <c r="D8" s="734">
        <f>SUM(D9:D16)</f>
        <v>6159</v>
      </c>
      <c r="E8" s="734">
        <f>SUM(E9:E16)</f>
        <v>4939</v>
      </c>
      <c r="F8" s="737">
        <f>SUM(F9:F16)</f>
        <v>4940</v>
      </c>
    </row>
    <row r="9" spans="1:6" s="735" customFormat="1" ht="12" customHeight="1">
      <c r="A9" s="746"/>
      <c r="B9" s="740" t="s">
        <v>217</v>
      </c>
      <c r="C9" s="886" t="s">
        <v>284</v>
      </c>
      <c r="D9" s="749"/>
      <c r="E9" s="749"/>
      <c r="F9" s="750"/>
    </row>
    <row r="10" spans="1:6" s="735" customFormat="1" ht="12" customHeight="1">
      <c r="A10" s="739"/>
      <c r="B10" s="740" t="s">
        <v>218</v>
      </c>
      <c r="C10" s="509" t="s">
        <v>285</v>
      </c>
      <c r="D10" s="742"/>
      <c r="E10" s="742"/>
      <c r="F10" s="743"/>
    </row>
    <row r="11" spans="1:6" s="735" customFormat="1" ht="12" customHeight="1">
      <c r="A11" s="739"/>
      <c r="B11" s="740" t="s">
        <v>219</v>
      </c>
      <c r="C11" s="509" t="s">
        <v>838</v>
      </c>
      <c r="D11" s="742"/>
      <c r="E11" s="742"/>
      <c r="F11" s="743"/>
    </row>
    <row r="12" spans="1:6" s="735" customFormat="1" ht="12" customHeight="1">
      <c r="A12" s="739"/>
      <c r="B12" s="740" t="s">
        <v>220</v>
      </c>
      <c r="C12" s="509" t="s">
        <v>286</v>
      </c>
      <c r="D12" s="742"/>
      <c r="E12" s="742"/>
      <c r="F12" s="743"/>
    </row>
    <row r="13" spans="1:6" s="735" customFormat="1" ht="12" customHeight="1">
      <c r="A13" s="739"/>
      <c r="B13" s="740" t="s">
        <v>893</v>
      </c>
      <c r="C13" s="509" t="s">
        <v>287</v>
      </c>
      <c r="D13" s="742">
        <v>5259</v>
      </c>
      <c r="E13" s="742">
        <v>3986</v>
      </c>
      <c r="F13" s="743">
        <v>3986</v>
      </c>
    </row>
    <row r="14" spans="1:6" s="735" customFormat="1" ht="12" customHeight="1">
      <c r="A14" s="753"/>
      <c r="B14" s="740" t="s">
        <v>221</v>
      </c>
      <c r="C14" s="509" t="s">
        <v>288</v>
      </c>
      <c r="D14" s="742"/>
      <c r="E14" s="742"/>
      <c r="F14" s="743"/>
    </row>
    <row r="15" spans="1:6" s="738" customFormat="1" ht="12" customHeight="1">
      <c r="A15" s="739"/>
      <c r="B15" s="740" t="s">
        <v>222</v>
      </c>
      <c r="C15" s="509" t="s">
        <v>839</v>
      </c>
      <c r="D15" s="742"/>
      <c r="E15" s="742">
        <v>9</v>
      </c>
      <c r="F15" s="743">
        <v>10</v>
      </c>
    </row>
    <row r="16" spans="1:6" s="738" customFormat="1" ht="12" customHeight="1">
      <c r="A16" s="739"/>
      <c r="B16" s="740" t="s">
        <v>232</v>
      </c>
      <c r="C16" s="509" t="s">
        <v>345</v>
      </c>
      <c r="D16" s="742">
        <v>900</v>
      </c>
      <c r="E16" s="742">
        <v>944</v>
      </c>
      <c r="F16" s="743">
        <v>944</v>
      </c>
    </row>
    <row r="17" spans="1:6" s="738" customFormat="1" ht="12" customHeight="1">
      <c r="A17" s="757"/>
      <c r="B17" s="766" t="s">
        <v>233</v>
      </c>
      <c r="C17" s="509" t="s">
        <v>289</v>
      </c>
      <c r="D17" s="742"/>
      <c r="E17" s="742"/>
      <c r="F17" s="743"/>
    </row>
    <row r="18" spans="1:6" s="738" customFormat="1" ht="12" customHeight="1" thickBot="1">
      <c r="A18" s="759"/>
      <c r="B18" s="846" t="s">
        <v>234</v>
      </c>
      <c r="C18" s="513" t="s">
        <v>290</v>
      </c>
      <c r="D18" s="762"/>
      <c r="E18" s="774"/>
      <c r="F18" s="763"/>
    </row>
    <row r="19" spans="1:6" s="735" customFormat="1" ht="12" customHeight="1" thickBot="1">
      <c r="A19" s="727" t="s">
        <v>146</v>
      </c>
      <c r="B19" s="732"/>
      <c r="C19" s="845" t="s">
        <v>894</v>
      </c>
      <c r="D19" s="734">
        <f>SUM(D20+D22)</f>
        <v>0</v>
      </c>
      <c r="E19" s="734">
        <f>SUM(E20+E22)</f>
        <v>0</v>
      </c>
      <c r="F19" s="737">
        <f>SUM(F20+F22)</f>
        <v>0</v>
      </c>
    </row>
    <row r="20" spans="1:6" s="738" customFormat="1" ht="12" customHeight="1">
      <c r="A20" s="739"/>
      <c r="B20" s="740" t="s">
        <v>225</v>
      </c>
      <c r="C20" s="848" t="s">
        <v>895</v>
      </c>
      <c r="D20" s="742"/>
      <c r="E20" s="742"/>
      <c r="F20" s="743"/>
    </row>
    <row r="21" spans="1:6" s="738" customFormat="1" ht="12" customHeight="1">
      <c r="A21" s="739"/>
      <c r="B21" s="740" t="s">
        <v>226</v>
      </c>
      <c r="C21" s="752" t="s">
        <v>896</v>
      </c>
      <c r="D21" s="742"/>
      <c r="E21" s="742"/>
      <c r="F21" s="743"/>
    </row>
    <row r="22" spans="1:6" s="738" customFormat="1" ht="12" customHeight="1">
      <c r="A22" s="739"/>
      <c r="B22" s="740" t="s">
        <v>227</v>
      </c>
      <c r="C22" s="752" t="s">
        <v>897</v>
      </c>
      <c r="D22" s="742"/>
      <c r="E22" s="742"/>
      <c r="F22" s="743"/>
    </row>
    <row r="23" spans="1:6" s="738" customFormat="1" ht="12" customHeight="1">
      <c r="A23" s="739"/>
      <c r="B23" s="740" t="s">
        <v>228</v>
      </c>
      <c r="C23" s="752" t="s">
        <v>896</v>
      </c>
      <c r="D23" s="742"/>
      <c r="E23" s="742"/>
      <c r="F23" s="743"/>
    </row>
    <row r="24" spans="1:6" s="738" customFormat="1" ht="12" customHeight="1">
      <c r="A24" s="727" t="s">
        <v>147</v>
      </c>
      <c r="B24" s="768"/>
      <c r="C24" s="768" t="s">
        <v>898</v>
      </c>
      <c r="D24" s="734">
        <f>+D25+D26</f>
        <v>0</v>
      </c>
      <c r="E24" s="734">
        <f>+E25+E26</f>
        <v>0</v>
      </c>
      <c r="F24" s="737">
        <f>+F25+F26</f>
        <v>0</v>
      </c>
    </row>
    <row r="25" spans="1:6" s="735" customFormat="1" ht="12" customHeight="1">
      <c r="A25" s="746"/>
      <c r="B25" s="849" t="s">
        <v>197</v>
      </c>
      <c r="C25" s="748" t="s">
        <v>353</v>
      </c>
      <c r="D25" s="749"/>
      <c r="E25" s="749"/>
      <c r="F25" s="750"/>
    </row>
    <row r="26" spans="1:6" s="735" customFormat="1" ht="12" customHeight="1">
      <c r="A26" s="764"/>
      <c r="B26" s="850" t="s">
        <v>198</v>
      </c>
      <c r="C26" s="761" t="s">
        <v>357</v>
      </c>
      <c r="D26" s="851"/>
      <c r="E26" s="851"/>
      <c r="F26" s="852"/>
    </row>
    <row r="27" spans="1:6" s="735" customFormat="1" ht="12" customHeight="1">
      <c r="A27" s="727" t="s">
        <v>148</v>
      </c>
      <c r="B27" s="732"/>
      <c r="C27" s="768" t="s">
        <v>917</v>
      </c>
      <c r="D27" s="779">
        <v>9158</v>
      </c>
      <c r="E27" s="779">
        <v>13198</v>
      </c>
      <c r="F27" s="780">
        <v>13451</v>
      </c>
    </row>
    <row r="28" spans="1:6" s="738" customFormat="1" ht="12" customHeight="1">
      <c r="A28" s="727" t="s">
        <v>149</v>
      </c>
      <c r="B28" s="784"/>
      <c r="C28" s="768" t="s">
        <v>913</v>
      </c>
      <c r="D28" s="734"/>
      <c r="E28" s="734"/>
      <c r="F28" s="737"/>
    </row>
    <row r="29" spans="1:6" s="738" customFormat="1" ht="15" customHeight="1">
      <c r="A29" s="853" t="s">
        <v>150</v>
      </c>
      <c r="B29" s="854"/>
      <c r="C29" s="812" t="s">
        <v>918</v>
      </c>
      <c r="D29" s="814">
        <f>+D30+D31</f>
        <v>0</v>
      </c>
      <c r="E29" s="814">
        <f>+E30+E31</f>
        <v>0</v>
      </c>
      <c r="F29" s="815">
        <f>+F30+F31</f>
        <v>0</v>
      </c>
    </row>
    <row r="30" spans="1:6" s="738" customFormat="1" ht="15" customHeight="1">
      <c r="A30" s="746"/>
      <c r="B30" s="747" t="s">
        <v>204</v>
      </c>
      <c r="C30" s="748" t="s">
        <v>455</v>
      </c>
      <c r="D30" s="749"/>
      <c r="E30" s="749"/>
      <c r="F30" s="750"/>
    </row>
    <row r="31" spans="1:6" ht="15">
      <c r="A31" s="855"/>
      <c r="B31" s="760" t="s">
        <v>205</v>
      </c>
      <c r="C31" s="847" t="s">
        <v>903</v>
      </c>
      <c r="D31" s="774"/>
      <c r="E31" s="774"/>
      <c r="F31" s="763"/>
    </row>
    <row r="32" spans="1:6" s="731" customFormat="1" ht="16.5" customHeight="1">
      <c r="A32" s="790" t="s">
        <v>151</v>
      </c>
      <c r="B32" s="856"/>
      <c r="C32" s="857" t="s">
        <v>919</v>
      </c>
      <c r="D32" s="779"/>
      <c r="E32" s="779"/>
      <c r="F32" s="780"/>
    </row>
    <row r="33" spans="1:6" s="800" customFormat="1" ht="12" customHeight="1">
      <c r="A33" s="790" t="s">
        <v>152</v>
      </c>
      <c r="B33" s="858"/>
      <c r="C33" s="871" t="s">
        <v>915</v>
      </c>
      <c r="D33" s="734">
        <f>+D28+D29+D32</f>
        <v>0</v>
      </c>
      <c r="E33" s="734">
        <f>+E28+E29+E32</f>
        <v>0</v>
      </c>
      <c r="F33" s="737">
        <f>+F28+F29+F32+F8+F27</f>
        <v>18391</v>
      </c>
    </row>
    <row r="34" spans="1:6" ht="12" customHeight="1">
      <c r="A34" s="793"/>
      <c r="B34" s="793"/>
      <c r="C34" s="794"/>
      <c r="D34" s="795"/>
      <c r="E34" s="795"/>
      <c r="F34" s="795"/>
    </row>
    <row r="35" spans="1:6" ht="12" customHeight="1">
      <c r="A35" s="796"/>
      <c r="B35" s="797"/>
      <c r="C35" s="797"/>
      <c r="D35" s="798"/>
      <c r="E35" s="798"/>
      <c r="F35" s="798"/>
    </row>
    <row r="36" spans="1:6" ht="12" customHeight="1">
      <c r="A36" s="1190" t="s">
        <v>184</v>
      </c>
      <c r="B36" s="1190"/>
      <c r="C36" s="1190"/>
      <c r="D36" s="1190"/>
      <c r="E36" s="1190"/>
      <c r="F36" s="1190"/>
    </row>
    <row r="37" spans="1:6" ht="12" customHeight="1" thickBot="1">
      <c r="A37" s="727" t="s">
        <v>145</v>
      </c>
      <c r="B37" s="768"/>
      <c r="C37" s="768" t="s">
        <v>852</v>
      </c>
      <c r="D37" s="734">
        <f>SUM(D38:D42)</f>
        <v>15317</v>
      </c>
      <c r="E37" s="734">
        <f>SUM(E38:E42)</f>
        <v>18137</v>
      </c>
      <c r="F37" s="737">
        <f>SUM(F38:F42)</f>
        <v>18069</v>
      </c>
    </row>
    <row r="38" spans="1:6" ht="12" customHeight="1">
      <c r="A38" s="775"/>
      <c r="B38" s="801" t="s">
        <v>217</v>
      </c>
      <c r="C38" s="848" t="s">
        <v>175</v>
      </c>
      <c r="D38" s="776">
        <v>6658</v>
      </c>
      <c r="E38" s="749">
        <v>7824</v>
      </c>
      <c r="F38" s="750">
        <v>7824</v>
      </c>
    </row>
    <row r="39" spans="1:6" ht="12" customHeight="1">
      <c r="A39" s="739"/>
      <c r="B39" s="751" t="s">
        <v>218</v>
      </c>
      <c r="C39" s="752" t="s">
        <v>315</v>
      </c>
      <c r="D39" s="742">
        <v>1733</v>
      </c>
      <c r="E39" s="742">
        <v>2147</v>
      </c>
      <c r="F39" s="743">
        <v>2148</v>
      </c>
    </row>
    <row r="40" spans="1:6" s="800" customFormat="1" ht="12" customHeight="1">
      <c r="A40" s="739"/>
      <c r="B40" s="751" t="s">
        <v>219</v>
      </c>
      <c r="C40" s="752" t="s">
        <v>248</v>
      </c>
      <c r="D40" s="742">
        <v>6926</v>
      </c>
      <c r="E40" s="742">
        <v>8166</v>
      </c>
      <c r="F40" s="743">
        <v>8097</v>
      </c>
    </row>
    <row r="41" spans="1:6" ht="12" customHeight="1">
      <c r="A41" s="739"/>
      <c r="B41" s="751" t="s">
        <v>220</v>
      </c>
      <c r="C41" s="752" t="s">
        <v>316</v>
      </c>
      <c r="D41" s="742"/>
      <c r="E41" s="742"/>
      <c r="F41" s="743"/>
    </row>
    <row r="42" spans="1:6" ht="12" customHeight="1" thickBot="1">
      <c r="A42" s="739"/>
      <c r="B42" s="751" t="s">
        <v>231</v>
      </c>
      <c r="C42" s="752" t="s">
        <v>317</v>
      </c>
      <c r="D42" s="742"/>
      <c r="E42" s="774"/>
      <c r="F42" s="763"/>
    </row>
    <row r="43" spans="1:6" ht="12" customHeight="1" thickBot="1">
      <c r="A43" s="727" t="s">
        <v>146</v>
      </c>
      <c r="B43" s="768"/>
      <c r="C43" s="768" t="s">
        <v>906</v>
      </c>
      <c r="D43" s="734">
        <f>SUM(D44:D46)</f>
        <v>0</v>
      </c>
      <c r="E43" s="734">
        <f>SUM(E44:E46)</f>
        <v>0</v>
      </c>
      <c r="F43" s="737">
        <f>SUM(F44:F46)</f>
        <v>0</v>
      </c>
    </row>
    <row r="44" spans="1:6" ht="12" customHeight="1">
      <c r="A44" s="775"/>
      <c r="B44" s="801" t="s">
        <v>225</v>
      </c>
      <c r="C44" s="848" t="s">
        <v>381</v>
      </c>
      <c r="D44" s="776"/>
      <c r="E44" s="776"/>
      <c r="F44" s="777"/>
    </row>
    <row r="45" spans="1:6" ht="15" customHeight="1">
      <c r="A45" s="739"/>
      <c r="B45" s="751" t="s">
        <v>226</v>
      </c>
      <c r="C45" s="752" t="s">
        <v>318</v>
      </c>
      <c r="D45" s="742"/>
      <c r="E45" s="742"/>
      <c r="F45" s="743"/>
    </row>
    <row r="46" spans="1:6" ht="12.75">
      <c r="A46" s="739"/>
      <c r="B46" s="751" t="s">
        <v>227</v>
      </c>
      <c r="C46" s="752" t="s">
        <v>907</v>
      </c>
      <c r="D46" s="742"/>
      <c r="E46" s="742"/>
      <c r="F46" s="743"/>
    </row>
    <row r="47" spans="1:6" ht="15" customHeight="1">
      <c r="A47" s="739"/>
      <c r="B47" s="751" t="s">
        <v>228</v>
      </c>
      <c r="C47" s="752" t="s">
        <v>908</v>
      </c>
      <c r="D47" s="742"/>
      <c r="E47" s="742"/>
      <c r="F47" s="743"/>
    </row>
    <row r="48" spans="1:6" ht="14.25" customHeight="1">
      <c r="A48" s="727" t="s">
        <v>147</v>
      </c>
      <c r="B48" s="768"/>
      <c r="C48" s="768" t="s">
        <v>909</v>
      </c>
      <c r="D48" s="779"/>
      <c r="E48" s="779"/>
      <c r="F48" s="780"/>
    </row>
    <row r="49" spans="1:6" ht="12.75">
      <c r="A49" s="790" t="s">
        <v>148</v>
      </c>
      <c r="B49" s="856"/>
      <c r="C49" s="857" t="s">
        <v>910</v>
      </c>
      <c r="D49" s="779"/>
      <c r="E49" s="779"/>
      <c r="F49" s="780">
        <v>-5</v>
      </c>
    </row>
    <row r="50" spans="1:6" ht="12.75">
      <c r="A50" s="727" t="s">
        <v>149</v>
      </c>
      <c r="B50" s="778"/>
      <c r="C50" s="860" t="s">
        <v>911</v>
      </c>
      <c r="D50" s="734">
        <f>+D37+D43+D48+D49</f>
        <v>15317</v>
      </c>
      <c r="E50" s="734">
        <f>+E37+E43+E48+E49</f>
        <v>18137</v>
      </c>
      <c r="F50" s="737">
        <f>+F37+F43+F48+F49</f>
        <v>18064</v>
      </c>
    </row>
    <row r="51" spans="1:6" ht="12.75">
      <c r="A51" s="861"/>
      <c r="B51" s="862"/>
      <c r="C51" s="862"/>
      <c r="D51" s="863"/>
      <c r="E51" s="863"/>
      <c r="F51" s="863"/>
    </row>
    <row r="52" spans="1:6" ht="12.75">
      <c r="A52" s="829" t="s">
        <v>880</v>
      </c>
      <c r="B52" s="830"/>
      <c r="C52" s="831"/>
      <c r="D52" s="841">
        <v>3.67</v>
      </c>
      <c r="E52" s="864">
        <v>3.67</v>
      </c>
      <c r="F52" s="864">
        <v>3.67</v>
      </c>
    </row>
    <row r="53" spans="1:6" ht="12.75">
      <c r="A53" s="829" t="s">
        <v>881</v>
      </c>
      <c r="B53" s="830"/>
      <c r="C53" s="831"/>
      <c r="D53" s="841">
        <v>0</v>
      </c>
      <c r="E53" s="864">
        <v>0</v>
      </c>
      <c r="F53" s="864">
        <v>0</v>
      </c>
    </row>
  </sheetData>
  <sheetProtection selectLockedCells="1" selectUnlockedCells="1"/>
  <mergeCells count="6">
    <mergeCell ref="A7:F7"/>
    <mergeCell ref="A36:F36"/>
    <mergeCell ref="A2:B2"/>
    <mergeCell ref="C2:E2"/>
    <mergeCell ref="C3:E3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F53"/>
  <sheetViews>
    <sheetView zoomScaleSheetLayoutView="160" workbookViewId="0" topLeftCell="A10">
      <selection activeCell="C9" sqref="C9"/>
    </sheetView>
  </sheetViews>
  <sheetFormatPr defaultColWidth="9.00390625" defaultRowHeight="12.75"/>
  <cols>
    <col min="1" max="1" width="9.625" style="872" customWidth="1"/>
    <col min="2" max="2" width="9.625" style="726" customWidth="1"/>
    <col min="3" max="3" width="59.375" style="726" customWidth="1"/>
    <col min="4" max="6" width="15.875" style="726" customWidth="1"/>
    <col min="7" max="16384" width="9.375" style="726" customWidth="1"/>
  </cols>
  <sheetData>
    <row r="1" spans="1:6" s="714" customFormat="1" ht="21" customHeight="1">
      <c r="A1" s="710"/>
      <c r="B1" s="711"/>
      <c r="C1" s="866"/>
      <c r="D1" s="713"/>
      <c r="E1" s="713"/>
      <c r="F1" s="713" t="s">
        <v>926</v>
      </c>
    </row>
    <row r="2" spans="1:6" s="716" customFormat="1" ht="25.5" customHeight="1">
      <c r="A2" s="1191" t="s">
        <v>888</v>
      </c>
      <c r="B2" s="1191"/>
      <c r="C2" s="1197" t="s">
        <v>924</v>
      </c>
      <c r="D2" s="1197"/>
      <c r="E2" s="1197"/>
      <c r="F2" s="867" t="s">
        <v>890</v>
      </c>
    </row>
    <row r="3" spans="1:6" s="716" customFormat="1" ht="15.75">
      <c r="A3" s="717" t="s">
        <v>831</v>
      </c>
      <c r="B3" s="718"/>
      <c r="C3" s="1195" t="s">
        <v>885</v>
      </c>
      <c r="D3" s="1195"/>
      <c r="E3" s="1195"/>
      <c r="F3" s="868" t="s">
        <v>890</v>
      </c>
    </row>
    <row r="4" spans="1:6" s="722" customFormat="1" ht="15.75" customHeight="1">
      <c r="A4" s="720"/>
      <c r="B4" s="720"/>
      <c r="C4" s="720"/>
      <c r="F4" s="721" t="s">
        <v>179</v>
      </c>
    </row>
    <row r="5" spans="1:6" ht="24.75" customHeight="1">
      <c r="A5" s="1194" t="s">
        <v>834</v>
      </c>
      <c r="B5" s="1194"/>
      <c r="C5" s="723" t="s">
        <v>835</v>
      </c>
      <c r="D5" s="724" t="s">
        <v>482</v>
      </c>
      <c r="E5" s="724" t="s">
        <v>489</v>
      </c>
      <c r="F5" s="725" t="s">
        <v>490</v>
      </c>
    </row>
    <row r="6" spans="1:6" s="731" customFormat="1" ht="12.75" customHeight="1">
      <c r="A6" s="727">
        <v>1</v>
      </c>
      <c r="B6" s="728">
        <v>2</v>
      </c>
      <c r="C6" s="728">
        <v>3</v>
      </c>
      <c r="D6" s="728">
        <v>4</v>
      </c>
      <c r="E6" s="729">
        <v>5</v>
      </c>
      <c r="F6" s="730">
        <v>6</v>
      </c>
    </row>
    <row r="7" spans="1:6" s="731" customFormat="1" ht="15.75" customHeight="1">
      <c r="A7" s="1190" t="s">
        <v>180</v>
      </c>
      <c r="B7" s="1190"/>
      <c r="C7" s="1190"/>
      <c r="D7" s="1190"/>
      <c r="E7" s="1190"/>
      <c r="F7" s="1190"/>
    </row>
    <row r="8" spans="1:6" s="735" customFormat="1" ht="12" customHeight="1" thickBot="1">
      <c r="A8" s="727" t="s">
        <v>145</v>
      </c>
      <c r="B8" s="732"/>
      <c r="C8" s="887" t="s">
        <v>933</v>
      </c>
      <c r="D8" s="734">
        <f>SUM(D9:D16)</f>
        <v>1695</v>
      </c>
      <c r="E8" s="734">
        <f>SUM(E9:E16)</f>
        <v>2648</v>
      </c>
      <c r="F8" s="737">
        <f>SUM(F9:F16)</f>
        <v>2648</v>
      </c>
    </row>
    <row r="9" spans="1:6" s="735" customFormat="1" ht="12" customHeight="1">
      <c r="A9" s="746"/>
      <c r="B9" s="740" t="s">
        <v>217</v>
      </c>
      <c r="C9" s="886" t="s">
        <v>284</v>
      </c>
      <c r="D9" s="749"/>
      <c r="E9" s="749"/>
      <c r="F9" s="750"/>
    </row>
    <row r="10" spans="1:6" s="735" customFormat="1" ht="12" customHeight="1">
      <c r="A10" s="739"/>
      <c r="B10" s="740" t="s">
        <v>218</v>
      </c>
      <c r="C10" s="509" t="s">
        <v>285</v>
      </c>
      <c r="D10" s="742"/>
      <c r="E10" s="742"/>
      <c r="F10" s="743"/>
    </row>
    <row r="11" spans="1:6" s="735" customFormat="1" ht="12" customHeight="1">
      <c r="A11" s="739"/>
      <c r="B11" s="740" t="s">
        <v>219</v>
      </c>
      <c r="C11" s="509" t="s">
        <v>838</v>
      </c>
      <c r="D11" s="742"/>
      <c r="E11" s="742"/>
      <c r="F11" s="743"/>
    </row>
    <row r="12" spans="1:6" s="735" customFormat="1" ht="12" customHeight="1">
      <c r="A12" s="739"/>
      <c r="B12" s="740" t="s">
        <v>220</v>
      </c>
      <c r="C12" s="509" t="s">
        <v>286</v>
      </c>
      <c r="D12" s="742"/>
      <c r="E12" s="742"/>
      <c r="F12" s="743"/>
    </row>
    <row r="13" spans="1:6" s="735" customFormat="1" ht="12" customHeight="1">
      <c r="A13" s="739"/>
      <c r="B13" s="740" t="s">
        <v>893</v>
      </c>
      <c r="C13" s="509" t="s">
        <v>287</v>
      </c>
      <c r="D13" s="742">
        <v>1431</v>
      </c>
      <c r="E13" s="742">
        <v>1329</v>
      </c>
      <c r="F13" s="743">
        <v>1329</v>
      </c>
    </row>
    <row r="14" spans="1:6" s="735" customFormat="1" ht="12" customHeight="1">
      <c r="A14" s="753"/>
      <c r="B14" s="740" t="s">
        <v>221</v>
      </c>
      <c r="C14" s="509" t="s">
        <v>288</v>
      </c>
      <c r="D14" s="742"/>
      <c r="E14" s="742"/>
      <c r="F14" s="743"/>
    </row>
    <row r="15" spans="1:6" s="738" customFormat="1" ht="12" customHeight="1">
      <c r="A15" s="739"/>
      <c r="B15" s="740" t="s">
        <v>222</v>
      </c>
      <c r="C15" s="509" t="s">
        <v>839</v>
      </c>
      <c r="D15" s="742"/>
      <c r="E15" s="742">
        <v>234</v>
      </c>
      <c r="F15" s="743">
        <v>234</v>
      </c>
    </row>
    <row r="16" spans="1:6" s="738" customFormat="1" ht="12" customHeight="1">
      <c r="A16" s="739"/>
      <c r="B16" s="740" t="s">
        <v>232</v>
      </c>
      <c r="C16" s="509" t="s">
        <v>345</v>
      </c>
      <c r="D16" s="742">
        <v>264</v>
      </c>
      <c r="E16" s="742">
        <v>1085</v>
      </c>
      <c r="F16" s="743">
        <v>1085</v>
      </c>
    </row>
    <row r="17" spans="1:6" s="738" customFormat="1" ht="12" customHeight="1">
      <c r="A17" s="757"/>
      <c r="B17" s="766" t="s">
        <v>233</v>
      </c>
      <c r="C17" s="509" t="s">
        <v>289</v>
      </c>
      <c r="D17" s="742"/>
      <c r="E17" s="742"/>
      <c r="F17" s="743"/>
    </row>
    <row r="18" spans="1:6" s="738" customFormat="1" ht="12" customHeight="1" thickBot="1">
      <c r="A18" s="759"/>
      <c r="B18" s="846" t="s">
        <v>234</v>
      </c>
      <c r="C18" s="513" t="s">
        <v>290</v>
      </c>
      <c r="D18" s="762"/>
      <c r="E18" s="774">
        <v>1</v>
      </c>
      <c r="F18" s="763"/>
    </row>
    <row r="19" spans="1:6" s="735" customFormat="1" ht="12" customHeight="1" thickBot="1">
      <c r="A19" s="727" t="s">
        <v>146</v>
      </c>
      <c r="B19" s="732"/>
      <c r="C19" s="845" t="s">
        <v>894</v>
      </c>
      <c r="D19" s="734">
        <f>SUM(D20+D22)</f>
        <v>0</v>
      </c>
      <c r="E19" s="734">
        <f>SUM(E20+E22)</f>
        <v>0</v>
      </c>
      <c r="F19" s="737">
        <f>SUM(F20+F22)</f>
        <v>0</v>
      </c>
    </row>
    <row r="20" spans="1:6" s="738" customFormat="1" ht="12" customHeight="1">
      <c r="A20" s="739"/>
      <c r="B20" s="740" t="s">
        <v>225</v>
      </c>
      <c r="C20" s="848" t="s">
        <v>895</v>
      </c>
      <c r="D20" s="742"/>
      <c r="E20" s="742"/>
      <c r="F20" s="743"/>
    </row>
    <row r="21" spans="1:6" s="738" customFormat="1" ht="12" customHeight="1">
      <c r="A21" s="739"/>
      <c r="B21" s="740" t="s">
        <v>226</v>
      </c>
      <c r="C21" s="752" t="s">
        <v>896</v>
      </c>
      <c r="D21" s="742"/>
      <c r="E21" s="742"/>
      <c r="F21" s="743"/>
    </row>
    <row r="22" spans="1:6" s="738" customFormat="1" ht="12" customHeight="1">
      <c r="A22" s="739"/>
      <c r="B22" s="740" t="s">
        <v>227</v>
      </c>
      <c r="C22" s="752" t="s">
        <v>897</v>
      </c>
      <c r="D22" s="742"/>
      <c r="E22" s="742"/>
      <c r="F22" s="743"/>
    </row>
    <row r="23" spans="1:6" s="738" customFormat="1" ht="12" customHeight="1">
      <c r="A23" s="739"/>
      <c r="B23" s="740" t="s">
        <v>228</v>
      </c>
      <c r="C23" s="752" t="s">
        <v>896</v>
      </c>
      <c r="D23" s="742"/>
      <c r="E23" s="742"/>
      <c r="F23" s="743"/>
    </row>
    <row r="24" spans="1:6" s="738" customFormat="1" ht="12" customHeight="1">
      <c r="A24" s="727" t="s">
        <v>147</v>
      </c>
      <c r="B24" s="768"/>
      <c r="C24" s="768" t="s">
        <v>898</v>
      </c>
      <c r="D24" s="734">
        <f>+D25+D26</f>
        <v>0</v>
      </c>
      <c r="E24" s="734">
        <f>+E25+E26</f>
        <v>0</v>
      </c>
      <c r="F24" s="737">
        <f>+F25+F26</f>
        <v>0</v>
      </c>
    </row>
    <row r="25" spans="1:6" s="735" customFormat="1" ht="12" customHeight="1">
      <c r="A25" s="746"/>
      <c r="B25" s="849" t="s">
        <v>197</v>
      </c>
      <c r="C25" s="748" t="s">
        <v>353</v>
      </c>
      <c r="D25" s="749"/>
      <c r="E25" s="749"/>
      <c r="F25" s="750"/>
    </row>
    <row r="26" spans="1:6" s="735" customFormat="1" ht="12" customHeight="1">
      <c r="A26" s="764"/>
      <c r="B26" s="850" t="s">
        <v>198</v>
      </c>
      <c r="C26" s="761" t="s">
        <v>357</v>
      </c>
      <c r="D26" s="851"/>
      <c r="E26" s="851"/>
      <c r="F26" s="852"/>
    </row>
    <row r="27" spans="1:6" s="735" customFormat="1" ht="12" customHeight="1">
      <c r="A27" s="727" t="s">
        <v>148</v>
      </c>
      <c r="B27" s="732"/>
      <c r="C27" s="768" t="s">
        <v>917</v>
      </c>
      <c r="D27" s="779">
        <v>8301</v>
      </c>
      <c r="E27" s="779">
        <v>6679</v>
      </c>
      <c r="F27" s="780">
        <v>6679</v>
      </c>
    </row>
    <row r="28" spans="1:6" s="735" customFormat="1" ht="12" customHeight="1">
      <c r="A28" s="727" t="s">
        <v>149</v>
      </c>
      <c r="B28" s="784"/>
      <c r="C28" s="768" t="s">
        <v>913</v>
      </c>
      <c r="D28" s="734"/>
      <c r="E28" s="734"/>
      <c r="F28" s="737"/>
    </row>
    <row r="29" spans="1:6" s="738" customFormat="1" ht="12" customHeight="1">
      <c r="A29" s="853" t="s">
        <v>150</v>
      </c>
      <c r="B29" s="854"/>
      <c r="C29" s="812" t="s">
        <v>918</v>
      </c>
      <c r="D29" s="814">
        <f>+D30+D31</f>
        <v>0</v>
      </c>
      <c r="E29" s="814">
        <f>+E30+E31</f>
        <v>2328</v>
      </c>
      <c r="F29" s="815">
        <f>+F30+F31</f>
        <v>2328</v>
      </c>
    </row>
    <row r="30" spans="1:6" s="738" customFormat="1" ht="15" customHeight="1">
      <c r="A30" s="746"/>
      <c r="B30" s="747" t="s">
        <v>204</v>
      </c>
      <c r="C30" s="748" t="s">
        <v>455</v>
      </c>
      <c r="D30" s="749"/>
      <c r="E30" s="749">
        <v>2328</v>
      </c>
      <c r="F30" s="750">
        <v>2328</v>
      </c>
    </row>
    <row r="31" spans="1:6" s="738" customFormat="1" ht="15" customHeight="1">
      <c r="A31" s="855"/>
      <c r="B31" s="760" t="s">
        <v>205</v>
      </c>
      <c r="C31" s="847" t="s">
        <v>903</v>
      </c>
      <c r="D31" s="774"/>
      <c r="E31" s="774"/>
      <c r="F31" s="763"/>
    </row>
    <row r="32" spans="1:6" ht="12.75">
      <c r="A32" s="790" t="s">
        <v>151</v>
      </c>
      <c r="B32" s="856"/>
      <c r="C32" s="857" t="s">
        <v>919</v>
      </c>
      <c r="D32" s="779"/>
      <c r="E32" s="779"/>
      <c r="F32" s="780"/>
    </row>
    <row r="33" spans="1:6" s="731" customFormat="1" ht="16.5" customHeight="1">
      <c r="A33" s="790" t="s">
        <v>152</v>
      </c>
      <c r="B33" s="858"/>
      <c r="C33" s="859" t="s">
        <v>915</v>
      </c>
      <c r="D33" s="734">
        <f>+D28+D29+D32</f>
        <v>0</v>
      </c>
      <c r="E33" s="734">
        <f>+E28+E29+E32</f>
        <v>2328</v>
      </c>
      <c r="F33" s="737">
        <f>+F28+F29+F32+F27+F8</f>
        <v>11655</v>
      </c>
    </row>
    <row r="34" spans="1:6" s="800" customFormat="1" ht="12" customHeight="1">
      <c r="A34" s="793"/>
      <c r="B34" s="793"/>
      <c r="C34" s="794"/>
      <c r="D34" s="795"/>
      <c r="E34" s="795"/>
      <c r="F34" s="795"/>
    </row>
    <row r="35" spans="1:6" ht="12" customHeight="1">
      <c r="A35" s="796"/>
      <c r="B35" s="797"/>
      <c r="C35" s="797"/>
      <c r="D35" s="798"/>
      <c r="E35" s="798"/>
      <c r="F35" s="798"/>
    </row>
    <row r="36" spans="1:6" ht="12" customHeight="1">
      <c r="A36" s="1190" t="s">
        <v>184</v>
      </c>
      <c r="B36" s="1190"/>
      <c r="C36" s="1190"/>
      <c r="D36" s="1190"/>
      <c r="E36" s="1190"/>
      <c r="F36" s="1190"/>
    </row>
    <row r="37" spans="1:6" ht="12" customHeight="1" thickBot="1">
      <c r="A37" s="727" t="s">
        <v>145</v>
      </c>
      <c r="B37" s="768"/>
      <c r="C37" s="768" t="s">
        <v>852</v>
      </c>
      <c r="D37" s="734">
        <f>SUM(D38:D42)</f>
        <v>9996</v>
      </c>
      <c r="E37" s="734">
        <f>SUM(E38:E42)</f>
        <v>11656</v>
      </c>
      <c r="F37" s="737">
        <f>SUM(F38:F42)</f>
        <v>11655</v>
      </c>
    </row>
    <row r="38" spans="1:6" ht="12" customHeight="1">
      <c r="A38" s="775"/>
      <c r="B38" s="801" t="s">
        <v>217</v>
      </c>
      <c r="C38" s="848" t="s">
        <v>175</v>
      </c>
      <c r="D38" s="776">
        <v>3972</v>
      </c>
      <c r="E38" s="749">
        <v>4048</v>
      </c>
      <c r="F38" s="750">
        <v>4048</v>
      </c>
    </row>
    <row r="39" spans="1:6" ht="12" customHeight="1">
      <c r="A39" s="739"/>
      <c r="B39" s="751" t="s">
        <v>218</v>
      </c>
      <c r="C39" s="752" t="s">
        <v>315</v>
      </c>
      <c r="D39" s="742">
        <v>996</v>
      </c>
      <c r="E39" s="742">
        <v>975</v>
      </c>
      <c r="F39" s="743">
        <v>975</v>
      </c>
    </row>
    <row r="40" spans="1:6" ht="12" customHeight="1">
      <c r="A40" s="739"/>
      <c r="B40" s="751" t="s">
        <v>219</v>
      </c>
      <c r="C40" s="752" t="s">
        <v>248</v>
      </c>
      <c r="D40" s="742">
        <v>5028</v>
      </c>
      <c r="E40" s="742">
        <v>6633</v>
      </c>
      <c r="F40" s="743">
        <v>6632</v>
      </c>
    </row>
    <row r="41" spans="1:6" s="800" customFormat="1" ht="12" customHeight="1">
      <c r="A41" s="739"/>
      <c r="B41" s="751" t="s">
        <v>220</v>
      </c>
      <c r="C41" s="752" t="s">
        <v>316</v>
      </c>
      <c r="D41" s="742"/>
      <c r="E41" s="742"/>
      <c r="F41" s="743"/>
    </row>
    <row r="42" spans="1:6" ht="12" customHeight="1" thickBot="1">
      <c r="A42" s="739"/>
      <c r="B42" s="751" t="s">
        <v>231</v>
      </c>
      <c r="C42" s="752" t="s">
        <v>317</v>
      </c>
      <c r="D42" s="742"/>
      <c r="E42" s="774"/>
      <c r="F42" s="763"/>
    </row>
    <row r="43" spans="1:6" ht="12" customHeight="1" thickBot="1">
      <c r="A43" s="727" t="s">
        <v>146</v>
      </c>
      <c r="B43" s="768"/>
      <c r="C43" s="768" t="s">
        <v>906</v>
      </c>
      <c r="D43" s="734">
        <f>SUM(D44:D46)</f>
        <v>0</v>
      </c>
      <c r="E43" s="734">
        <f>SUM(E44:E46)</f>
        <v>0</v>
      </c>
      <c r="F43" s="737">
        <f>SUM(F44:F46)</f>
        <v>0</v>
      </c>
    </row>
    <row r="44" spans="1:6" ht="12" customHeight="1">
      <c r="A44" s="775"/>
      <c r="B44" s="801" t="s">
        <v>225</v>
      </c>
      <c r="C44" s="848" t="s">
        <v>381</v>
      </c>
      <c r="D44" s="776"/>
      <c r="E44" s="776"/>
      <c r="F44" s="777"/>
    </row>
    <row r="45" spans="1:6" ht="12" customHeight="1">
      <c r="A45" s="739"/>
      <c r="B45" s="751" t="s">
        <v>226</v>
      </c>
      <c r="C45" s="752" t="s">
        <v>318</v>
      </c>
      <c r="D45" s="742"/>
      <c r="E45" s="742"/>
      <c r="F45" s="743"/>
    </row>
    <row r="46" spans="1:6" ht="15" customHeight="1">
      <c r="A46" s="739"/>
      <c r="B46" s="751" t="s">
        <v>227</v>
      </c>
      <c r="C46" s="752" t="s">
        <v>907</v>
      </c>
      <c r="D46" s="742"/>
      <c r="E46" s="742"/>
      <c r="F46" s="743"/>
    </row>
    <row r="47" spans="1:6" ht="22.5">
      <c r="A47" s="739"/>
      <c r="B47" s="751" t="s">
        <v>228</v>
      </c>
      <c r="C47" s="752" t="s">
        <v>908</v>
      </c>
      <c r="D47" s="742"/>
      <c r="E47" s="742"/>
      <c r="F47" s="743"/>
    </row>
    <row r="48" spans="1:6" ht="15" customHeight="1">
      <c r="A48" s="727" t="s">
        <v>147</v>
      </c>
      <c r="B48" s="768"/>
      <c r="C48" s="768" t="s">
        <v>909</v>
      </c>
      <c r="D48" s="779"/>
      <c r="E48" s="779"/>
      <c r="F48" s="780"/>
    </row>
    <row r="49" spans="1:6" ht="14.25" customHeight="1">
      <c r="A49" s="790" t="s">
        <v>148</v>
      </c>
      <c r="B49" s="856"/>
      <c r="C49" s="857" t="s">
        <v>910</v>
      </c>
      <c r="D49" s="779"/>
      <c r="E49" s="779"/>
      <c r="F49" s="780"/>
    </row>
    <row r="50" spans="1:6" ht="12.75">
      <c r="A50" s="727" t="s">
        <v>149</v>
      </c>
      <c r="B50" s="778"/>
      <c r="C50" s="860" t="s">
        <v>911</v>
      </c>
      <c r="D50" s="734">
        <f>+D37+D43+D48+D49</f>
        <v>9996</v>
      </c>
      <c r="E50" s="734">
        <f>+E37+E43+E48+E49</f>
        <v>11656</v>
      </c>
      <c r="F50" s="737">
        <f>+F37+F43+F48+F49</f>
        <v>11655</v>
      </c>
    </row>
    <row r="51" spans="1:6" ht="13.5" thickBot="1">
      <c r="A51" s="861"/>
      <c r="B51" s="862"/>
      <c r="C51" s="862"/>
      <c r="D51" s="863"/>
      <c r="E51" s="863"/>
      <c r="F51" s="863"/>
    </row>
    <row r="52" spans="1:6" ht="13.5" thickBot="1">
      <c r="A52" s="829" t="s">
        <v>880</v>
      </c>
      <c r="B52" s="830"/>
      <c r="C52" s="831"/>
      <c r="D52" s="841">
        <v>2.33</v>
      </c>
      <c r="E52" s="882">
        <v>2.33</v>
      </c>
      <c r="F52" s="883">
        <v>2.33</v>
      </c>
    </row>
    <row r="53" spans="1:6" ht="13.5" thickBot="1">
      <c r="A53" s="829" t="s">
        <v>881</v>
      </c>
      <c r="B53" s="830"/>
      <c r="C53" s="831"/>
      <c r="D53" s="841">
        <v>0</v>
      </c>
      <c r="E53" s="884">
        <v>0</v>
      </c>
      <c r="F53" s="885">
        <v>0</v>
      </c>
    </row>
  </sheetData>
  <sheetProtection selectLockedCells="1" selectUnlockedCells="1"/>
  <mergeCells count="6">
    <mergeCell ref="A7:F7"/>
    <mergeCell ref="A36:F36"/>
    <mergeCell ref="A2:B2"/>
    <mergeCell ref="C2:E2"/>
    <mergeCell ref="C3:E3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F53"/>
  <sheetViews>
    <sheetView zoomScaleSheetLayoutView="160" workbookViewId="0" topLeftCell="A1">
      <selection activeCell="C9" sqref="C9"/>
    </sheetView>
  </sheetViews>
  <sheetFormatPr defaultColWidth="9.00390625" defaultRowHeight="12.75"/>
  <cols>
    <col min="1" max="1" width="9.625" style="872" customWidth="1"/>
    <col min="2" max="2" width="9.625" style="726" customWidth="1"/>
    <col min="3" max="3" width="59.375" style="726" customWidth="1"/>
    <col min="4" max="6" width="15.875" style="726" customWidth="1"/>
    <col min="7" max="16384" width="9.375" style="726" customWidth="1"/>
  </cols>
  <sheetData>
    <row r="1" spans="1:6" s="714" customFormat="1" ht="21" customHeight="1">
      <c r="A1" s="1196" t="s">
        <v>105</v>
      </c>
      <c r="B1" s="1196"/>
      <c r="C1" s="866"/>
      <c r="D1" s="713"/>
      <c r="E1" s="713"/>
      <c r="F1" s="713" t="s">
        <v>927</v>
      </c>
    </row>
    <row r="2" spans="1:6" s="716" customFormat="1" ht="25.5" customHeight="1">
      <c r="A2" s="1191" t="s">
        <v>888</v>
      </c>
      <c r="B2" s="1191"/>
      <c r="C2" s="1197" t="s">
        <v>924</v>
      </c>
      <c r="D2" s="1197"/>
      <c r="E2" s="1197"/>
      <c r="F2" s="867" t="s">
        <v>890</v>
      </c>
    </row>
    <row r="3" spans="1:6" s="716" customFormat="1" ht="15.75">
      <c r="A3" s="717" t="s">
        <v>831</v>
      </c>
      <c r="B3" s="718"/>
      <c r="C3" s="1195" t="s">
        <v>921</v>
      </c>
      <c r="D3" s="1195"/>
      <c r="E3" s="1195"/>
      <c r="F3" s="868" t="s">
        <v>922</v>
      </c>
    </row>
    <row r="4" spans="1:6" s="722" customFormat="1" ht="15.75" customHeight="1">
      <c r="A4" s="720"/>
      <c r="B4" s="720"/>
      <c r="C4" s="720"/>
      <c r="F4" s="721" t="s">
        <v>179</v>
      </c>
    </row>
    <row r="5" spans="1:6" ht="24.75" customHeight="1">
      <c r="A5" s="1194" t="s">
        <v>834</v>
      </c>
      <c r="B5" s="1194"/>
      <c r="C5" s="723" t="s">
        <v>835</v>
      </c>
      <c r="D5" s="724" t="s">
        <v>482</v>
      </c>
      <c r="E5" s="724" t="s">
        <v>489</v>
      </c>
      <c r="F5" s="725" t="s">
        <v>490</v>
      </c>
    </row>
    <row r="6" spans="1:6" s="731" customFormat="1" ht="12.75" customHeight="1">
      <c r="A6" s="727">
        <v>1</v>
      </c>
      <c r="B6" s="728">
        <v>2</v>
      </c>
      <c r="C6" s="728">
        <v>3</v>
      </c>
      <c r="D6" s="728">
        <v>4</v>
      </c>
      <c r="E6" s="729">
        <v>5</v>
      </c>
      <c r="F6" s="730">
        <v>6</v>
      </c>
    </row>
    <row r="7" spans="1:6" s="731" customFormat="1" ht="15.75" customHeight="1">
      <c r="A7" s="1190" t="s">
        <v>180</v>
      </c>
      <c r="B7" s="1190"/>
      <c r="C7" s="1190"/>
      <c r="D7" s="1190"/>
      <c r="E7" s="1190"/>
      <c r="F7" s="1190"/>
    </row>
    <row r="8" spans="1:6" s="735" customFormat="1" ht="12" customHeight="1">
      <c r="A8" s="727" t="s">
        <v>145</v>
      </c>
      <c r="B8" s="732"/>
      <c r="C8" s="887" t="s">
        <v>933</v>
      </c>
      <c r="D8" s="734">
        <f>SUM(D9:D16)</f>
        <v>0</v>
      </c>
      <c r="E8" s="734">
        <f>SUM(E9:E16)</f>
        <v>0</v>
      </c>
      <c r="F8" s="737">
        <f>SUM(F9:F16)</f>
        <v>0</v>
      </c>
    </row>
    <row r="9" spans="1:6" s="735" customFormat="1" ht="12" customHeight="1">
      <c r="A9" s="746"/>
      <c r="B9" s="740" t="s">
        <v>217</v>
      </c>
      <c r="C9" s="886" t="s">
        <v>284</v>
      </c>
      <c r="D9" s="749"/>
      <c r="E9" s="749"/>
      <c r="F9" s="750"/>
    </row>
    <row r="10" spans="1:6" s="735" customFormat="1" ht="12" customHeight="1">
      <c r="A10" s="739"/>
      <c r="B10" s="740" t="s">
        <v>218</v>
      </c>
      <c r="C10" s="509" t="s">
        <v>285</v>
      </c>
      <c r="D10" s="742"/>
      <c r="E10" s="742"/>
      <c r="F10" s="743"/>
    </row>
    <row r="11" spans="1:6" s="735" customFormat="1" ht="12" customHeight="1">
      <c r="A11" s="739"/>
      <c r="B11" s="740" t="s">
        <v>219</v>
      </c>
      <c r="C11" s="509" t="s">
        <v>838</v>
      </c>
      <c r="D11" s="742"/>
      <c r="E11" s="742"/>
      <c r="F11" s="743"/>
    </row>
    <row r="12" spans="1:6" s="735" customFormat="1" ht="12" customHeight="1">
      <c r="A12" s="739"/>
      <c r="B12" s="740" t="s">
        <v>220</v>
      </c>
      <c r="C12" s="509" t="s">
        <v>286</v>
      </c>
      <c r="D12" s="742"/>
      <c r="E12" s="742"/>
      <c r="F12" s="743"/>
    </row>
    <row r="13" spans="1:6" s="735" customFormat="1" ht="12" customHeight="1">
      <c r="A13" s="739"/>
      <c r="B13" s="740" t="s">
        <v>893</v>
      </c>
      <c r="C13" s="509" t="s">
        <v>287</v>
      </c>
      <c r="D13" s="742"/>
      <c r="E13" s="742"/>
      <c r="F13" s="743"/>
    </row>
    <row r="14" spans="1:6" s="735" customFormat="1" ht="12" customHeight="1">
      <c r="A14" s="753"/>
      <c r="B14" s="740" t="s">
        <v>221</v>
      </c>
      <c r="C14" s="509" t="s">
        <v>288</v>
      </c>
      <c r="D14" s="754"/>
      <c r="E14" s="754"/>
      <c r="F14" s="755"/>
    </row>
    <row r="15" spans="1:6" s="738" customFormat="1" ht="12" customHeight="1">
      <c r="A15" s="739"/>
      <c r="B15" s="740" t="s">
        <v>222</v>
      </c>
      <c r="C15" s="509" t="s">
        <v>839</v>
      </c>
      <c r="D15" s="742"/>
      <c r="E15" s="742"/>
      <c r="F15" s="743"/>
    </row>
    <row r="16" spans="1:6" s="738" customFormat="1" ht="12" customHeight="1">
      <c r="A16" s="739"/>
      <c r="B16" s="740" t="s">
        <v>232</v>
      </c>
      <c r="C16" s="509" t="s">
        <v>345</v>
      </c>
      <c r="D16" s="742"/>
      <c r="E16" s="742"/>
      <c r="F16" s="743"/>
    </row>
    <row r="17" spans="1:6" s="738" customFormat="1" ht="12" customHeight="1">
      <c r="A17" s="757"/>
      <c r="B17" s="766" t="s">
        <v>233</v>
      </c>
      <c r="C17" s="509" t="s">
        <v>289</v>
      </c>
      <c r="D17" s="762"/>
      <c r="E17" s="762"/>
      <c r="F17" s="758"/>
    </row>
    <row r="18" spans="1:6" s="738" customFormat="1" ht="12" customHeight="1">
      <c r="A18" s="759"/>
      <c r="B18" s="846" t="s">
        <v>234</v>
      </c>
      <c r="C18" s="513" t="s">
        <v>290</v>
      </c>
      <c r="D18" s="774"/>
      <c r="E18" s="774"/>
      <c r="F18" s="763"/>
    </row>
    <row r="19" spans="1:6" s="735" customFormat="1" ht="12" customHeight="1">
      <c r="A19" s="727" t="s">
        <v>146</v>
      </c>
      <c r="B19" s="732"/>
      <c r="C19" s="845" t="s">
        <v>894</v>
      </c>
      <c r="D19" s="734">
        <f>SUM(D20+D22)</f>
        <v>0</v>
      </c>
      <c r="E19" s="734">
        <f>SUM(E20+E22)</f>
        <v>0</v>
      </c>
      <c r="F19" s="737">
        <f>SUM(F20+F22)</f>
        <v>0</v>
      </c>
    </row>
    <row r="20" spans="1:6" s="738" customFormat="1" ht="12" customHeight="1">
      <c r="A20" s="739"/>
      <c r="B20" s="740" t="s">
        <v>225</v>
      </c>
      <c r="C20" s="848" t="s">
        <v>895</v>
      </c>
      <c r="D20" s="742"/>
      <c r="E20" s="742"/>
      <c r="F20" s="743"/>
    </row>
    <row r="21" spans="1:6" s="738" customFormat="1" ht="12" customHeight="1">
      <c r="A21" s="739"/>
      <c r="B21" s="740" t="s">
        <v>226</v>
      </c>
      <c r="C21" s="752" t="s">
        <v>896</v>
      </c>
      <c r="D21" s="742"/>
      <c r="E21" s="742"/>
      <c r="F21" s="743"/>
    </row>
    <row r="22" spans="1:6" s="738" customFormat="1" ht="12" customHeight="1">
      <c r="A22" s="739"/>
      <c r="B22" s="740" t="s">
        <v>227</v>
      </c>
      <c r="C22" s="752" t="s">
        <v>897</v>
      </c>
      <c r="D22" s="742"/>
      <c r="E22" s="742"/>
      <c r="F22" s="743"/>
    </row>
    <row r="23" spans="1:6" s="738" customFormat="1" ht="12" customHeight="1">
      <c r="A23" s="739"/>
      <c r="B23" s="740" t="s">
        <v>228</v>
      </c>
      <c r="C23" s="752" t="s">
        <v>896</v>
      </c>
      <c r="D23" s="742"/>
      <c r="E23" s="742"/>
      <c r="F23" s="743"/>
    </row>
    <row r="24" spans="1:6" s="738" customFormat="1" ht="12" customHeight="1">
      <c r="A24" s="727" t="s">
        <v>147</v>
      </c>
      <c r="B24" s="768"/>
      <c r="C24" s="768" t="s">
        <v>898</v>
      </c>
      <c r="D24" s="734">
        <f>+D25+D26</f>
        <v>0</v>
      </c>
      <c r="E24" s="734">
        <f>+E25+E26</f>
        <v>0</v>
      </c>
      <c r="F24" s="737">
        <f>+F25+F26</f>
        <v>0</v>
      </c>
    </row>
    <row r="25" spans="1:6" s="735" customFormat="1" ht="12" customHeight="1">
      <c r="A25" s="746"/>
      <c r="B25" s="849" t="s">
        <v>197</v>
      </c>
      <c r="C25" s="748" t="s">
        <v>353</v>
      </c>
      <c r="D25" s="749"/>
      <c r="E25" s="749"/>
      <c r="F25" s="750"/>
    </row>
    <row r="26" spans="1:6" s="735" customFormat="1" ht="12" customHeight="1">
      <c r="A26" s="764"/>
      <c r="B26" s="850" t="s">
        <v>198</v>
      </c>
      <c r="C26" s="761" t="s">
        <v>357</v>
      </c>
      <c r="D26" s="851"/>
      <c r="E26" s="851"/>
      <c r="F26" s="852"/>
    </row>
    <row r="27" spans="1:6" s="735" customFormat="1" ht="12" customHeight="1">
      <c r="A27" s="727" t="s">
        <v>148</v>
      </c>
      <c r="B27" s="732"/>
      <c r="C27" s="768" t="s">
        <v>917</v>
      </c>
      <c r="D27" s="779"/>
      <c r="E27" s="779"/>
      <c r="F27" s="780"/>
    </row>
    <row r="28" spans="1:6" s="735" customFormat="1" ht="12" customHeight="1">
      <c r="A28" s="727" t="s">
        <v>149</v>
      </c>
      <c r="B28" s="784"/>
      <c r="C28" s="768" t="s">
        <v>913</v>
      </c>
      <c r="D28" s="734"/>
      <c r="E28" s="734"/>
      <c r="F28" s="737"/>
    </row>
    <row r="29" spans="1:6" s="738" customFormat="1" ht="12" customHeight="1">
      <c r="A29" s="853" t="s">
        <v>150</v>
      </c>
      <c r="B29" s="854"/>
      <c r="C29" s="812" t="s">
        <v>918</v>
      </c>
      <c r="D29" s="814">
        <f>+D30+D31</f>
        <v>0</v>
      </c>
      <c r="E29" s="814">
        <f>+E30+E31</f>
        <v>0</v>
      </c>
      <c r="F29" s="815">
        <f>+F30+F31</f>
        <v>0</v>
      </c>
    </row>
    <row r="30" spans="1:6" s="738" customFormat="1" ht="15" customHeight="1">
      <c r="A30" s="746"/>
      <c r="B30" s="747" t="s">
        <v>204</v>
      </c>
      <c r="C30" s="748" t="s">
        <v>455</v>
      </c>
      <c r="D30" s="749"/>
      <c r="E30" s="749"/>
      <c r="F30" s="750"/>
    </row>
    <row r="31" spans="1:6" s="738" customFormat="1" ht="15" customHeight="1">
      <c r="A31" s="855"/>
      <c r="B31" s="760" t="s">
        <v>205</v>
      </c>
      <c r="C31" s="847" t="s">
        <v>903</v>
      </c>
      <c r="D31" s="774"/>
      <c r="E31" s="774"/>
      <c r="F31" s="763"/>
    </row>
    <row r="32" spans="1:6" ht="12.75">
      <c r="A32" s="790" t="s">
        <v>151</v>
      </c>
      <c r="B32" s="856"/>
      <c r="C32" s="857" t="s">
        <v>919</v>
      </c>
      <c r="D32" s="779"/>
      <c r="E32" s="779"/>
      <c r="F32" s="780"/>
    </row>
    <row r="33" spans="1:6" s="731" customFormat="1" ht="16.5" customHeight="1">
      <c r="A33" s="790" t="s">
        <v>152</v>
      </c>
      <c r="B33" s="858"/>
      <c r="C33" s="859" t="s">
        <v>915</v>
      </c>
      <c r="D33" s="734">
        <f>+D28+D29+D32</f>
        <v>0</v>
      </c>
      <c r="E33" s="734">
        <f>+E28+E29+E32</f>
        <v>0</v>
      </c>
      <c r="F33" s="737">
        <f>+F28+F29+F32</f>
        <v>0</v>
      </c>
    </row>
    <row r="34" spans="1:6" s="800" customFormat="1" ht="12" customHeight="1">
      <c r="A34" s="793"/>
      <c r="B34" s="793"/>
      <c r="C34" s="794"/>
      <c r="D34" s="795"/>
      <c r="E34" s="795"/>
      <c r="F34" s="795"/>
    </row>
    <row r="35" spans="1:6" ht="12" customHeight="1">
      <c r="A35" s="796"/>
      <c r="B35" s="797"/>
      <c r="C35" s="797"/>
      <c r="D35" s="798"/>
      <c r="E35" s="798"/>
      <c r="F35" s="798"/>
    </row>
    <row r="36" spans="1:6" ht="12" customHeight="1">
      <c r="A36" s="1190" t="s">
        <v>184</v>
      </c>
      <c r="B36" s="1190"/>
      <c r="C36" s="1190"/>
      <c r="D36" s="1190"/>
      <c r="E36" s="1190"/>
      <c r="F36" s="1190"/>
    </row>
    <row r="37" spans="1:6" ht="12" customHeight="1">
      <c r="A37" s="727" t="s">
        <v>145</v>
      </c>
      <c r="B37" s="768"/>
      <c r="C37" s="768" t="s">
        <v>852</v>
      </c>
      <c r="D37" s="734">
        <f>SUM(D38:D42)</f>
        <v>0</v>
      </c>
      <c r="E37" s="734">
        <f>SUM(E38:E42)</f>
        <v>0</v>
      </c>
      <c r="F37" s="737">
        <f>SUM(F38:F42)</f>
        <v>0</v>
      </c>
    </row>
    <row r="38" spans="1:6" ht="12" customHeight="1">
      <c r="A38" s="775"/>
      <c r="B38" s="801" t="s">
        <v>217</v>
      </c>
      <c r="C38" s="848" t="s">
        <v>175</v>
      </c>
      <c r="D38" s="776"/>
      <c r="E38" s="776"/>
      <c r="F38" s="777"/>
    </row>
    <row r="39" spans="1:6" ht="12" customHeight="1">
      <c r="A39" s="739"/>
      <c r="B39" s="751" t="s">
        <v>218</v>
      </c>
      <c r="C39" s="752" t="s">
        <v>315</v>
      </c>
      <c r="D39" s="742"/>
      <c r="E39" s="742"/>
      <c r="F39" s="743"/>
    </row>
    <row r="40" spans="1:6" ht="12" customHeight="1">
      <c r="A40" s="739"/>
      <c r="B40" s="751" t="s">
        <v>219</v>
      </c>
      <c r="C40" s="752" t="s">
        <v>248</v>
      </c>
      <c r="D40" s="742"/>
      <c r="E40" s="742"/>
      <c r="F40" s="743"/>
    </row>
    <row r="41" spans="1:6" s="800" customFormat="1" ht="12" customHeight="1">
      <c r="A41" s="739"/>
      <c r="B41" s="751" t="s">
        <v>220</v>
      </c>
      <c r="C41" s="752" t="s">
        <v>316</v>
      </c>
      <c r="D41" s="742"/>
      <c r="E41" s="742"/>
      <c r="F41" s="743"/>
    </row>
    <row r="42" spans="1:6" ht="12" customHeight="1">
      <c r="A42" s="739"/>
      <c r="B42" s="751" t="s">
        <v>231</v>
      </c>
      <c r="C42" s="752" t="s">
        <v>317</v>
      </c>
      <c r="D42" s="742"/>
      <c r="E42" s="742"/>
      <c r="F42" s="743"/>
    </row>
    <row r="43" spans="1:6" ht="12" customHeight="1">
      <c r="A43" s="727" t="s">
        <v>146</v>
      </c>
      <c r="B43" s="768"/>
      <c r="C43" s="768" t="s">
        <v>906</v>
      </c>
      <c r="D43" s="734">
        <f>SUM(D44:D46)</f>
        <v>0</v>
      </c>
      <c r="E43" s="734">
        <f>SUM(E44:E46)</f>
        <v>0</v>
      </c>
      <c r="F43" s="737">
        <f>SUM(F44:F46)</f>
        <v>0</v>
      </c>
    </row>
    <row r="44" spans="1:6" ht="12" customHeight="1">
      <c r="A44" s="775"/>
      <c r="B44" s="801" t="s">
        <v>225</v>
      </c>
      <c r="C44" s="848" t="s">
        <v>381</v>
      </c>
      <c r="D44" s="776"/>
      <c r="E44" s="776"/>
      <c r="F44" s="777"/>
    </row>
    <row r="45" spans="1:6" ht="12" customHeight="1">
      <c r="A45" s="739"/>
      <c r="B45" s="751" t="s">
        <v>226</v>
      </c>
      <c r="C45" s="752" t="s">
        <v>318</v>
      </c>
      <c r="D45" s="742"/>
      <c r="E45" s="742"/>
      <c r="F45" s="743"/>
    </row>
    <row r="46" spans="1:6" ht="15" customHeight="1">
      <c r="A46" s="739"/>
      <c r="B46" s="751" t="s">
        <v>227</v>
      </c>
      <c r="C46" s="752" t="s">
        <v>907</v>
      </c>
      <c r="D46" s="742"/>
      <c r="E46" s="742"/>
      <c r="F46" s="743"/>
    </row>
    <row r="47" spans="1:6" ht="22.5">
      <c r="A47" s="739"/>
      <c r="B47" s="751" t="s">
        <v>228</v>
      </c>
      <c r="C47" s="752" t="s">
        <v>908</v>
      </c>
      <c r="D47" s="742"/>
      <c r="E47" s="742"/>
      <c r="F47" s="743"/>
    </row>
    <row r="48" spans="1:6" ht="15" customHeight="1">
      <c r="A48" s="727" t="s">
        <v>147</v>
      </c>
      <c r="B48" s="768"/>
      <c r="C48" s="768" t="s">
        <v>909</v>
      </c>
      <c r="D48" s="779"/>
      <c r="E48" s="779"/>
      <c r="F48" s="780"/>
    </row>
    <row r="49" spans="1:6" ht="14.25" customHeight="1">
      <c r="A49" s="790" t="s">
        <v>148</v>
      </c>
      <c r="B49" s="856"/>
      <c r="C49" s="857" t="s">
        <v>910</v>
      </c>
      <c r="D49" s="779"/>
      <c r="E49" s="779"/>
      <c r="F49" s="780"/>
    </row>
    <row r="50" spans="1:6" ht="12.75">
      <c r="A50" s="727" t="s">
        <v>149</v>
      </c>
      <c r="B50" s="778"/>
      <c r="C50" s="860" t="s">
        <v>911</v>
      </c>
      <c r="D50" s="734">
        <f>+D37+D43+D48+D49</f>
        <v>0</v>
      </c>
      <c r="E50" s="734">
        <f>+E37+E43+E48+E49</f>
        <v>0</v>
      </c>
      <c r="F50" s="737">
        <f>+F37+F43+F48+F49</f>
        <v>0</v>
      </c>
    </row>
    <row r="51" spans="1:6" ht="12.75">
      <c r="A51" s="861"/>
      <c r="B51" s="862"/>
      <c r="C51" s="862"/>
      <c r="D51" s="863"/>
      <c r="E51" s="863"/>
      <c r="F51" s="863"/>
    </row>
    <row r="52" spans="1:6" ht="12.75">
      <c r="A52" s="829" t="s">
        <v>880</v>
      </c>
      <c r="B52" s="830"/>
      <c r="C52" s="831"/>
      <c r="D52" s="832"/>
      <c r="E52" s="832"/>
      <c r="F52" s="865"/>
    </row>
    <row r="53" spans="1:6" ht="12.75">
      <c r="A53" s="829" t="s">
        <v>881</v>
      </c>
      <c r="B53" s="830"/>
      <c r="C53" s="831"/>
      <c r="D53" s="832"/>
      <c r="E53" s="832"/>
      <c r="F53" s="865"/>
    </row>
  </sheetData>
  <sheetProtection selectLockedCells="1" selectUnlockedCells="1"/>
  <mergeCells count="7">
    <mergeCell ref="A5:B5"/>
    <mergeCell ref="A7:F7"/>
    <mergeCell ref="A36:F36"/>
    <mergeCell ref="A1:B1"/>
    <mergeCell ref="A2:B2"/>
    <mergeCell ref="C2:E2"/>
    <mergeCell ref="C3:E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G54"/>
  <sheetViews>
    <sheetView zoomScaleSheetLayoutView="160" workbookViewId="0" topLeftCell="A1">
      <selection activeCell="C9" sqref="C9"/>
    </sheetView>
  </sheetViews>
  <sheetFormatPr defaultColWidth="9.00390625" defaultRowHeight="12.75"/>
  <cols>
    <col min="1" max="1" width="9.625" style="861" customWidth="1"/>
    <col min="2" max="2" width="9.625" style="862" customWidth="1"/>
    <col min="3" max="3" width="59.375" style="862" customWidth="1"/>
    <col min="4" max="6" width="15.875" style="862" customWidth="1"/>
    <col min="7" max="16384" width="9.375" style="726" customWidth="1"/>
  </cols>
  <sheetData>
    <row r="1" spans="1:6" s="714" customFormat="1" ht="21" customHeight="1">
      <c r="A1" s="710"/>
      <c r="B1" s="711"/>
      <c r="C1" s="712"/>
      <c r="D1" s="713"/>
      <c r="E1" s="713"/>
      <c r="F1" s="713" t="s">
        <v>928</v>
      </c>
    </row>
    <row r="2" spans="1:6" s="716" customFormat="1" ht="25.5" customHeight="1">
      <c r="A2" s="1191" t="s">
        <v>888</v>
      </c>
      <c r="B2" s="1191"/>
      <c r="C2" s="1192" t="s">
        <v>104</v>
      </c>
      <c r="D2" s="1192"/>
      <c r="E2" s="1192"/>
      <c r="F2" s="843" t="s">
        <v>890</v>
      </c>
    </row>
    <row r="3" spans="1:6" s="716" customFormat="1" ht="15.75">
      <c r="A3" s="717" t="s">
        <v>831</v>
      </c>
      <c r="B3" s="718"/>
      <c r="C3" s="1193" t="s">
        <v>891</v>
      </c>
      <c r="D3" s="1193"/>
      <c r="E3" s="1193"/>
      <c r="F3" s="844" t="s">
        <v>892</v>
      </c>
    </row>
    <row r="4" spans="1:6" s="722" customFormat="1" ht="15.75" customHeight="1">
      <c r="A4" s="720"/>
      <c r="B4" s="720"/>
      <c r="C4" s="720"/>
      <c r="D4" s="721"/>
      <c r="E4" s="721"/>
      <c r="F4" s="721" t="s">
        <v>179</v>
      </c>
    </row>
    <row r="5" spans="1:6" ht="24.75" customHeight="1">
      <c r="A5" s="1194" t="s">
        <v>834</v>
      </c>
      <c r="B5" s="1194"/>
      <c r="C5" s="723" t="s">
        <v>835</v>
      </c>
      <c r="D5" s="724" t="s">
        <v>482</v>
      </c>
      <c r="E5" s="724" t="s">
        <v>489</v>
      </c>
      <c r="F5" s="725" t="s">
        <v>490</v>
      </c>
    </row>
    <row r="6" spans="1:6" s="731" customFormat="1" ht="12.75" customHeight="1">
      <c r="A6" s="727">
        <v>1</v>
      </c>
      <c r="B6" s="728">
        <v>2</v>
      </c>
      <c r="C6" s="728">
        <v>3</v>
      </c>
      <c r="D6" s="728">
        <v>4</v>
      </c>
      <c r="E6" s="729">
        <v>5</v>
      </c>
      <c r="F6" s="730">
        <v>6</v>
      </c>
    </row>
    <row r="7" spans="1:6" s="731" customFormat="1" ht="15.75" customHeight="1">
      <c r="A7" s="1190" t="s">
        <v>180</v>
      </c>
      <c r="B7" s="1190"/>
      <c r="C7" s="1190"/>
      <c r="D7" s="1190"/>
      <c r="E7" s="1190"/>
      <c r="F7" s="1190"/>
    </row>
    <row r="8" spans="1:7" s="735" customFormat="1" ht="12" customHeight="1" thickBot="1">
      <c r="A8" s="727" t="s">
        <v>145</v>
      </c>
      <c r="B8" s="732"/>
      <c r="C8" s="887" t="s">
        <v>933</v>
      </c>
      <c r="D8" s="734">
        <f>SUM(D9:D16)</f>
        <v>0</v>
      </c>
      <c r="E8" s="734">
        <f>SUM(E9:E16)</f>
        <v>700</v>
      </c>
      <c r="F8" s="737">
        <f>SUM(F9:F16)</f>
        <v>699</v>
      </c>
      <c r="G8" s="735">
        <f>'9.2. sz. mell'!F8+'9.3. sz. mell'!F8</f>
        <v>699</v>
      </c>
    </row>
    <row r="9" spans="1:7" s="735" customFormat="1" ht="12" customHeight="1">
      <c r="A9" s="746"/>
      <c r="B9" s="740" t="s">
        <v>217</v>
      </c>
      <c r="C9" s="886" t="s">
        <v>284</v>
      </c>
      <c r="D9" s="749"/>
      <c r="E9" s="749"/>
      <c r="F9" s="750"/>
      <c r="G9" s="735">
        <f>'9.2. sz. mell'!F9+'9.3. sz. mell'!F9</f>
        <v>0</v>
      </c>
    </row>
    <row r="10" spans="1:7" s="735" customFormat="1" ht="12" customHeight="1">
      <c r="A10" s="739"/>
      <c r="B10" s="740" t="s">
        <v>218</v>
      </c>
      <c r="C10" s="509" t="s">
        <v>285</v>
      </c>
      <c r="D10" s="742"/>
      <c r="E10" s="742"/>
      <c r="F10" s="743"/>
      <c r="G10" s="735">
        <f>'9.2. sz. mell'!F10+'9.3. sz. mell'!F10</f>
        <v>0</v>
      </c>
    </row>
    <row r="11" spans="1:7" s="735" customFormat="1" ht="12" customHeight="1">
      <c r="A11" s="739"/>
      <c r="B11" s="740" t="s">
        <v>219</v>
      </c>
      <c r="C11" s="509" t="s">
        <v>838</v>
      </c>
      <c r="D11" s="742"/>
      <c r="E11" s="742"/>
      <c r="F11" s="743"/>
      <c r="G11" s="735">
        <f>'9.2. sz. mell'!F11+'9.3. sz. mell'!F11</f>
        <v>0</v>
      </c>
    </row>
    <row r="12" spans="1:7" s="735" customFormat="1" ht="12" customHeight="1">
      <c r="A12" s="739"/>
      <c r="B12" s="740" t="s">
        <v>220</v>
      </c>
      <c r="C12" s="509" t="s">
        <v>286</v>
      </c>
      <c r="D12" s="742"/>
      <c r="E12" s="742"/>
      <c r="F12" s="743"/>
      <c r="G12" s="735">
        <f>'9.2. sz. mell'!F12+'9.3. sz. mell'!F12</f>
        <v>0</v>
      </c>
    </row>
    <row r="13" spans="1:7" s="735" customFormat="1" ht="12" customHeight="1">
      <c r="A13" s="739"/>
      <c r="B13" s="740" t="s">
        <v>893</v>
      </c>
      <c r="C13" s="509" t="s">
        <v>287</v>
      </c>
      <c r="D13" s="742"/>
      <c r="E13" s="742">
        <v>551</v>
      </c>
      <c r="F13" s="743">
        <v>551</v>
      </c>
      <c r="G13" s="735">
        <f>'9.2. sz. mell'!F13+'9.3. sz. mell'!F13</f>
        <v>551</v>
      </c>
    </row>
    <row r="14" spans="1:7" s="735" customFormat="1" ht="12" customHeight="1">
      <c r="A14" s="753"/>
      <c r="B14" s="740" t="s">
        <v>221</v>
      </c>
      <c r="C14" s="509" t="s">
        <v>288</v>
      </c>
      <c r="D14" s="742"/>
      <c r="E14" s="742"/>
      <c r="F14" s="743"/>
      <c r="G14" s="735">
        <f>'9.2. sz. mell'!F14+'9.3. sz. mell'!F14</f>
        <v>0</v>
      </c>
    </row>
    <row r="15" spans="1:7" s="738" customFormat="1" ht="12" customHeight="1">
      <c r="A15" s="739"/>
      <c r="B15" s="740" t="s">
        <v>222</v>
      </c>
      <c r="C15" s="509" t="s">
        <v>839</v>
      </c>
      <c r="D15" s="742"/>
      <c r="E15" s="742"/>
      <c r="F15" s="743"/>
      <c r="G15" s="735">
        <f>'9.2. sz. mell'!F15+'9.3. sz. mell'!F15</f>
        <v>0</v>
      </c>
    </row>
    <row r="16" spans="1:7" s="738" customFormat="1" ht="12" customHeight="1">
      <c r="A16" s="739"/>
      <c r="B16" s="740" t="s">
        <v>232</v>
      </c>
      <c r="C16" s="509" t="s">
        <v>345</v>
      </c>
      <c r="D16" s="742"/>
      <c r="E16" s="742">
        <v>149</v>
      </c>
      <c r="F16" s="743">
        <v>148</v>
      </c>
      <c r="G16" s="735">
        <f>'9.2. sz. mell'!F16+'9.3. sz. mell'!F16</f>
        <v>148</v>
      </c>
    </row>
    <row r="17" spans="1:7" s="738" customFormat="1" ht="12" customHeight="1">
      <c r="A17" s="757"/>
      <c r="B17" s="766" t="s">
        <v>233</v>
      </c>
      <c r="C17" s="509" t="s">
        <v>289</v>
      </c>
      <c r="D17" s="742"/>
      <c r="E17" s="742"/>
      <c r="F17" s="743"/>
      <c r="G17" s="735">
        <f>'9.2. sz. mell'!F17+'9.3. sz. mell'!F17</f>
        <v>0</v>
      </c>
    </row>
    <row r="18" spans="1:7" s="738" customFormat="1" ht="12" customHeight="1" thickBot="1">
      <c r="A18" s="759"/>
      <c r="B18" s="846" t="s">
        <v>234</v>
      </c>
      <c r="C18" s="513" t="s">
        <v>290</v>
      </c>
      <c r="D18" s="762"/>
      <c r="E18" s="774"/>
      <c r="F18" s="763"/>
      <c r="G18" s="735">
        <f>'9.2. sz. mell'!F18+'9.3. sz. mell'!F18</f>
        <v>0</v>
      </c>
    </row>
    <row r="19" spans="1:7" s="735" customFormat="1" ht="12" customHeight="1" thickBot="1">
      <c r="A19" s="727" t="s">
        <v>146</v>
      </c>
      <c r="B19" s="732"/>
      <c r="C19" s="845" t="s">
        <v>894</v>
      </c>
      <c r="D19" s="734">
        <f>SUM(D20+D22)</f>
        <v>0</v>
      </c>
      <c r="E19" s="734">
        <f>SUM(E20+E22)</f>
        <v>0</v>
      </c>
      <c r="F19" s="737">
        <f>SUM(F20+F22)</f>
        <v>0</v>
      </c>
      <c r="G19" s="735">
        <f>'9.2. sz. mell'!F19+'9.3. sz. mell'!F19</f>
        <v>0</v>
      </c>
    </row>
    <row r="20" spans="1:7" s="738" customFormat="1" ht="12" customHeight="1">
      <c r="A20" s="739"/>
      <c r="B20" s="740" t="s">
        <v>225</v>
      </c>
      <c r="C20" s="848" t="s">
        <v>895</v>
      </c>
      <c r="D20" s="742"/>
      <c r="E20" s="742"/>
      <c r="F20" s="743"/>
      <c r="G20" s="735">
        <f>'9.2. sz. mell'!F20+'9.3. sz. mell'!F20</f>
        <v>0</v>
      </c>
    </row>
    <row r="21" spans="1:7" s="738" customFormat="1" ht="12" customHeight="1">
      <c r="A21" s="739"/>
      <c r="B21" s="740" t="s">
        <v>226</v>
      </c>
      <c r="C21" s="752" t="s">
        <v>896</v>
      </c>
      <c r="D21" s="742"/>
      <c r="E21" s="742"/>
      <c r="F21" s="743"/>
      <c r="G21" s="735">
        <f>'9.2. sz. mell'!F21+'9.3. sz. mell'!F21</f>
        <v>0</v>
      </c>
    </row>
    <row r="22" spans="1:7" s="738" customFormat="1" ht="12" customHeight="1">
      <c r="A22" s="739"/>
      <c r="B22" s="740" t="s">
        <v>227</v>
      </c>
      <c r="C22" s="752" t="s">
        <v>897</v>
      </c>
      <c r="D22" s="742"/>
      <c r="E22" s="742"/>
      <c r="F22" s="743"/>
      <c r="G22" s="735">
        <f>'9.2. sz. mell'!F22+'9.3. sz. mell'!F22</f>
        <v>0</v>
      </c>
    </row>
    <row r="23" spans="1:7" s="738" customFormat="1" ht="12" customHeight="1">
      <c r="A23" s="739"/>
      <c r="B23" s="740" t="s">
        <v>228</v>
      </c>
      <c r="C23" s="752" t="s">
        <v>896</v>
      </c>
      <c r="D23" s="742"/>
      <c r="E23" s="742"/>
      <c r="F23" s="743"/>
      <c r="G23" s="735">
        <f>'9.2. sz. mell'!F23+'9.3. sz. mell'!F23</f>
        <v>0</v>
      </c>
    </row>
    <row r="24" spans="1:7" s="738" customFormat="1" ht="12" customHeight="1">
      <c r="A24" s="727" t="s">
        <v>147</v>
      </c>
      <c r="B24" s="768"/>
      <c r="C24" s="768" t="s">
        <v>898</v>
      </c>
      <c r="D24" s="734">
        <f>+D25+D26</f>
        <v>0</v>
      </c>
      <c r="E24" s="734">
        <f>+E25+E26</f>
        <v>0</v>
      </c>
      <c r="F24" s="737">
        <f>+F25+F26</f>
        <v>0</v>
      </c>
      <c r="G24" s="735">
        <f>'9.2. sz. mell'!F24+'9.3. sz. mell'!F24</f>
        <v>0</v>
      </c>
    </row>
    <row r="25" spans="1:7" s="738" customFormat="1" ht="12" customHeight="1">
      <c r="A25" s="746"/>
      <c r="B25" s="849" t="s">
        <v>197</v>
      </c>
      <c r="C25" s="748" t="s">
        <v>353</v>
      </c>
      <c r="D25" s="749"/>
      <c r="E25" s="749"/>
      <c r="F25" s="750"/>
      <c r="G25" s="735">
        <f>'9.2. sz. mell'!F25+'9.3. sz. mell'!F25</f>
        <v>0</v>
      </c>
    </row>
    <row r="26" spans="1:7" s="738" customFormat="1" ht="12" customHeight="1">
      <c r="A26" s="764"/>
      <c r="B26" s="850" t="s">
        <v>198</v>
      </c>
      <c r="C26" s="761" t="s">
        <v>357</v>
      </c>
      <c r="D26" s="851"/>
      <c r="E26" s="851"/>
      <c r="F26" s="852"/>
      <c r="G26" s="735">
        <f>'9.2. sz. mell'!F26+'9.3. sz. mell'!F26</f>
        <v>0</v>
      </c>
    </row>
    <row r="27" spans="1:7" s="738" customFormat="1" ht="12" customHeight="1">
      <c r="A27" s="727" t="s">
        <v>148</v>
      </c>
      <c r="B27" s="768"/>
      <c r="C27" s="768" t="s">
        <v>899</v>
      </c>
      <c r="D27" s="779"/>
      <c r="E27" s="779"/>
      <c r="F27" s="780"/>
      <c r="G27" s="735">
        <f>'9.2. sz. mell'!F27+'9.3. sz. mell'!F27</f>
        <v>19159</v>
      </c>
    </row>
    <row r="28" spans="1:7" s="735" customFormat="1" ht="12" customHeight="1">
      <c r="A28" s="727" t="s">
        <v>149</v>
      </c>
      <c r="B28" s="732"/>
      <c r="C28" s="768" t="s">
        <v>900</v>
      </c>
      <c r="D28" s="779"/>
      <c r="E28" s="780">
        <v>19185</v>
      </c>
      <c r="F28" s="780">
        <v>19159</v>
      </c>
      <c r="G28" s="735">
        <f>'9.2. sz. mell'!F28+'9.3. sz. mell'!F28</f>
        <v>19159</v>
      </c>
    </row>
    <row r="29" spans="1:7" s="735" customFormat="1" ht="12" customHeight="1">
      <c r="A29" s="727" t="s">
        <v>150</v>
      </c>
      <c r="B29" s="784"/>
      <c r="C29" s="768" t="s">
        <v>901</v>
      </c>
      <c r="D29" s="734">
        <f>+D8+D19+D24+D27+D28</f>
        <v>0</v>
      </c>
      <c r="E29" s="734">
        <f>+E8+E19+E24+E27+E28</f>
        <v>19885</v>
      </c>
      <c r="F29" s="737">
        <f>+F8+F19+F24+F27+F28</f>
        <v>19858</v>
      </c>
      <c r="G29" s="735">
        <f>'9.2. sz. mell'!F29+'9.3. sz. mell'!F29</f>
        <v>0</v>
      </c>
    </row>
    <row r="30" spans="1:7" s="735" customFormat="1" ht="12" customHeight="1">
      <c r="A30" s="853" t="s">
        <v>151</v>
      </c>
      <c r="B30" s="854"/>
      <c r="C30" s="812" t="s">
        <v>902</v>
      </c>
      <c r="D30" s="814">
        <f>+D31+D32</f>
        <v>0</v>
      </c>
      <c r="E30" s="814">
        <f>+E31+E32</f>
        <v>0</v>
      </c>
      <c r="F30" s="815">
        <f>+F31+F32</f>
        <v>0</v>
      </c>
      <c r="G30" s="735">
        <f>'9.2. sz. mell'!F30+'9.3. sz. mell'!F30</f>
        <v>0</v>
      </c>
    </row>
    <row r="31" spans="1:7" s="735" customFormat="1" ht="12" customHeight="1">
      <c r="A31" s="746"/>
      <c r="B31" s="747" t="s">
        <v>211</v>
      </c>
      <c r="C31" s="748" t="s">
        <v>455</v>
      </c>
      <c r="D31" s="749"/>
      <c r="E31" s="749"/>
      <c r="F31" s="750"/>
      <c r="G31" s="735">
        <f>'9.2. sz. mell'!F31+'9.3. sz. mell'!F31</f>
        <v>0</v>
      </c>
    </row>
    <row r="32" spans="1:7" s="738" customFormat="1" ht="12" customHeight="1">
      <c r="A32" s="855"/>
      <c r="B32" s="760" t="s">
        <v>212</v>
      </c>
      <c r="C32" s="847" t="s">
        <v>903</v>
      </c>
      <c r="D32" s="774"/>
      <c r="E32" s="774"/>
      <c r="F32" s="763"/>
      <c r="G32" s="735">
        <f>'9.2. sz. mell'!F32+'9.3. sz. mell'!F32</f>
        <v>0</v>
      </c>
    </row>
    <row r="33" spans="1:7" s="738" customFormat="1" ht="12" customHeight="1">
      <c r="A33" s="790" t="s">
        <v>152</v>
      </c>
      <c r="B33" s="856"/>
      <c r="C33" s="857" t="s">
        <v>904</v>
      </c>
      <c r="D33" s="779"/>
      <c r="E33" s="779"/>
      <c r="F33" s="780"/>
      <c r="G33" s="735">
        <f>'9.2. sz. mell'!F33+'9.3. sz. mell'!F33</f>
        <v>19858</v>
      </c>
    </row>
    <row r="34" spans="1:7" s="738" customFormat="1" ht="15" customHeight="1">
      <c r="A34" s="790" t="s">
        <v>153</v>
      </c>
      <c r="B34" s="858"/>
      <c r="C34" s="859" t="s">
        <v>905</v>
      </c>
      <c r="D34" s="734">
        <f>+D29+D30+D33</f>
        <v>0</v>
      </c>
      <c r="E34" s="734">
        <f>+E29+E30+E33</f>
        <v>19885</v>
      </c>
      <c r="F34" s="737">
        <f>+F29+F30+F33</f>
        <v>19858</v>
      </c>
      <c r="G34" s="735">
        <f>'9.2. sz. mell'!F34+'9.3. sz. mell'!F34</f>
        <v>0</v>
      </c>
    </row>
    <row r="35" spans="1:7" s="738" customFormat="1" ht="15" customHeight="1">
      <c r="A35" s="793"/>
      <c r="B35" s="793"/>
      <c r="C35" s="794"/>
      <c r="D35" s="795"/>
      <c r="E35" s="795"/>
      <c r="F35" s="795"/>
      <c r="G35" s="735">
        <f>'9.2. sz. mell'!F35+'9.3. sz. mell'!F35</f>
        <v>0</v>
      </c>
    </row>
    <row r="36" spans="1:7" ht="15">
      <c r="A36" s="796"/>
      <c r="B36" s="797"/>
      <c r="C36" s="797"/>
      <c r="D36" s="798"/>
      <c r="E36" s="798"/>
      <c r="F36" s="798"/>
      <c r="G36" s="735">
        <f>'9.2. sz. mell'!F36+'9.3. sz. mell'!F36</f>
        <v>0</v>
      </c>
    </row>
    <row r="37" spans="1:7" s="731" customFormat="1" ht="16.5" customHeight="1">
      <c r="A37" s="1190" t="s">
        <v>184</v>
      </c>
      <c r="B37" s="1190"/>
      <c r="C37" s="1190"/>
      <c r="D37" s="1190"/>
      <c r="E37" s="1190"/>
      <c r="F37" s="1190"/>
      <c r="G37" s="735">
        <f>'9.2. sz. mell'!F37+'9.3. sz. mell'!F37</f>
        <v>19735</v>
      </c>
    </row>
    <row r="38" spans="1:7" s="800" customFormat="1" ht="12" customHeight="1" thickBot="1">
      <c r="A38" s="727" t="s">
        <v>145</v>
      </c>
      <c r="B38" s="768"/>
      <c r="C38" s="768" t="s">
        <v>852</v>
      </c>
      <c r="D38" s="734">
        <f>SUM(D39:D43)</f>
        <v>0</v>
      </c>
      <c r="E38" s="734">
        <f>SUM(E39:E43)</f>
        <v>19885</v>
      </c>
      <c r="F38" s="737">
        <f>SUM(F39:F43)</f>
        <v>19735</v>
      </c>
      <c r="G38" s="735">
        <f>'9.2. sz. mell'!F38+'9.3. sz. mell'!F38</f>
        <v>11956</v>
      </c>
    </row>
    <row r="39" spans="1:7" ht="12" customHeight="1">
      <c r="A39" s="775"/>
      <c r="B39" s="801" t="s">
        <v>217</v>
      </c>
      <c r="C39" s="848" t="s">
        <v>175</v>
      </c>
      <c r="D39" s="776"/>
      <c r="E39" s="749">
        <v>11956</v>
      </c>
      <c r="F39" s="750">
        <v>11956</v>
      </c>
      <c r="G39" s="735">
        <f>'9.2. sz. mell'!F39+'9.3. sz. mell'!F39</f>
        <v>3137</v>
      </c>
    </row>
    <row r="40" spans="1:7" ht="12" customHeight="1">
      <c r="A40" s="739"/>
      <c r="B40" s="751" t="s">
        <v>218</v>
      </c>
      <c r="C40" s="752" t="s">
        <v>315</v>
      </c>
      <c r="D40" s="742"/>
      <c r="E40" s="742">
        <v>3137</v>
      </c>
      <c r="F40" s="743">
        <v>3137</v>
      </c>
      <c r="G40" s="735">
        <f>'9.2. sz. mell'!F40+'9.3. sz. mell'!F40</f>
        <v>4642</v>
      </c>
    </row>
    <row r="41" spans="1:7" ht="12" customHeight="1">
      <c r="A41" s="739"/>
      <c r="B41" s="751" t="s">
        <v>219</v>
      </c>
      <c r="C41" s="752" t="s">
        <v>248</v>
      </c>
      <c r="D41" s="742"/>
      <c r="E41" s="742">
        <v>4792</v>
      </c>
      <c r="F41" s="743">
        <v>4642</v>
      </c>
      <c r="G41" s="735">
        <f>'9.2. sz. mell'!F41+'9.3. sz. mell'!F41</f>
        <v>0</v>
      </c>
    </row>
    <row r="42" spans="1:7" ht="12" customHeight="1">
      <c r="A42" s="739"/>
      <c r="B42" s="751" t="s">
        <v>220</v>
      </c>
      <c r="C42" s="752" t="s">
        <v>316</v>
      </c>
      <c r="D42" s="742"/>
      <c r="E42" s="742"/>
      <c r="F42" s="743"/>
      <c r="G42" s="735">
        <f>'9.2. sz. mell'!F42+'9.3. sz. mell'!F42</f>
        <v>0</v>
      </c>
    </row>
    <row r="43" spans="1:7" ht="12" customHeight="1" thickBot="1">
      <c r="A43" s="739"/>
      <c r="B43" s="751" t="s">
        <v>231</v>
      </c>
      <c r="C43" s="752" t="s">
        <v>317</v>
      </c>
      <c r="D43" s="742"/>
      <c r="E43" s="774"/>
      <c r="F43" s="763"/>
      <c r="G43" s="735">
        <f>'9.2. sz. mell'!F43+'9.3. sz. mell'!F43</f>
        <v>0</v>
      </c>
    </row>
    <row r="44" spans="1:7" ht="12" customHeight="1" thickBot="1">
      <c r="A44" s="727" t="s">
        <v>146</v>
      </c>
      <c r="B44" s="768"/>
      <c r="C44" s="768" t="s">
        <v>906</v>
      </c>
      <c r="D44" s="734">
        <f>SUM(D45:D47)</f>
        <v>0</v>
      </c>
      <c r="E44" s="734">
        <f>SUM(E45:E47)</f>
        <v>0</v>
      </c>
      <c r="F44" s="737">
        <f>SUM(F45:F47)</f>
        <v>0</v>
      </c>
      <c r="G44" s="735">
        <f>'9.2. sz. mell'!F44+'9.3. sz. mell'!F44</f>
        <v>0</v>
      </c>
    </row>
    <row r="45" spans="1:7" s="800" customFormat="1" ht="12" customHeight="1">
      <c r="A45" s="775"/>
      <c r="B45" s="801" t="s">
        <v>225</v>
      </c>
      <c r="C45" s="848" t="s">
        <v>381</v>
      </c>
      <c r="D45" s="776"/>
      <c r="E45" s="776"/>
      <c r="F45" s="777"/>
      <c r="G45" s="735">
        <f>'9.2. sz. mell'!F45+'9.3. sz. mell'!F45</f>
        <v>0</v>
      </c>
    </row>
    <row r="46" spans="1:7" ht="12" customHeight="1">
      <c r="A46" s="739"/>
      <c r="B46" s="751" t="s">
        <v>226</v>
      </c>
      <c r="C46" s="752" t="s">
        <v>318</v>
      </c>
      <c r="D46" s="742"/>
      <c r="E46" s="742"/>
      <c r="F46" s="743"/>
      <c r="G46" s="735">
        <f>'9.2. sz. mell'!F46+'9.3. sz. mell'!F46</f>
        <v>0</v>
      </c>
    </row>
    <row r="47" spans="1:7" ht="12" customHeight="1">
      <c r="A47" s="739"/>
      <c r="B47" s="751" t="s">
        <v>227</v>
      </c>
      <c r="C47" s="752" t="s">
        <v>907</v>
      </c>
      <c r="D47" s="742"/>
      <c r="E47" s="742"/>
      <c r="F47" s="743"/>
      <c r="G47" s="735">
        <f>'9.2. sz. mell'!F47+'9.3. sz. mell'!F47</f>
        <v>0</v>
      </c>
    </row>
    <row r="48" spans="1:7" ht="12" customHeight="1">
      <c r="A48" s="739"/>
      <c r="B48" s="751" t="s">
        <v>228</v>
      </c>
      <c r="C48" s="752" t="s">
        <v>908</v>
      </c>
      <c r="D48" s="742"/>
      <c r="E48" s="742"/>
      <c r="F48" s="743"/>
      <c r="G48" s="735">
        <f>'9.2. sz. mell'!F48+'9.3. sz. mell'!F48</f>
        <v>0</v>
      </c>
    </row>
    <row r="49" spans="1:7" ht="12" customHeight="1">
      <c r="A49" s="727" t="s">
        <v>147</v>
      </c>
      <c r="B49" s="768"/>
      <c r="C49" s="768" t="s">
        <v>909</v>
      </c>
      <c r="D49" s="779"/>
      <c r="E49" s="779"/>
      <c r="F49" s="780"/>
      <c r="G49" s="735">
        <f>'9.2. sz. mell'!F49+'9.3. sz. mell'!F49</f>
        <v>64</v>
      </c>
    </row>
    <row r="50" spans="1:7" s="738" customFormat="1" ht="12" customHeight="1">
      <c r="A50" s="790" t="s">
        <v>148</v>
      </c>
      <c r="B50" s="856"/>
      <c r="C50" s="857" t="s">
        <v>910</v>
      </c>
      <c r="D50" s="779"/>
      <c r="E50" s="779"/>
      <c r="F50" s="780">
        <v>64</v>
      </c>
      <c r="G50" s="735">
        <f>'9.2. sz. mell'!F50+'9.3. sz. mell'!F50</f>
        <v>19799</v>
      </c>
    </row>
    <row r="51" spans="1:7" ht="15" customHeight="1">
      <c r="A51" s="727" t="s">
        <v>149</v>
      </c>
      <c r="B51" s="778"/>
      <c r="C51" s="860" t="s">
        <v>911</v>
      </c>
      <c r="D51" s="734">
        <f>+D38+D44+D49+D50</f>
        <v>0</v>
      </c>
      <c r="E51" s="734">
        <f>+E38+E44+E49+E50</f>
        <v>19885</v>
      </c>
      <c r="F51" s="737">
        <f>+F38+F44+F49+F50</f>
        <v>19799</v>
      </c>
      <c r="G51" s="735">
        <f>'9.2. sz. mell'!F51+'9.3. sz. mell'!F51</f>
        <v>0</v>
      </c>
    </row>
    <row r="52" spans="4:6" ht="13.5" thickBot="1">
      <c r="D52" s="863"/>
      <c r="E52" s="863"/>
      <c r="F52" s="863"/>
    </row>
    <row r="53" spans="1:6" ht="15" customHeight="1" thickBot="1">
      <c r="A53" s="829" t="s">
        <v>880</v>
      </c>
      <c r="B53" s="830"/>
      <c r="C53" s="831"/>
      <c r="D53" s="841"/>
      <c r="E53" s="882">
        <v>11</v>
      </c>
      <c r="F53" s="883">
        <v>11</v>
      </c>
    </row>
    <row r="54" spans="1:6" ht="14.25" customHeight="1" thickBot="1">
      <c r="A54" s="829" t="s">
        <v>881</v>
      </c>
      <c r="B54" s="830"/>
      <c r="C54" s="831"/>
      <c r="D54" s="841"/>
      <c r="E54" s="884">
        <v>0</v>
      </c>
      <c r="F54" s="885">
        <v>0</v>
      </c>
    </row>
  </sheetData>
  <sheetProtection selectLockedCells="1" selectUnlockedCells="1"/>
  <mergeCells count="6">
    <mergeCell ref="A7:F7"/>
    <mergeCell ref="A37:F37"/>
    <mergeCell ref="A2:B2"/>
    <mergeCell ref="C2:E2"/>
    <mergeCell ref="C3:E3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F53"/>
  <sheetViews>
    <sheetView zoomScaleSheetLayoutView="160" workbookViewId="0" topLeftCell="A1">
      <selection activeCell="C9" sqref="C9"/>
    </sheetView>
  </sheetViews>
  <sheetFormatPr defaultColWidth="9.00390625" defaultRowHeight="12.75"/>
  <cols>
    <col min="1" max="1" width="9.625" style="872" customWidth="1"/>
    <col min="2" max="2" width="9.625" style="726" customWidth="1"/>
    <col min="3" max="3" width="59.375" style="726" customWidth="1"/>
    <col min="4" max="6" width="15.875" style="726" customWidth="1"/>
    <col min="7" max="16384" width="9.375" style="726" customWidth="1"/>
  </cols>
  <sheetData>
    <row r="1" spans="1:6" s="714" customFormat="1" ht="21" customHeight="1">
      <c r="A1" s="710"/>
      <c r="B1" s="711"/>
      <c r="C1" s="866"/>
      <c r="D1" s="713"/>
      <c r="E1" s="713"/>
      <c r="F1" s="713" t="s">
        <v>929</v>
      </c>
    </row>
    <row r="2" spans="1:6" s="716" customFormat="1" ht="25.5" customHeight="1">
      <c r="A2" s="1191" t="s">
        <v>888</v>
      </c>
      <c r="B2" s="1191"/>
      <c r="C2" s="1197" t="s">
        <v>104</v>
      </c>
      <c r="D2" s="1197"/>
      <c r="E2" s="1197"/>
      <c r="F2" s="867" t="s">
        <v>890</v>
      </c>
    </row>
    <row r="3" spans="1:6" s="716" customFormat="1" ht="15.75">
      <c r="A3" s="717" t="s">
        <v>831</v>
      </c>
      <c r="B3" s="718"/>
      <c r="C3" s="1195" t="s">
        <v>883</v>
      </c>
      <c r="D3" s="1195"/>
      <c r="E3" s="1195"/>
      <c r="F3" s="868" t="s">
        <v>830</v>
      </c>
    </row>
    <row r="4" spans="1:6" s="722" customFormat="1" ht="15.75" customHeight="1">
      <c r="A4" s="720"/>
      <c r="B4" s="720"/>
      <c r="C4" s="720"/>
      <c r="D4" s="721"/>
      <c r="E4" s="721"/>
      <c r="F4" s="721" t="s">
        <v>179</v>
      </c>
    </row>
    <row r="5" spans="1:6" ht="24.75" customHeight="1">
      <c r="A5" s="1194" t="s">
        <v>834</v>
      </c>
      <c r="B5" s="1194"/>
      <c r="C5" s="723" t="s">
        <v>835</v>
      </c>
      <c r="D5" s="724" t="s">
        <v>482</v>
      </c>
      <c r="E5" s="724" t="s">
        <v>489</v>
      </c>
      <c r="F5" s="725" t="s">
        <v>490</v>
      </c>
    </row>
    <row r="6" spans="1:6" s="731" customFormat="1" ht="12.75" customHeight="1">
      <c r="A6" s="727">
        <v>1</v>
      </c>
      <c r="B6" s="728">
        <v>2</v>
      </c>
      <c r="C6" s="728">
        <v>3</v>
      </c>
      <c r="D6" s="728">
        <v>4</v>
      </c>
      <c r="E6" s="729">
        <v>5</v>
      </c>
      <c r="F6" s="730">
        <v>6</v>
      </c>
    </row>
    <row r="7" spans="1:6" s="731" customFormat="1" ht="15.75" customHeight="1">
      <c r="A7" s="1190" t="s">
        <v>180</v>
      </c>
      <c r="B7" s="1190"/>
      <c r="C7" s="1190"/>
      <c r="D7" s="1190"/>
      <c r="E7" s="1190"/>
      <c r="F7" s="1190"/>
    </row>
    <row r="8" spans="1:6" s="735" customFormat="1" ht="12" customHeight="1" thickBot="1">
      <c r="A8" s="727" t="s">
        <v>145</v>
      </c>
      <c r="B8" s="732"/>
      <c r="C8" s="887" t="s">
        <v>933</v>
      </c>
      <c r="D8" s="734">
        <f>SUM(D9:D16)</f>
        <v>0</v>
      </c>
      <c r="E8" s="734">
        <f>SUM(E9:E16)</f>
        <v>700</v>
      </c>
      <c r="F8" s="737">
        <f>SUM(F9:F16)</f>
        <v>699</v>
      </c>
    </row>
    <row r="9" spans="1:6" s="735" customFormat="1" ht="12" customHeight="1">
      <c r="A9" s="746"/>
      <c r="B9" s="740" t="s">
        <v>217</v>
      </c>
      <c r="C9" s="886" t="s">
        <v>284</v>
      </c>
      <c r="D9" s="749"/>
      <c r="E9" s="749"/>
      <c r="F9" s="750"/>
    </row>
    <row r="10" spans="1:6" s="735" customFormat="1" ht="12" customHeight="1">
      <c r="A10" s="739"/>
      <c r="B10" s="740" t="s">
        <v>218</v>
      </c>
      <c r="C10" s="509" t="s">
        <v>285</v>
      </c>
      <c r="D10" s="742"/>
      <c r="E10" s="742"/>
      <c r="F10" s="743"/>
    </row>
    <row r="11" spans="1:6" s="735" customFormat="1" ht="12" customHeight="1">
      <c r="A11" s="739"/>
      <c r="B11" s="740" t="s">
        <v>219</v>
      </c>
      <c r="C11" s="509" t="s">
        <v>838</v>
      </c>
      <c r="D11" s="742"/>
      <c r="E11" s="742"/>
      <c r="F11" s="743"/>
    </row>
    <row r="12" spans="1:6" s="735" customFormat="1" ht="12" customHeight="1">
      <c r="A12" s="739"/>
      <c r="B12" s="740" t="s">
        <v>220</v>
      </c>
      <c r="C12" s="509" t="s">
        <v>286</v>
      </c>
      <c r="D12" s="742"/>
      <c r="E12" s="742"/>
      <c r="F12" s="743"/>
    </row>
    <row r="13" spans="1:6" s="735" customFormat="1" ht="12" customHeight="1">
      <c r="A13" s="739"/>
      <c r="B13" s="740" t="s">
        <v>893</v>
      </c>
      <c r="C13" s="509" t="s">
        <v>287</v>
      </c>
      <c r="D13" s="742"/>
      <c r="E13" s="742">
        <v>551</v>
      </c>
      <c r="F13" s="743">
        <v>551</v>
      </c>
    </row>
    <row r="14" spans="1:6" s="735" customFormat="1" ht="12" customHeight="1">
      <c r="A14" s="753"/>
      <c r="B14" s="740" t="s">
        <v>221</v>
      </c>
      <c r="C14" s="509" t="s">
        <v>288</v>
      </c>
      <c r="D14" s="742"/>
      <c r="E14" s="742"/>
      <c r="F14" s="743"/>
    </row>
    <row r="15" spans="1:6" s="738" customFormat="1" ht="12" customHeight="1">
      <c r="A15" s="739"/>
      <c r="B15" s="740" t="s">
        <v>222</v>
      </c>
      <c r="C15" s="509" t="s">
        <v>839</v>
      </c>
      <c r="D15" s="742"/>
      <c r="E15" s="742"/>
      <c r="F15" s="743"/>
    </row>
    <row r="16" spans="1:6" s="738" customFormat="1" ht="12" customHeight="1">
      <c r="A16" s="739"/>
      <c r="B16" s="740" t="s">
        <v>232</v>
      </c>
      <c r="C16" s="509" t="s">
        <v>345</v>
      </c>
      <c r="D16" s="742"/>
      <c r="E16" s="742">
        <v>149</v>
      </c>
      <c r="F16" s="743">
        <v>148</v>
      </c>
    </row>
    <row r="17" spans="1:6" s="738" customFormat="1" ht="12" customHeight="1">
      <c r="A17" s="757"/>
      <c r="B17" s="766" t="s">
        <v>233</v>
      </c>
      <c r="C17" s="509" t="s">
        <v>289</v>
      </c>
      <c r="D17" s="742"/>
      <c r="E17" s="742"/>
      <c r="F17" s="743"/>
    </row>
    <row r="18" spans="1:6" s="738" customFormat="1" ht="12" customHeight="1" thickBot="1">
      <c r="A18" s="759"/>
      <c r="B18" s="846" t="s">
        <v>234</v>
      </c>
      <c r="C18" s="513" t="s">
        <v>290</v>
      </c>
      <c r="D18" s="762"/>
      <c r="E18" s="774"/>
      <c r="F18" s="763"/>
    </row>
    <row r="19" spans="1:6" s="735" customFormat="1" ht="12" customHeight="1" thickBot="1">
      <c r="A19" s="727" t="s">
        <v>146</v>
      </c>
      <c r="B19" s="732"/>
      <c r="C19" s="845" t="s">
        <v>894</v>
      </c>
      <c r="D19" s="734">
        <f>SUM(D20+D22)</f>
        <v>0</v>
      </c>
      <c r="E19" s="734">
        <f>SUM(E20+E22)</f>
        <v>0</v>
      </c>
      <c r="F19" s="737">
        <f>SUM(F20+F22)</f>
        <v>0</v>
      </c>
    </row>
    <row r="20" spans="1:6" s="738" customFormat="1" ht="12" customHeight="1">
      <c r="A20" s="739"/>
      <c r="B20" s="740" t="s">
        <v>225</v>
      </c>
      <c r="C20" s="848" t="s">
        <v>895</v>
      </c>
      <c r="D20" s="742"/>
      <c r="E20" s="742"/>
      <c r="F20" s="743"/>
    </row>
    <row r="21" spans="1:6" s="738" customFormat="1" ht="12" customHeight="1">
      <c r="A21" s="739"/>
      <c r="B21" s="740" t="s">
        <v>226</v>
      </c>
      <c r="C21" s="752" t="s">
        <v>896</v>
      </c>
      <c r="D21" s="742"/>
      <c r="E21" s="742"/>
      <c r="F21" s="743"/>
    </row>
    <row r="22" spans="1:6" s="738" customFormat="1" ht="12" customHeight="1">
      <c r="A22" s="739"/>
      <c r="B22" s="740" t="s">
        <v>227</v>
      </c>
      <c r="C22" s="752" t="s">
        <v>897</v>
      </c>
      <c r="D22" s="742"/>
      <c r="E22" s="742"/>
      <c r="F22" s="743"/>
    </row>
    <row r="23" spans="1:6" s="738" customFormat="1" ht="12" customHeight="1">
      <c r="A23" s="739"/>
      <c r="B23" s="740" t="s">
        <v>228</v>
      </c>
      <c r="C23" s="752" t="s">
        <v>896</v>
      </c>
      <c r="D23" s="742"/>
      <c r="E23" s="742"/>
      <c r="F23" s="743"/>
    </row>
    <row r="24" spans="1:6" s="738" customFormat="1" ht="12" customHeight="1">
      <c r="A24" s="727" t="s">
        <v>147</v>
      </c>
      <c r="B24" s="768"/>
      <c r="C24" s="768" t="s">
        <v>898</v>
      </c>
      <c r="D24" s="734">
        <f>+D25+D26</f>
        <v>0</v>
      </c>
      <c r="E24" s="734">
        <f>+E25+E26</f>
        <v>0</v>
      </c>
      <c r="F24" s="737">
        <f>+F25+F26</f>
        <v>0</v>
      </c>
    </row>
    <row r="25" spans="1:6" s="735" customFormat="1" ht="12" customHeight="1">
      <c r="A25" s="746"/>
      <c r="B25" s="849" t="s">
        <v>197</v>
      </c>
      <c r="C25" s="748" t="s">
        <v>353</v>
      </c>
      <c r="D25" s="749"/>
      <c r="E25" s="749"/>
      <c r="F25" s="750"/>
    </row>
    <row r="26" spans="1:6" s="735" customFormat="1" ht="12" customHeight="1">
      <c r="A26" s="764"/>
      <c r="B26" s="850" t="s">
        <v>198</v>
      </c>
      <c r="C26" s="761" t="s">
        <v>357</v>
      </c>
      <c r="D26" s="851"/>
      <c r="E26" s="851"/>
      <c r="F26" s="852"/>
    </row>
    <row r="27" spans="1:6" s="735" customFormat="1" ht="12" customHeight="1">
      <c r="A27" s="727" t="s">
        <v>148</v>
      </c>
      <c r="B27" s="732"/>
      <c r="C27" s="768" t="s">
        <v>917</v>
      </c>
      <c r="D27" s="779"/>
      <c r="E27" s="779">
        <v>19185</v>
      </c>
      <c r="F27" s="780">
        <v>19159</v>
      </c>
    </row>
    <row r="28" spans="1:6" s="738" customFormat="1" ht="12" customHeight="1">
      <c r="A28" s="727" t="s">
        <v>149</v>
      </c>
      <c r="B28" s="784"/>
      <c r="C28" s="768" t="s">
        <v>913</v>
      </c>
      <c r="D28" s="734"/>
      <c r="E28" s="734">
        <f>+E7+E18+E23+E26+E27</f>
        <v>19185</v>
      </c>
      <c r="F28" s="734">
        <f>+F7+F18+F23+F26+F27</f>
        <v>19159</v>
      </c>
    </row>
    <row r="29" spans="1:6" s="738" customFormat="1" ht="15" customHeight="1">
      <c r="A29" s="853" t="s">
        <v>150</v>
      </c>
      <c r="B29" s="854"/>
      <c r="C29" s="812" t="s">
        <v>918</v>
      </c>
      <c r="D29" s="814">
        <f>+D30+D31</f>
        <v>0</v>
      </c>
      <c r="E29" s="814">
        <f>+E30+E31</f>
        <v>0</v>
      </c>
      <c r="F29" s="815">
        <f>+F30+F31</f>
        <v>0</v>
      </c>
    </row>
    <row r="30" spans="1:6" s="738" customFormat="1" ht="15" customHeight="1">
      <c r="A30" s="746"/>
      <c r="B30" s="747" t="s">
        <v>204</v>
      </c>
      <c r="C30" s="748" t="s">
        <v>455</v>
      </c>
      <c r="D30" s="749"/>
      <c r="E30" s="749"/>
      <c r="F30" s="750"/>
    </row>
    <row r="31" spans="1:6" ht="15">
      <c r="A31" s="855"/>
      <c r="B31" s="760" t="s">
        <v>205</v>
      </c>
      <c r="C31" s="847" t="s">
        <v>903</v>
      </c>
      <c r="D31" s="774"/>
      <c r="E31" s="774"/>
      <c r="F31" s="763"/>
    </row>
    <row r="32" spans="1:6" s="731" customFormat="1" ht="16.5" customHeight="1">
      <c r="A32" s="790" t="s">
        <v>151</v>
      </c>
      <c r="B32" s="856"/>
      <c r="C32" s="857" t="s">
        <v>919</v>
      </c>
      <c r="D32" s="779"/>
      <c r="E32" s="779"/>
      <c r="F32" s="780"/>
    </row>
    <row r="33" spans="1:6" s="800" customFormat="1" ht="12" customHeight="1">
      <c r="A33" s="790" t="s">
        <v>152</v>
      </c>
      <c r="B33" s="858"/>
      <c r="C33" s="871" t="s">
        <v>915</v>
      </c>
      <c r="D33" s="734">
        <f>+D28+D29+D32</f>
        <v>0</v>
      </c>
      <c r="E33" s="734">
        <f>+E28+E29+E32</f>
        <v>19185</v>
      </c>
      <c r="F33" s="737">
        <f>+F28+F29+F32+F8</f>
        <v>19858</v>
      </c>
    </row>
    <row r="34" spans="1:6" ht="12" customHeight="1">
      <c r="A34" s="793"/>
      <c r="B34" s="793"/>
      <c r="C34" s="794"/>
      <c r="D34" s="795"/>
      <c r="E34" s="795"/>
      <c r="F34" s="795"/>
    </row>
    <row r="35" spans="1:6" ht="12" customHeight="1">
      <c r="A35" s="796"/>
      <c r="B35" s="797"/>
      <c r="C35" s="797"/>
      <c r="D35" s="798"/>
      <c r="E35" s="798"/>
      <c r="F35" s="798"/>
    </row>
    <row r="36" spans="1:6" ht="12" customHeight="1">
      <c r="A36" s="1190" t="s">
        <v>184</v>
      </c>
      <c r="B36" s="1190"/>
      <c r="C36" s="1190"/>
      <c r="D36" s="1190"/>
      <c r="E36" s="1190"/>
      <c r="F36" s="1190"/>
    </row>
    <row r="37" spans="1:6" ht="12" customHeight="1" thickBot="1">
      <c r="A37" s="727" t="s">
        <v>145</v>
      </c>
      <c r="B37" s="768"/>
      <c r="C37" s="768" t="s">
        <v>852</v>
      </c>
      <c r="D37" s="734">
        <f>SUM(D38:D42)</f>
        <v>0</v>
      </c>
      <c r="E37" s="734">
        <f>SUM(E38:E42)</f>
        <v>19885</v>
      </c>
      <c r="F37" s="737">
        <f>SUM(F38:F42)</f>
        <v>19735</v>
      </c>
    </row>
    <row r="38" spans="1:6" ht="12" customHeight="1">
      <c r="A38" s="775"/>
      <c r="B38" s="801" t="s">
        <v>217</v>
      </c>
      <c r="C38" s="848" t="s">
        <v>175</v>
      </c>
      <c r="D38" s="776"/>
      <c r="E38" s="749">
        <v>11956</v>
      </c>
      <c r="F38" s="750">
        <v>11956</v>
      </c>
    </row>
    <row r="39" spans="1:6" ht="12" customHeight="1">
      <c r="A39" s="739"/>
      <c r="B39" s="751" t="s">
        <v>218</v>
      </c>
      <c r="C39" s="752" t="s">
        <v>315</v>
      </c>
      <c r="D39" s="742"/>
      <c r="E39" s="742">
        <v>3137</v>
      </c>
      <c r="F39" s="743">
        <v>3137</v>
      </c>
    </row>
    <row r="40" spans="1:6" s="800" customFormat="1" ht="12" customHeight="1">
      <c r="A40" s="739"/>
      <c r="B40" s="751" t="s">
        <v>219</v>
      </c>
      <c r="C40" s="752" t="s">
        <v>248</v>
      </c>
      <c r="D40" s="742"/>
      <c r="E40" s="742">
        <v>4792</v>
      </c>
      <c r="F40" s="743">
        <v>4642</v>
      </c>
    </row>
    <row r="41" spans="1:6" ht="12" customHeight="1">
      <c r="A41" s="739"/>
      <c r="B41" s="751" t="s">
        <v>220</v>
      </c>
      <c r="C41" s="752" t="s">
        <v>316</v>
      </c>
      <c r="D41" s="742"/>
      <c r="E41" s="742"/>
      <c r="F41" s="743"/>
    </row>
    <row r="42" spans="1:6" ht="12" customHeight="1" thickBot="1">
      <c r="A42" s="739"/>
      <c r="B42" s="751" t="s">
        <v>231</v>
      </c>
      <c r="C42" s="752" t="s">
        <v>317</v>
      </c>
      <c r="D42" s="742"/>
      <c r="E42" s="774"/>
      <c r="F42" s="763"/>
    </row>
    <row r="43" spans="1:6" ht="12" customHeight="1" thickBot="1">
      <c r="A43" s="727" t="s">
        <v>146</v>
      </c>
      <c r="B43" s="768"/>
      <c r="C43" s="768" t="s">
        <v>906</v>
      </c>
      <c r="D43" s="734">
        <f>SUM(D44:D46)</f>
        <v>0</v>
      </c>
      <c r="E43" s="734">
        <f>SUM(E44:E46)</f>
        <v>0</v>
      </c>
      <c r="F43" s="737">
        <f>SUM(F44:F46)</f>
        <v>0</v>
      </c>
    </row>
    <row r="44" spans="1:6" ht="12" customHeight="1">
      <c r="A44" s="775"/>
      <c r="B44" s="801" t="s">
        <v>225</v>
      </c>
      <c r="C44" s="848" t="s">
        <v>381</v>
      </c>
      <c r="D44" s="776"/>
      <c r="E44" s="776"/>
      <c r="F44" s="777"/>
    </row>
    <row r="45" spans="1:6" ht="15" customHeight="1">
      <c r="A45" s="739"/>
      <c r="B45" s="751" t="s">
        <v>226</v>
      </c>
      <c r="C45" s="752" t="s">
        <v>318</v>
      </c>
      <c r="D45" s="742"/>
      <c r="E45" s="742"/>
      <c r="F45" s="743"/>
    </row>
    <row r="46" spans="1:6" ht="12.75">
      <c r="A46" s="739"/>
      <c r="B46" s="751" t="s">
        <v>227</v>
      </c>
      <c r="C46" s="752" t="s">
        <v>907</v>
      </c>
      <c r="D46" s="742"/>
      <c r="E46" s="742"/>
      <c r="F46" s="743"/>
    </row>
    <row r="47" spans="1:6" ht="15" customHeight="1">
      <c r="A47" s="739"/>
      <c r="B47" s="751" t="s">
        <v>228</v>
      </c>
      <c r="C47" s="752" t="s">
        <v>908</v>
      </c>
      <c r="D47" s="742"/>
      <c r="E47" s="742"/>
      <c r="F47" s="743"/>
    </row>
    <row r="48" spans="1:6" ht="14.25" customHeight="1">
      <c r="A48" s="727" t="s">
        <v>147</v>
      </c>
      <c r="B48" s="768"/>
      <c r="C48" s="768" t="s">
        <v>909</v>
      </c>
      <c r="D48" s="779"/>
      <c r="E48" s="779"/>
      <c r="F48" s="780"/>
    </row>
    <row r="49" spans="1:6" ht="12.75">
      <c r="A49" s="790" t="s">
        <v>148</v>
      </c>
      <c r="B49" s="856"/>
      <c r="C49" s="857" t="s">
        <v>910</v>
      </c>
      <c r="D49" s="779"/>
      <c r="E49" s="779"/>
      <c r="F49" s="780">
        <v>64</v>
      </c>
    </row>
    <row r="50" spans="1:6" ht="12.75">
      <c r="A50" s="727" t="s">
        <v>149</v>
      </c>
      <c r="B50" s="778"/>
      <c r="C50" s="860" t="s">
        <v>911</v>
      </c>
      <c r="D50" s="734">
        <f>+D37+D43+D48+D49</f>
        <v>0</v>
      </c>
      <c r="E50" s="734">
        <f>+E37+E43+E48+E49</f>
        <v>19885</v>
      </c>
      <c r="F50" s="737">
        <f>+F37+F43+F48+F49</f>
        <v>19799</v>
      </c>
    </row>
    <row r="51" spans="1:6" ht="13.5" thickBot="1">
      <c r="A51" s="861"/>
      <c r="B51" s="862"/>
      <c r="C51" s="862"/>
      <c r="D51" s="863"/>
      <c r="E51" s="863"/>
      <c r="F51" s="863"/>
    </row>
    <row r="52" spans="1:6" ht="13.5" thickBot="1">
      <c r="A52" s="829" t="s">
        <v>880</v>
      </c>
      <c r="B52" s="830"/>
      <c r="C52" s="831"/>
      <c r="D52" s="841"/>
      <c r="E52" s="882">
        <v>11</v>
      </c>
      <c r="F52" s="883">
        <v>11</v>
      </c>
    </row>
    <row r="53" spans="1:6" ht="13.5" thickBot="1">
      <c r="A53" s="829" t="s">
        <v>881</v>
      </c>
      <c r="B53" s="830"/>
      <c r="C53" s="831"/>
      <c r="D53" s="841"/>
      <c r="E53" s="884">
        <v>0</v>
      </c>
      <c r="F53" s="885">
        <v>0</v>
      </c>
    </row>
  </sheetData>
  <sheetProtection selectLockedCells="1" selectUnlockedCells="1"/>
  <mergeCells count="6">
    <mergeCell ref="A7:F7"/>
    <mergeCell ref="A36:F36"/>
    <mergeCell ref="A2:B2"/>
    <mergeCell ref="C2:E2"/>
    <mergeCell ref="C3:E3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F53"/>
  <sheetViews>
    <sheetView zoomScaleSheetLayoutView="160" workbookViewId="0" topLeftCell="A1">
      <selection activeCell="C9" sqref="C9"/>
    </sheetView>
  </sheetViews>
  <sheetFormatPr defaultColWidth="9.00390625" defaultRowHeight="12.75"/>
  <cols>
    <col min="1" max="1" width="9.625" style="872" customWidth="1"/>
    <col min="2" max="2" width="9.625" style="726" customWidth="1"/>
    <col min="3" max="3" width="59.375" style="726" customWidth="1"/>
    <col min="4" max="6" width="15.875" style="726" customWidth="1"/>
    <col min="7" max="16384" width="9.375" style="726" customWidth="1"/>
  </cols>
  <sheetData>
    <row r="1" spans="1:6" s="714" customFormat="1" ht="21" customHeight="1">
      <c r="A1" s="1196" t="s">
        <v>105</v>
      </c>
      <c r="B1" s="1196"/>
      <c r="C1" s="866"/>
      <c r="D1" s="713"/>
      <c r="E1" s="713"/>
      <c r="F1" s="713" t="s">
        <v>930</v>
      </c>
    </row>
    <row r="2" spans="1:6" s="716" customFormat="1" ht="25.5" customHeight="1">
      <c r="A2" s="1191" t="s">
        <v>888</v>
      </c>
      <c r="B2" s="1191"/>
      <c r="C2" s="1197" t="s">
        <v>104</v>
      </c>
      <c r="D2" s="1197"/>
      <c r="E2" s="1197"/>
      <c r="F2" s="867" t="s">
        <v>890</v>
      </c>
    </row>
    <row r="3" spans="1:6" s="716" customFormat="1" ht="15.75">
      <c r="A3" s="717" t="s">
        <v>831</v>
      </c>
      <c r="B3" s="718"/>
      <c r="C3" s="1195" t="s">
        <v>885</v>
      </c>
      <c r="D3" s="1195"/>
      <c r="E3" s="1195"/>
      <c r="F3" s="868" t="s">
        <v>890</v>
      </c>
    </row>
    <row r="4" spans="1:6" s="722" customFormat="1" ht="15.75" customHeight="1">
      <c r="A4" s="720"/>
      <c r="B4" s="720"/>
      <c r="C4" s="720"/>
      <c r="F4" s="721" t="s">
        <v>179</v>
      </c>
    </row>
    <row r="5" spans="1:6" ht="24.75" customHeight="1">
      <c r="A5" s="1194" t="s">
        <v>834</v>
      </c>
      <c r="B5" s="1194"/>
      <c r="C5" s="723" t="s">
        <v>835</v>
      </c>
      <c r="D5" s="724" t="s">
        <v>482</v>
      </c>
      <c r="E5" s="724" t="s">
        <v>489</v>
      </c>
      <c r="F5" s="725" t="s">
        <v>490</v>
      </c>
    </row>
    <row r="6" spans="1:6" s="731" customFormat="1" ht="12.75" customHeight="1">
      <c r="A6" s="727">
        <v>1</v>
      </c>
      <c r="B6" s="728">
        <v>2</v>
      </c>
      <c r="C6" s="728">
        <v>3</v>
      </c>
      <c r="D6" s="728">
        <v>4</v>
      </c>
      <c r="E6" s="729">
        <v>5</v>
      </c>
      <c r="F6" s="730">
        <v>6</v>
      </c>
    </row>
    <row r="7" spans="1:6" s="731" customFormat="1" ht="15.75" customHeight="1">
      <c r="A7" s="1190" t="s">
        <v>180</v>
      </c>
      <c r="B7" s="1190"/>
      <c r="C7" s="1190"/>
      <c r="D7" s="1190"/>
      <c r="E7" s="1190"/>
      <c r="F7" s="1190"/>
    </row>
    <row r="8" spans="1:6" s="735" customFormat="1" ht="12" customHeight="1">
      <c r="A8" s="727" t="s">
        <v>145</v>
      </c>
      <c r="B8" s="732"/>
      <c r="C8" s="887" t="s">
        <v>933</v>
      </c>
      <c r="D8" s="734">
        <f>SUM(D9:D16)</f>
        <v>0</v>
      </c>
      <c r="E8" s="734">
        <f>SUM(E9:E16)</f>
        <v>0</v>
      </c>
      <c r="F8" s="737">
        <f>SUM(F9:F16)</f>
        <v>0</v>
      </c>
    </row>
    <row r="9" spans="1:6" s="735" customFormat="1" ht="12" customHeight="1">
      <c r="A9" s="746"/>
      <c r="B9" s="740" t="s">
        <v>217</v>
      </c>
      <c r="C9" s="886" t="s">
        <v>284</v>
      </c>
      <c r="D9" s="749"/>
      <c r="E9" s="749"/>
      <c r="F9" s="750"/>
    </row>
    <row r="10" spans="1:6" s="735" customFormat="1" ht="12" customHeight="1">
      <c r="A10" s="739"/>
      <c r="B10" s="740" t="s">
        <v>218</v>
      </c>
      <c r="C10" s="509" t="s">
        <v>285</v>
      </c>
      <c r="D10" s="742"/>
      <c r="E10" s="742"/>
      <c r="F10" s="743"/>
    </row>
    <row r="11" spans="1:6" s="735" customFormat="1" ht="12" customHeight="1">
      <c r="A11" s="739"/>
      <c r="B11" s="740" t="s">
        <v>219</v>
      </c>
      <c r="C11" s="509" t="s">
        <v>838</v>
      </c>
      <c r="D11" s="742"/>
      <c r="E11" s="742"/>
      <c r="F11" s="743"/>
    </row>
    <row r="12" spans="1:6" s="735" customFormat="1" ht="12" customHeight="1">
      <c r="A12" s="739"/>
      <c r="B12" s="740" t="s">
        <v>220</v>
      </c>
      <c r="C12" s="509" t="s">
        <v>286</v>
      </c>
      <c r="D12" s="742"/>
      <c r="E12" s="742"/>
      <c r="F12" s="743"/>
    </row>
    <row r="13" spans="1:6" s="735" customFormat="1" ht="12" customHeight="1">
      <c r="A13" s="739"/>
      <c r="B13" s="740" t="s">
        <v>893</v>
      </c>
      <c r="C13" s="509" t="s">
        <v>287</v>
      </c>
      <c r="D13" s="742"/>
      <c r="E13" s="742"/>
      <c r="F13" s="743"/>
    </row>
    <row r="14" spans="1:6" s="735" customFormat="1" ht="12" customHeight="1">
      <c r="A14" s="753"/>
      <c r="B14" s="740" t="s">
        <v>221</v>
      </c>
      <c r="C14" s="509" t="s">
        <v>288</v>
      </c>
      <c r="D14" s="754"/>
      <c r="E14" s="754"/>
      <c r="F14" s="755"/>
    </row>
    <row r="15" spans="1:6" s="738" customFormat="1" ht="12" customHeight="1">
      <c r="A15" s="739"/>
      <c r="B15" s="740" t="s">
        <v>222</v>
      </c>
      <c r="C15" s="509" t="s">
        <v>839</v>
      </c>
      <c r="D15" s="742"/>
      <c r="E15" s="742"/>
      <c r="F15" s="743"/>
    </row>
    <row r="16" spans="1:6" s="738" customFormat="1" ht="12" customHeight="1">
      <c r="A16" s="739"/>
      <c r="B16" s="740" t="s">
        <v>232</v>
      </c>
      <c r="C16" s="509" t="s">
        <v>345</v>
      </c>
      <c r="D16" s="742"/>
      <c r="E16" s="742"/>
      <c r="F16" s="743"/>
    </row>
    <row r="17" spans="1:6" s="738" customFormat="1" ht="12" customHeight="1">
      <c r="A17" s="757"/>
      <c r="B17" s="766" t="s">
        <v>233</v>
      </c>
      <c r="C17" s="509" t="s">
        <v>289</v>
      </c>
      <c r="D17" s="762"/>
      <c r="E17" s="762"/>
      <c r="F17" s="758"/>
    </row>
    <row r="18" spans="1:6" s="738" customFormat="1" ht="12" customHeight="1">
      <c r="A18" s="759"/>
      <c r="B18" s="846" t="s">
        <v>234</v>
      </c>
      <c r="C18" s="513" t="s">
        <v>290</v>
      </c>
      <c r="D18" s="774"/>
      <c r="E18" s="774"/>
      <c r="F18" s="763"/>
    </row>
    <row r="19" spans="1:6" s="735" customFormat="1" ht="12" customHeight="1">
      <c r="A19" s="727" t="s">
        <v>146</v>
      </c>
      <c r="B19" s="732"/>
      <c r="C19" s="845" t="s">
        <v>894</v>
      </c>
      <c r="D19" s="734">
        <f>SUM(D20+D22)</f>
        <v>0</v>
      </c>
      <c r="E19" s="734">
        <f>SUM(E20+E22)</f>
        <v>0</v>
      </c>
      <c r="F19" s="737">
        <f>SUM(F20+F22)</f>
        <v>0</v>
      </c>
    </row>
    <row r="20" spans="1:6" s="738" customFormat="1" ht="12" customHeight="1">
      <c r="A20" s="739"/>
      <c r="B20" s="740" t="s">
        <v>225</v>
      </c>
      <c r="C20" s="848" t="s">
        <v>895</v>
      </c>
      <c r="D20" s="742"/>
      <c r="E20" s="742"/>
      <c r="F20" s="743"/>
    </row>
    <row r="21" spans="1:6" s="738" customFormat="1" ht="12" customHeight="1">
      <c r="A21" s="739"/>
      <c r="B21" s="740" t="s">
        <v>226</v>
      </c>
      <c r="C21" s="752" t="s">
        <v>896</v>
      </c>
      <c r="D21" s="742"/>
      <c r="E21" s="742"/>
      <c r="F21" s="743"/>
    </row>
    <row r="22" spans="1:6" s="738" customFormat="1" ht="12" customHeight="1">
      <c r="A22" s="739"/>
      <c r="B22" s="740" t="s">
        <v>227</v>
      </c>
      <c r="C22" s="752" t="s">
        <v>897</v>
      </c>
      <c r="D22" s="742"/>
      <c r="E22" s="742"/>
      <c r="F22" s="743"/>
    </row>
    <row r="23" spans="1:6" s="738" customFormat="1" ht="12" customHeight="1">
      <c r="A23" s="739"/>
      <c r="B23" s="740" t="s">
        <v>228</v>
      </c>
      <c r="C23" s="752" t="s">
        <v>896</v>
      </c>
      <c r="D23" s="742"/>
      <c r="E23" s="742"/>
      <c r="F23" s="743"/>
    </row>
    <row r="24" spans="1:6" s="738" customFormat="1" ht="12" customHeight="1">
      <c r="A24" s="727" t="s">
        <v>147</v>
      </c>
      <c r="B24" s="768"/>
      <c r="C24" s="768" t="s">
        <v>898</v>
      </c>
      <c r="D24" s="734">
        <f>+D25+D26</f>
        <v>0</v>
      </c>
      <c r="E24" s="734">
        <f>+E25+E26</f>
        <v>0</v>
      </c>
      <c r="F24" s="737">
        <f>+F25+F26</f>
        <v>0</v>
      </c>
    </row>
    <row r="25" spans="1:6" s="735" customFormat="1" ht="12" customHeight="1">
      <c r="A25" s="746"/>
      <c r="B25" s="849" t="s">
        <v>197</v>
      </c>
      <c r="C25" s="748" t="s">
        <v>353</v>
      </c>
      <c r="D25" s="749"/>
      <c r="E25" s="749"/>
      <c r="F25" s="750"/>
    </row>
    <row r="26" spans="1:6" s="735" customFormat="1" ht="12" customHeight="1">
      <c r="A26" s="764"/>
      <c r="B26" s="850" t="s">
        <v>198</v>
      </c>
      <c r="C26" s="761" t="s">
        <v>357</v>
      </c>
      <c r="D26" s="851"/>
      <c r="E26" s="851"/>
      <c r="F26" s="852"/>
    </row>
    <row r="27" spans="1:6" s="735" customFormat="1" ht="12" customHeight="1">
      <c r="A27" s="727" t="s">
        <v>148</v>
      </c>
      <c r="B27" s="732"/>
      <c r="C27" s="768" t="s">
        <v>917</v>
      </c>
      <c r="D27" s="779"/>
      <c r="E27" s="779"/>
      <c r="F27" s="780"/>
    </row>
    <row r="28" spans="1:6" s="735" customFormat="1" ht="12" customHeight="1">
      <c r="A28" s="727" t="s">
        <v>149</v>
      </c>
      <c r="B28" s="784"/>
      <c r="C28" s="768" t="s">
        <v>913</v>
      </c>
      <c r="D28" s="734"/>
      <c r="E28" s="734"/>
      <c r="F28" s="737"/>
    </row>
    <row r="29" spans="1:6" s="738" customFormat="1" ht="12" customHeight="1">
      <c r="A29" s="853" t="s">
        <v>150</v>
      </c>
      <c r="B29" s="854"/>
      <c r="C29" s="812" t="s">
        <v>918</v>
      </c>
      <c r="D29" s="814">
        <f>+D30+D31</f>
        <v>0</v>
      </c>
      <c r="E29" s="814">
        <f>+E30+E31</f>
        <v>0</v>
      </c>
      <c r="F29" s="815">
        <f>+F30+F31</f>
        <v>0</v>
      </c>
    </row>
    <row r="30" spans="1:6" s="738" customFormat="1" ht="15" customHeight="1">
      <c r="A30" s="746"/>
      <c r="B30" s="747" t="s">
        <v>204</v>
      </c>
      <c r="C30" s="748" t="s">
        <v>455</v>
      </c>
      <c r="D30" s="749"/>
      <c r="E30" s="749"/>
      <c r="F30" s="750"/>
    </row>
    <row r="31" spans="1:6" s="738" customFormat="1" ht="15" customHeight="1">
      <c r="A31" s="855"/>
      <c r="B31" s="760" t="s">
        <v>205</v>
      </c>
      <c r="C31" s="847" t="s">
        <v>903</v>
      </c>
      <c r="D31" s="774"/>
      <c r="E31" s="774"/>
      <c r="F31" s="763"/>
    </row>
    <row r="32" spans="1:6" ht="12.75">
      <c r="A32" s="790" t="s">
        <v>151</v>
      </c>
      <c r="B32" s="856"/>
      <c r="C32" s="857" t="s">
        <v>919</v>
      </c>
      <c r="D32" s="779"/>
      <c r="E32" s="779"/>
      <c r="F32" s="780"/>
    </row>
    <row r="33" spans="1:6" s="731" customFormat="1" ht="16.5" customHeight="1">
      <c r="A33" s="790" t="s">
        <v>152</v>
      </c>
      <c r="B33" s="858"/>
      <c r="C33" s="859" t="s">
        <v>915</v>
      </c>
      <c r="D33" s="734">
        <f>+D28+D29+D32</f>
        <v>0</v>
      </c>
      <c r="E33" s="734">
        <f>+E28+E29+E32</f>
        <v>0</v>
      </c>
      <c r="F33" s="737">
        <f>+F28+F29+F32</f>
        <v>0</v>
      </c>
    </row>
    <row r="34" spans="1:6" s="800" customFormat="1" ht="12" customHeight="1">
      <c r="A34" s="793"/>
      <c r="B34" s="793"/>
      <c r="C34" s="794"/>
      <c r="D34" s="795"/>
      <c r="E34" s="795"/>
      <c r="F34" s="795"/>
    </row>
    <row r="35" spans="1:6" ht="12" customHeight="1">
      <c r="A35" s="796"/>
      <c r="B35" s="797"/>
      <c r="C35" s="797"/>
      <c r="D35" s="798"/>
      <c r="E35" s="798"/>
      <c r="F35" s="798"/>
    </row>
    <row r="36" spans="1:6" ht="12" customHeight="1">
      <c r="A36" s="1190" t="s">
        <v>184</v>
      </c>
      <c r="B36" s="1190"/>
      <c r="C36" s="1190"/>
      <c r="D36" s="1190"/>
      <c r="E36" s="1190"/>
      <c r="F36" s="1190"/>
    </row>
    <row r="37" spans="1:6" ht="12" customHeight="1">
      <c r="A37" s="727" t="s">
        <v>145</v>
      </c>
      <c r="B37" s="768"/>
      <c r="C37" s="768" t="s">
        <v>852</v>
      </c>
      <c r="D37" s="734">
        <f>SUM(D38:D42)</f>
        <v>0</v>
      </c>
      <c r="E37" s="734">
        <f>SUM(E38:E42)</f>
        <v>0</v>
      </c>
      <c r="F37" s="737">
        <f>SUM(F38:F42)</f>
        <v>0</v>
      </c>
    </row>
    <row r="38" spans="1:6" ht="12" customHeight="1">
      <c r="A38" s="775"/>
      <c r="B38" s="801" t="s">
        <v>217</v>
      </c>
      <c r="C38" s="848" t="s">
        <v>175</v>
      </c>
      <c r="D38" s="776"/>
      <c r="E38" s="776"/>
      <c r="F38" s="777"/>
    </row>
    <row r="39" spans="1:6" ht="12" customHeight="1">
      <c r="A39" s="739"/>
      <c r="B39" s="751" t="s">
        <v>218</v>
      </c>
      <c r="C39" s="752" t="s">
        <v>315</v>
      </c>
      <c r="D39" s="742"/>
      <c r="E39" s="742"/>
      <c r="F39" s="743"/>
    </row>
    <row r="40" spans="1:6" ht="12" customHeight="1">
      <c r="A40" s="739"/>
      <c r="B40" s="751" t="s">
        <v>219</v>
      </c>
      <c r="C40" s="752" t="s">
        <v>248</v>
      </c>
      <c r="D40" s="742"/>
      <c r="E40" s="742"/>
      <c r="F40" s="743"/>
    </row>
    <row r="41" spans="1:6" s="800" customFormat="1" ht="12" customHeight="1">
      <c r="A41" s="739"/>
      <c r="B41" s="751" t="s">
        <v>220</v>
      </c>
      <c r="C41" s="752" t="s">
        <v>316</v>
      </c>
      <c r="D41" s="742"/>
      <c r="E41" s="742"/>
      <c r="F41" s="743"/>
    </row>
    <row r="42" spans="1:6" ht="12" customHeight="1">
      <c r="A42" s="739"/>
      <c r="B42" s="751" t="s">
        <v>231</v>
      </c>
      <c r="C42" s="752" t="s">
        <v>317</v>
      </c>
      <c r="D42" s="742"/>
      <c r="E42" s="742"/>
      <c r="F42" s="743"/>
    </row>
    <row r="43" spans="1:6" ht="12" customHeight="1">
      <c r="A43" s="727" t="s">
        <v>146</v>
      </c>
      <c r="B43" s="768"/>
      <c r="C43" s="768" t="s">
        <v>906</v>
      </c>
      <c r="D43" s="734">
        <f>SUM(D44:D46)</f>
        <v>0</v>
      </c>
      <c r="E43" s="734">
        <f>SUM(E44:E46)</f>
        <v>0</v>
      </c>
      <c r="F43" s="737">
        <f>SUM(F44:F46)</f>
        <v>0</v>
      </c>
    </row>
    <row r="44" spans="1:6" ht="12" customHeight="1">
      <c r="A44" s="775"/>
      <c r="B44" s="801" t="s">
        <v>225</v>
      </c>
      <c r="C44" s="848" t="s">
        <v>381</v>
      </c>
      <c r="D44" s="776"/>
      <c r="E44" s="776"/>
      <c r="F44" s="777"/>
    </row>
    <row r="45" spans="1:6" ht="12" customHeight="1">
      <c r="A45" s="739"/>
      <c r="B45" s="751" t="s">
        <v>226</v>
      </c>
      <c r="C45" s="752" t="s">
        <v>318</v>
      </c>
      <c r="D45" s="742"/>
      <c r="E45" s="742"/>
      <c r="F45" s="743"/>
    </row>
    <row r="46" spans="1:6" ht="15" customHeight="1">
      <c r="A46" s="739"/>
      <c r="B46" s="751" t="s">
        <v>227</v>
      </c>
      <c r="C46" s="752" t="s">
        <v>907</v>
      </c>
      <c r="D46" s="742"/>
      <c r="E46" s="742"/>
      <c r="F46" s="743"/>
    </row>
    <row r="47" spans="1:6" ht="22.5">
      <c r="A47" s="739"/>
      <c r="B47" s="751" t="s">
        <v>228</v>
      </c>
      <c r="C47" s="752" t="s">
        <v>908</v>
      </c>
      <c r="D47" s="742"/>
      <c r="E47" s="742"/>
      <c r="F47" s="743"/>
    </row>
    <row r="48" spans="1:6" ht="15" customHeight="1">
      <c r="A48" s="727" t="s">
        <v>147</v>
      </c>
      <c r="B48" s="768"/>
      <c r="C48" s="768" t="s">
        <v>909</v>
      </c>
      <c r="D48" s="779"/>
      <c r="E48" s="779"/>
      <c r="F48" s="780"/>
    </row>
    <row r="49" spans="1:6" ht="14.25" customHeight="1">
      <c r="A49" s="790" t="s">
        <v>148</v>
      </c>
      <c r="B49" s="856"/>
      <c r="C49" s="857" t="s">
        <v>910</v>
      </c>
      <c r="D49" s="779"/>
      <c r="E49" s="779"/>
      <c r="F49" s="780"/>
    </row>
    <row r="50" spans="1:6" ht="12.75">
      <c r="A50" s="727" t="s">
        <v>149</v>
      </c>
      <c r="B50" s="778"/>
      <c r="C50" s="860" t="s">
        <v>911</v>
      </c>
      <c r="D50" s="734">
        <f>+D37+D43+D48+D49</f>
        <v>0</v>
      </c>
      <c r="E50" s="734">
        <f>+E37+E43+E48+E49</f>
        <v>0</v>
      </c>
      <c r="F50" s="737">
        <f>+F37+F43+F48+F49</f>
        <v>0</v>
      </c>
    </row>
    <row r="51" spans="1:6" ht="12.75">
      <c r="A51" s="861"/>
      <c r="B51" s="862"/>
      <c r="C51" s="862"/>
      <c r="D51" s="863"/>
      <c r="E51" s="863"/>
      <c r="F51" s="863"/>
    </row>
    <row r="52" spans="1:6" ht="12.75">
      <c r="A52" s="829" t="s">
        <v>880</v>
      </c>
      <c r="B52" s="830"/>
      <c r="C52" s="831"/>
      <c r="D52" s="832"/>
      <c r="E52" s="832"/>
      <c r="F52" s="865"/>
    </row>
    <row r="53" spans="1:6" ht="12.75">
      <c r="A53" s="829" t="s">
        <v>881</v>
      </c>
      <c r="B53" s="830"/>
      <c r="C53" s="831"/>
      <c r="D53" s="832"/>
      <c r="E53" s="832"/>
      <c r="F53" s="865"/>
    </row>
  </sheetData>
  <sheetProtection selectLockedCells="1" selectUnlockedCells="1"/>
  <mergeCells count="7">
    <mergeCell ref="A5:B5"/>
    <mergeCell ref="A7:F7"/>
    <mergeCell ref="A36:F36"/>
    <mergeCell ref="A1:B1"/>
    <mergeCell ref="A2:B2"/>
    <mergeCell ref="C2:E2"/>
    <mergeCell ref="C3:E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F53"/>
  <sheetViews>
    <sheetView zoomScaleSheetLayoutView="160" workbookViewId="0" topLeftCell="A1">
      <selection activeCell="C9" sqref="C9"/>
    </sheetView>
  </sheetViews>
  <sheetFormatPr defaultColWidth="9.00390625" defaultRowHeight="12.75"/>
  <cols>
    <col min="1" max="1" width="9.625" style="872" customWidth="1"/>
    <col min="2" max="2" width="9.625" style="726" customWidth="1"/>
    <col min="3" max="3" width="59.375" style="726" customWidth="1"/>
    <col min="4" max="6" width="15.875" style="726" customWidth="1"/>
    <col min="7" max="16384" width="9.375" style="726" customWidth="1"/>
  </cols>
  <sheetData>
    <row r="1" spans="1:6" s="714" customFormat="1" ht="21" customHeight="1">
      <c r="A1" s="1196" t="s">
        <v>105</v>
      </c>
      <c r="B1" s="1196"/>
      <c r="C1" s="866"/>
      <c r="D1" s="713"/>
      <c r="E1" s="713"/>
      <c r="F1" s="713" t="s">
        <v>931</v>
      </c>
    </row>
    <row r="2" spans="1:6" s="716" customFormat="1" ht="25.5" customHeight="1">
      <c r="A2" s="1191" t="s">
        <v>888</v>
      </c>
      <c r="B2" s="1191"/>
      <c r="C2" s="1197" t="s">
        <v>104</v>
      </c>
      <c r="D2" s="1197"/>
      <c r="E2" s="1197"/>
      <c r="F2" s="867" t="s">
        <v>890</v>
      </c>
    </row>
    <row r="3" spans="1:6" s="716" customFormat="1" ht="15.75">
      <c r="A3" s="717" t="s">
        <v>831</v>
      </c>
      <c r="B3" s="718"/>
      <c r="C3" s="1195" t="s">
        <v>921</v>
      </c>
      <c r="D3" s="1195"/>
      <c r="E3" s="1195"/>
      <c r="F3" s="868" t="s">
        <v>922</v>
      </c>
    </row>
    <row r="4" spans="1:6" s="722" customFormat="1" ht="15.75" customHeight="1">
      <c r="A4" s="720"/>
      <c r="B4" s="720"/>
      <c r="C4" s="720"/>
      <c r="F4" s="721" t="s">
        <v>179</v>
      </c>
    </row>
    <row r="5" spans="1:6" ht="24.75" customHeight="1">
      <c r="A5" s="1194" t="s">
        <v>834</v>
      </c>
      <c r="B5" s="1194"/>
      <c r="C5" s="723" t="s">
        <v>835</v>
      </c>
      <c r="D5" s="724" t="s">
        <v>482</v>
      </c>
      <c r="E5" s="724" t="s">
        <v>489</v>
      </c>
      <c r="F5" s="725" t="s">
        <v>490</v>
      </c>
    </row>
    <row r="6" spans="1:6" s="731" customFormat="1" ht="12.75" customHeight="1">
      <c r="A6" s="727">
        <v>1</v>
      </c>
      <c r="B6" s="728">
        <v>2</v>
      </c>
      <c r="C6" s="728">
        <v>3</v>
      </c>
      <c r="D6" s="728">
        <v>4</v>
      </c>
      <c r="E6" s="729">
        <v>5</v>
      </c>
      <c r="F6" s="730">
        <v>6</v>
      </c>
    </row>
    <row r="7" spans="1:6" s="731" customFormat="1" ht="15.75" customHeight="1">
      <c r="A7" s="1190" t="s">
        <v>180</v>
      </c>
      <c r="B7" s="1190"/>
      <c r="C7" s="1190"/>
      <c r="D7" s="1190"/>
      <c r="E7" s="1190"/>
      <c r="F7" s="1190"/>
    </row>
    <row r="8" spans="1:6" s="735" customFormat="1" ht="12" customHeight="1">
      <c r="A8" s="727" t="s">
        <v>145</v>
      </c>
      <c r="B8" s="732"/>
      <c r="C8" s="887" t="s">
        <v>933</v>
      </c>
      <c r="D8" s="734">
        <f>SUM(D9:D16)</f>
        <v>0</v>
      </c>
      <c r="E8" s="734">
        <f>SUM(E9:E16)</f>
        <v>0</v>
      </c>
      <c r="F8" s="737">
        <f>SUM(F9:F16)</f>
        <v>0</v>
      </c>
    </row>
    <row r="9" spans="1:6" s="735" customFormat="1" ht="12" customHeight="1">
      <c r="A9" s="746"/>
      <c r="B9" s="740" t="s">
        <v>217</v>
      </c>
      <c r="C9" s="886" t="s">
        <v>284</v>
      </c>
      <c r="D9" s="749"/>
      <c r="E9" s="749"/>
      <c r="F9" s="750"/>
    </row>
    <row r="10" spans="1:6" s="735" customFormat="1" ht="12" customHeight="1">
      <c r="A10" s="739"/>
      <c r="B10" s="740" t="s">
        <v>218</v>
      </c>
      <c r="C10" s="509" t="s">
        <v>285</v>
      </c>
      <c r="D10" s="742"/>
      <c r="E10" s="742"/>
      <c r="F10" s="743"/>
    </row>
    <row r="11" spans="1:6" s="735" customFormat="1" ht="12" customHeight="1">
      <c r="A11" s="739"/>
      <c r="B11" s="740" t="s">
        <v>219</v>
      </c>
      <c r="C11" s="509" t="s">
        <v>838</v>
      </c>
      <c r="D11" s="742"/>
      <c r="E11" s="742"/>
      <c r="F11" s="743"/>
    </row>
    <row r="12" spans="1:6" s="735" customFormat="1" ht="12" customHeight="1">
      <c r="A12" s="739"/>
      <c r="B12" s="740" t="s">
        <v>220</v>
      </c>
      <c r="C12" s="509" t="s">
        <v>286</v>
      </c>
      <c r="D12" s="742"/>
      <c r="E12" s="742"/>
      <c r="F12" s="743"/>
    </row>
    <row r="13" spans="1:6" s="735" customFormat="1" ht="12" customHeight="1">
      <c r="A13" s="739"/>
      <c r="B13" s="740" t="s">
        <v>893</v>
      </c>
      <c r="C13" s="509" t="s">
        <v>287</v>
      </c>
      <c r="D13" s="742"/>
      <c r="E13" s="742"/>
      <c r="F13" s="743"/>
    </row>
    <row r="14" spans="1:6" s="735" customFormat="1" ht="12" customHeight="1">
      <c r="A14" s="753"/>
      <c r="B14" s="740" t="s">
        <v>221</v>
      </c>
      <c r="C14" s="509" t="s">
        <v>288</v>
      </c>
      <c r="D14" s="754"/>
      <c r="E14" s="754"/>
      <c r="F14" s="755"/>
    </row>
    <row r="15" spans="1:6" s="738" customFormat="1" ht="12" customHeight="1">
      <c r="A15" s="739"/>
      <c r="B15" s="740" t="s">
        <v>222</v>
      </c>
      <c r="C15" s="509" t="s">
        <v>839</v>
      </c>
      <c r="D15" s="742"/>
      <c r="E15" s="742"/>
      <c r="F15" s="743"/>
    </row>
    <row r="16" spans="1:6" s="738" customFormat="1" ht="12" customHeight="1">
      <c r="A16" s="739"/>
      <c r="B16" s="740" t="s">
        <v>232</v>
      </c>
      <c r="C16" s="509" t="s">
        <v>345</v>
      </c>
      <c r="D16" s="742"/>
      <c r="E16" s="742"/>
      <c r="F16" s="743"/>
    </row>
    <row r="17" spans="1:6" s="738" customFormat="1" ht="12" customHeight="1">
      <c r="A17" s="757"/>
      <c r="B17" s="766" t="s">
        <v>233</v>
      </c>
      <c r="C17" s="509" t="s">
        <v>289</v>
      </c>
      <c r="D17" s="762"/>
      <c r="E17" s="762"/>
      <c r="F17" s="758"/>
    </row>
    <row r="18" spans="1:6" s="738" customFormat="1" ht="12" customHeight="1">
      <c r="A18" s="759"/>
      <c r="B18" s="846" t="s">
        <v>234</v>
      </c>
      <c r="C18" s="513" t="s">
        <v>290</v>
      </c>
      <c r="D18" s="774"/>
      <c r="E18" s="774"/>
      <c r="F18" s="763"/>
    </row>
    <row r="19" spans="1:6" s="735" customFormat="1" ht="12" customHeight="1">
      <c r="A19" s="727" t="s">
        <v>146</v>
      </c>
      <c r="B19" s="732"/>
      <c r="C19" s="845" t="s">
        <v>894</v>
      </c>
      <c r="D19" s="734">
        <f>SUM(D20+D22)</f>
        <v>0</v>
      </c>
      <c r="E19" s="734">
        <f>SUM(E20+E22)</f>
        <v>0</v>
      </c>
      <c r="F19" s="737">
        <f>SUM(F20+F22)</f>
        <v>0</v>
      </c>
    </row>
    <row r="20" spans="1:6" s="738" customFormat="1" ht="12" customHeight="1">
      <c r="A20" s="739"/>
      <c r="B20" s="740" t="s">
        <v>225</v>
      </c>
      <c r="C20" s="848" t="s">
        <v>895</v>
      </c>
      <c r="D20" s="742"/>
      <c r="E20" s="742"/>
      <c r="F20" s="743"/>
    </row>
    <row r="21" spans="1:6" s="738" customFormat="1" ht="12" customHeight="1">
      <c r="A21" s="739"/>
      <c r="B21" s="740" t="s">
        <v>226</v>
      </c>
      <c r="C21" s="752" t="s">
        <v>896</v>
      </c>
      <c r="D21" s="742"/>
      <c r="E21" s="742"/>
      <c r="F21" s="743"/>
    </row>
    <row r="22" spans="1:6" s="738" customFormat="1" ht="12" customHeight="1">
      <c r="A22" s="739"/>
      <c r="B22" s="740" t="s">
        <v>227</v>
      </c>
      <c r="C22" s="752" t="s">
        <v>897</v>
      </c>
      <c r="D22" s="742"/>
      <c r="E22" s="742"/>
      <c r="F22" s="743"/>
    </row>
    <row r="23" spans="1:6" s="738" customFormat="1" ht="12" customHeight="1">
      <c r="A23" s="739"/>
      <c r="B23" s="740" t="s">
        <v>228</v>
      </c>
      <c r="C23" s="752" t="s">
        <v>896</v>
      </c>
      <c r="D23" s="742"/>
      <c r="E23" s="742"/>
      <c r="F23" s="743"/>
    </row>
    <row r="24" spans="1:6" s="738" customFormat="1" ht="12" customHeight="1">
      <c r="A24" s="727" t="s">
        <v>147</v>
      </c>
      <c r="B24" s="768"/>
      <c r="C24" s="768" t="s">
        <v>898</v>
      </c>
      <c r="D24" s="734">
        <f>+D25+D26</f>
        <v>0</v>
      </c>
      <c r="E24" s="734">
        <f>+E25+E26</f>
        <v>0</v>
      </c>
      <c r="F24" s="737">
        <f>+F25+F26</f>
        <v>0</v>
      </c>
    </row>
    <row r="25" spans="1:6" s="735" customFormat="1" ht="12" customHeight="1">
      <c r="A25" s="746"/>
      <c r="B25" s="849" t="s">
        <v>197</v>
      </c>
      <c r="C25" s="748" t="s">
        <v>353</v>
      </c>
      <c r="D25" s="749"/>
      <c r="E25" s="749"/>
      <c r="F25" s="750"/>
    </row>
    <row r="26" spans="1:6" s="735" customFormat="1" ht="12" customHeight="1">
      <c r="A26" s="764"/>
      <c r="B26" s="850" t="s">
        <v>198</v>
      </c>
      <c r="C26" s="761" t="s">
        <v>357</v>
      </c>
      <c r="D26" s="851"/>
      <c r="E26" s="851"/>
      <c r="F26" s="852"/>
    </row>
    <row r="27" spans="1:6" s="735" customFormat="1" ht="12" customHeight="1">
      <c r="A27" s="727" t="s">
        <v>148</v>
      </c>
      <c r="B27" s="732"/>
      <c r="C27" s="768" t="s">
        <v>917</v>
      </c>
      <c r="D27" s="779"/>
      <c r="E27" s="779"/>
      <c r="F27" s="780"/>
    </row>
    <row r="28" spans="1:6" s="735" customFormat="1" ht="12" customHeight="1">
      <c r="A28" s="727" t="s">
        <v>149</v>
      </c>
      <c r="B28" s="784"/>
      <c r="C28" s="768" t="s">
        <v>913</v>
      </c>
      <c r="D28" s="734"/>
      <c r="E28" s="734"/>
      <c r="F28" s="737"/>
    </row>
    <row r="29" spans="1:6" s="738" customFormat="1" ht="12" customHeight="1">
      <c r="A29" s="853" t="s">
        <v>150</v>
      </c>
      <c r="B29" s="854"/>
      <c r="C29" s="812" t="s">
        <v>918</v>
      </c>
      <c r="D29" s="814">
        <f>+D30+D31</f>
        <v>0</v>
      </c>
      <c r="E29" s="814">
        <f>+E30+E31</f>
        <v>0</v>
      </c>
      <c r="F29" s="815">
        <f>+F30+F31</f>
        <v>0</v>
      </c>
    </row>
    <row r="30" spans="1:6" s="738" customFormat="1" ht="15" customHeight="1">
      <c r="A30" s="746"/>
      <c r="B30" s="747" t="s">
        <v>204</v>
      </c>
      <c r="C30" s="748" t="s">
        <v>455</v>
      </c>
      <c r="D30" s="749"/>
      <c r="E30" s="749"/>
      <c r="F30" s="750"/>
    </row>
    <row r="31" spans="1:6" s="738" customFormat="1" ht="15" customHeight="1">
      <c r="A31" s="855"/>
      <c r="B31" s="760" t="s">
        <v>205</v>
      </c>
      <c r="C31" s="847" t="s">
        <v>903</v>
      </c>
      <c r="D31" s="774"/>
      <c r="E31" s="774"/>
      <c r="F31" s="763"/>
    </row>
    <row r="32" spans="1:6" ht="12.75">
      <c r="A32" s="790" t="s">
        <v>151</v>
      </c>
      <c r="B32" s="856"/>
      <c r="C32" s="857" t="s">
        <v>919</v>
      </c>
      <c r="D32" s="779"/>
      <c r="E32" s="779"/>
      <c r="F32" s="780"/>
    </row>
    <row r="33" spans="1:6" s="731" customFormat="1" ht="16.5" customHeight="1">
      <c r="A33" s="790" t="s">
        <v>152</v>
      </c>
      <c r="B33" s="858"/>
      <c r="C33" s="859" t="s">
        <v>915</v>
      </c>
      <c r="D33" s="734">
        <f>+D28+D29+D32</f>
        <v>0</v>
      </c>
      <c r="E33" s="734">
        <f>+E28+E29+E32</f>
        <v>0</v>
      </c>
      <c r="F33" s="737">
        <f>+F28+F29+F32</f>
        <v>0</v>
      </c>
    </row>
    <row r="34" spans="1:6" s="800" customFormat="1" ht="12" customHeight="1">
      <c r="A34" s="793"/>
      <c r="B34" s="793"/>
      <c r="C34" s="794"/>
      <c r="D34" s="795"/>
      <c r="E34" s="795"/>
      <c r="F34" s="795"/>
    </row>
    <row r="35" spans="1:6" ht="12" customHeight="1">
      <c r="A35" s="796"/>
      <c r="B35" s="797"/>
      <c r="C35" s="797"/>
      <c r="D35" s="798"/>
      <c r="E35" s="798"/>
      <c r="F35" s="798"/>
    </row>
    <row r="36" spans="1:6" ht="12" customHeight="1">
      <c r="A36" s="1190" t="s">
        <v>184</v>
      </c>
      <c r="B36" s="1190"/>
      <c r="C36" s="1190"/>
      <c r="D36" s="1190"/>
      <c r="E36" s="1190"/>
      <c r="F36" s="1190"/>
    </row>
    <row r="37" spans="1:6" ht="12" customHeight="1">
      <c r="A37" s="727" t="s">
        <v>145</v>
      </c>
      <c r="B37" s="768"/>
      <c r="C37" s="768" t="s">
        <v>852</v>
      </c>
      <c r="D37" s="734">
        <f>SUM(D38:D42)</f>
        <v>0</v>
      </c>
      <c r="E37" s="734">
        <f>SUM(E38:E42)</f>
        <v>0</v>
      </c>
      <c r="F37" s="737">
        <f>SUM(F38:F42)</f>
        <v>0</v>
      </c>
    </row>
    <row r="38" spans="1:6" ht="12" customHeight="1">
      <c r="A38" s="775"/>
      <c r="B38" s="801" t="s">
        <v>217</v>
      </c>
      <c r="C38" s="848" t="s">
        <v>175</v>
      </c>
      <c r="D38" s="776"/>
      <c r="E38" s="776"/>
      <c r="F38" s="777"/>
    </row>
    <row r="39" spans="1:6" ht="12" customHeight="1">
      <c r="A39" s="739"/>
      <c r="B39" s="751" t="s">
        <v>218</v>
      </c>
      <c r="C39" s="752" t="s">
        <v>315</v>
      </c>
      <c r="D39" s="742"/>
      <c r="E39" s="742"/>
      <c r="F39" s="743"/>
    </row>
    <row r="40" spans="1:6" ht="12" customHeight="1">
      <c r="A40" s="739"/>
      <c r="B40" s="751" t="s">
        <v>219</v>
      </c>
      <c r="C40" s="752" t="s">
        <v>248</v>
      </c>
      <c r="D40" s="742"/>
      <c r="E40" s="742"/>
      <c r="F40" s="743"/>
    </row>
    <row r="41" spans="1:6" s="800" customFormat="1" ht="12" customHeight="1">
      <c r="A41" s="739"/>
      <c r="B41" s="751" t="s">
        <v>220</v>
      </c>
      <c r="C41" s="752" t="s">
        <v>316</v>
      </c>
      <c r="D41" s="742"/>
      <c r="E41" s="742"/>
      <c r="F41" s="743"/>
    </row>
    <row r="42" spans="1:6" ht="12" customHeight="1">
      <c r="A42" s="739"/>
      <c r="B42" s="751" t="s">
        <v>231</v>
      </c>
      <c r="C42" s="752" t="s">
        <v>317</v>
      </c>
      <c r="D42" s="742"/>
      <c r="E42" s="742"/>
      <c r="F42" s="743"/>
    </row>
    <row r="43" spans="1:6" ht="12" customHeight="1">
      <c r="A43" s="727" t="s">
        <v>146</v>
      </c>
      <c r="B43" s="768"/>
      <c r="C43" s="768" t="s">
        <v>906</v>
      </c>
      <c r="D43" s="734">
        <f>SUM(D44:D46)</f>
        <v>0</v>
      </c>
      <c r="E43" s="734">
        <f>SUM(E44:E46)</f>
        <v>0</v>
      </c>
      <c r="F43" s="737">
        <f>SUM(F44:F46)</f>
        <v>0</v>
      </c>
    </row>
    <row r="44" spans="1:6" ht="12" customHeight="1">
      <c r="A44" s="775"/>
      <c r="B44" s="801" t="s">
        <v>225</v>
      </c>
      <c r="C44" s="848" t="s">
        <v>381</v>
      </c>
      <c r="D44" s="776"/>
      <c r="E44" s="776"/>
      <c r="F44" s="777"/>
    </row>
    <row r="45" spans="1:6" ht="12" customHeight="1">
      <c r="A45" s="739"/>
      <c r="B45" s="751" t="s">
        <v>226</v>
      </c>
      <c r="C45" s="752" t="s">
        <v>318</v>
      </c>
      <c r="D45" s="742"/>
      <c r="E45" s="742"/>
      <c r="F45" s="743"/>
    </row>
    <row r="46" spans="1:6" ht="15" customHeight="1">
      <c r="A46" s="739"/>
      <c r="B46" s="751" t="s">
        <v>227</v>
      </c>
      <c r="C46" s="752" t="s">
        <v>907</v>
      </c>
      <c r="D46" s="742"/>
      <c r="E46" s="742"/>
      <c r="F46" s="743"/>
    </row>
    <row r="47" spans="1:6" ht="22.5">
      <c r="A47" s="739"/>
      <c r="B47" s="751" t="s">
        <v>228</v>
      </c>
      <c r="C47" s="752" t="s">
        <v>908</v>
      </c>
      <c r="D47" s="742"/>
      <c r="E47" s="742"/>
      <c r="F47" s="743"/>
    </row>
    <row r="48" spans="1:6" ht="15" customHeight="1">
      <c r="A48" s="727" t="s">
        <v>147</v>
      </c>
      <c r="B48" s="768"/>
      <c r="C48" s="768" t="s">
        <v>909</v>
      </c>
      <c r="D48" s="779"/>
      <c r="E48" s="779"/>
      <c r="F48" s="780"/>
    </row>
    <row r="49" spans="1:6" ht="14.25" customHeight="1">
      <c r="A49" s="790" t="s">
        <v>148</v>
      </c>
      <c r="B49" s="856"/>
      <c r="C49" s="857" t="s">
        <v>910</v>
      </c>
      <c r="D49" s="779"/>
      <c r="E49" s="779"/>
      <c r="F49" s="780"/>
    </row>
    <row r="50" spans="1:6" ht="12.75">
      <c r="A50" s="727" t="s">
        <v>149</v>
      </c>
      <c r="B50" s="778"/>
      <c r="C50" s="860" t="s">
        <v>911</v>
      </c>
      <c r="D50" s="734">
        <f>+D37+D43+D48+D49</f>
        <v>0</v>
      </c>
      <c r="E50" s="734">
        <f>+E37+E43+E48+E49</f>
        <v>0</v>
      </c>
      <c r="F50" s="737">
        <f>+F37+F43+F48+F49</f>
        <v>0</v>
      </c>
    </row>
    <row r="51" spans="1:6" ht="12.75">
      <c r="A51" s="861"/>
      <c r="B51" s="862"/>
      <c r="C51" s="862"/>
      <c r="D51" s="863"/>
      <c r="E51" s="863"/>
      <c r="F51" s="863"/>
    </row>
    <row r="52" spans="1:6" ht="12.75">
      <c r="A52" s="829" t="s">
        <v>880</v>
      </c>
      <c r="B52" s="830"/>
      <c r="C52" s="831"/>
      <c r="D52" s="832"/>
      <c r="E52" s="832"/>
      <c r="F52" s="865"/>
    </row>
    <row r="53" spans="1:6" ht="12.75">
      <c r="A53" s="829" t="s">
        <v>881</v>
      </c>
      <c r="B53" s="830"/>
      <c r="C53" s="831"/>
      <c r="D53" s="832"/>
      <c r="E53" s="832"/>
      <c r="F53" s="865"/>
    </row>
  </sheetData>
  <sheetProtection selectLockedCells="1" selectUnlockedCells="1"/>
  <mergeCells count="7">
    <mergeCell ref="A5:B5"/>
    <mergeCell ref="A7:F7"/>
    <mergeCell ref="A36:F36"/>
    <mergeCell ref="A1:B1"/>
    <mergeCell ref="A2:B2"/>
    <mergeCell ref="C2:E2"/>
    <mergeCell ref="C3:E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30" sqref="B30"/>
    </sheetView>
  </sheetViews>
  <sheetFormatPr defaultColWidth="9.00390625" defaultRowHeight="12.75"/>
  <cols>
    <col min="1" max="1" width="10.625" style="1136" customWidth="1"/>
    <col min="2" max="2" width="85.375" style="1136" customWidth="1"/>
    <col min="3" max="3" width="52.125" style="1136" customWidth="1"/>
    <col min="4" max="16384" width="10.625" style="1136" customWidth="1"/>
  </cols>
  <sheetData>
    <row r="1" ht="14.25" thickBot="1">
      <c r="C1" s="1137" t="s">
        <v>179</v>
      </c>
    </row>
    <row r="2" spans="1:3" ht="34.5" customHeight="1" thickBot="1">
      <c r="A2" s="1138" t="s">
        <v>735</v>
      </c>
      <c r="B2" s="1139" t="s">
        <v>188</v>
      </c>
      <c r="C2" s="1140" t="s">
        <v>532</v>
      </c>
    </row>
    <row r="3" spans="1:3" ht="15" customHeight="1" thickBot="1">
      <c r="A3" s="1141">
        <v>1</v>
      </c>
      <c r="B3" s="1142">
        <v>2</v>
      </c>
      <c r="C3" s="1143">
        <v>3</v>
      </c>
    </row>
    <row r="4" spans="1:3" ht="24.75" customHeight="1">
      <c r="A4" s="1144" t="s">
        <v>145</v>
      </c>
      <c r="B4" s="1145" t="s">
        <v>402</v>
      </c>
      <c r="C4" s="1146">
        <v>146833</v>
      </c>
    </row>
    <row r="5" spans="1:3" ht="24.75" customHeight="1">
      <c r="A5" s="1147" t="s">
        <v>146</v>
      </c>
      <c r="B5" s="1148" t="s">
        <v>403</v>
      </c>
      <c r="C5" s="1149">
        <v>135774</v>
      </c>
    </row>
    <row r="6" spans="1:3" ht="24.75" customHeight="1">
      <c r="A6" s="1147" t="s">
        <v>147</v>
      </c>
      <c r="B6" s="1148" t="s">
        <v>404</v>
      </c>
      <c r="C6" s="1151">
        <v>2140</v>
      </c>
    </row>
    <row r="7" spans="1:3" ht="24.75" customHeight="1">
      <c r="A7" s="1147" t="s">
        <v>148</v>
      </c>
      <c r="B7" s="1152" t="s">
        <v>405</v>
      </c>
      <c r="C7" s="1151">
        <v>114521</v>
      </c>
    </row>
    <row r="8" spans="1:3" ht="24.75" customHeight="1">
      <c r="A8" s="1147" t="s">
        <v>149</v>
      </c>
      <c r="B8" s="1152" t="s">
        <v>406</v>
      </c>
      <c r="C8" s="1151">
        <v>1052</v>
      </c>
    </row>
    <row r="9" spans="1:3" ht="24.75" customHeight="1">
      <c r="A9" s="1147" t="s">
        <v>150</v>
      </c>
      <c r="B9" s="1152" t="s">
        <v>407</v>
      </c>
      <c r="C9" s="1151">
        <v>271</v>
      </c>
    </row>
    <row r="10" spans="1:3" ht="24.75" customHeight="1">
      <c r="A10" s="1147" t="s">
        <v>151</v>
      </c>
      <c r="B10" s="1152" t="s">
        <v>408</v>
      </c>
      <c r="C10" s="1151">
        <v>1617</v>
      </c>
    </row>
    <row r="11" spans="1:3" ht="24.75" customHeight="1">
      <c r="A11" s="1147" t="s">
        <v>152</v>
      </c>
      <c r="B11" s="1152" t="s">
        <v>409</v>
      </c>
      <c r="C11" s="1151">
        <v>13</v>
      </c>
    </row>
    <row r="12" spans="1:3" ht="24.75" customHeight="1">
      <c r="A12" s="1147" t="s">
        <v>153</v>
      </c>
      <c r="B12" s="1152" t="s">
        <v>410</v>
      </c>
      <c r="C12" s="1151">
        <v>17</v>
      </c>
    </row>
    <row r="13" spans="1:3" ht="24.75" customHeight="1">
      <c r="A13" s="1147" t="s">
        <v>154</v>
      </c>
      <c r="B13" s="1152" t="s">
        <v>411</v>
      </c>
      <c r="C13" s="1151">
        <v>930</v>
      </c>
    </row>
    <row r="14" spans="1:3" ht="24.75" customHeight="1">
      <c r="A14" s="1147" t="s">
        <v>155</v>
      </c>
      <c r="B14" s="1152" t="s">
        <v>412</v>
      </c>
      <c r="C14" s="1151">
        <v>106</v>
      </c>
    </row>
    <row r="15" spans="1:3" ht="24.75" customHeight="1" thickBot="1">
      <c r="A15" s="1153" t="s">
        <v>156</v>
      </c>
      <c r="B15" s="1154" t="s">
        <v>413</v>
      </c>
      <c r="C15" s="1155">
        <v>15107</v>
      </c>
    </row>
  </sheetData>
  <printOptions/>
  <pageMargins left="0.75" right="0.75" top="1.4" bottom="1" header="0.5" footer="0.5"/>
  <pageSetup horizontalDpi="600" verticalDpi="600" orientation="landscape" paperSize="9" r:id="rId1"/>
  <headerFooter alignWithMargins="0">
    <oddHeader>&amp;C&amp;"Times New Roman,Félkövér"&amp;13
ÖNKORMÁNYZAT PÉNZMARADVÁNYÁNAK ALAKULÁSA&amp;R&amp;"Times New Roman,Félkövér dőlt"&amp;12 10.1. melléklet a ......../2014.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C9" sqref="C9:C18"/>
    </sheetView>
  </sheetViews>
  <sheetFormatPr defaultColWidth="9.00390625" defaultRowHeight="12.75"/>
  <cols>
    <col min="1" max="1" width="7.00390625" style="494" customWidth="1"/>
    <col min="2" max="2" width="32.625" style="87" customWidth="1"/>
    <col min="3" max="7" width="11.875" style="87" customWidth="1"/>
    <col min="8" max="16384" width="9.375" style="87" customWidth="1"/>
  </cols>
  <sheetData>
    <row r="1" ht="14.25" thickBot="1">
      <c r="G1" s="153" t="s">
        <v>187</v>
      </c>
    </row>
    <row r="2" spans="1:7" ht="17.25" customHeight="1" thickBot="1">
      <c r="A2" s="1202" t="s">
        <v>143</v>
      </c>
      <c r="B2" s="1204" t="s">
        <v>80</v>
      </c>
      <c r="C2" s="1204" t="s">
        <v>81</v>
      </c>
      <c r="D2" s="1204" t="s">
        <v>82</v>
      </c>
      <c r="E2" s="1198" t="s">
        <v>83</v>
      </c>
      <c r="F2" s="1198"/>
      <c r="G2" s="1199"/>
    </row>
    <row r="3" spans="1:7" s="495" customFormat="1" ht="57.75" customHeight="1" thickBot="1">
      <c r="A3" s="1203"/>
      <c r="B3" s="1205"/>
      <c r="C3" s="1205"/>
      <c r="D3" s="1205"/>
      <c r="E3" s="82" t="s">
        <v>177</v>
      </c>
      <c r="F3" s="82" t="s">
        <v>84</v>
      </c>
      <c r="G3" s="83" t="s">
        <v>85</v>
      </c>
    </row>
    <row r="4" spans="1:7" s="497" customFormat="1" ht="15" customHeight="1" thickBot="1">
      <c r="A4" s="84">
        <v>1</v>
      </c>
      <c r="B4" s="85">
        <v>2</v>
      </c>
      <c r="C4" s="85">
        <v>3</v>
      </c>
      <c r="D4" s="85">
        <v>4</v>
      </c>
      <c r="E4" s="85" t="s">
        <v>86</v>
      </c>
      <c r="F4" s="85">
        <v>6</v>
      </c>
      <c r="G4" s="496">
        <v>7</v>
      </c>
    </row>
    <row r="5" spans="1:7" ht="15" customHeight="1">
      <c r="A5" s="498" t="s">
        <v>145</v>
      </c>
      <c r="B5" s="499" t="s">
        <v>1008</v>
      </c>
      <c r="C5" s="500">
        <v>317</v>
      </c>
      <c r="D5" s="500">
        <v>-269</v>
      </c>
      <c r="E5" s="501">
        <f>C5+D5</f>
        <v>48</v>
      </c>
      <c r="F5" s="500">
        <v>48</v>
      </c>
      <c r="G5" s="502"/>
    </row>
    <row r="6" spans="1:7" ht="15" customHeight="1">
      <c r="A6" s="503" t="s">
        <v>146</v>
      </c>
      <c r="B6" s="504" t="s">
        <v>1009</v>
      </c>
      <c r="C6" s="22">
        <v>322</v>
      </c>
      <c r="D6" s="22">
        <v>-253</v>
      </c>
      <c r="E6" s="501">
        <f aca="true" t="shared" si="0" ref="E6:E35">C6+D6</f>
        <v>69</v>
      </c>
      <c r="F6" s="22">
        <v>69</v>
      </c>
      <c r="G6" s="353"/>
    </row>
    <row r="7" spans="1:7" ht="15" customHeight="1">
      <c r="A7" s="503" t="s">
        <v>147</v>
      </c>
      <c r="B7" s="504" t="s">
        <v>104</v>
      </c>
      <c r="C7" s="22">
        <v>123</v>
      </c>
      <c r="D7" s="22">
        <v>26</v>
      </c>
      <c r="E7" s="501">
        <f t="shared" si="0"/>
        <v>149</v>
      </c>
      <c r="F7" s="22">
        <v>149</v>
      </c>
      <c r="G7" s="353"/>
    </row>
    <row r="8" spans="1:7" ht="15" customHeight="1">
      <c r="A8" s="503" t="s">
        <v>148</v>
      </c>
      <c r="B8" s="504"/>
      <c r="C8" s="22"/>
      <c r="D8" s="22"/>
      <c r="E8" s="501">
        <f t="shared" si="0"/>
        <v>0</v>
      </c>
      <c r="F8" s="22"/>
      <c r="G8" s="353"/>
    </row>
    <row r="9" spans="1:7" ht="15" customHeight="1">
      <c r="A9" s="503" t="s">
        <v>149</v>
      </c>
      <c r="B9" s="504"/>
      <c r="C9" s="22"/>
      <c r="D9" s="22"/>
      <c r="E9" s="501">
        <f t="shared" si="0"/>
        <v>0</v>
      </c>
      <c r="F9" s="22"/>
      <c r="G9" s="353"/>
    </row>
    <row r="10" spans="1:7" ht="15" customHeight="1">
      <c r="A10" s="503" t="s">
        <v>150</v>
      </c>
      <c r="B10" s="504"/>
      <c r="C10" s="22"/>
      <c r="D10" s="22"/>
      <c r="E10" s="501">
        <f t="shared" si="0"/>
        <v>0</v>
      </c>
      <c r="F10" s="22"/>
      <c r="G10" s="353"/>
    </row>
    <row r="11" spans="1:7" ht="15" customHeight="1">
      <c r="A11" s="503" t="s">
        <v>151</v>
      </c>
      <c r="B11" s="504"/>
      <c r="C11" s="22"/>
      <c r="D11" s="22"/>
      <c r="E11" s="501">
        <f t="shared" si="0"/>
        <v>0</v>
      </c>
      <c r="F11" s="22"/>
      <c r="G11" s="353"/>
    </row>
    <row r="12" spans="1:7" ht="15" customHeight="1">
      <c r="A12" s="503" t="s">
        <v>152</v>
      </c>
      <c r="B12" s="504"/>
      <c r="C12" s="22"/>
      <c r="D12" s="22"/>
      <c r="E12" s="501">
        <f t="shared" si="0"/>
        <v>0</v>
      </c>
      <c r="F12" s="22"/>
      <c r="G12" s="353"/>
    </row>
    <row r="13" spans="1:7" ht="15" customHeight="1">
      <c r="A13" s="503" t="s">
        <v>153</v>
      </c>
      <c r="B13" s="504"/>
      <c r="C13" s="22"/>
      <c r="D13" s="22"/>
      <c r="E13" s="501">
        <f t="shared" si="0"/>
        <v>0</v>
      </c>
      <c r="F13" s="22"/>
      <c r="G13" s="353"/>
    </row>
    <row r="14" spans="1:7" ht="15" customHeight="1">
      <c r="A14" s="503" t="s">
        <v>154</v>
      </c>
      <c r="B14" s="504"/>
      <c r="C14" s="22"/>
      <c r="D14" s="22"/>
      <c r="E14" s="501">
        <f t="shared" si="0"/>
        <v>0</v>
      </c>
      <c r="F14" s="22"/>
      <c r="G14" s="353"/>
    </row>
    <row r="15" spans="1:7" ht="15" customHeight="1">
      <c r="A15" s="503" t="s">
        <v>155</v>
      </c>
      <c r="B15" s="504"/>
      <c r="C15" s="22"/>
      <c r="D15" s="22"/>
      <c r="E15" s="501">
        <f t="shared" si="0"/>
        <v>0</v>
      </c>
      <c r="F15" s="22"/>
      <c r="G15" s="353"/>
    </row>
    <row r="16" spans="1:7" ht="15" customHeight="1">
      <c r="A16" s="503" t="s">
        <v>156</v>
      </c>
      <c r="B16" s="504"/>
      <c r="C16" s="22"/>
      <c r="D16" s="22"/>
      <c r="E16" s="501">
        <f t="shared" si="0"/>
        <v>0</v>
      </c>
      <c r="F16" s="22"/>
      <c r="G16" s="353"/>
    </row>
    <row r="17" spans="1:7" ht="15" customHeight="1">
      <c r="A17" s="503" t="s">
        <v>157</v>
      </c>
      <c r="B17" s="504"/>
      <c r="C17" s="22"/>
      <c r="D17" s="22"/>
      <c r="E17" s="501">
        <f t="shared" si="0"/>
        <v>0</v>
      </c>
      <c r="F17" s="22"/>
      <c r="G17" s="353"/>
    </row>
    <row r="18" spans="1:7" ht="15" customHeight="1">
      <c r="A18" s="503" t="s">
        <v>158</v>
      </c>
      <c r="B18" s="504"/>
      <c r="C18" s="22"/>
      <c r="D18" s="22"/>
      <c r="E18" s="501">
        <f t="shared" si="0"/>
        <v>0</v>
      </c>
      <c r="F18" s="22"/>
      <c r="G18" s="353"/>
    </row>
    <row r="19" spans="1:7" ht="15" customHeight="1">
      <c r="A19" s="503" t="s">
        <v>159</v>
      </c>
      <c r="B19" s="504"/>
      <c r="C19" s="22"/>
      <c r="D19" s="22"/>
      <c r="E19" s="501">
        <f t="shared" si="0"/>
        <v>0</v>
      </c>
      <c r="F19" s="22"/>
      <c r="G19" s="353"/>
    </row>
    <row r="20" spans="1:7" ht="15" customHeight="1">
      <c r="A20" s="503" t="s">
        <v>160</v>
      </c>
      <c r="B20" s="504"/>
      <c r="C20" s="22"/>
      <c r="D20" s="22"/>
      <c r="E20" s="501">
        <f t="shared" si="0"/>
        <v>0</v>
      </c>
      <c r="F20" s="22"/>
      <c r="G20" s="353"/>
    </row>
    <row r="21" spans="1:7" ht="15" customHeight="1">
      <c r="A21" s="503" t="s">
        <v>161</v>
      </c>
      <c r="B21" s="504"/>
      <c r="C21" s="22"/>
      <c r="D21" s="22"/>
      <c r="E21" s="501">
        <f t="shared" si="0"/>
        <v>0</v>
      </c>
      <c r="F21" s="22"/>
      <c r="G21" s="353"/>
    </row>
    <row r="22" spans="1:7" ht="15" customHeight="1">
      <c r="A22" s="503" t="s">
        <v>162</v>
      </c>
      <c r="B22" s="504"/>
      <c r="C22" s="22"/>
      <c r="D22" s="22"/>
      <c r="E22" s="501">
        <f t="shared" si="0"/>
        <v>0</v>
      </c>
      <c r="F22" s="22"/>
      <c r="G22" s="353"/>
    </row>
    <row r="23" spans="1:7" ht="15" customHeight="1">
      <c r="A23" s="503" t="s">
        <v>163</v>
      </c>
      <c r="B23" s="504"/>
      <c r="C23" s="22"/>
      <c r="D23" s="22"/>
      <c r="E23" s="501">
        <f t="shared" si="0"/>
        <v>0</v>
      </c>
      <c r="F23" s="22"/>
      <c r="G23" s="353"/>
    </row>
    <row r="24" spans="1:7" ht="15" customHeight="1">
      <c r="A24" s="503" t="s">
        <v>164</v>
      </c>
      <c r="B24" s="504"/>
      <c r="C24" s="22"/>
      <c r="D24" s="22"/>
      <c r="E24" s="501">
        <f t="shared" si="0"/>
        <v>0</v>
      </c>
      <c r="F24" s="22"/>
      <c r="G24" s="353"/>
    </row>
    <row r="25" spans="1:7" ht="15" customHeight="1">
      <c r="A25" s="503" t="s">
        <v>165</v>
      </c>
      <c r="B25" s="504"/>
      <c r="C25" s="22"/>
      <c r="D25" s="22"/>
      <c r="E25" s="501">
        <f t="shared" si="0"/>
        <v>0</v>
      </c>
      <c r="F25" s="22"/>
      <c r="G25" s="353"/>
    </row>
    <row r="26" spans="1:7" ht="15" customHeight="1">
      <c r="A26" s="503" t="s">
        <v>166</v>
      </c>
      <c r="B26" s="504"/>
      <c r="C26" s="22"/>
      <c r="D26" s="22"/>
      <c r="E26" s="501">
        <f t="shared" si="0"/>
        <v>0</v>
      </c>
      <c r="F26" s="22"/>
      <c r="G26" s="353"/>
    </row>
    <row r="27" spans="1:7" ht="15" customHeight="1">
      <c r="A27" s="503" t="s">
        <v>167</v>
      </c>
      <c r="B27" s="504"/>
      <c r="C27" s="22"/>
      <c r="D27" s="22"/>
      <c r="E27" s="501">
        <f t="shared" si="0"/>
        <v>0</v>
      </c>
      <c r="F27" s="22"/>
      <c r="G27" s="353"/>
    </row>
    <row r="28" spans="1:7" ht="15" customHeight="1">
      <c r="A28" s="503" t="s">
        <v>168</v>
      </c>
      <c r="B28" s="504"/>
      <c r="C28" s="22"/>
      <c r="D28" s="22"/>
      <c r="E28" s="501">
        <f t="shared" si="0"/>
        <v>0</v>
      </c>
      <c r="F28" s="22"/>
      <c r="G28" s="353"/>
    </row>
    <row r="29" spans="1:7" ht="15" customHeight="1">
      <c r="A29" s="503" t="s">
        <v>169</v>
      </c>
      <c r="B29" s="504"/>
      <c r="C29" s="22"/>
      <c r="D29" s="22"/>
      <c r="E29" s="501">
        <f t="shared" si="0"/>
        <v>0</v>
      </c>
      <c r="F29" s="22"/>
      <c r="G29" s="353"/>
    </row>
    <row r="30" spans="1:7" ht="15" customHeight="1">
      <c r="A30" s="503" t="s">
        <v>170</v>
      </c>
      <c r="B30" s="504"/>
      <c r="C30" s="22"/>
      <c r="D30" s="22"/>
      <c r="E30" s="501"/>
      <c r="F30" s="22"/>
      <c r="G30" s="353"/>
    </row>
    <row r="31" spans="1:7" ht="15" customHeight="1">
      <c r="A31" s="503" t="s">
        <v>171</v>
      </c>
      <c r="B31" s="504"/>
      <c r="C31" s="22"/>
      <c r="D31" s="22"/>
      <c r="E31" s="501">
        <f t="shared" si="0"/>
        <v>0</v>
      </c>
      <c r="F31" s="22"/>
      <c r="G31" s="353"/>
    </row>
    <row r="32" spans="1:7" ht="15" customHeight="1">
      <c r="A32" s="503" t="s">
        <v>172</v>
      </c>
      <c r="B32" s="504"/>
      <c r="C32" s="22"/>
      <c r="D32" s="22"/>
      <c r="E32" s="501">
        <f t="shared" si="0"/>
        <v>0</v>
      </c>
      <c r="F32" s="22"/>
      <c r="G32" s="353"/>
    </row>
    <row r="33" spans="1:7" ht="15" customHeight="1">
      <c r="A33" s="503" t="s">
        <v>173</v>
      </c>
      <c r="B33" s="504"/>
      <c r="C33" s="22"/>
      <c r="D33" s="22"/>
      <c r="E33" s="501">
        <f t="shared" si="0"/>
        <v>0</v>
      </c>
      <c r="F33" s="22"/>
      <c r="G33" s="353"/>
    </row>
    <row r="34" spans="1:7" ht="15" customHeight="1">
      <c r="A34" s="503" t="s">
        <v>239</v>
      </c>
      <c r="B34" s="504"/>
      <c r="C34" s="22"/>
      <c r="D34" s="22"/>
      <c r="E34" s="501">
        <f t="shared" si="0"/>
        <v>0</v>
      </c>
      <c r="F34" s="22"/>
      <c r="G34" s="353"/>
    </row>
    <row r="35" spans="1:7" ht="15" customHeight="1" thickBot="1">
      <c r="A35" s="503" t="s">
        <v>503</v>
      </c>
      <c r="B35" s="505"/>
      <c r="C35" s="23"/>
      <c r="D35" s="23"/>
      <c r="E35" s="501">
        <f t="shared" si="0"/>
        <v>0</v>
      </c>
      <c r="F35" s="23"/>
      <c r="G35" s="506"/>
    </row>
    <row r="36" spans="1:7" ht="15" customHeight="1" thickBot="1">
      <c r="A36" s="1200" t="s">
        <v>178</v>
      </c>
      <c r="B36" s="1201"/>
      <c r="C36" s="45">
        <f>SUM(C5:C35)</f>
        <v>762</v>
      </c>
      <c r="D36" s="45">
        <f>SUM(D5:D35)</f>
        <v>-496</v>
      </c>
      <c r="E36" s="45">
        <f>SUM(E5:E35)</f>
        <v>266</v>
      </c>
      <c r="F36" s="45">
        <f>SUM(F5:F35)</f>
        <v>266</v>
      </c>
      <c r="G36" s="46">
        <f>SUM(G5:G35)</f>
        <v>0</v>
      </c>
    </row>
  </sheetData>
  <sheetProtection sheet="1" objects="1" scenarios="1"/>
  <mergeCells count="6">
    <mergeCell ref="E2:G2"/>
    <mergeCell ref="A36:B36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10.2. melléklet a ……/2014. (……) önkormányzati rendelethez&amp;"Times New Roman CE,Dőlt"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6"/>
  <sheetViews>
    <sheetView zoomScale="120" zoomScaleNormal="120" zoomScaleSheetLayoutView="130" workbookViewId="0" topLeftCell="A1">
      <selection activeCell="K99" sqref="K99"/>
    </sheetView>
  </sheetViews>
  <sheetFormatPr defaultColWidth="9.00390625" defaultRowHeight="12.75"/>
  <cols>
    <col min="1" max="1" width="9.50390625" style="205" customWidth="1"/>
    <col min="2" max="2" width="60.875" style="205" customWidth="1"/>
    <col min="3" max="5" width="15.875" style="206" customWidth="1"/>
    <col min="6" max="16384" width="9.375" style="29" customWidth="1"/>
  </cols>
  <sheetData>
    <row r="1" spans="1:5" ht="15.75" customHeight="1">
      <c r="A1" s="1156" t="s">
        <v>142</v>
      </c>
      <c r="B1" s="1156"/>
      <c r="C1" s="1156"/>
      <c r="D1" s="1156"/>
      <c r="E1" s="1156"/>
    </row>
    <row r="2" spans="1:5" ht="15.75" customHeight="1" thickBot="1">
      <c r="A2" s="207" t="s">
        <v>262</v>
      </c>
      <c r="B2" s="207"/>
      <c r="C2" s="136"/>
      <c r="D2" s="136"/>
      <c r="E2" s="136" t="s">
        <v>398</v>
      </c>
    </row>
    <row r="3" spans="1:5" ht="37.5" customHeight="1">
      <c r="A3" s="1157" t="s">
        <v>195</v>
      </c>
      <c r="B3" s="1159" t="s">
        <v>144</v>
      </c>
      <c r="C3" s="1161" t="s">
        <v>126</v>
      </c>
      <c r="D3" s="1161"/>
      <c r="E3" s="1162"/>
    </row>
    <row r="4" spans="1:5" s="30" customFormat="1" ht="12" customHeight="1" thickBot="1">
      <c r="A4" s="1158"/>
      <c r="B4" s="1160"/>
      <c r="C4" s="210" t="s">
        <v>482</v>
      </c>
      <c r="D4" s="210" t="s">
        <v>489</v>
      </c>
      <c r="E4" s="211" t="s">
        <v>490</v>
      </c>
    </row>
    <row r="5" spans="1:5" s="1" customFormat="1" ht="12" customHeight="1" thickBot="1">
      <c r="A5" s="26">
        <v>1</v>
      </c>
      <c r="B5" s="27">
        <v>2</v>
      </c>
      <c r="C5" s="27">
        <v>3</v>
      </c>
      <c r="D5" s="27">
        <v>4</v>
      </c>
      <c r="E5" s="28">
        <v>5</v>
      </c>
    </row>
    <row r="6" spans="1:5" s="1" customFormat="1" ht="12" customHeight="1" thickBot="1">
      <c r="A6" s="20" t="s">
        <v>145</v>
      </c>
      <c r="B6" s="19" t="s">
        <v>276</v>
      </c>
      <c r="C6" s="263">
        <f>+C7+C12+C23</f>
        <v>69124</v>
      </c>
      <c r="D6" s="263">
        <f>+D7+D12+D23</f>
        <v>90535</v>
      </c>
      <c r="E6" s="119">
        <f>+E7+E12+E23</f>
        <v>90533</v>
      </c>
    </row>
    <row r="7" spans="1:5" s="1" customFormat="1" ht="12" customHeight="1" thickBot="1">
      <c r="A7" s="18" t="s">
        <v>146</v>
      </c>
      <c r="B7" s="101" t="s">
        <v>470</v>
      </c>
      <c r="C7" s="264">
        <f>+C8+C9+C10+C11</f>
        <v>40448</v>
      </c>
      <c r="D7" s="264">
        <f>+D8+D9+D10+D11</f>
        <v>52838</v>
      </c>
      <c r="E7" s="120">
        <f>+E8+E9+E10+E11</f>
        <v>52838</v>
      </c>
    </row>
    <row r="8" spans="1:5" s="1" customFormat="1" ht="12" customHeight="1">
      <c r="A8" s="12" t="s">
        <v>225</v>
      </c>
      <c r="B8" s="193" t="s">
        <v>182</v>
      </c>
      <c r="C8" s="510">
        <v>30948</v>
      </c>
      <c r="D8" s="581">
        <v>43603</v>
      </c>
      <c r="E8" s="582">
        <v>46145</v>
      </c>
    </row>
    <row r="9" spans="1:5" s="1" customFormat="1" ht="12" customHeight="1">
      <c r="A9" s="12" t="s">
        <v>226</v>
      </c>
      <c r="B9" s="115" t="s">
        <v>196</v>
      </c>
      <c r="C9" s="510"/>
      <c r="D9" s="510"/>
      <c r="E9" s="583"/>
    </row>
    <row r="10" spans="1:5" s="1" customFormat="1" ht="12" customHeight="1">
      <c r="A10" s="12" t="s">
        <v>227</v>
      </c>
      <c r="B10" s="115" t="s">
        <v>277</v>
      </c>
      <c r="C10" s="510">
        <v>9500</v>
      </c>
      <c r="D10" s="510">
        <v>9235</v>
      </c>
      <c r="E10" s="583">
        <v>6693</v>
      </c>
    </row>
    <row r="11" spans="1:5" s="1" customFormat="1" ht="12" customHeight="1" thickBot="1">
      <c r="A11" s="12" t="s">
        <v>228</v>
      </c>
      <c r="B11" s="194" t="s">
        <v>278</v>
      </c>
      <c r="C11" s="510"/>
      <c r="D11" s="562"/>
      <c r="E11" s="584"/>
    </row>
    <row r="12" spans="1:5" s="1" customFormat="1" ht="12" customHeight="1" thickBot="1">
      <c r="A12" s="18" t="s">
        <v>147</v>
      </c>
      <c r="B12" s="19" t="s">
        <v>279</v>
      </c>
      <c r="C12" s="264">
        <f>+C13+C14+C15+C16+C17+C18+C19+C20+C21+C22</f>
        <v>25476</v>
      </c>
      <c r="D12" s="264">
        <f>+D13+D14+D15+D16+D17+D18+D19+D20+D21+D22</f>
        <v>34097</v>
      </c>
      <c r="E12" s="264">
        <f>+E13+E14+E15+E16+E17+E18+E19+E20+E21+E22</f>
        <v>34095</v>
      </c>
    </row>
    <row r="13" spans="1:5" s="1" customFormat="1" ht="12" customHeight="1">
      <c r="A13" s="15" t="s">
        <v>197</v>
      </c>
      <c r="B13" s="8" t="s">
        <v>284</v>
      </c>
      <c r="C13" s="516">
        <v>5355</v>
      </c>
      <c r="D13" s="581">
        <v>8213</v>
      </c>
      <c r="E13" s="582">
        <v>8213</v>
      </c>
    </row>
    <row r="14" spans="1:5" s="1" customFormat="1" ht="12" customHeight="1">
      <c r="A14" s="12" t="s">
        <v>198</v>
      </c>
      <c r="B14" s="6" t="s">
        <v>285</v>
      </c>
      <c r="C14" s="510"/>
      <c r="D14" s="510">
        <v>94</v>
      </c>
      <c r="E14" s="583">
        <v>94</v>
      </c>
    </row>
    <row r="15" spans="1:5" s="1" customFormat="1" ht="12" customHeight="1">
      <c r="A15" s="12" t="s">
        <v>199</v>
      </c>
      <c r="B15" s="6" t="s">
        <v>838</v>
      </c>
      <c r="C15" s="510"/>
      <c r="D15" s="510">
        <v>596</v>
      </c>
      <c r="E15" s="583">
        <v>596</v>
      </c>
    </row>
    <row r="16" spans="1:5" s="1" customFormat="1" ht="12" customHeight="1">
      <c r="A16" s="12" t="s">
        <v>200</v>
      </c>
      <c r="B16" s="6" t="s">
        <v>286</v>
      </c>
      <c r="C16" s="510">
        <v>5288</v>
      </c>
      <c r="D16" s="510">
        <v>8404</v>
      </c>
      <c r="E16" s="583">
        <v>8403</v>
      </c>
    </row>
    <row r="17" spans="1:5" s="1" customFormat="1" ht="12" customHeight="1">
      <c r="A17" s="11" t="s">
        <v>280</v>
      </c>
      <c r="B17" s="6" t="s">
        <v>287</v>
      </c>
      <c r="C17" s="519">
        <v>7883</v>
      </c>
      <c r="D17" s="519">
        <v>6420</v>
      </c>
      <c r="E17" s="585">
        <v>6420</v>
      </c>
    </row>
    <row r="18" spans="1:5" s="1" customFormat="1" ht="12" customHeight="1">
      <c r="A18" s="12" t="s">
        <v>281</v>
      </c>
      <c r="B18" s="873" t="s">
        <v>288</v>
      </c>
      <c r="C18" s="510"/>
      <c r="D18" s="510"/>
      <c r="E18" s="583"/>
    </row>
    <row r="19" spans="1:5" s="1" customFormat="1" ht="12" customHeight="1">
      <c r="A19" s="12" t="s">
        <v>282</v>
      </c>
      <c r="B19" s="873" t="s">
        <v>839</v>
      </c>
      <c r="C19" s="510"/>
      <c r="D19" s="510">
        <v>1419</v>
      </c>
      <c r="E19" s="583">
        <v>1419</v>
      </c>
    </row>
    <row r="20" spans="1:5" s="1" customFormat="1" ht="12" customHeight="1">
      <c r="A20" s="12" t="s">
        <v>283</v>
      </c>
      <c r="B20" s="6" t="s">
        <v>345</v>
      </c>
      <c r="C20" s="510">
        <v>3594</v>
      </c>
      <c r="D20" s="510">
        <v>4869</v>
      </c>
      <c r="E20" s="583">
        <v>4868</v>
      </c>
    </row>
    <row r="21" spans="1:5" s="1" customFormat="1" ht="12" customHeight="1">
      <c r="A21" s="12" t="s">
        <v>87</v>
      </c>
      <c r="B21" s="6" t="s">
        <v>289</v>
      </c>
      <c r="C21" s="510"/>
      <c r="D21" s="510">
        <v>2124</v>
      </c>
      <c r="E21" s="583">
        <v>2124</v>
      </c>
    </row>
    <row r="22" spans="1:5" s="1" customFormat="1" ht="12" customHeight="1" thickBot="1">
      <c r="A22" s="16" t="s">
        <v>88</v>
      </c>
      <c r="B22" s="5" t="s">
        <v>290</v>
      </c>
      <c r="C22" s="514">
        <v>3356</v>
      </c>
      <c r="D22" s="519">
        <v>1958</v>
      </c>
      <c r="E22" s="588">
        <v>1958</v>
      </c>
    </row>
    <row r="23" spans="1:5" s="1" customFormat="1" ht="12" customHeight="1" thickBot="1">
      <c r="A23" s="18" t="s">
        <v>291</v>
      </c>
      <c r="B23" s="19" t="s">
        <v>346</v>
      </c>
      <c r="C23" s="525">
        <v>3200</v>
      </c>
      <c r="D23" s="593">
        <v>3600</v>
      </c>
      <c r="E23" s="594">
        <v>3600</v>
      </c>
    </row>
    <row r="24" spans="1:5" s="1" customFormat="1" ht="12" customHeight="1" thickBot="1">
      <c r="A24" s="18" t="s">
        <v>149</v>
      </c>
      <c r="B24" s="19" t="s">
        <v>293</v>
      </c>
      <c r="C24" s="264">
        <f>+C25+C26+C27+C28+C29+C30+C31+C32</f>
        <v>72282</v>
      </c>
      <c r="D24" s="264">
        <f>+D25+D26+D27+D28+D29+D30+D31+D32</f>
        <v>240366</v>
      </c>
      <c r="E24" s="120">
        <f>+E25+E26+E27+E28+E29+E30+E31+E32</f>
        <v>240366</v>
      </c>
    </row>
    <row r="25" spans="1:5" s="1" customFormat="1" ht="12" customHeight="1">
      <c r="A25" s="13" t="s">
        <v>201</v>
      </c>
      <c r="B25" s="7" t="s">
        <v>299</v>
      </c>
      <c r="C25" s="517">
        <v>72282</v>
      </c>
      <c r="D25" s="581">
        <v>121297</v>
      </c>
      <c r="E25" s="582">
        <v>121297</v>
      </c>
    </row>
    <row r="26" spans="1:5" s="1" customFormat="1" ht="12" customHeight="1">
      <c r="A26" s="12" t="s">
        <v>202</v>
      </c>
      <c r="B26" s="6" t="s">
        <v>300</v>
      </c>
      <c r="C26" s="510"/>
      <c r="D26" s="510">
        <v>6927</v>
      </c>
      <c r="E26" s="583">
        <v>6927</v>
      </c>
    </row>
    <row r="27" spans="1:5" s="1" customFormat="1" ht="12" customHeight="1">
      <c r="A27" s="12" t="s">
        <v>203</v>
      </c>
      <c r="B27" s="6" t="s">
        <v>301</v>
      </c>
      <c r="C27" s="510"/>
      <c r="D27" s="510">
        <v>110000</v>
      </c>
      <c r="E27" s="583">
        <v>110000</v>
      </c>
    </row>
    <row r="28" spans="1:5" s="1" customFormat="1" ht="12" customHeight="1">
      <c r="A28" s="14" t="s">
        <v>294</v>
      </c>
      <c r="B28" s="6" t="s">
        <v>206</v>
      </c>
      <c r="C28" s="518"/>
      <c r="D28" s="518"/>
      <c r="E28" s="588"/>
    </row>
    <row r="29" spans="1:5" s="1" customFormat="1" ht="12" customHeight="1">
      <c r="A29" s="14" t="s">
        <v>295</v>
      </c>
      <c r="B29" s="6" t="s">
        <v>302</v>
      </c>
      <c r="C29" s="518"/>
      <c r="D29" s="518"/>
      <c r="E29" s="588"/>
    </row>
    <row r="30" spans="1:5" s="1" customFormat="1" ht="12" customHeight="1">
      <c r="A30" s="12" t="s">
        <v>296</v>
      </c>
      <c r="B30" s="6" t="s">
        <v>303</v>
      </c>
      <c r="C30" s="510"/>
      <c r="D30" s="510"/>
      <c r="E30" s="583"/>
    </row>
    <row r="31" spans="1:5" s="1" customFormat="1" ht="12" customHeight="1">
      <c r="A31" s="12" t="s">
        <v>297</v>
      </c>
      <c r="B31" s="6" t="s">
        <v>347</v>
      </c>
      <c r="C31" s="510"/>
      <c r="D31" s="510">
        <v>2142</v>
      </c>
      <c r="E31" s="523">
        <v>2142</v>
      </c>
    </row>
    <row r="32" spans="1:5" s="1" customFormat="1" ht="12" customHeight="1" thickBot="1">
      <c r="A32" s="12" t="s">
        <v>298</v>
      </c>
      <c r="B32" s="10" t="s">
        <v>304</v>
      </c>
      <c r="C32" s="510"/>
      <c r="D32" s="562"/>
      <c r="E32" s="589"/>
    </row>
    <row r="33" spans="1:5" s="1" customFormat="1" ht="12" customHeight="1" thickBot="1">
      <c r="A33" s="94" t="s">
        <v>150</v>
      </c>
      <c r="B33" s="19" t="s">
        <v>471</v>
      </c>
      <c r="C33" s="264">
        <f>+C34+C40</f>
        <v>38159</v>
      </c>
      <c r="D33" s="264">
        <f>+D34+D40</f>
        <v>39086</v>
      </c>
      <c r="E33" s="120">
        <f>+E34+E40</f>
        <v>39085</v>
      </c>
    </row>
    <row r="34" spans="1:5" s="1" customFormat="1" ht="12" customHeight="1">
      <c r="A34" s="95" t="s">
        <v>204</v>
      </c>
      <c r="B34" s="195" t="s">
        <v>472</v>
      </c>
      <c r="C34" s="271">
        <f>+C35+C36+C37+C38+C39</f>
        <v>35784</v>
      </c>
      <c r="D34" s="597">
        <f>+D35+D36+D37+D38+D39</f>
        <v>37066</v>
      </c>
      <c r="E34" s="598">
        <f>+E35+E36+E37+E38+E39</f>
        <v>37065</v>
      </c>
    </row>
    <row r="35" spans="1:5" s="1" customFormat="1" ht="12" customHeight="1">
      <c r="A35" s="96" t="s">
        <v>207</v>
      </c>
      <c r="B35" s="102" t="s">
        <v>348</v>
      </c>
      <c r="C35" s="510">
        <v>3200</v>
      </c>
      <c r="D35" s="522">
        <v>3649</v>
      </c>
      <c r="E35" s="523">
        <v>3649</v>
      </c>
    </row>
    <row r="36" spans="1:5" s="1" customFormat="1" ht="12" customHeight="1">
      <c r="A36" s="96" t="s">
        <v>208</v>
      </c>
      <c r="B36" s="102" t="s">
        <v>349</v>
      </c>
      <c r="C36" s="510"/>
      <c r="D36" s="510"/>
      <c r="E36" s="523"/>
    </row>
    <row r="37" spans="1:5" s="1" customFormat="1" ht="12" customHeight="1">
      <c r="A37" s="96" t="s">
        <v>209</v>
      </c>
      <c r="B37" s="102" t="s">
        <v>350</v>
      </c>
      <c r="C37" s="510">
        <v>6936</v>
      </c>
      <c r="D37" s="510">
        <v>3468</v>
      </c>
      <c r="E37" s="523">
        <v>3468</v>
      </c>
    </row>
    <row r="38" spans="1:5" s="1" customFormat="1" ht="12" customHeight="1">
      <c r="A38" s="96" t="s">
        <v>210</v>
      </c>
      <c r="B38" s="102" t="s">
        <v>351</v>
      </c>
      <c r="C38" s="510"/>
      <c r="D38" s="510"/>
      <c r="E38" s="523"/>
    </row>
    <row r="39" spans="1:5" s="1" customFormat="1" ht="12" customHeight="1">
      <c r="A39" s="96" t="s">
        <v>305</v>
      </c>
      <c r="B39" s="102" t="s">
        <v>473</v>
      </c>
      <c r="C39" s="510">
        <v>25648</v>
      </c>
      <c r="D39" s="524">
        <v>29949</v>
      </c>
      <c r="E39" s="523">
        <v>29948</v>
      </c>
    </row>
    <row r="40" spans="1:5" s="1" customFormat="1" ht="12" customHeight="1">
      <c r="A40" s="96" t="s">
        <v>205</v>
      </c>
      <c r="B40" s="103" t="s">
        <v>474</v>
      </c>
      <c r="C40" s="272">
        <f>+C41+C42+C43+C44+C45</f>
        <v>2375</v>
      </c>
      <c r="D40" s="272">
        <f>+D41+D42+D43+D44+D45</f>
        <v>2020</v>
      </c>
      <c r="E40" s="131">
        <f>+E41+E42+E43+E44+E45</f>
        <v>2020</v>
      </c>
    </row>
    <row r="41" spans="1:5" s="1" customFormat="1" ht="12" customHeight="1">
      <c r="A41" s="96" t="s">
        <v>213</v>
      </c>
      <c r="B41" s="102" t="s">
        <v>348</v>
      </c>
      <c r="C41" s="270"/>
      <c r="D41" s="270"/>
      <c r="E41" s="126"/>
    </row>
    <row r="42" spans="1:5" s="1" customFormat="1" ht="12" customHeight="1">
      <c r="A42" s="96" t="s">
        <v>214</v>
      </c>
      <c r="B42" s="102" t="s">
        <v>349</v>
      </c>
      <c r="C42" s="270"/>
      <c r="D42" s="270"/>
      <c r="E42" s="126"/>
    </row>
    <row r="43" spans="1:5" s="1" customFormat="1" ht="12" customHeight="1">
      <c r="A43" s="96" t="s">
        <v>215</v>
      </c>
      <c r="B43" s="102" t="s">
        <v>350</v>
      </c>
      <c r="C43" s="270"/>
      <c r="D43" s="270"/>
      <c r="E43" s="126"/>
    </row>
    <row r="44" spans="1:5" s="1" customFormat="1" ht="12" customHeight="1">
      <c r="A44" s="96" t="s">
        <v>216</v>
      </c>
      <c r="B44" s="104" t="s">
        <v>351</v>
      </c>
      <c r="C44" s="270"/>
      <c r="D44" s="273"/>
      <c r="E44" s="274"/>
    </row>
    <row r="45" spans="1:5" s="1" customFormat="1" ht="12" customHeight="1" thickBot="1">
      <c r="A45" s="97" t="s">
        <v>306</v>
      </c>
      <c r="B45" s="105" t="s">
        <v>475</v>
      </c>
      <c r="C45" s="518">
        <v>2375</v>
      </c>
      <c r="D45" s="562">
        <v>2020</v>
      </c>
      <c r="E45" s="889">
        <v>2020</v>
      </c>
    </row>
    <row r="46" spans="1:5" s="1" customFormat="1" ht="12" customHeight="1" thickBot="1">
      <c r="A46" s="18" t="s">
        <v>307</v>
      </c>
      <c r="B46" s="196" t="s">
        <v>352</v>
      </c>
      <c r="C46" s="264">
        <f>+C47+C48</f>
        <v>0</v>
      </c>
      <c r="D46" s="264">
        <f>+D47+D48</f>
        <v>0</v>
      </c>
      <c r="E46" s="120">
        <f>+E47+E48</f>
        <v>0</v>
      </c>
    </row>
    <row r="47" spans="1:5" s="1" customFormat="1" ht="12" customHeight="1">
      <c r="A47" s="13" t="s">
        <v>211</v>
      </c>
      <c r="B47" s="115" t="s">
        <v>353</v>
      </c>
      <c r="C47" s="268"/>
      <c r="D47" s="268"/>
      <c r="E47" s="124"/>
    </row>
    <row r="48" spans="1:5" s="1" customFormat="1" ht="12" customHeight="1" thickBot="1">
      <c r="A48" s="11" t="s">
        <v>212</v>
      </c>
      <c r="B48" s="110" t="s">
        <v>357</v>
      </c>
      <c r="C48" s="266"/>
      <c r="D48" s="266"/>
      <c r="E48" s="122"/>
    </row>
    <row r="49" spans="1:5" s="1" customFormat="1" ht="12" customHeight="1" thickBot="1">
      <c r="A49" s="18" t="s">
        <v>152</v>
      </c>
      <c r="B49" s="196" t="s">
        <v>356</v>
      </c>
      <c r="C49" s="264">
        <f>+C50+C51+C52</f>
        <v>0</v>
      </c>
      <c r="D49" s="264">
        <f>+D50+D51+D52</f>
        <v>3</v>
      </c>
      <c r="E49" s="120">
        <f>+E50+E51+E52</f>
        <v>3</v>
      </c>
    </row>
    <row r="50" spans="1:5" s="1" customFormat="1" ht="12" customHeight="1">
      <c r="A50" s="13" t="s">
        <v>310</v>
      </c>
      <c r="B50" s="115" t="s">
        <v>308</v>
      </c>
      <c r="C50" s="517"/>
      <c r="D50" s="581"/>
      <c r="E50" s="590"/>
    </row>
    <row r="51" spans="1:5" s="1" customFormat="1" ht="12" customHeight="1">
      <c r="A51" s="12" t="s">
        <v>311</v>
      </c>
      <c r="B51" s="102" t="s">
        <v>309</v>
      </c>
      <c r="C51" s="510"/>
      <c r="D51" s="510"/>
      <c r="E51" s="523"/>
    </row>
    <row r="52" spans="1:5" s="1" customFormat="1" ht="17.25" customHeight="1" thickBot="1">
      <c r="A52" s="11" t="s">
        <v>399</v>
      </c>
      <c r="B52" s="110" t="s">
        <v>354</v>
      </c>
      <c r="C52" s="519"/>
      <c r="D52" s="519">
        <v>3</v>
      </c>
      <c r="E52" s="875">
        <v>3</v>
      </c>
    </row>
    <row r="53" spans="1:5" s="1" customFormat="1" ht="12" customHeight="1" thickBot="1">
      <c r="A53" s="526" t="s">
        <v>312</v>
      </c>
      <c r="B53" s="527" t="s">
        <v>89</v>
      </c>
      <c r="C53" s="876"/>
      <c r="D53" s="878">
        <v>1250</v>
      </c>
      <c r="E53" s="594">
        <v>5942</v>
      </c>
    </row>
    <row r="54" spans="1:5" s="1" customFormat="1" ht="12" customHeight="1" thickBot="1">
      <c r="A54" s="18" t="s">
        <v>154</v>
      </c>
      <c r="B54" s="21" t="s">
        <v>313</v>
      </c>
      <c r="C54" s="877">
        <f>+C7+C12+C23+C24+C33+C46+C49+C53</f>
        <v>179565</v>
      </c>
      <c r="D54" s="879">
        <f>+D7+D12+D23+D24+D33+D46+D49+D53</f>
        <v>371240</v>
      </c>
      <c r="E54" s="880">
        <f>+E7+E12+E23+E24+E33+E46+E49+E53</f>
        <v>375929</v>
      </c>
    </row>
    <row r="55" spans="1:5" s="1" customFormat="1" ht="12" customHeight="1" thickBot="1">
      <c r="A55" s="106" t="s">
        <v>155</v>
      </c>
      <c r="B55" s="101" t="s">
        <v>358</v>
      </c>
      <c r="C55" s="281">
        <f>+C56+C62</f>
        <v>27924</v>
      </c>
      <c r="D55" s="281">
        <f>+D56+D62</f>
        <v>0</v>
      </c>
      <c r="E55" s="129">
        <f>+E56+E62</f>
        <v>0</v>
      </c>
    </row>
    <row r="56" spans="1:5" s="1" customFormat="1" ht="12" customHeight="1">
      <c r="A56" s="197" t="s">
        <v>255</v>
      </c>
      <c r="B56" s="195" t="s">
        <v>439</v>
      </c>
      <c r="C56" s="270">
        <f>+C57+C58+C59+C60+C61</f>
        <v>27924</v>
      </c>
      <c r="D56" s="270">
        <f>+D57+D58+D59+D60+D61</f>
        <v>0</v>
      </c>
      <c r="E56" s="126">
        <f>+E57+E58+E59+E60+E61</f>
        <v>0</v>
      </c>
    </row>
    <row r="57" spans="1:5" s="1" customFormat="1" ht="12" customHeight="1">
      <c r="A57" s="107" t="s">
        <v>370</v>
      </c>
      <c r="B57" s="102" t="s">
        <v>359</v>
      </c>
      <c r="C57" s="510">
        <v>27924</v>
      </c>
      <c r="D57" s="522"/>
      <c r="E57" s="523"/>
    </row>
    <row r="58" spans="1:5" s="1" customFormat="1" ht="12" customHeight="1">
      <c r="A58" s="107" t="s">
        <v>371</v>
      </c>
      <c r="B58" s="102" t="s">
        <v>360</v>
      </c>
      <c r="C58" s="510"/>
      <c r="D58" s="510"/>
      <c r="E58" s="523"/>
    </row>
    <row r="59" spans="1:5" s="1" customFormat="1" ht="12" customHeight="1">
      <c r="A59" s="107" t="s">
        <v>372</v>
      </c>
      <c r="B59" s="102" t="s">
        <v>361</v>
      </c>
      <c r="C59" s="510"/>
      <c r="D59" s="510"/>
      <c r="E59" s="523"/>
    </row>
    <row r="60" spans="1:5" s="1" customFormat="1" ht="12" customHeight="1">
      <c r="A60" s="107" t="s">
        <v>373</v>
      </c>
      <c r="B60" s="102" t="s">
        <v>362</v>
      </c>
      <c r="C60" s="510"/>
      <c r="D60" s="510"/>
      <c r="E60" s="523"/>
    </row>
    <row r="61" spans="1:5" s="1" customFormat="1" ht="12" customHeight="1">
      <c r="A61" s="107" t="s">
        <v>374</v>
      </c>
      <c r="B61" s="102" t="s">
        <v>363</v>
      </c>
      <c r="C61" s="510"/>
      <c r="D61" s="524"/>
      <c r="E61" s="523"/>
    </row>
    <row r="62" spans="1:5" s="1" customFormat="1" ht="12" customHeight="1">
      <c r="A62" s="108" t="s">
        <v>256</v>
      </c>
      <c r="B62" s="103" t="s">
        <v>438</v>
      </c>
      <c r="C62" s="270">
        <f>+C63+C64+C65+C66+C67</f>
        <v>0</v>
      </c>
      <c r="D62" s="270">
        <f>+D63+D64+D65+D66+D67</f>
        <v>0</v>
      </c>
      <c r="E62" s="126">
        <f>+E63+E64+E65+E66+E67</f>
        <v>0</v>
      </c>
    </row>
    <row r="63" spans="1:5" s="1" customFormat="1" ht="12" customHeight="1">
      <c r="A63" s="107" t="s">
        <v>375</v>
      </c>
      <c r="B63" s="102" t="s">
        <v>364</v>
      </c>
      <c r="C63" s="270"/>
      <c r="D63" s="270"/>
      <c r="E63" s="126"/>
    </row>
    <row r="64" spans="1:5" s="1" customFormat="1" ht="12" customHeight="1">
      <c r="A64" s="107" t="s">
        <v>376</v>
      </c>
      <c r="B64" s="102" t="s">
        <v>365</v>
      </c>
      <c r="C64" s="270"/>
      <c r="D64" s="270"/>
      <c r="E64" s="126"/>
    </row>
    <row r="65" spans="1:5" s="1" customFormat="1" ht="12" customHeight="1">
      <c r="A65" s="107" t="s">
        <v>377</v>
      </c>
      <c r="B65" s="102" t="s">
        <v>366</v>
      </c>
      <c r="C65" s="270"/>
      <c r="D65" s="270"/>
      <c r="E65" s="126"/>
    </row>
    <row r="66" spans="1:5" s="1" customFormat="1" ht="12" customHeight="1">
      <c r="A66" s="107" t="s">
        <v>378</v>
      </c>
      <c r="B66" s="102" t="s">
        <v>367</v>
      </c>
      <c r="C66" s="270"/>
      <c r="D66" s="270"/>
      <c r="E66" s="126"/>
    </row>
    <row r="67" spans="1:5" s="1" customFormat="1" ht="12" customHeight="1" thickBot="1">
      <c r="A67" s="109" t="s">
        <v>379</v>
      </c>
      <c r="B67" s="110" t="s">
        <v>368</v>
      </c>
      <c r="C67" s="270"/>
      <c r="D67" s="270"/>
      <c r="E67" s="126"/>
    </row>
    <row r="68" spans="1:5" s="1" customFormat="1" ht="23.25" customHeight="1" thickBot="1">
      <c r="A68" s="111" t="s">
        <v>156</v>
      </c>
      <c r="B68" s="198" t="s">
        <v>436</v>
      </c>
      <c r="C68" s="281">
        <f>+C54+C55</f>
        <v>207489</v>
      </c>
      <c r="D68" s="281">
        <f>+D54+D55</f>
        <v>371240</v>
      </c>
      <c r="E68" s="129">
        <f>+E54+E55</f>
        <v>375929</v>
      </c>
    </row>
    <row r="69" spans="1:5" s="1" customFormat="1" ht="12" customHeight="1" thickBot="1">
      <c r="A69" s="112" t="s">
        <v>157</v>
      </c>
      <c r="B69" s="199" t="s">
        <v>369</v>
      </c>
      <c r="C69" s="282"/>
      <c r="D69" s="282"/>
      <c r="E69" s="137">
        <v>759</v>
      </c>
    </row>
    <row r="70" spans="1:5" s="1" customFormat="1" ht="12.75" customHeight="1" thickBot="1">
      <c r="A70" s="111" t="s">
        <v>158</v>
      </c>
      <c r="B70" s="198" t="s">
        <v>437</v>
      </c>
      <c r="C70" s="283">
        <f>+C68+C69</f>
        <v>207489</v>
      </c>
      <c r="D70" s="283">
        <f>+D68+D69</f>
        <v>371240</v>
      </c>
      <c r="E70" s="138">
        <f>+E68+E69</f>
        <v>376688</v>
      </c>
    </row>
    <row r="71" spans="1:5" ht="16.5" customHeight="1">
      <c r="A71" s="3"/>
      <c r="B71" s="4"/>
      <c r="C71" s="132"/>
      <c r="D71" s="132"/>
      <c r="E71" s="132"/>
    </row>
    <row r="72" spans="1:5" s="139" customFormat="1" ht="16.5" customHeight="1">
      <c r="A72" s="1156" t="s">
        <v>174</v>
      </c>
      <c r="B72" s="1156"/>
      <c r="C72" s="1156"/>
      <c r="D72" s="1156"/>
      <c r="E72" s="1156"/>
    </row>
    <row r="73" spans="1:5" ht="37.5" customHeight="1" thickBot="1">
      <c r="A73" s="208" t="s">
        <v>263</v>
      </c>
      <c r="B73" s="208"/>
      <c r="C73" s="67"/>
      <c r="D73" s="67"/>
      <c r="E73" s="67" t="s">
        <v>398</v>
      </c>
    </row>
    <row r="74" spans="1:5" s="30" customFormat="1" ht="12" customHeight="1">
      <c r="A74" s="1157" t="s">
        <v>195</v>
      </c>
      <c r="B74" s="1159" t="s">
        <v>481</v>
      </c>
      <c r="C74" s="1161" t="s">
        <v>126</v>
      </c>
      <c r="D74" s="1161"/>
      <c r="E74" s="1162"/>
    </row>
    <row r="75" spans="1:5" ht="12" customHeight="1" thickBot="1">
      <c r="A75" s="1158"/>
      <c r="B75" s="1160"/>
      <c r="C75" s="210" t="s">
        <v>482</v>
      </c>
      <c r="D75" s="210" t="s">
        <v>489</v>
      </c>
      <c r="E75" s="211" t="s">
        <v>490</v>
      </c>
    </row>
    <row r="76" spans="1:5" ht="12" customHeight="1" thickBot="1">
      <c r="A76" s="26">
        <v>1</v>
      </c>
      <c r="B76" s="27">
        <v>2</v>
      </c>
      <c r="C76" s="27">
        <v>3</v>
      </c>
      <c r="D76" s="27">
        <v>4</v>
      </c>
      <c r="E76" s="28">
        <v>5</v>
      </c>
    </row>
    <row r="77" spans="1:5" ht="12" customHeight="1" thickBot="1">
      <c r="A77" s="20" t="s">
        <v>145</v>
      </c>
      <c r="B77" s="25" t="s">
        <v>314</v>
      </c>
      <c r="C77" s="263">
        <f>+C78+C79+C80+C81+C82</f>
        <v>188033</v>
      </c>
      <c r="D77" s="263">
        <f>+D78+D79+D80+D81+D82</f>
        <v>257799</v>
      </c>
      <c r="E77" s="119">
        <f>+E78+E79+E80+E81+E82</f>
        <v>224807</v>
      </c>
    </row>
    <row r="78" spans="1:5" ht="12" customHeight="1">
      <c r="A78" s="15" t="s">
        <v>217</v>
      </c>
      <c r="B78" s="8" t="s">
        <v>175</v>
      </c>
      <c r="C78" s="516">
        <v>49023</v>
      </c>
      <c r="D78" s="581">
        <v>68357</v>
      </c>
      <c r="E78" s="582">
        <v>65556</v>
      </c>
    </row>
    <row r="79" spans="1:5" ht="12" customHeight="1">
      <c r="A79" s="12" t="s">
        <v>218</v>
      </c>
      <c r="B79" s="6" t="s">
        <v>315</v>
      </c>
      <c r="C79" s="510">
        <v>10706</v>
      </c>
      <c r="D79" s="510">
        <v>15026</v>
      </c>
      <c r="E79" s="583">
        <v>14896</v>
      </c>
    </row>
    <row r="80" spans="1:5" ht="12" customHeight="1">
      <c r="A80" s="12" t="s">
        <v>219</v>
      </c>
      <c r="B80" s="6" t="s">
        <v>248</v>
      </c>
      <c r="C80" s="518">
        <v>80356</v>
      </c>
      <c r="D80" s="518">
        <v>127723</v>
      </c>
      <c r="E80" s="588">
        <v>97663</v>
      </c>
    </row>
    <row r="81" spans="1:5" ht="12" customHeight="1">
      <c r="A81" s="12" t="s">
        <v>220</v>
      </c>
      <c r="B81" s="9" t="s">
        <v>316</v>
      </c>
      <c r="C81" s="518"/>
      <c r="D81" s="510"/>
      <c r="E81" s="588"/>
    </row>
    <row r="82" spans="1:5" ht="12" customHeight="1">
      <c r="A82" s="12" t="s">
        <v>231</v>
      </c>
      <c r="B82" s="17" t="s">
        <v>317</v>
      </c>
      <c r="C82" s="518">
        <f>SUM(C83:C89)</f>
        <v>47948</v>
      </c>
      <c r="D82" s="510">
        <f>SUM(D83:D89)</f>
        <v>46693</v>
      </c>
      <c r="E82" s="1132">
        <f>SUM(E83:E89)</f>
        <v>46692</v>
      </c>
    </row>
    <row r="83" spans="1:5" ht="12" customHeight="1">
      <c r="A83" s="12" t="s">
        <v>221</v>
      </c>
      <c r="B83" s="6" t="s">
        <v>334</v>
      </c>
      <c r="C83" s="518"/>
      <c r="D83" s="510"/>
      <c r="E83" s="588"/>
    </row>
    <row r="84" spans="1:5" ht="12" customHeight="1">
      <c r="A84" s="12" t="s">
        <v>222</v>
      </c>
      <c r="B84" s="68" t="s">
        <v>335</v>
      </c>
      <c r="C84" s="518">
        <v>45093</v>
      </c>
      <c r="D84" s="518">
        <v>42867</v>
      </c>
      <c r="E84" s="588">
        <v>42866</v>
      </c>
    </row>
    <row r="85" spans="1:5" ht="12" customHeight="1">
      <c r="A85" s="12" t="s">
        <v>232</v>
      </c>
      <c r="B85" s="68" t="s">
        <v>380</v>
      </c>
      <c r="C85" s="518">
        <v>2546</v>
      </c>
      <c r="D85" s="518">
        <v>2188</v>
      </c>
      <c r="E85" s="588">
        <v>2188</v>
      </c>
    </row>
    <row r="86" spans="1:5" ht="12" customHeight="1">
      <c r="A86" s="12" t="s">
        <v>233</v>
      </c>
      <c r="B86" s="69" t="s">
        <v>336</v>
      </c>
      <c r="C86" s="518">
        <v>309</v>
      </c>
      <c r="D86" s="518">
        <v>1638</v>
      </c>
      <c r="E86" s="588">
        <v>1638</v>
      </c>
    </row>
    <row r="87" spans="1:5" ht="12" customHeight="1">
      <c r="A87" s="11" t="s">
        <v>234</v>
      </c>
      <c r="B87" s="70" t="s">
        <v>337</v>
      </c>
      <c r="C87" s="518"/>
      <c r="D87" s="518"/>
      <c r="E87" s="588"/>
    </row>
    <row r="88" spans="1:5" ht="12" customHeight="1">
      <c r="A88" s="12" t="s">
        <v>235</v>
      </c>
      <c r="B88" s="70" t="s">
        <v>338</v>
      </c>
      <c r="C88" s="518"/>
      <c r="D88" s="518"/>
      <c r="E88" s="588"/>
    </row>
    <row r="89" spans="1:5" ht="12" customHeight="1" thickBot="1">
      <c r="A89" s="16" t="s">
        <v>237</v>
      </c>
      <c r="B89" s="71" t="s">
        <v>339</v>
      </c>
      <c r="C89" s="521"/>
      <c r="D89" s="562"/>
      <c r="E89" s="584"/>
    </row>
    <row r="90" spans="1:5" ht="12" customHeight="1" thickBot="1">
      <c r="A90" s="18" t="s">
        <v>146</v>
      </c>
      <c r="B90" s="24" t="s">
        <v>400</v>
      </c>
      <c r="C90" s="264">
        <f>+C91+C92+C93</f>
        <v>2756</v>
      </c>
      <c r="D90" s="264">
        <f>+D91+D92+D93</f>
        <v>100065</v>
      </c>
      <c r="E90" s="120">
        <f>+E91+E92+E93</f>
        <v>14066</v>
      </c>
    </row>
    <row r="91" spans="1:5" ht="12" customHeight="1">
      <c r="A91" s="13" t="s">
        <v>225</v>
      </c>
      <c r="B91" s="6" t="s">
        <v>381</v>
      </c>
      <c r="C91" s="517">
        <v>2756</v>
      </c>
      <c r="D91" s="581">
        <v>2019</v>
      </c>
      <c r="E91" s="582">
        <v>2020</v>
      </c>
    </row>
    <row r="92" spans="1:5" ht="12" customHeight="1">
      <c r="A92" s="13" t="s">
        <v>226</v>
      </c>
      <c r="B92" s="10" t="s">
        <v>318</v>
      </c>
      <c r="C92" s="510"/>
      <c r="D92" s="510"/>
      <c r="E92" s="583"/>
    </row>
    <row r="93" spans="1:5" ht="12" customHeight="1">
      <c r="A93" s="13" t="s">
        <v>227</v>
      </c>
      <c r="B93" s="102" t="s">
        <v>401</v>
      </c>
      <c r="C93" s="510">
        <f>SUM(C94:C100)</f>
        <v>0</v>
      </c>
      <c r="D93" s="510">
        <f>SUM(D94:D100)</f>
        <v>98046</v>
      </c>
      <c r="E93" s="1132">
        <f>SUM(E94:E100)</f>
        <v>12046</v>
      </c>
    </row>
    <row r="94" spans="1:5" ht="22.5">
      <c r="A94" s="13" t="s">
        <v>228</v>
      </c>
      <c r="B94" s="102" t="s">
        <v>476</v>
      </c>
      <c r="C94" s="510"/>
      <c r="D94" s="510"/>
      <c r="E94" s="583"/>
    </row>
    <row r="95" spans="1:5" ht="12" customHeight="1">
      <c r="A95" s="13" t="s">
        <v>229</v>
      </c>
      <c r="B95" s="102" t="s">
        <v>414</v>
      </c>
      <c r="C95" s="510"/>
      <c r="D95" s="510">
        <v>98008</v>
      </c>
      <c r="E95" s="583">
        <v>12008</v>
      </c>
    </row>
    <row r="96" spans="1:5" ht="12" customHeight="1">
      <c r="A96" s="13" t="s">
        <v>236</v>
      </c>
      <c r="B96" s="102" t="s">
        <v>415</v>
      </c>
      <c r="C96" s="510"/>
      <c r="D96" s="510">
        <v>38</v>
      </c>
      <c r="E96" s="583">
        <v>38</v>
      </c>
    </row>
    <row r="97" spans="1:5" ht="12" customHeight="1">
      <c r="A97" s="13" t="s">
        <v>238</v>
      </c>
      <c r="B97" s="200" t="s">
        <v>383</v>
      </c>
      <c r="C97" s="510"/>
      <c r="D97" s="510"/>
      <c r="E97" s="583"/>
    </row>
    <row r="98" spans="1:5" ht="24" customHeight="1">
      <c r="A98" s="13" t="s">
        <v>319</v>
      </c>
      <c r="B98" s="200" t="s">
        <v>384</v>
      </c>
      <c r="C98" s="510"/>
      <c r="D98" s="510"/>
      <c r="E98" s="583"/>
    </row>
    <row r="99" spans="1:5" ht="21.75" customHeight="1">
      <c r="A99" s="13" t="s">
        <v>320</v>
      </c>
      <c r="B99" s="200" t="s">
        <v>382</v>
      </c>
      <c r="C99" s="510"/>
      <c r="D99" s="510"/>
      <c r="E99" s="583"/>
    </row>
    <row r="100" spans="1:5" ht="34.5" thickBot="1">
      <c r="A100" s="11" t="s">
        <v>321</v>
      </c>
      <c r="B100" s="201" t="s">
        <v>502</v>
      </c>
      <c r="C100" s="518"/>
      <c r="D100" s="562"/>
      <c r="E100" s="584"/>
    </row>
    <row r="101" spans="1:5" ht="12" customHeight="1" thickBot="1">
      <c r="A101" s="18" t="s">
        <v>147</v>
      </c>
      <c r="B101" s="58" t="s">
        <v>416</v>
      </c>
      <c r="C101" s="264">
        <f>+C102+C103</f>
        <v>16700</v>
      </c>
      <c r="D101" s="264">
        <f>+D102+D103</f>
        <v>13376</v>
      </c>
      <c r="E101" s="120">
        <f>+E102+E103</f>
        <v>0</v>
      </c>
    </row>
    <row r="102" spans="1:5" s="100" customFormat="1" ht="12" customHeight="1">
      <c r="A102" s="13" t="s">
        <v>197</v>
      </c>
      <c r="B102" s="7" t="s">
        <v>185</v>
      </c>
      <c r="C102" s="517">
        <v>11700</v>
      </c>
      <c r="D102" s="581">
        <v>8376</v>
      </c>
      <c r="E102" s="582"/>
    </row>
    <row r="103" spans="1:5" ht="12" customHeight="1" thickBot="1">
      <c r="A103" s="14" t="s">
        <v>198</v>
      </c>
      <c r="B103" s="10" t="s">
        <v>186</v>
      </c>
      <c r="C103" s="518">
        <v>5000</v>
      </c>
      <c r="D103" s="562">
        <v>5000</v>
      </c>
      <c r="E103" s="584"/>
    </row>
    <row r="104" spans="1:5" ht="12" customHeight="1" thickBot="1">
      <c r="A104" s="106" t="s">
        <v>148</v>
      </c>
      <c r="B104" s="101" t="s">
        <v>385</v>
      </c>
      <c r="C104" s="284"/>
      <c r="D104" s="284"/>
      <c r="E104" s="285"/>
    </row>
    <row r="105" spans="1:5" ht="12" customHeight="1" thickBot="1">
      <c r="A105" s="98" t="s">
        <v>149</v>
      </c>
      <c r="B105" s="99" t="s">
        <v>267</v>
      </c>
      <c r="C105" s="263">
        <f>+C77+C90+C101+C104</f>
        <v>207489</v>
      </c>
      <c r="D105" s="263">
        <f>+D77+D90+D101+D104</f>
        <v>371240</v>
      </c>
      <c r="E105" s="119">
        <f>+E77+E90+E101+E104</f>
        <v>238873</v>
      </c>
    </row>
    <row r="106" spans="1:5" ht="12" customHeight="1" thickBot="1">
      <c r="A106" s="106" t="s">
        <v>150</v>
      </c>
      <c r="B106" s="101" t="s">
        <v>477</v>
      </c>
      <c r="C106" s="264">
        <f>+C107+C115</f>
        <v>0</v>
      </c>
      <c r="D106" s="264">
        <f>+D107+D115</f>
        <v>0</v>
      </c>
      <c r="E106" s="120">
        <f>+E107+E115</f>
        <v>0</v>
      </c>
    </row>
    <row r="107" spans="1:5" ht="12" customHeight="1" thickBot="1">
      <c r="A107" s="113" t="s">
        <v>204</v>
      </c>
      <c r="B107" s="202" t="s">
        <v>78</v>
      </c>
      <c r="C107" s="264">
        <f>+C108+C109+C110+C111+C112+C113+C114</f>
        <v>0</v>
      </c>
      <c r="D107" s="264">
        <f>+D108+D109+D110+D111+D112+D113+D114</f>
        <v>0</v>
      </c>
      <c r="E107" s="120">
        <f>+E108+E109+E110+E111+E112+E113+E114</f>
        <v>0</v>
      </c>
    </row>
    <row r="108" spans="1:5" ht="12" customHeight="1">
      <c r="A108" s="114" t="s">
        <v>207</v>
      </c>
      <c r="B108" s="115" t="s">
        <v>386</v>
      </c>
      <c r="C108" s="270"/>
      <c r="D108" s="270"/>
      <c r="E108" s="126"/>
    </row>
    <row r="109" spans="1:5" ht="12" customHeight="1">
      <c r="A109" s="107" t="s">
        <v>208</v>
      </c>
      <c r="B109" s="102" t="s">
        <v>387</v>
      </c>
      <c r="C109" s="270"/>
      <c r="D109" s="270"/>
      <c r="E109" s="126"/>
    </row>
    <row r="110" spans="1:5" ht="12" customHeight="1">
      <c r="A110" s="107" t="s">
        <v>209</v>
      </c>
      <c r="B110" s="102" t="s">
        <v>388</v>
      </c>
      <c r="C110" s="270"/>
      <c r="D110" s="270"/>
      <c r="E110" s="126"/>
    </row>
    <row r="111" spans="1:5" ht="12" customHeight="1">
      <c r="A111" s="107" t="s">
        <v>210</v>
      </c>
      <c r="B111" s="102" t="s">
        <v>389</v>
      </c>
      <c r="C111" s="270"/>
      <c r="D111" s="270"/>
      <c r="E111" s="126"/>
    </row>
    <row r="112" spans="1:5" ht="12" customHeight="1">
      <c r="A112" s="107" t="s">
        <v>305</v>
      </c>
      <c r="B112" s="102" t="s">
        <v>390</v>
      </c>
      <c r="C112" s="270"/>
      <c r="D112" s="270"/>
      <c r="E112" s="126"/>
    </row>
    <row r="113" spans="1:5" ht="12" customHeight="1">
      <c r="A113" s="107" t="s">
        <v>322</v>
      </c>
      <c r="B113" s="102" t="s">
        <v>391</v>
      </c>
      <c r="C113" s="270"/>
      <c r="D113" s="270"/>
      <c r="E113" s="126"/>
    </row>
    <row r="114" spans="1:5" ht="12" customHeight="1" thickBot="1">
      <c r="A114" s="116" t="s">
        <v>323</v>
      </c>
      <c r="B114" s="117" t="s">
        <v>392</v>
      </c>
      <c r="C114" s="270"/>
      <c r="D114" s="270"/>
      <c r="E114" s="126"/>
    </row>
    <row r="115" spans="1:5" ht="12" customHeight="1" thickBot="1">
      <c r="A115" s="113" t="s">
        <v>205</v>
      </c>
      <c r="B115" s="202" t="s">
        <v>79</v>
      </c>
      <c r="C115" s="264">
        <f>+C116+C117+C118+C119+C120+C121+C122+C123</f>
        <v>0</v>
      </c>
      <c r="D115" s="264">
        <f>+D116+D117+D118+D119+D120+D121+D122+D123</f>
        <v>0</v>
      </c>
      <c r="E115" s="120">
        <f>+E116+E117+E118+E119+E120+E121+E122+E123</f>
        <v>0</v>
      </c>
    </row>
    <row r="116" spans="1:5" ht="12" customHeight="1">
      <c r="A116" s="114" t="s">
        <v>213</v>
      </c>
      <c r="B116" s="115" t="s">
        <v>386</v>
      </c>
      <c r="C116" s="270"/>
      <c r="D116" s="270"/>
      <c r="E116" s="126"/>
    </row>
    <row r="117" spans="1:5" ht="12" customHeight="1">
      <c r="A117" s="107" t="s">
        <v>214</v>
      </c>
      <c r="B117" s="102" t="s">
        <v>393</v>
      </c>
      <c r="C117" s="270"/>
      <c r="D117" s="270"/>
      <c r="E117" s="126"/>
    </row>
    <row r="118" spans="1:5" ht="12" customHeight="1">
      <c r="A118" s="107" t="s">
        <v>215</v>
      </c>
      <c r="B118" s="102" t="s">
        <v>388</v>
      </c>
      <c r="C118" s="270"/>
      <c r="D118" s="270"/>
      <c r="E118" s="126"/>
    </row>
    <row r="119" spans="1:5" ht="12" customHeight="1">
      <c r="A119" s="107" t="s">
        <v>216</v>
      </c>
      <c r="B119" s="102" t="s">
        <v>389</v>
      </c>
      <c r="C119" s="270"/>
      <c r="D119" s="270"/>
      <c r="E119" s="126"/>
    </row>
    <row r="120" spans="1:5" ht="12" customHeight="1">
      <c r="A120" s="107" t="s">
        <v>306</v>
      </c>
      <c r="B120" s="102" t="s">
        <v>390</v>
      </c>
      <c r="C120" s="270"/>
      <c r="D120" s="270"/>
      <c r="E120" s="126"/>
    </row>
    <row r="121" spans="1:5" ht="12" customHeight="1">
      <c r="A121" s="107" t="s">
        <v>324</v>
      </c>
      <c r="B121" s="102" t="s">
        <v>394</v>
      </c>
      <c r="C121" s="270"/>
      <c r="D121" s="270"/>
      <c r="E121" s="126"/>
    </row>
    <row r="122" spans="1:5" ht="12" customHeight="1">
      <c r="A122" s="107" t="s">
        <v>325</v>
      </c>
      <c r="B122" s="102" t="s">
        <v>392</v>
      </c>
      <c r="C122" s="270"/>
      <c r="D122" s="270"/>
      <c r="E122" s="126"/>
    </row>
    <row r="123" spans="1:9" ht="15" customHeight="1" thickBot="1">
      <c r="A123" s="116" t="s">
        <v>326</v>
      </c>
      <c r="B123" s="117" t="s">
        <v>478</v>
      </c>
      <c r="C123" s="270"/>
      <c r="D123" s="270"/>
      <c r="E123" s="126"/>
      <c r="F123" s="31"/>
      <c r="G123" s="59"/>
      <c r="H123" s="59"/>
      <c r="I123" s="59"/>
    </row>
    <row r="124" spans="1:5" s="1" customFormat="1" ht="24.75" thickBot="1">
      <c r="A124" s="106" t="s">
        <v>151</v>
      </c>
      <c r="B124" s="198" t="s">
        <v>395</v>
      </c>
      <c r="C124" s="286">
        <f>+C105+C106</f>
        <v>207489</v>
      </c>
      <c r="D124" s="286">
        <f>+D105+D106</f>
        <v>371240</v>
      </c>
      <c r="E124" s="133">
        <f>+E105+E106</f>
        <v>238873</v>
      </c>
    </row>
    <row r="125" spans="1:5" ht="13.5" customHeight="1" thickBot="1">
      <c r="A125" s="106" t="s">
        <v>152</v>
      </c>
      <c r="B125" s="198" t="s">
        <v>396</v>
      </c>
      <c r="C125" s="287"/>
      <c r="D125" s="287"/>
      <c r="E125" s="134">
        <v>-881</v>
      </c>
    </row>
    <row r="126" spans="1:5" ht="16.5" thickBot="1">
      <c r="A126" s="118" t="s">
        <v>153</v>
      </c>
      <c r="B126" s="199" t="s">
        <v>397</v>
      </c>
      <c r="C126" s="281">
        <f>+C124+C125</f>
        <v>207489</v>
      </c>
      <c r="D126" s="281">
        <f>+D124+D125</f>
        <v>371240</v>
      </c>
      <c r="E126" s="129">
        <f>+E124+E125</f>
        <v>237992</v>
      </c>
    </row>
    <row r="127" spans="1:5" ht="15" customHeight="1">
      <c r="A127" s="203"/>
      <c r="B127" s="203"/>
      <c r="C127" s="204"/>
      <c r="D127" s="204"/>
      <c r="E127" s="204"/>
    </row>
    <row r="128" spans="1:5" ht="13.5" customHeight="1">
      <c r="A128" s="209" t="s">
        <v>270</v>
      </c>
      <c r="B128" s="209"/>
      <c r="C128" s="209"/>
      <c r="D128" s="209"/>
      <c r="E128" s="209"/>
    </row>
    <row r="129" spans="1:5" ht="15" customHeight="1" thickBot="1">
      <c r="A129" s="207" t="s">
        <v>264</v>
      </c>
      <c r="B129" s="207"/>
      <c r="C129" s="136"/>
      <c r="D129" s="136"/>
      <c r="E129" s="136" t="s">
        <v>398</v>
      </c>
    </row>
    <row r="130" spans="1:5" ht="21.75" thickBot="1">
      <c r="A130" s="18">
        <v>1</v>
      </c>
      <c r="B130" s="24" t="s">
        <v>333</v>
      </c>
      <c r="C130" s="135">
        <f>+C54-C105</f>
        <v>-27924</v>
      </c>
      <c r="D130" s="135">
        <f>+D54-D105</f>
        <v>0</v>
      </c>
      <c r="E130" s="120">
        <f>+E54-E105</f>
        <v>137056</v>
      </c>
    </row>
    <row r="131" spans="1:5" ht="15.75">
      <c r="A131" s="29"/>
      <c r="B131" s="29"/>
      <c r="C131" s="29"/>
      <c r="D131" s="29"/>
      <c r="E131" s="29"/>
    </row>
    <row r="132" spans="1:5" ht="15.75">
      <c r="A132" s="29"/>
      <c r="B132" s="29"/>
      <c r="C132" s="29"/>
      <c r="D132" s="29"/>
      <c r="E132" s="29"/>
    </row>
    <row r="133" spans="1:5" ht="15.75">
      <c r="A133" s="29"/>
      <c r="B133" s="29"/>
      <c r="C133" s="29"/>
      <c r="D133" s="29"/>
      <c r="E133" s="29"/>
    </row>
    <row r="134" spans="1:5" ht="15.75">
      <c r="A134" s="29"/>
      <c r="B134" s="29"/>
      <c r="C134" s="29"/>
      <c r="D134" s="29"/>
      <c r="E134" s="29"/>
    </row>
    <row r="135" spans="1:5" ht="15.75">
      <c r="A135" s="29"/>
      <c r="B135" s="29"/>
      <c r="C135" s="29"/>
      <c r="D135" s="29"/>
      <c r="E135" s="29"/>
    </row>
    <row r="136" spans="1:5" ht="15.75">
      <c r="A136" s="29"/>
      <c r="B136" s="29"/>
      <c r="C136" s="29"/>
      <c r="D136" s="29"/>
      <c r="E136" s="29"/>
    </row>
    <row r="137" spans="1:5" ht="15.75">
      <c r="A137" s="29"/>
      <c r="B137" s="29"/>
      <c r="C137" s="29"/>
      <c r="D137" s="29"/>
      <c r="E137" s="29"/>
    </row>
    <row r="138" spans="1:5" ht="15.75">
      <c r="A138" s="29"/>
      <c r="B138" s="29"/>
      <c r="C138" s="29"/>
      <c r="D138" s="29"/>
      <c r="E138" s="29"/>
    </row>
    <row r="139" spans="1:5" ht="15.75">
      <c r="A139" s="29"/>
      <c r="B139" s="29"/>
      <c r="C139" s="29"/>
      <c r="D139" s="29"/>
      <c r="E139" s="29"/>
    </row>
    <row r="140" spans="1:5" ht="15.75">
      <c r="A140" s="29"/>
      <c r="B140" s="29"/>
      <c r="C140" s="29"/>
      <c r="D140" s="29"/>
      <c r="E140" s="29"/>
    </row>
    <row r="141" spans="1:5" ht="15.75">
      <c r="A141" s="29"/>
      <c r="B141" s="29"/>
      <c r="C141" s="29"/>
      <c r="D141" s="29"/>
      <c r="E141" s="29"/>
    </row>
    <row r="142" spans="1:5" ht="15.75">
      <c r="A142" s="29"/>
      <c r="B142" s="29"/>
      <c r="C142" s="29"/>
      <c r="D142" s="29"/>
      <c r="E142" s="29"/>
    </row>
    <row r="143" spans="1:5" ht="15.75">
      <c r="A143" s="29"/>
      <c r="B143" s="29"/>
      <c r="C143" s="29"/>
      <c r="D143" s="29"/>
      <c r="E143" s="29"/>
    </row>
    <row r="144" spans="1:5" ht="15.75">
      <c r="A144" s="29"/>
      <c r="B144" s="29"/>
      <c r="C144" s="29"/>
      <c r="D144" s="29"/>
      <c r="E144" s="29"/>
    </row>
    <row r="145" spans="1:5" ht="15.75">
      <c r="A145" s="29"/>
      <c r="B145" s="29"/>
      <c r="C145" s="29"/>
      <c r="D145" s="29"/>
      <c r="E145" s="29"/>
    </row>
    <row r="146" spans="1:5" ht="15.75">
      <c r="A146" s="29"/>
      <c r="B146" s="29"/>
      <c r="C146" s="29"/>
      <c r="D146" s="29"/>
      <c r="E146" s="29"/>
    </row>
  </sheetData>
  <sheetProtection/>
  <mergeCells count="8">
    <mergeCell ref="A72:E72"/>
    <mergeCell ref="A74:A75"/>
    <mergeCell ref="B74:B75"/>
    <mergeCell ref="C74:E74"/>
    <mergeCell ref="A1:E1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Alattyán Község Önkormányzata
2013. ÉVI ZÁRSZÁMADÁS
KÖTELEZŐ FELADATAINAK MÉRLEGE &amp;10
&amp;R&amp;"Times New Roman CE,Félkövér dőlt"&amp;11 1.2. melléklet a ....../2014. (......) önkormányzati rendelethez</oddHeader>
  </headerFooter>
  <rowBreaks count="1" manualBreakCount="1">
    <brk id="71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N31" sqref="N31"/>
    </sheetView>
  </sheetViews>
  <sheetFormatPr defaultColWidth="9.00390625" defaultRowHeight="12.75"/>
  <cols>
    <col min="1" max="1" width="8.375" style="961" customWidth="1"/>
    <col min="2" max="2" width="51.125" style="962" customWidth="1"/>
    <col min="3" max="3" width="16.00390625" style="898" customWidth="1"/>
    <col min="4" max="4" width="14.00390625" style="898" customWidth="1"/>
    <col min="5" max="6" width="16.00390625" style="898" customWidth="1"/>
    <col min="7" max="7" width="14.625" style="898" customWidth="1"/>
    <col min="8" max="8" width="16.00390625" style="898" customWidth="1"/>
    <col min="9" max="16384" width="9.375" style="898" customWidth="1"/>
  </cols>
  <sheetData>
    <row r="1" spans="1:8" s="891" customFormat="1" ht="11.25" customHeight="1">
      <c r="A1" s="1206"/>
      <c r="B1" s="1206"/>
      <c r="C1" s="1206"/>
      <c r="D1" s="1206"/>
      <c r="E1" s="1206"/>
      <c r="F1" s="1206"/>
      <c r="G1" s="1206"/>
      <c r="H1" s="1206"/>
    </row>
    <row r="2" spans="1:8" s="891" customFormat="1" ht="39" customHeight="1">
      <c r="A2" s="1207" t="s">
        <v>526</v>
      </c>
      <c r="B2" s="1208"/>
      <c r="C2" s="1208"/>
      <c r="D2" s="1208"/>
      <c r="E2" s="1208"/>
      <c r="F2" s="1208"/>
      <c r="G2" s="1208"/>
      <c r="H2" s="1208"/>
    </row>
    <row r="3" spans="1:8" s="891" customFormat="1" ht="24.75" customHeight="1" thickBot="1">
      <c r="A3" s="892" t="s">
        <v>527</v>
      </c>
      <c r="B3" s="893"/>
      <c r="C3" s="892"/>
      <c r="D3" s="892"/>
      <c r="E3" s="893"/>
      <c r="F3" s="893"/>
      <c r="G3" s="893"/>
      <c r="H3" s="894" t="s">
        <v>179</v>
      </c>
    </row>
    <row r="4" spans="1:8" ht="52.5" customHeight="1" thickBot="1" thickTop="1">
      <c r="A4" s="1209" t="s">
        <v>528</v>
      </c>
      <c r="B4" s="1210"/>
      <c r="C4" s="895" t="s">
        <v>529</v>
      </c>
      <c r="D4" s="895" t="s">
        <v>530</v>
      </c>
      <c r="E4" s="896" t="s">
        <v>531</v>
      </c>
      <c r="F4" s="895" t="s">
        <v>532</v>
      </c>
      <c r="G4" s="895" t="s">
        <v>530</v>
      </c>
      <c r="H4" s="897" t="s">
        <v>533</v>
      </c>
    </row>
    <row r="5" spans="1:8" s="905" customFormat="1" ht="15.75" customHeight="1" thickBot="1">
      <c r="A5" s="899" t="s">
        <v>145</v>
      </c>
      <c r="B5" s="900" t="s">
        <v>534</v>
      </c>
      <c r="C5" s="901">
        <f aca="true" t="shared" si="0" ref="C5:H5">SUM(C6:C9)</f>
        <v>1790217</v>
      </c>
      <c r="D5" s="902">
        <f t="shared" si="0"/>
        <v>3200</v>
      </c>
      <c r="E5" s="902">
        <f t="shared" si="0"/>
        <v>1793417</v>
      </c>
      <c r="F5" s="903">
        <f t="shared" si="0"/>
        <v>1726264</v>
      </c>
      <c r="G5" s="902">
        <f t="shared" si="0"/>
        <v>0</v>
      </c>
      <c r="H5" s="904">
        <f t="shared" si="0"/>
        <v>1726264</v>
      </c>
    </row>
    <row r="6" spans="1:8" ht="12.75">
      <c r="A6" s="906" t="s">
        <v>146</v>
      </c>
      <c r="B6" s="907" t="s">
        <v>535</v>
      </c>
      <c r="C6" s="908">
        <v>279</v>
      </c>
      <c r="D6" s="909"/>
      <c r="E6" s="910">
        <f>D6+C6</f>
        <v>279</v>
      </c>
      <c r="F6" s="911">
        <v>106</v>
      </c>
      <c r="G6" s="909"/>
      <c r="H6" s="912">
        <f>F6</f>
        <v>106</v>
      </c>
    </row>
    <row r="7" spans="1:8" ht="12.75">
      <c r="A7" s="913" t="s">
        <v>147</v>
      </c>
      <c r="B7" s="914" t="s">
        <v>536</v>
      </c>
      <c r="C7" s="915">
        <v>1152448</v>
      </c>
      <c r="D7" s="916">
        <v>3200</v>
      </c>
      <c r="E7" s="917">
        <f>D7+C7</f>
        <v>1155648</v>
      </c>
      <c r="F7" s="918">
        <v>931591</v>
      </c>
      <c r="G7" s="916"/>
      <c r="H7" s="919">
        <f>F7</f>
        <v>931591</v>
      </c>
    </row>
    <row r="8" spans="1:8" ht="12.75">
      <c r="A8" s="913" t="s">
        <v>148</v>
      </c>
      <c r="B8" s="914" t="s">
        <v>537</v>
      </c>
      <c r="C8" s="920">
        <v>500</v>
      </c>
      <c r="D8" s="921"/>
      <c r="E8" s="917">
        <f>D8+C8</f>
        <v>500</v>
      </c>
      <c r="F8" s="922">
        <v>538</v>
      </c>
      <c r="G8" s="921"/>
      <c r="H8" s="919">
        <f>F8</f>
        <v>538</v>
      </c>
    </row>
    <row r="9" spans="1:8" ht="13.5" thickBot="1">
      <c r="A9" s="913" t="s">
        <v>149</v>
      </c>
      <c r="B9" s="914" t="s">
        <v>538</v>
      </c>
      <c r="C9" s="923">
        <v>636990</v>
      </c>
      <c r="D9" s="924"/>
      <c r="E9" s="925">
        <f>D9+C9</f>
        <v>636990</v>
      </c>
      <c r="F9" s="926">
        <v>794029</v>
      </c>
      <c r="G9" s="924"/>
      <c r="H9" s="927">
        <f>F9</f>
        <v>794029</v>
      </c>
    </row>
    <row r="10" spans="1:8" s="929" customFormat="1" ht="15.75" customHeight="1" thickBot="1">
      <c r="A10" s="899" t="s">
        <v>150</v>
      </c>
      <c r="B10" s="900" t="s">
        <v>539</v>
      </c>
      <c r="C10" s="928">
        <f aca="true" t="shared" si="1" ref="C10:H10">SUM(C11:C15)</f>
        <v>806366</v>
      </c>
      <c r="D10" s="902">
        <f t="shared" si="1"/>
        <v>837</v>
      </c>
      <c r="E10" s="902">
        <f t="shared" si="1"/>
        <v>807203</v>
      </c>
      <c r="F10" s="902">
        <f t="shared" si="1"/>
        <v>557522</v>
      </c>
      <c r="G10" s="902">
        <f t="shared" si="1"/>
        <v>0</v>
      </c>
      <c r="H10" s="904">
        <f t="shared" si="1"/>
        <v>557522</v>
      </c>
    </row>
    <row r="11" spans="1:8" ht="12.75">
      <c r="A11" s="913" t="s">
        <v>151</v>
      </c>
      <c r="B11" s="914" t="s">
        <v>540</v>
      </c>
      <c r="C11" s="930">
        <v>511</v>
      </c>
      <c r="D11" s="931"/>
      <c r="E11" s="910">
        <f>D11+C11</f>
        <v>511</v>
      </c>
      <c r="F11" s="932">
        <v>579</v>
      </c>
      <c r="G11" s="931"/>
      <c r="H11" s="912">
        <f>F11</f>
        <v>579</v>
      </c>
    </row>
    <row r="12" spans="1:8" ht="12.75">
      <c r="A12" s="913" t="s">
        <v>152</v>
      </c>
      <c r="B12" s="914" t="s">
        <v>541</v>
      </c>
      <c r="C12" s="920">
        <v>723564</v>
      </c>
      <c r="D12" s="933"/>
      <c r="E12" s="917">
        <f>D12+C12</f>
        <v>723564</v>
      </c>
      <c r="F12" s="922">
        <v>392851</v>
      </c>
      <c r="G12" s="933"/>
      <c r="H12" s="919">
        <f>F12</f>
        <v>392851</v>
      </c>
    </row>
    <row r="13" spans="1:8" ht="12.75">
      <c r="A13" s="913" t="s">
        <v>153</v>
      </c>
      <c r="B13" s="914" t="s">
        <v>542</v>
      </c>
      <c r="C13" s="920"/>
      <c r="D13" s="933"/>
      <c r="E13" s="917">
        <f>D13+C13</f>
        <v>0</v>
      </c>
      <c r="F13" s="922"/>
      <c r="G13" s="933"/>
      <c r="H13" s="919">
        <f>F13</f>
        <v>0</v>
      </c>
    </row>
    <row r="14" spans="1:8" ht="12.75">
      <c r="A14" s="934" t="s">
        <v>154</v>
      </c>
      <c r="B14" s="914" t="s">
        <v>543</v>
      </c>
      <c r="C14" s="920">
        <v>72162</v>
      </c>
      <c r="D14" s="933">
        <v>837</v>
      </c>
      <c r="E14" s="917">
        <f>D14+C14</f>
        <v>72999</v>
      </c>
      <c r="F14" s="922">
        <v>155879</v>
      </c>
      <c r="G14" s="933"/>
      <c r="H14" s="919">
        <f>F14</f>
        <v>155879</v>
      </c>
    </row>
    <row r="15" spans="1:8" ht="13.5" thickBot="1">
      <c r="A15" s="913" t="s">
        <v>155</v>
      </c>
      <c r="B15" s="914" t="s">
        <v>544</v>
      </c>
      <c r="C15" s="923">
        <v>10129</v>
      </c>
      <c r="D15" s="935"/>
      <c r="E15" s="925">
        <f>D15+C15</f>
        <v>10129</v>
      </c>
      <c r="F15" s="926">
        <v>8213</v>
      </c>
      <c r="G15" s="935"/>
      <c r="H15" s="919">
        <f>F15</f>
        <v>8213</v>
      </c>
    </row>
    <row r="16" spans="1:8" s="937" customFormat="1" ht="27" customHeight="1" thickBot="1">
      <c r="A16" s="899" t="s">
        <v>156</v>
      </c>
      <c r="B16" s="936" t="s">
        <v>545</v>
      </c>
      <c r="C16" s="928">
        <f aca="true" t="shared" si="2" ref="C16:H16">C5+C10</f>
        <v>2596583</v>
      </c>
      <c r="D16" s="902">
        <f t="shared" si="2"/>
        <v>4037</v>
      </c>
      <c r="E16" s="902">
        <f t="shared" si="2"/>
        <v>2600620</v>
      </c>
      <c r="F16" s="902">
        <f t="shared" si="2"/>
        <v>2283786</v>
      </c>
      <c r="G16" s="902">
        <f t="shared" si="2"/>
        <v>0</v>
      </c>
      <c r="H16" s="904">
        <f t="shared" si="2"/>
        <v>2283786</v>
      </c>
    </row>
    <row r="17" spans="1:8" ht="50.25" customHeight="1" thickBot="1">
      <c r="A17" s="1211" t="s">
        <v>546</v>
      </c>
      <c r="B17" s="1212"/>
      <c r="C17" s="938" t="s">
        <v>529</v>
      </c>
      <c r="D17" s="939" t="s">
        <v>530</v>
      </c>
      <c r="E17" s="940" t="s">
        <v>531</v>
      </c>
      <c r="F17" s="939" t="s">
        <v>532</v>
      </c>
      <c r="G17" s="939" t="s">
        <v>530</v>
      </c>
      <c r="H17" s="941" t="s">
        <v>533</v>
      </c>
    </row>
    <row r="18" spans="1:8" s="929" customFormat="1" ht="15.75" customHeight="1" thickBot="1">
      <c r="A18" s="942" t="s">
        <v>157</v>
      </c>
      <c r="B18" s="943" t="s">
        <v>547</v>
      </c>
      <c r="C18" s="928">
        <f aca="true" t="shared" si="3" ref="C18:H18">C19+C20+C21</f>
        <v>2506172</v>
      </c>
      <c r="D18" s="902">
        <f t="shared" si="3"/>
        <v>3200</v>
      </c>
      <c r="E18" s="902">
        <f t="shared" si="3"/>
        <v>2509372</v>
      </c>
      <c r="F18" s="902">
        <f t="shared" si="3"/>
        <v>1998201</v>
      </c>
      <c r="G18" s="902">
        <f t="shared" si="3"/>
        <v>0</v>
      </c>
      <c r="H18" s="904">
        <f t="shared" si="3"/>
        <v>1998201</v>
      </c>
    </row>
    <row r="19" spans="1:8" ht="12.75">
      <c r="A19" s="944" t="s">
        <v>158</v>
      </c>
      <c r="B19" s="914" t="s">
        <v>548</v>
      </c>
      <c r="C19" s="945">
        <v>2635997</v>
      </c>
      <c r="D19" s="931"/>
      <c r="E19" s="910">
        <f>D19+C19</f>
        <v>2635997</v>
      </c>
      <c r="F19" s="946">
        <v>2635996</v>
      </c>
      <c r="G19" s="931"/>
      <c r="H19" s="912">
        <f>F19</f>
        <v>2635996</v>
      </c>
    </row>
    <row r="20" spans="1:8" ht="12.75">
      <c r="A20" s="944" t="s">
        <v>159</v>
      </c>
      <c r="B20" s="914" t="s">
        <v>549</v>
      </c>
      <c r="C20" s="947">
        <v>-129825</v>
      </c>
      <c r="D20" s="933">
        <v>3200</v>
      </c>
      <c r="E20" s="917">
        <f>D20+C20</f>
        <v>-126625</v>
      </c>
      <c r="F20" s="948">
        <v>-637795</v>
      </c>
      <c r="G20" s="949"/>
      <c r="H20" s="919">
        <f>F20</f>
        <v>-637795</v>
      </c>
    </row>
    <row r="21" spans="1:8" ht="13.5" thickBot="1">
      <c r="A21" s="950" t="s">
        <v>160</v>
      </c>
      <c r="B21" s="951" t="s">
        <v>550</v>
      </c>
      <c r="C21" s="952"/>
      <c r="D21" s="935"/>
      <c r="E21" s="925">
        <f>D21+C21</f>
        <v>0</v>
      </c>
      <c r="F21" s="953"/>
      <c r="G21" s="935"/>
      <c r="H21" s="927">
        <f>F21</f>
        <v>0</v>
      </c>
    </row>
    <row r="22" spans="1:8" s="929" customFormat="1" ht="15.75" customHeight="1" thickBot="1">
      <c r="A22" s="942" t="s">
        <v>161</v>
      </c>
      <c r="B22" s="943" t="s">
        <v>551</v>
      </c>
      <c r="C22" s="928">
        <f aca="true" t="shared" si="4" ref="C22:H22">C23+C24</f>
        <v>81997</v>
      </c>
      <c r="D22" s="902">
        <f t="shared" si="4"/>
        <v>837</v>
      </c>
      <c r="E22" s="902">
        <f t="shared" si="4"/>
        <v>82834</v>
      </c>
      <c r="F22" s="902">
        <f t="shared" si="4"/>
        <v>163039</v>
      </c>
      <c r="G22" s="902">
        <f t="shared" si="4"/>
        <v>0</v>
      </c>
      <c r="H22" s="904">
        <f t="shared" si="4"/>
        <v>163039</v>
      </c>
    </row>
    <row r="23" spans="1:8" ht="12.75">
      <c r="A23" s="944" t="s">
        <v>162</v>
      </c>
      <c r="B23" s="914" t="s">
        <v>552</v>
      </c>
      <c r="C23" s="945">
        <v>81997</v>
      </c>
      <c r="D23" s="931">
        <v>837</v>
      </c>
      <c r="E23" s="910">
        <f>D23+C23</f>
        <v>82834</v>
      </c>
      <c r="F23" s="946">
        <v>163039</v>
      </c>
      <c r="G23" s="931"/>
      <c r="H23" s="912">
        <f>F23</f>
        <v>163039</v>
      </c>
    </row>
    <row r="24" spans="1:8" ht="13.5" thickBot="1">
      <c r="A24" s="944" t="s">
        <v>163</v>
      </c>
      <c r="B24" s="914" t="s">
        <v>553</v>
      </c>
      <c r="C24" s="952"/>
      <c r="D24" s="935"/>
      <c r="E24" s="925">
        <f>D24+C24</f>
        <v>0</v>
      </c>
      <c r="F24" s="953"/>
      <c r="G24" s="935"/>
      <c r="H24" s="927">
        <f>F24</f>
        <v>0</v>
      </c>
    </row>
    <row r="25" spans="1:8" s="929" customFormat="1" ht="15.75" customHeight="1" thickBot="1">
      <c r="A25" s="942" t="s">
        <v>164</v>
      </c>
      <c r="B25" s="900" t="s">
        <v>554</v>
      </c>
      <c r="C25" s="928">
        <f>C26+C27+C28</f>
        <v>8414</v>
      </c>
      <c r="D25" s="902">
        <f>SUM(D26:D28)</f>
        <v>0</v>
      </c>
      <c r="E25" s="902">
        <f>SUM(E26:E28)</f>
        <v>8414</v>
      </c>
      <c r="F25" s="902">
        <f>SUM(F26:F28)</f>
        <v>122546</v>
      </c>
      <c r="G25" s="902">
        <f>SUM(G26:G28)</f>
        <v>0</v>
      </c>
      <c r="H25" s="904">
        <f>SUM(H26:H28)</f>
        <v>122546</v>
      </c>
    </row>
    <row r="26" spans="1:8" ht="12.75">
      <c r="A26" s="944" t="s">
        <v>165</v>
      </c>
      <c r="B26" s="914" t="s">
        <v>555</v>
      </c>
      <c r="C26" s="945"/>
      <c r="D26" s="931"/>
      <c r="E26" s="910">
        <f>D26+C26</f>
        <v>0</v>
      </c>
      <c r="F26" s="946"/>
      <c r="G26" s="931"/>
      <c r="H26" s="912">
        <f>F26</f>
        <v>0</v>
      </c>
    </row>
    <row r="27" spans="1:8" ht="12.75">
      <c r="A27" s="944" t="s">
        <v>166</v>
      </c>
      <c r="B27" s="914" t="s">
        <v>556</v>
      </c>
      <c r="C27" s="947">
        <v>8120</v>
      </c>
      <c r="D27" s="933"/>
      <c r="E27" s="917">
        <f>D27+C27</f>
        <v>8120</v>
      </c>
      <c r="F27" s="954">
        <v>121493</v>
      </c>
      <c r="G27" s="933"/>
      <c r="H27" s="919">
        <f>F27</f>
        <v>121493</v>
      </c>
    </row>
    <row r="28" spans="1:8" ht="13.5" thickBot="1">
      <c r="A28" s="944" t="s">
        <v>167</v>
      </c>
      <c r="B28" s="914" t="s">
        <v>557</v>
      </c>
      <c r="C28" s="952">
        <v>294</v>
      </c>
      <c r="D28" s="935"/>
      <c r="E28" s="925">
        <f>D28+C28</f>
        <v>294</v>
      </c>
      <c r="F28" s="953">
        <v>1053</v>
      </c>
      <c r="G28" s="935"/>
      <c r="H28" s="927">
        <f>F28</f>
        <v>1053</v>
      </c>
    </row>
    <row r="29" spans="1:8" s="960" customFormat="1" ht="24" customHeight="1" thickBot="1">
      <c r="A29" s="955" t="s">
        <v>168</v>
      </c>
      <c r="B29" s="956" t="s">
        <v>558</v>
      </c>
      <c r="C29" s="957">
        <f aca="true" t="shared" si="5" ref="C29:H29">C18+C22+C25</f>
        <v>2596583</v>
      </c>
      <c r="D29" s="958">
        <f t="shared" si="5"/>
        <v>4037</v>
      </c>
      <c r="E29" s="958">
        <f t="shared" si="5"/>
        <v>2600620</v>
      </c>
      <c r="F29" s="958">
        <f t="shared" si="5"/>
        <v>2283786</v>
      </c>
      <c r="G29" s="958">
        <f t="shared" si="5"/>
        <v>0</v>
      </c>
      <c r="H29" s="959">
        <f t="shared" si="5"/>
        <v>2283786</v>
      </c>
    </row>
    <row r="30" ht="13.5" thickTop="1">
      <c r="D30" s="963"/>
    </row>
    <row r="31" ht="12.75">
      <c r="D31" s="963"/>
    </row>
    <row r="32" ht="12.75">
      <c r="D32" s="963"/>
    </row>
    <row r="33" ht="12.75">
      <c r="D33" s="963"/>
    </row>
    <row r="34" ht="12.75">
      <c r="D34" s="963"/>
    </row>
    <row r="35" ht="12.75">
      <c r="D35" s="963"/>
    </row>
    <row r="36" ht="12.75">
      <c r="D36" s="963"/>
    </row>
    <row r="37" ht="12.75">
      <c r="D37" s="963"/>
    </row>
    <row r="38" ht="12.75">
      <c r="D38" s="963"/>
    </row>
    <row r="39" ht="12.75">
      <c r="D39" s="963"/>
    </row>
    <row r="40" ht="12.75">
      <c r="D40" s="963"/>
    </row>
    <row r="41" ht="12.75">
      <c r="D41" s="963"/>
    </row>
    <row r="42" ht="12.75">
      <c r="D42" s="963"/>
    </row>
    <row r="43" ht="12.75">
      <c r="D43" s="963"/>
    </row>
    <row r="44" ht="12.75">
      <c r="D44" s="963"/>
    </row>
    <row r="45" ht="12.75">
      <c r="D45" s="963"/>
    </row>
  </sheetData>
  <sheetProtection/>
  <mergeCells count="4">
    <mergeCell ref="A1:H1"/>
    <mergeCell ref="A2:H2"/>
    <mergeCell ref="A4:B4"/>
    <mergeCell ref="A17:B17"/>
  </mergeCells>
  <printOptions horizontalCentered="1"/>
  <pageMargins left="0.7874015748031497" right="0.7874015748031497" top="0.5905511811023623" bottom="0.5905511811023623" header="0.7874015748031497" footer="0.7874015748031497"/>
  <pageSetup firstPageNumber="28" useFirstPageNumber="1" horizontalDpi="600" verticalDpi="600" orientation="landscape" paperSize="9" scale="90" r:id="rId1"/>
  <headerFooter alignWithMargins="0">
    <oddHeader>&amp;R&amp;"Times New Roman CE,Félkövér dőlt"&amp;11 11.1. melléklet a ……/2014. (……)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6">
      <selection activeCell="N31" sqref="N31"/>
    </sheetView>
  </sheetViews>
  <sheetFormatPr defaultColWidth="9.00390625" defaultRowHeight="12.75"/>
  <cols>
    <col min="1" max="1" width="6.50390625" style="962" customWidth="1"/>
    <col min="2" max="2" width="59.50390625" style="962" customWidth="1"/>
    <col min="3" max="5" width="16.00390625" style="898" customWidth="1"/>
    <col min="6" max="6" width="9.375" style="898" customWidth="1"/>
    <col min="7" max="9" width="10.00390625" style="898" bestFit="1" customWidth="1"/>
    <col min="10" max="16384" width="9.375" style="898" customWidth="1"/>
  </cols>
  <sheetData>
    <row r="1" spans="1:5" s="891" customFormat="1" ht="29.25" customHeight="1">
      <c r="A1" s="1213" t="s">
        <v>559</v>
      </c>
      <c r="B1" s="1213"/>
      <c r="C1" s="1213"/>
      <c r="D1" s="1213"/>
      <c r="E1" s="1213"/>
    </row>
    <row r="2" spans="1:5" s="891" customFormat="1" ht="21" customHeight="1">
      <c r="A2" s="1208" t="s">
        <v>560</v>
      </c>
      <c r="B2" s="1208"/>
      <c r="C2" s="1208"/>
      <c r="D2" s="1208"/>
      <c r="E2" s="1208"/>
    </row>
    <row r="3" spans="1:5" s="891" customFormat="1" ht="23.25" customHeight="1">
      <c r="A3" s="1214" t="s">
        <v>561</v>
      </c>
      <c r="B3" s="1214"/>
      <c r="C3" s="1214"/>
      <c r="D3" s="1214"/>
      <c r="E3" s="1214"/>
    </row>
    <row r="4" spans="1:5" ht="13.5" customHeight="1" thickBot="1">
      <c r="A4" s="1215" t="s">
        <v>179</v>
      </c>
      <c r="B4" s="1215"/>
      <c r="C4" s="1215"/>
      <c r="D4" s="1215"/>
      <c r="E4" s="1215"/>
    </row>
    <row r="5" spans="1:5" s="965" customFormat="1" ht="28.5" customHeight="1">
      <c r="A5" s="1216" t="s">
        <v>195</v>
      </c>
      <c r="B5" s="1218" t="s">
        <v>188</v>
      </c>
      <c r="C5" s="964" t="s">
        <v>491</v>
      </c>
      <c r="D5" s="964" t="s">
        <v>492</v>
      </c>
      <c r="E5" s="1220" t="s">
        <v>490</v>
      </c>
    </row>
    <row r="6" spans="1:5" s="965" customFormat="1" ht="12.75">
      <c r="A6" s="1217"/>
      <c r="B6" s="1219"/>
      <c r="C6" s="1222" t="s">
        <v>562</v>
      </c>
      <c r="D6" s="1223"/>
      <c r="E6" s="1221"/>
    </row>
    <row r="7" spans="1:5" s="969" customFormat="1" ht="15" customHeight="1" thickBot="1">
      <c r="A7" s="966">
        <v>1</v>
      </c>
      <c r="B7" s="967">
        <v>2</v>
      </c>
      <c r="C7" s="967">
        <v>3</v>
      </c>
      <c r="D7" s="967">
        <v>4</v>
      </c>
      <c r="E7" s="968">
        <v>5</v>
      </c>
    </row>
    <row r="8" spans="1:5" s="969" customFormat="1" ht="12.75">
      <c r="A8" s="970">
        <v>1</v>
      </c>
      <c r="B8" s="971" t="s">
        <v>189</v>
      </c>
      <c r="C8" s="972">
        <v>82664</v>
      </c>
      <c r="D8" s="972">
        <v>104590</v>
      </c>
      <c r="E8" s="973">
        <v>101788</v>
      </c>
    </row>
    <row r="9" spans="1:5" s="969" customFormat="1" ht="12.75">
      <c r="A9" s="974">
        <v>2</v>
      </c>
      <c r="B9" s="975" t="s">
        <v>563</v>
      </c>
      <c r="C9" s="976">
        <v>19234</v>
      </c>
      <c r="D9" s="976">
        <v>24787</v>
      </c>
      <c r="E9" s="977">
        <v>24358</v>
      </c>
    </row>
    <row r="10" spans="1:5" s="969" customFormat="1" ht="12.75">
      <c r="A10" s="974">
        <v>3</v>
      </c>
      <c r="B10" s="975" t="s">
        <v>564</v>
      </c>
      <c r="C10" s="976">
        <v>102152</v>
      </c>
      <c r="D10" s="976">
        <v>155893</v>
      </c>
      <c r="E10" s="977">
        <v>125786</v>
      </c>
    </row>
    <row r="11" spans="1:5" s="969" customFormat="1" ht="12.75">
      <c r="A11" s="974">
        <v>4</v>
      </c>
      <c r="B11" s="975" t="s">
        <v>565</v>
      </c>
      <c r="C11" s="976">
        <v>3836</v>
      </c>
      <c r="D11" s="976">
        <v>2188</v>
      </c>
      <c r="E11" s="977">
        <v>2188</v>
      </c>
    </row>
    <row r="12" spans="1:5" s="969" customFormat="1" ht="12.75">
      <c r="A12" s="974">
        <v>5</v>
      </c>
      <c r="B12" s="975" t="s">
        <v>566</v>
      </c>
      <c r="C12" s="976">
        <v>309</v>
      </c>
      <c r="D12" s="976">
        <v>2741</v>
      </c>
      <c r="E12" s="977">
        <v>2741</v>
      </c>
    </row>
    <row r="13" spans="1:9" s="969" customFormat="1" ht="12.75">
      <c r="A13" s="974">
        <v>6</v>
      </c>
      <c r="B13" s="975" t="s">
        <v>567</v>
      </c>
      <c r="C13" s="976">
        <v>45093</v>
      </c>
      <c r="D13" s="976">
        <v>42867</v>
      </c>
      <c r="E13" s="977">
        <v>42866</v>
      </c>
      <c r="G13" s="978"/>
      <c r="H13" s="978"/>
      <c r="I13" s="978"/>
    </row>
    <row r="14" spans="1:7" s="969" customFormat="1" ht="12.75">
      <c r="A14" s="974">
        <v>7</v>
      </c>
      <c r="B14" s="975" t="s">
        <v>568</v>
      </c>
      <c r="C14" s="976">
        <v>16910</v>
      </c>
      <c r="D14" s="976">
        <v>13376</v>
      </c>
      <c r="E14" s="977"/>
      <c r="G14" s="978"/>
    </row>
    <row r="15" spans="1:5" s="969" customFormat="1" ht="12.75">
      <c r="A15" s="979">
        <v>8</v>
      </c>
      <c r="B15" s="975" t="s">
        <v>569</v>
      </c>
      <c r="C15" s="976">
        <v>19002</v>
      </c>
      <c r="D15" s="976">
        <v>19069</v>
      </c>
      <c r="E15" s="977">
        <v>4406</v>
      </c>
    </row>
    <row r="16" spans="1:5" s="969" customFormat="1" ht="12.75">
      <c r="A16" s="974">
        <v>9</v>
      </c>
      <c r="B16" s="980" t="s">
        <v>381</v>
      </c>
      <c r="C16" s="981">
        <v>2756</v>
      </c>
      <c r="D16" s="981">
        <v>2489</v>
      </c>
      <c r="E16" s="982">
        <v>2490</v>
      </c>
    </row>
    <row r="17" spans="1:5" s="969" customFormat="1" ht="12.75">
      <c r="A17" s="979">
        <v>10</v>
      </c>
      <c r="B17" s="975" t="s">
        <v>570</v>
      </c>
      <c r="C17" s="976"/>
      <c r="D17" s="976">
        <v>98046</v>
      </c>
      <c r="E17" s="977">
        <v>12046</v>
      </c>
    </row>
    <row r="18" spans="1:5" s="969" customFormat="1" ht="12.75">
      <c r="A18" s="974">
        <v>11</v>
      </c>
      <c r="B18" s="975" t="s">
        <v>571</v>
      </c>
      <c r="C18" s="976"/>
      <c r="D18" s="976"/>
      <c r="E18" s="977"/>
    </row>
    <row r="19" spans="1:5" s="969" customFormat="1" ht="12.75">
      <c r="A19" s="979">
        <v>12</v>
      </c>
      <c r="B19" s="975" t="s">
        <v>572</v>
      </c>
      <c r="C19" s="976"/>
      <c r="D19" s="976"/>
      <c r="E19" s="977"/>
    </row>
    <row r="20" spans="1:5" s="969" customFormat="1" ht="13.5" thickBot="1">
      <c r="A20" s="979">
        <v>13</v>
      </c>
      <c r="B20" s="975" t="s">
        <v>573</v>
      </c>
      <c r="C20" s="981"/>
      <c r="D20" s="981"/>
      <c r="E20" s="982"/>
    </row>
    <row r="21" spans="1:5" s="987" customFormat="1" ht="15.75" thickBot="1">
      <c r="A21" s="983">
        <v>14</v>
      </c>
      <c r="B21" s="984" t="s">
        <v>574</v>
      </c>
      <c r="C21" s="985">
        <f>SUM(C8:C20)</f>
        <v>291956</v>
      </c>
      <c r="D21" s="985">
        <f>SUM(D8:D20)</f>
        <v>466046</v>
      </c>
      <c r="E21" s="986">
        <f>SUM(E8:E20)</f>
        <v>318669</v>
      </c>
    </row>
    <row r="22" spans="1:5" s="987" customFormat="1" ht="15">
      <c r="A22" s="970">
        <v>15</v>
      </c>
      <c r="B22" s="971" t="s">
        <v>575</v>
      </c>
      <c r="C22" s="988"/>
      <c r="D22" s="988"/>
      <c r="E22" s="989"/>
    </row>
    <row r="23" spans="1:5" s="987" customFormat="1" ht="15">
      <c r="A23" s="979">
        <v>16</v>
      </c>
      <c r="B23" s="980" t="s">
        <v>576</v>
      </c>
      <c r="C23" s="949">
        <v>96400</v>
      </c>
      <c r="D23" s="949">
        <v>118948</v>
      </c>
      <c r="E23" s="990">
        <v>119444</v>
      </c>
    </row>
    <row r="24" spans="1:5" s="987" customFormat="1" ht="15">
      <c r="A24" s="979">
        <v>17</v>
      </c>
      <c r="B24" s="980" t="s">
        <v>577</v>
      </c>
      <c r="C24" s="949"/>
      <c r="D24" s="949"/>
      <c r="E24" s="990"/>
    </row>
    <row r="25" spans="1:5" s="987" customFormat="1" ht="15">
      <c r="A25" s="979">
        <v>18</v>
      </c>
      <c r="B25" s="980" t="s">
        <v>578</v>
      </c>
      <c r="C25" s="949"/>
      <c r="D25" s="949"/>
      <c r="E25" s="990"/>
    </row>
    <row r="26" spans="1:5" s="987" customFormat="1" ht="15.75" thickBot="1">
      <c r="A26" s="979">
        <v>19</v>
      </c>
      <c r="B26" s="980" t="s">
        <v>579</v>
      </c>
      <c r="C26" s="949"/>
      <c r="D26" s="949"/>
      <c r="E26" s="990"/>
    </row>
    <row r="27" spans="1:5" s="987" customFormat="1" ht="15.75" thickBot="1">
      <c r="A27" s="983">
        <v>20</v>
      </c>
      <c r="B27" s="984" t="s">
        <v>580</v>
      </c>
      <c r="C27" s="985">
        <f>SUM(C22:C23,C25:C26)</f>
        <v>96400</v>
      </c>
      <c r="D27" s="985">
        <f>SUM(D22:D23,D25:D26)</f>
        <v>118948</v>
      </c>
      <c r="E27" s="986">
        <f>SUM(E22:E23,E25:E26)</f>
        <v>119444</v>
      </c>
    </row>
    <row r="28" spans="1:5" s="987" customFormat="1" ht="15.75" thickBot="1">
      <c r="A28" s="983">
        <v>21</v>
      </c>
      <c r="B28" s="984" t="s">
        <v>581</v>
      </c>
      <c r="C28" s="985">
        <f>C21+C27</f>
        <v>388356</v>
      </c>
      <c r="D28" s="985">
        <f>D21+D27</f>
        <v>584994</v>
      </c>
      <c r="E28" s="986">
        <f>E21+E27</f>
        <v>438113</v>
      </c>
    </row>
    <row r="29" spans="1:5" s="969" customFormat="1" ht="12.75">
      <c r="A29" s="970">
        <v>22</v>
      </c>
      <c r="B29" s="971" t="s">
        <v>582</v>
      </c>
      <c r="C29" s="988"/>
      <c r="D29" s="988"/>
      <c r="E29" s="989"/>
    </row>
    <row r="30" spans="1:5" s="969" customFormat="1" ht="13.5" thickBot="1">
      <c r="A30" s="979">
        <v>23</v>
      </c>
      <c r="B30" s="980" t="s">
        <v>583</v>
      </c>
      <c r="C30" s="991"/>
      <c r="D30" s="991"/>
      <c r="E30" s="990">
        <v>-1916</v>
      </c>
    </row>
    <row r="31" spans="1:5" s="987" customFormat="1" ht="15.75" thickBot="1">
      <c r="A31" s="983">
        <v>24</v>
      </c>
      <c r="B31" s="984" t="s">
        <v>584</v>
      </c>
      <c r="C31" s="985">
        <f>SUM(C28:C30)</f>
        <v>388356</v>
      </c>
      <c r="D31" s="985">
        <f>SUM(D28:D30)</f>
        <v>584994</v>
      </c>
      <c r="E31" s="986">
        <f>SUM(E28:E30)</f>
        <v>436197</v>
      </c>
    </row>
    <row r="32" spans="1:5" s="969" customFormat="1" ht="12.75">
      <c r="A32" s="970">
        <v>25</v>
      </c>
      <c r="B32" s="971" t="s">
        <v>181</v>
      </c>
      <c r="C32" s="988">
        <v>33692</v>
      </c>
      <c r="D32" s="988">
        <v>43102</v>
      </c>
      <c r="E32" s="989">
        <v>43041</v>
      </c>
    </row>
    <row r="33" spans="1:5" s="969" customFormat="1" ht="12.75">
      <c r="A33" s="970">
        <v>26</v>
      </c>
      <c r="B33" s="975" t="s">
        <v>585</v>
      </c>
      <c r="C33" s="933">
        <v>50700</v>
      </c>
      <c r="D33" s="933">
        <v>65724</v>
      </c>
      <c r="E33" s="992">
        <v>65724</v>
      </c>
    </row>
    <row r="34" spans="1:5" s="969" customFormat="1" ht="12.75">
      <c r="A34" s="970">
        <v>27</v>
      </c>
      <c r="B34" s="975" t="s">
        <v>586</v>
      </c>
      <c r="C34" s="933">
        <v>140189</v>
      </c>
      <c r="D34" s="933">
        <v>280790</v>
      </c>
      <c r="E34" s="992">
        <v>280789</v>
      </c>
    </row>
    <row r="35" spans="1:5" s="969" customFormat="1" ht="22.5">
      <c r="A35" s="970">
        <v>28</v>
      </c>
      <c r="B35" s="975" t="s">
        <v>587</v>
      </c>
      <c r="C35" s="933"/>
      <c r="D35" s="933">
        <v>1250</v>
      </c>
      <c r="E35" s="992">
        <v>5942</v>
      </c>
    </row>
    <row r="36" spans="1:5" s="969" customFormat="1" ht="12.75">
      <c r="A36" s="970">
        <v>29</v>
      </c>
      <c r="B36" s="975" t="s">
        <v>588</v>
      </c>
      <c r="C36" s="933"/>
      <c r="D36" s="933">
        <v>50</v>
      </c>
      <c r="E36" s="992">
        <v>50</v>
      </c>
    </row>
    <row r="37" spans="1:5" s="969" customFormat="1" ht="12.75">
      <c r="A37" s="970">
        <v>30</v>
      </c>
      <c r="B37" s="993" t="s">
        <v>589</v>
      </c>
      <c r="C37" s="933"/>
      <c r="D37" s="933">
        <v>3</v>
      </c>
      <c r="E37" s="992">
        <v>3</v>
      </c>
    </row>
    <row r="38" spans="1:5" s="969" customFormat="1" ht="12.75">
      <c r="A38" s="970">
        <v>31</v>
      </c>
      <c r="B38" s="975" t="s">
        <v>590</v>
      </c>
      <c r="C38" s="933"/>
      <c r="D38" s="933"/>
      <c r="E38" s="992"/>
    </row>
    <row r="39" spans="1:5" s="969" customFormat="1" ht="12.75">
      <c r="A39" s="970">
        <v>32</v>
      </c>
      <c r="B39" s="975" t="s">
        <v>591</v>
      </c>
      <c r="C39" s="933">
        <v>2375</v>
      </c>
      <c r="D39" s="933">
        <v>4162</v>
      </c>
      <c r="E39" s="992">
        <v>4162</v>
      </c>
    </row>
    <row r="40" spans="1:5" s="969" customFormat="1" ht="12.75">
      <c r="A40" s="970">
        <v>33</v>
      </c>
      <c r="B40" s="975" t="s">
        <v>592</v>
      </c>
      <c r="C40" s="949"/>
      <c r="D40" s="949"/>
      <c r="E40" s="990"/>
    </row>
    <row r="41" spans="1:5" s="969" customFormat="1" ht="12.75">
      <c r="A41" s="970">
        <v>34</v>
      </c>
      <c r="B41" s="975" t="s">
        <v>593</v>
      </c>
      <c r="C41" s="933"/>
      <c r="D41" s="933"/>
      <c r="E41" s="992"/>
    </row>
    <row r="42" spans="1:5" s="969" customFormat="1" ht="12.75">
      <c r="A42" s="970">
        <v>35</v>
      </c>
      <c r="B42" s="994" t="s">
        <v>594</v>
      </c>
      <c r="C42" s="949"/>
      <c r="D42" s="949"/>
      <c r="E42" s="990"/>
    </row>
    <row r="43" spans="1:5" s="969" customFormat="1" ht="12.75">
      <c r="A43" s="970">
        <v>36</v>
      </c>
      <c r="B43" s="975" t="s">
        <v>595</v>
      </c>
      <c r="C43" s="933"/>
      <c r="D43" s="933"/>
      <c r="E43" s="992"/>
    </row>
    <row r="44" spans="1:5" s="969" customFormat="1" ht="13.5" thickBot="1">
      <c r="A44" s="970">
        <v>36</v>
      </c>
      <c r="B44" s="971" t="s">
        <v>596</v>
      </c>
      <c r="C44" s="949"/>
      <c r="D44" s="949"/>
      <c r="E44" s="990"/>
    </row>
    <row r="45" spans="1:5" s="969" customFormat="1" ht="21.75" thickBot="1">
      <c r="A45" s="983">
        <v>37</v>
      </c>
      <c r="B45" s="984" t="s">
        <v>597</v>
      </c>
      <c r="C45" s="995">
        <f>C32+C33+C34+C36+C37+C39+C40+C41+C43+C44+C35</f>
        <v>226956</v>
      </c>
      <c r="D45" s="995">
        <f>D32+D33+D34+D36+D37+D39+D40+D41+D43+D44+D35</f>
        <v>395081</v>
      </c>
      <c r="E45" s="996">
        <f>E32+E33+E34+E36+E37+E39+E40+E41+E43+E44+E35</f>
        <v>399711</v>
      </c>
    </row>
    <row r="46" spans="1:5" s="969" customFormat="1" ht="12.75">
      <c r="A46" s="970">
        <v>38</v>
      </c>
      <c r="B46" s="971" t="s">
        <v>598</v>
      </c>
      <c r="C46" s="933">
        <v>45617</v>
      </c>
      <c r="D46" s="933">
        <v>66326</v>
      </c>
      <c r="E46" s="992">
        <v>66326</v>
      </c>
    </row>
    <row r="47" spans="1:5" s="969" customFormat="1" ht="12.75">
      <c r="A47" s="974">
        <v>39</v>
      </c>
      <c r="B47" s="971" t="s">
        <v>599</v>
      </c>
      <c r="C47" s="933">
        <v>19383</v>
      </c>
      <c r="D47" s="933">
        <v>4639</v>
      </c>
      <c r="E47" s="992">
        <v>4639</v>
      </c>
    </row>
    <row r="48" spans="1:5" s="969" customFormat="1" ht="12.75">
      <c r="A48" s="974">
        <v>40</v>
      </c>
      <c r="B48" s="997" t="s">
        <v>575</v>
      </c>
      <c r="C48" s="988"/>
      <c r="D48" s="988"/>
      <c r="E48" s="989"/>
    </row>
    <row r="49" spans="1:5" s="969" customFormat="1" ht="12.75">
      <c r="A49" s="970">
        <v>41</v>
      </c>
      <c r="B49" s="980" t="s">
        <v>600</v>
      </c>
      <c r="C49" s="988">
        <v>96400</v>
      </c>
      <c r="D49" s="988">
        <v>118948</v>
      </c>
      <c r="E49" s="989">
        <v>119444</v>
      </c>
    </row>
    <row r="50" spans="1:5" s="969" customFormat="1" ht="13.5" thickBot="1">
      <c r="A50" s="979">
        <v>42</v>
      </c>
      <c r="B50" s="980" t="s">
        <v>601</v>
      </c>
      <c r="C50" s="949"/>
      <c r="D50" s="949"/>
      <c r="E50" s="990"/>
    </row>
    <row r="51" spans="1:5" s="969" customFormat="1" ht="13.5" thickBot="1">
      <c r="A51" s="983">
        <v>43</v>
      </c>
      <c r="B51" s="984" t="s">
        <v>602</v>
      </c>
      <c r="C51" s="995">
        <f>SUM(C46:C47,C49:C50)</f>
        <v>161400</v>
      </c>
      <c r="D51" s="995">
        <f>SUM(D46:D47,D49:D50)</f>
        <v>189913</v>
      </c>
      <c r="E51" s="996">
        <f>SUM(E46:E47,E49:E50)</f>
        <v>190409</v>
      </c>
    </row>
    <row r="52" spans="1:5" s="987" customFormat="1" ht="15.75" thickBot="1">
      <c r="A52" s="998">
        <v>44</v>
      </c>
      <c r="B52" s="999" t="s">
        <v>603</v>
      </c>
      <c r="C52" s="1000">
        <f>C45+C51</f>
        <v>388356</v>
      </c>
      <c r="D52" s="1000">
        <f>D45+D51</f>
        <v>584994</v>
      </c>
      <c r="E52" s="1001">
        <f>E45+E51</f>
        <v>590120</v>
      </c>
    </row>
    <row r="53" spans="1:5" s="969" customFormat="1" ht="12.75">
      <c r="A53" s="970">
        <v>45</v>
      </c>
      <c r="B53" s="971" t="s">
        <v>604</v>
      </c>
      <c r="C53" s="988"/>
      <c r="D53" s="988"/>
      <c r="E53" s="989"/>
    </row>
    <row r="54" spans="1:5" s="969" customFormat="1" ht="12.75">
      <c r="A54" s="979">
        <v>46</v>
      </c>
      <c r="B54" s="975" t="s">
        <v>605</v>
      </c>
      <c r="C54" s="991"/>
      <c r="D54" s="991"/>
      <c r="E54" s="990"/>
    </row>
    <row r="55" spans="1:5" s="969" customFormat="1" ht="13.5" thickBot="1">
      <c r="A55" s="979">
        <v>47</v>
      </c>
      <c r="B55" s="980" t="s">
        <v>606</v>
      </c>
      <c r="C55" s="1002"/>
      <c r="D55" s="1002"/>
      <c r="E55" s="990">
        <v>759</v>
      </c>
    </row>
    <row r="56" spans="1:5" s="969" customFormat="1" ht="13.5" thickBot="1">
      <c r="A56" s="1003">
        <v>48</v>
      </c>
      <c r="B56" s="1004" t="s">
        <v>607</v>
      </c>
      <c r="C56" s="995">
        <f>C52+C53+C54+C55</f>
        <v>388356</v>
      </c>
      <c r="D56" s="995">
        <f>D52+D53+D54+D55</f>
        <v>584994</v>
      </c>
      <c r="E56" s="1005">
        <f>E52+E53+E54+E55</f>
        <v>590879</v>
      </c>
    </row>
    <row r="57" spans="1:5" s="969" customFormat="1" ht="21.75" thickBot="1">
      <c r="A57" s="1006">
        <v>49</v>
      </c>
      <c r="B57" s="984" t="s">
        <v>608</v>
      </c>
      <c r="C57" s="995">
        <f>C45-C21</f>
        <v>-65000</v>
      </c>
      <c r="D57" s="995">
        <f>D45-D21</f>
        <v>-70965</v>
      </c>
      <c r="E57" s="996">
        <f>E45-E21</f>
        <v>81042</v>
      </c>
    </row>
    <row r="58" spans="1:5" s="969" customFormat="1" ht="32.25" thickBot="1">
      <c r="A58" s="1006">
        <v>50</v>
      </c>
      <c r="B58" s="984" t="s">
        <v>609</v>
      </c>
      <c r="C58" s="995">
        <f>+C56-C28</f>
        <v>0</v>
      </c>
      <c r="D58" s="995">
        <f>+D56-D28</f>
        <v>0</v>
      </c>
      <c r="E58" s="995">
        <f>+E56-E28</f>
        <v>152766</v>
      </c>
    </row>
    <row r="59" spans="1:5" s="969" customFormat="1" ht="13.5" thickBot="1">
      <c r="A59" s="1006">
        <v>51</v>
      </c>
      <c r="B59" s="984" t="s">
        <v>610</v>
      </c>
      <c r="C59" s="995">
        <f>+C51-C27</f>
        <v>65000</v>
      </c>
      <c r="D59" s="995">
        <f>+D51-D27</f>
        <v>70965</v>
      </c>
      <c r="E59" s="996">
        <f>+E51-E27</f>
        <v>70965</v>
      </c>
    </row>
    <row r="60" spans="1:5" s="969" customFormat="1" ht="13.5" thickBot="1">
      <c r="A60" s="1007">
        <v>52</v>
      </c>
      <c r="B60" s="999" t="s">
        <v>611</v>
      </c>
      <c r="C60" s="1008"/>
      <c r="D60" s="1008"/>
      <c r="E60" s="1001">
        <f>+E54+E55-E30</f>
        <v>2675</v>
      </c>
    </row>
    <row r="61" ht="15.75">
      <c r="B61" s="1009"/>
    </row>
    <row r="62" ht="12.75">
      <c r="E62" s="1010"/>
    </row>
  </sheetData>
  <sheetProtection/>
  <mergeCells count="8">
    <mergeCell ref="A5:A6"/>
    <mergeCell ref="B5:B6"/>
    <mergeCell ref="E5:E6"/>
    <mergeCell ref="C6:D6"/>
    <mergeCell ref="A1:E1"/>
    <mergeCell ref="A2:E2"/>
    <mergeCell ref="A3:E3"/>
    <mergeCell ref="A4:E4"/>
  </mergeCells>
  <printOptions horizontalCentered="1"/>
  <pageMargins left="0.7874015748031497" right="0.7874015748031497" top="0.53" bottom="0.74" header="0.34" footer="0.33"/>
  <pageSetup firstPageNumber="30" useFirstPageNumber="1" horizontalDpi="300" verticalDpi="300" orientation="portrait" paperSize="9" scale="80" r:id="rId1"/>
  <headerFooter alignWithMargins="0">
    <oddHeader>&amp;R&amp;"Times New Roman CE,Félkövér dőlt"&amp;12 11.2. melléklet a ……/2014.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J37" sqref="J37"/>
    </sheetView>
  </sheetViews>
  <sheetFormatPr defaultColWidth="9.00390625" defaultRowHeight="12.75"/>
  <cols>
    <col min="1" max="1" width="6.50390625" style="898" customWidth="1"/>
    <col min="2" max="2" width="49.50390625" style="962" customWidth="1"/>
    <col min="3" max="3" width="16.00390625" style="898" customWidth="1"/>
    <col min="4" max="4" width="14.875" style="898" customWidth="1"/>
    <col min="5" max="6" width="16.00390625" style="898" customWidth="1"/>
    <col min="7" max="7" width="14.00390625" style="898" customWidth="1"/>
    <col min="8" max="8" width="16.00390625" style="898" customWidth="1"/>
    <col min="9" max="16384" width="9.375" style="898" customWidth="1"/>
  </cols>
  <sheetData>
    <row r="1" spans="1:8" s="1011" customFormat="1" ht="25.5" customHeight="1">
      <c r="A1" s="1213" t="s">
        <v>559</v>
      </c>
      <c r="B1" s="1213"/>
      <c r="C1" s="1213"/>
      <c r="D1" s="1213"/>
      <c r="E1" s="1213"/>
      <c r="F1" s="1213"/>
      <c r="G1" s="1213"/>
      <c r="H1" s="1213"/>
    </row>
    <row r="2" spans="1:8" s="1012" customFormat="1" ht="18" customHeight="1">
      <c r="A2" s="1208" t="s">
        <v>612</v>
      </c>
      <c r="B2" s="1208"/>
      <c r="C2" s="1208"/>
      <c r="D2" s="1208"/>
      <c r="E2" s="1208"/>
      <c r="F2" s="1208"/>
      <c r="G2" s="1208"/>
      <c r="H2" s="1208"/>
    </row>
    <row r="3" spans="1:8" s="1011" customFormat="1" ht="16.5" customHeight="1">
      <c r="A3" s="1214" t="s">
        <v>561</v>
      </c>
      <c r="B3" s="1214"/>
      <c r="C3" s="1214"/>
      <c r="D3" s="1214"/>
      <c r="E3" s="1214"/>
      <c r="F3" s="1214"/>
      <c r="G3" s="1214"/>
      <c r="H3" s="1214"/>
    </row>
    <row r="4" spans="1:8" s="962" customFormat="1" ht="13.5" customHeight="1" thickBot="1">
      <c r="A4" s="1224" t="s">
        <v>179</v>
      </c>
      <c r="B4" s="1224"/>
      <c r="C4" s="1224"/>
      <c r="D4" s="1224"/>
      <c r="E4" s="1224"/>
      <c r="F4" s="1224"/>
      <c r="G4" s="1224"/>
      <c r="H4" s="1224"/>
    </row>
    <row r="5" spans="1:8" ht="54" customHeight="1" thickBot="1">
      <c r="A5" s="1013" t="s">
        <v>143</v>
      </c>
      <c r="B5" s="1014" t="s">
        <v>188</v>
      </c>
      <c r="C5" s="1015" t="s">
        <v>529</v>
      </c>
      <c r="D5" s="1015" t="s">
        <v>530</v>
      </c>
      <c r="E5" s="1016" t="s">
        <v>531</v>
      </c>
      <c r="F5" s="1015" t="s">
        <v>532</v>
      </c>
      <c r="G5" s="1015" t="s">
        <v>530</v>
      </c>
      <c r="H5" s="1016" t="s">
        <v>533</v>
      </c>
    </row>
    <row r="6" spans="1:8" s="969" customFormat="1" ht="18" customHeight="1">
      <c r="A6" s="1017">
        <v>1</v>
      </c>
      <c r="B6" s="1018" t="s">
        <v>613</v>
      </c>
      <c r="C6" s="1019">
        <v>72162</v>
      </c>
      <c r="D6" s="1020">
        <v>837</v>
      </c>
      <c r="E6" s="1021">
        <f>D6+C6</f>
        <v>72999</v>
      </c>
      <c r="F6" s="1022">
        <v>155879</v>
      </c>
      <c r="G6" s="1020"/>
      <c r="H6" s="1023">
        <f>F6</f>
        <v>155879</v>
      </c>
    </row>
    <row r="7" spans="1:8" s="969" customFormat="1" ht="25.5" customHeight="1">
      <c r="A7" s="974">
        <v>2</v>
      </c>
      <c r="B7" s="1024" t="s">
        <v>614</v>
      </c>
      <c r="C7" s="1025"/>
      <c r="D7" s="1026"/>
      <c r="E7" s="1027">
        <f>D7+C7</f>
        <v>0</v>
      </c>
      <c r="F7" s="1028"/>
      <c r="G7" s="1026"/>
      <c r="H7" s="1029">
        <f>F7</f>
        <v>0</v>
      </c>
    </row>
    <row r="8" spans="1:8" s="969" customFormat="1" ht="22.5">
      <c r="A8" s="974">
        <v>3</v>
      </c>
      <c r="B8" s="1024" t="s">
        <v>615</v>
      </c>
      <c r="C8" s="1025">
        <v>9835</v>
      </c>
      <c r="D8" s="1026"/>
      <c r="E8" s="1027">
        <f>D8+C8</f>
        <v>9835</v>
      </c>
      <c r="F8" s="1028">
        <v>7160</v>
      </c>
      <c r="G8" s="1026"/>
      <c r="H8" s="1029">
        <f>F8</f>
        <v>7160</v>
      </c>
    </row>
    <row r="9" spans="1:8" s="969" customFormat="1" ht="18" customHeight="1">
      <c r="A9" s="974">
        <v>4</v>
      </c>
      <c r="B9" s="1024" t="s">
        <v>616</v>
      </c>
      <c r="C9" s="1025"/>
      <c r="D9" s="1026"/>
      <c r="E9" s="1027">
        <f>D9+C9</f>
        <v>0</v>
      </c>
      <c r="F9" s="1028">
        <v>15724</v>
      </c>
      <c r="G9" s="1026"/>
      <c r="H9" s="1029">
        <f>F9</f>
        <v>15724</v>
      </c>
    </row>
    <row r="10" spans="1:8" s="969" customFormat="1" ht="23.25" thickBot="1">
      <c r="A10" s="1030">
        <v>5</v>
      </c>
      <c r="B10" s="1031" t="s">
        <v>617</v>
      </c>
      <c r="C10" s="1032"/>
      <c r="D10" s="1033"/>
      <c r="E10" s="1034"/>
      <c r="F10" s="1035"/>
      <c r="G10" s="1036"/>
      <c r="H10" s="1037">
        <f>F10</f>
        <v>0</v>
      </c>
    </row>
    <row r="11" spans="1:9" s="929" customFormat="1" ht="18" customHeight="1" thickBot="1">
      <c r="A11" s="983">
        <v>6</v>
      </c>
      <c r="B11" s="1038" t="s">
        <v>618</v>
      </c>
      <c r="C11" s="1039">
        <f aca="true" t="shared" si="0" ref="C11:H11">+C6+C7+C8-C9-C10</f>
        <v>81997</v>
      </c>
      <c r="D11" s="1040">
        <f t="shared" si="0"/>
        <v>837</v>
      </c>
      <c r="E11" s="1040">
        <f t="shared" si="0"/>
        <v>82834</v>
      </c>
      <c r="F11" s="1040">
        <f t="shared" si="0"/>
        <v>147315</v>
      </c>
      <c r="G11" s="1040">
        <f t="shared" si="0"/>
        <v>0</v>
      </c>
      <c r="H11" s="1041">
        <f t="shared" si="0"/>
        <v>147315</v>
      </c>
      <c r="I11" s="1042"/>
    </row>
    <row r="12" spans="1:9" s="969" customFormat="1" ht="18" customHeight="1">
      <c r="A12" s="970">
        <v>7</v>
      </c>
      <c r="B12" s="1043" t="s">
        <v>619</v>
      </c>
      <c r="C12" s="1019">
        <v>-4905</v>
      </c>
      <c r="D12" s="1020"/>
      <c r="E12" s="1021">
        <f>D12+C12</f>
        <v>-4905</v>
      </c>
      <c r="F12" s="1044">
        <v>-738</v>
      </c>
      <c r="G12" s="1045"/>
      <c r="H12" s="1023">
        <f>F12</f>
        <v>-738</v>
      </c>
      <c r="I12" s="1046"/>
    </row>
    <row r="13" spans="1:9" s="969" customFormat="1" ht="18" customHeight="1" thickBot="1">
      <c r="A13" s="979">
        <v>8</v>
      </c>
      <c r="B13" s="1047" t="s">
        <v>620</v>
      </c>
      <c r="C13" s="1048">
        <v>4692</v>
      </c>
      <c r="D13" s="1049"/>
      <c r="E13" s="1050">
        <f>D13+C13</f>
        <v>4692</v>
      </c>
      <c r="F13" s="1051">
        <v>522</v>
      </c>
      <c r="G13" s="1052"/>
      <c r="H13" s="1037">
        <f>F13</f>
        <v>522</v>
      </c>
      <c r="I13" s="1046"/>
    </row>
    <row r="14" spans="1:9" s="969" customFormat="1" ht="27" customHeight="1" thickBot="1">
      <c r="A14" s="1006">
        <v>9</v>
      </c>
      <c r="B14" s="1053" t="s">
        <v>621</v>
      </c>
      <c r="C14" s="1054">
        <f aca="true" t="shared" si="1" ref="C14:H14">+C11+C12+C13</f>
        <v>81784</v>
      </c>
      <c r="D14" s="1055">
        <f t="shared" si="1"/>
        <v>837</v>
      </c>
      <c r="E14" s="1055">
        <f t="shared" si="1"/>
        <v>82621</v>
      </c>
      <c r="F14" s="1055">
        <f t="shared" si="1"/>
        <v>147099</v>
      </c>
      <c r="G14" s="1055">
        <f t="shared" si="1"/>
        <v>0</v>
      </c>
      <c r="H14" s="1056">
        <f t="shared" si="1"/>
        <v>147099</v>
      </c>
      <c r="I14" s="1046"/>
    </row>
    <row r="15" spans="1:9" s="969" customFormat="1" ht="28.5" customHeight="1">
      <c r="A15" s="1017">
        <v>10</v>
      </c>
      <c r="B15" s="1057" t="s">
        <v>622</v>
      </c>
      <c r="C15" s="1058"/>
      <c r="D15" s="1020"/>
      <c r="E15" s="1021">
        <f>D15+C15</f>
        <v>0</v>
      </c>
      <c r="F15" s="1059"/>
      <c r="G15" s="1020"/>
      <c r="H15" s="1023">
        <f>F15</f>
        <v>0</v>
      </c>
      <c r="I15" s="1046"/>
    </row>
    <row r="16" spans="1:9" s="969" customFormat="1" ht="28.5" customHeight="1" thickBot="1">
      <c r="A16" s="1030">
        <v>11</v>
      </c>
      <c r="B16" s="1060" t="s">
        <v>623</v>
      </c>
      <c r="C16" s="1061"/>
      <c r="D16" s="1033"/>
      <c r="E16" s="1034"/>
      <c r="F16" s="1062"/>
      <c r="G16" s="1036"/>
      <c r="H16" s="1037">
        <f>F16</f>
        <v>0</v>
      </c>
      <c r="I16" s="1046"/>
    </row>
    <row r="17" spans="1:9" s="929" customFormat="1" ht="18" customHeight="1" thickBot="1">
      <c r="A17" s="983">
        <v>12</v>
      </c>
      <c r="B17" s="1038" t="s">
        <v>624</v>
      </c>
      <c r="C17" s="901">
        <f aca="true" t="shared" si="2" ref="C17:H17">+C14+C15+C16</f>
        <v>81784</v>
      </c>
      <c r="D17" s="903">
        <f t="shared" si="2"/>
        <v>837</v>
      </c>
      <c r="E17" s="903">
        <f t="shared" si="2"/>
        <v>82621</v>
      </c>
      <c r="F17" s="903">
        <f t="shared" si="2"/>
        <v>147099</v>
      </c>
      <c r="G17" s="903">
        <f t="shared" si="2"/>
        <v>0</v>
      </c>
      <c r="H17" s="1063">
        <f t="shared" si="2"/>
        <v>147099</v>
      </c>
      <c r="I17" s="1042"/>
    </row>
    <row r="18" spans="1:9" s="969" customFormat="1" ht="33.75">
      <c r="A18" s="970">
        <v>13</v>
      </c>
      <c r="B18" s="1064" t="s">
        <v>625</v>
      </c>
      <c r="C18" s="1019"/>
      <c r="D18" s="1020"/>
      <c r="E18" s="1021">
        <f>D18+C18</f>
        <v>0</v>
      </c>
      <c r="F18" s="1044"/>
      <c r="G18" s="1045"/>
      <c r="H18" s="1023">
        <f>F18</f>
        <v>0</v>
      </c>
      <c r="I18" s="1046"/>
    </row>
    <row r="19" spans="1:8" s="969" customFormat="1" ht="18" customHeight="1">
      <c r="A19" s="974">
        <v>14</v>
      </c>
      <c r="B19" s="1024" t="s">
        <v>626</v>
      </c>
      <c r="C19" s="1025">
        <v>12474</v>
      </c>
      <c r="D19" s="1026"/>
      <c r="E19" s="1027">
        <f>D19+C19</f>
        <v>12474</v>
      </c>
      <c r="F19" s="1028">
        <v>136040</v>
      </c>
      <c r="G19" s="1026"/>
      <c r="H19" s="1029">
        <f>F19</f>
        <v>136040</v>
      </c>
    </row>
    <row r="20" spans="1:8" s="969" customFormat="1" ht="18" customHeight="1" thickBot="1">
      <c r="A20" s="1065">
        <v>15</v>
      </c>
      <c r="B20" s="1066" t="s">
        <v>627</v>
      </c>
      <c r="C20" s="1048">
        <v>69310</v>
      </c>
      <c r="D20" s="1049">
        <v>837</v>
      </c>
      <c r="E20" s="1050">
        <f>D20+C20</f>
        <v>70147</v>
      </c>
      <c r="F20" s="1067">
        <v>11059</v>
      </c>
      <c r="G20" s="1049"/>
      <c r="H20" s="1037">
        <f>F20</f>
        <v>11059</v>
      </c>
    </row>
    <row r="25" ht="12.75">
      <c r="B25" s="898"/>
    </row>
    <row r="26" ht="12.75" customHeight="1">
      <c r="B26" s="898"/>
    </row>
    <row r="27" ht="12.75">
      <c r="B27" s="898"/>
    </row>
    <row r="28" ht="12.75">
      <c r="B28" s="898"/>
    </row>
    <row r="29" ht="12.75">
      <c r="B29" s="898"/>
    </row>
  </sheetData>
  <sheetProtection/>
  <mergeCells count="4">
    <mergeCell ref="A1:H1"/>
    <mergeCell ref="A2:H2"/>
    <mergeCell ref="A3:H3"/>
    <mergeCell ref="A4:H4"/>
  </mergeCells>
  <printOptions horizontalCentered="1"/>
  <pageMargins left="0.7874015748031497" right="0.8807291666666667" top="0.984251968503937" bottom="0.984251968503937" header="0.7874015748031497" footer="0.7874015748031497"/>
  <pageSetup firstPageNumber="30" useFirstPageNumber="1" horizontalDpi="600" verticalDpi="600" orientation="landscape" paperSize="9" scale="95" r:id="rId1"/>
  <headerFooter alignWithMargins="0">
    <oddHeader>&amp;R&amp;"Times New Roman CE,Félkövér dőlt"&amp;11 11.3. melléklet a ……/2014.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K24" sqref="K24"/>
    </sheetView>
  </sheetViews>
  <sheetFormatPr defaultColWidth="9.00390625" defaultRowHeight="12.75"/>
  <cols>
    <col min="1" max="1" width="5.625" style="898" customWidth="1"/>
    <col min="2" max="2" width="62.375" style="962" customWidth="1"/>
    <col min="3" max="3" width="16.375" style="898" customWidth="1"/>
    <col min="4" max="4" width="12.875" style="898" customWidth="1"/>
    <col min="5" max="5" width="16.00390625" style="898" customWidth="1"/>
    <col min="6" max="6" width="14.875" style="898" customWidth="1"/>
    <col min="7" max="7" width="12.875" style="898" customWidth="1"/>
    <col min="8" max="8" width="16.00390625" style="898" customWidth="1"/>
    <col min="9" max="16384" width="9.375" style="898" customWidth="1"/>
  </cols>
  <sheetData>
    <row r="1" spans="1:8" s="1068" customFormat="1" ht="37.5" customHeight="1">
      <c r="A1" s="1206" t="s">
        <v>559</v>
      </c>
      <c r="B1" s="1206"/>
      <c r="C1" s="1206"/>
      <c r="D1" s="1206"/>
      <c r="E1" s="1206"/>
      <c r="F1" s="1206"/>
      <c r="G1" s="1206"/>
      <c r="H1" s="1206"/>
    </row>
    <row r="2" spans="1:8" s="1068" customFormat="1" ht="20.25" customHeight="1">
      <c r="A2" s="1208" t="s">
        <v>628</v>
      </c>
      <c r="B2" s="1208"/>
      <c r="C2" s="1208"/>
      <c r="D2" s="1208"/>
      <c r="E2" s="1208"/>
      <c r="F2" s="1208"/>
      <c r="G2" s="1208"/>
      <c r="H2" s="1208"/>
    </row>
    <row r="3" spans="1:8" s="1068" customFormat="1" ht="18.75" customHeight="1">
      <c r="A3" s="1225" t="s">
        <v>561</v>
      </c>
      <c r="B3" s="1225"/>
      <c r="C3" s="1225"/>
      <c r="D3" s="1225"/>
      <c r="E3" s="1225"/>
      <c r="F3" s="1225"/>
      <c r="G3" s="1225"/>
      <c r="H3" s="1225"/>
    </row>
    <row r="4" spans="1:8" s="962" customFormat="1" ht="13.5" customHeight="1" thickBot="1">
      <c r="A4" s="1226" t="s">
        <v>629</v>
      </c>
      <c r="B4" s="1226"/>
      <c r="C4" s="1226"/>
      <c r="D4" s="1226"/>
      <c r="E4" s="1226"/>
      <c r="F4" s="1226"/>
      <c r="G4" s="1226"/>
      <c r="H4" s="1226"/>
    </row>
    <row r="5" spans="1:8" ht="49.5" customHeight="1" thickBot="1">
      <c r="A5" s="1013" t="s">
        <v>143</v>
      </c>
      <c r="B5" s="1069" t="s">
        <v>188</v>
      </c>
      <c r="C5" s="1070" t="s">
        <v>529</v>
      </c>
      <c r="D5" s="1015" t="s">
        <v>530</v>
      </c>
      <c r="E5" s="1016" t="s">
        <v>531</v>
      </c>
      <c r="F5" s="1071" t="s">
        <v>532</v>
      </c>
      <c r="G5" s="1015" t="s">
        <v>530</v>
      </c>
      <c r="H5" s="1016" t="s">
        <v>533</v>
      </c>
    </row>
    <row r="6" spans="1:8" s="969" customFormat="1" ht="24" customHeight="1">
      <c r="A6" s="1072">
        <v>1</v>
      </c>
      <c r="B6" s="1073" t="s">
        <v>630</v>
      </c>
      <c r="C6" s="945"/>
      <c r="D6" s="1074"/>
      <c r="E6" s="1075">
        <f>C6+D6</f>
        <v>0</v>
      </c>
      <c r="F6" s="945"/>
      <c r="G6" s="931"/>
      <c r="H6" s="1076">
        <f>F6+G6</f>
        <v>0</v>
      </c>
    </row>
    <row r="7" spans="1:8" s="969" customFormat="1" ht="24" customHeight="1">
      <c r="A7" s="1077">
        <v>2</v>
      </c>
      <c r="B7" s="1078" t="s">
        <v>631</v>
      </c>
      <c r="C7" s="947"/>
      <c r="D7" s="933"/>
      <c r="E7" s="1079">
        <f>C7+D7</f>
        <v>0</v>
      </c>
      <c r="F7" s="947"/>
      <c r="G7" s="933"/>
      <c r="H7" s="1080">
        <f>F7+G7</f>
        <v>0</v>
      </c>
    </row>
    <row r="8" spans="1:8" s="929" customFormat="1" ht="24" customHeight="1" thickBot="1">
      <c r="A8" s="1081">
        <v>3</v>
      </c>
      <c r="B8" s="1082" t="s">
        <v>632</v>
      </c>
      <c r="C8" s="1083"/>
      <c r="D8" s="949"/>
      <c r="E8" s="1084">
        <f>C8+D8</f>
        <v>0</v>
      </c>
      <c r="F8" s="1083"/>
      <c r="G8" s="949"/>
      <c r="H8" s="1085">
        <f>F8+G8</f>
        <v>0</v>
      </c>
    </row>
    <row r="9" spans="1:8" s="969" customFormat="1" ht="24" customHeight="1" thickBot="1">
      <c r="A9" s="1086" t="s">
        <v>633</v>
      </c>
      <c r="B9" s="1087" t="s">
        <v>634</v>
      </c>
      <c r="C9" s="1088">
        <f aca="true" t="shared" si="0" ref="C9:H9">+C6+C7+C8</f>
        <v>0</v>
      </c>
      <c r="D9" s="1089">
        <f t="shared" si="0"/>
        <v>0</v>
      </c>
      <c r="E9" s="1090">
        <f t="shared" si="0"/>
        <v>0</v>
      </c>
      <c r="F9" s="1088">
        <f t="shared" si="0"/>
        <v>0</v>
      </c>
      <c r="G9" s="1089">
        <f t="shared" si="0"/>
        <v>0</v>
      </c>
      <c r="H9" s="1091">
        <f t="shared" si="0"/>
        <v>0</v>
      </c>
    </row>
    <row r="10" spans="1:8" s="969" customFormat="1" ht="24" customHeight="1">
      <c r="A10" s="1092">
        <v>4</v>
      </c>
      <c r="B10" s="1093" t="s">
        <v>635</v>
      </c>
      <c r="C10" s="1094"/>
      <c r="D10" s="988"/>
      <c r="E10" s="1095">
        <f>C10+D10</f>
        <v>0</v>
      </c>
      <c r="F10" s="1094"/>
      <c r="G10" s="988"/>
      <c r="H10" s="1096">
        <f>F10+G10</f>
        <v>0</v>
      </c>
    </row>
    <row r="11" spans="1:8" s="969" customFormat="1" ht="24" customHeight="1">
      <c r="A11" s="1077">
        <v>5</v>
      </c>
      <c r="B11" s="1078" t="s">
        <v>636</v>
      </c>
      <c r="C11" s="947"/>
      <c r="D11" s="933"/>
      <c r="E11" s="1079">
        <f>C11+D11</f>
        <v>0</v>
      </c>
      <c r="F11" s="947"/>
      <c r="G11" s="933"/>
      <c r="H11" s="1080">
        <f>F11+G11</f>
        <v>0</v>
      </c>
    </row>
    <row r="12" spans="1:8" s="929" customFormat="1" ht="24" customHeight="1" thickBot="1">
      <c r="A12" s="1081">
        <v>6</v>
      </c>
      <c r="B12" s="1097" t="s">
        <v>637</v>
      </c>
      <c r="C12" s="1083"/>
      <c r="D12" s="949"/>
      <c r="E12" s="1084">
        <f>C12+D12</f>
        <v>0</v>
      </c>
      <c r="F12" s="1083"/>
      <c r="G12" s="949"/>
      <c r="H12" s="1085">
        <f>F12+G12</f>
        <v>0</v>
      </c>
    </row>
    <row r="13" spans="1:8" s="1099" customFormat="1" ht="21" customHeight="1" thickBot="1">
      <c r="A13" s="1086" t="s">
        <v>638</v>
      </c>
      <c r="B13" s="1098" t="s">
        <v>639</v>
      </c>
      <c r="C13" s="1088">
        <f aca="true" t="shared" si="1" ref="C13:H13">+C10+C11+C12</f>
        <v>0</v>
      </c>
      <c r="D13" s="1089">
        <f t="shared" si="1"/>
        <v>0</v>
      </c>
      <c r="E13" s="1090">
        <f t="shared" si="1"/>
        <v>0</v>
      </c>
      <c r="F13" s="1088">
        <f t="shared" si="1"/>
        <v>0</v>
      </c>
      <c r="G13" s="1089">
        <f t="shared" si="1"/>
        <v>0</v>
      </c>
      <c r="H13" s="1091">
        <f t="shared" si="1"/>
        <v>0</v>
      </c>
    </row>
    <row r="14" spans="1:8" s="929" customFormat="1" ht="22.5" customHeight="1" thickBot="1">
      <c r="A14" s="1086" t="s">
        <v>640</v>
      </c>
      <c r="B14" s="1098" t="s">
        <v>641</v>
      </c>
      <c r="C14" s="1088">
        <f aca="true" t="shared" si="2" ref="C14:H14">+C9-C13</f>
        <v>0</v>
      </c>
      <c r="D14" s="1089">
        <f t="shared" si="2"/>
        <v>0</v>
      </c>
      <c r="E14" s="1090">
        <f t="shared" si="2"/>
        <v>0</v>
      </c>
      <c r="F14" s="1088">
        <f t="shared" si="2"/>
        <v>0</v>
      </c>
      <c r="G14" s="1089">
        <f t="shared" si="2"/>
        <v>0</v>
      </c>
      <c r="H14" s="1091">
        <f t="shared" si="2"/>
        <v>0</v>
      </c>
    </row>
    <row r="15" spans="1:8" ht="18.75" customHeight="1">
      <c r="A15" s="1092">
        <v>7</v>
      </c>
      <c r="B15" s="1100" t="s">
        <v>642</v>
      </c>
      <c r="C15" s="1101"/>
      <c r="D15" s="1102"/>
      <c r="E15" s="1095">
        <f>C15+D15</f>
        <v>0</v>
      </c>
      <c r="F15" s="1101"/>
      <c r="G15" s="1102"/>
      <c r="H15" s="1096">
        <f>F15+G15</f>
        <v>0</v>
      </c>
    </row>
    <row r="16" spans="1:8" ht="28.5" customHeight="1">
      <c r="A16" s="1077">
        <v>8</v>
      </c>
      <c r="B16" s="1103" t="s">
        <v>643</v>
      </c>
      <c r="C16" s="1104"/>
      <c r="D16" s="1105"/>
      <c r="E16" s="1079">
        <f>C16+D16</f>
        <v>0</v>
      </c>
      <c r="F16" s="1104"/>
      <c r="G16" s="1105"/>
      <c r="H16" s="1080">
        <f>F16+G16</f>
        <v>0</v>
      </c>
    </row>
    <row r="17" spans="1:8" ht="28.5" customHeight="1" thickBot="1">
      <c r="A17" s="1081">
        <v>9</v>
      </c>
      <c r="B17" s="1106" t="s">
        <v>644</v>
      </c>
      <c r="C17" s="1107"/>
      <c r="D17" s="1108"/>
      <c r="E17" s="1084">
        <f>C17+D17</f>
        <v>0</v>
      </c>
      <c r="F17" s="1107"/>
      <c r="G17" s="1108"/>
      <c r="H17" s="1085">
        <f>F17+G17</f>
        <v>0</v>
      </c>
    </row>
    <row r="18" spans="1:8" ht="23.25" customHeight="1" thickBot="1">
      <c r="A18" s="1086" t="s">
        <v>645</v>
      </c>
      <c r="B18" s="1109" t="s">
        <v>646</v>
      </c>
      <c r="C18" s="1110">
        <f aca="true" t="shared" si="3" ref="C18:H18">+C14-C15-C16+C17</f>
        <v>0</v>
      </c>
      <c r="D18" s="1111">
        <f t="shared" si="3"/>
        <v>0</v>
      </c>
      <c r="E18" s="1112">
        <f t="shared" si="3"/>
        <v>0</v>
      </c>
      <c r="F18" s="1110">
        <f t="shared" si="3"/>
        <v>0</v>
      </c>
      <c r="G18" s="1111">
        <f t="shared" si="3"/>
        <v>0</v>
      </c>
      <c r="H18" s="1113">
        <f t="shared" si="3"/>
        <v>0</v>
      </c>
    </row>
    <row r="19" spans="1:8" ht="17.25" customHeight="1" thickBot="1">
      <c r="A19" s="1086" t="s">
        <v>647</v>
      </c>
      <c r="B19" s="1109" t="s">
        <v>648</v>
      </c>
      <c r="C19" s="1114"/>
      <c r="D19" s="1115"/>
      <c r="E19" s="1116">
        <f>C19+D19</f>
        <v>0</v>
      </c>
      <c r="F19" s="1114"/>
      <c r="G19" s="1115"/>
      <c r="H19" s="1117">
        <f>F19+G19</f>
        <v>0</v>
      </c>
    </row>
    <row r="20" spans="1:8" ht="17.25" customHeight="1" thickBot="1">
      <c r="A20" s="1086" t="s">
        <v>649</v>
      </c>
      <c r="B20" s="1109" t="s">
        <v>650</v>
      </c>
      <c r="C20" s="1118">
        <f aca="true" t="shared" si="4" ref="C20:H20">+C14-C16-C17-C19</f>
        <v>0</v>
      </c>
      <c r="D20" s="1119">
        <f t="shared" si="4"/>
        <v>0</v>
      </c>
      <c r="E20" s="1120">
        <f t="shared" si="4"/>
        <v>0</v>
      </c>
      <c r="F20" s="1118">
        <f t="shared" si="4"/>
        <v>0</v>
      </c>
      <c r="G20" s="1119">
        <f t="shared" si="4"/>
        <v>0</v>
      </c>
      <c r="H20" s="1121">
        <f t="shared" si="4"/>
        <v>0</v>
      </c>
    </row>
    <row r="21" ht="12.75" customHeight="1">
      <c r="B21" s="898"/>
    </row>
    <row r="22" ht="12.75">
      <c r="B22" s="898"/>
    </row>
    <row r="23" ht="12.75">
      <c r="B23" s="898"/>
    </row>
  </sheetData>
  <sheetProtection/>
  <mergeCells count="4">
    <mergeCell ref="A1:H1"/>
    <mergeCell ref="A2:H2"/>
    <mergeCell ref="A3:H3"/>
    <mergeCell ref="A4:H4"/>
  </mergeCells>
  <printOptions horizontalCentered="1"/>
  <pageMargins left="0.5905511811023623" right="0.5905511811023623" top="0.7874015748031497" bottom="0.7874015748031497" header="0.7874015748031497" footer="0.7874015748031497"/>
  <pageSetup firstPageNumber="31" useFirstPageNumber="1" horizontalDpi="300" verticalDpi="300" orientation="landscape" paperSize="9" scale="95" r:id="rId1"/>
  <headerFooter alignWithMargins="0">
    <oddHeader>&amp;R&amp;"Times New Roman CE,Félkövér dőlt"&amp;11 11.4. melléklet a ……/2014.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28"/>
  <sheetViews>
    <sheetView zoomScale="120" zoomScaleNormal="120" zoomScaleSheetLayoutView="100" workbookViewId="0" topLeftCell="A1">
      <selection activeCell="E45" sqref="E45"/>
    </sheetView>
  </sheetViews>
  <sheetFormatPr defaultColWidth="9.00390625" defaultRowHeight="12.75"/>
  <cols>
    <col min="1" max="1" width="9.50390625" style="205" customWidth="1"/>
    <col min="2" max="2" width="60.875" style="205" customWidth="1"/>
    <col min="3" max="3" width="15.875" style="205" customWidth="1"/>
    <col min="4" max="6" width="15.875" style="206" customWidth="1"/>
    <col min="7" max="16384" width="9.375" style="29" customWidth="1"/>
  </cols>
  <sheetData>
    <row r="1" spans="1:6" ht="15.75" customHeight="1">
      <c r="A1" s="1156" t="s">
        <v>142</v>
      </c>
      <c r="B1" s="1156"/>
      <c r="C1" s="1156"/>
      <c r="D1" s="1156"/>
      <c r="E1" s="1156"/>
      <c r="F1" s="1156"/>
    </row>
    <row r="2" spans="1:6" ht="15.75" customHeight="1" thickBot="1">
      <c r="A2" s="207" t="s">
        <v>262</v>
      </c>
      <c r="B2" s="207"/>
      <c r="C2" s="207"/>
      <c r="D2" s="136"/>
      <c r="E2" s="136"/>
      <c r="F2" s="136" t="s">
        <v>398</v>
      </c>
    </row>
    <row r="3" spans="1:6" ht="15.75" customHeight="1">
      <c r="A3" s="1157" t="s">
        <v>195</v>
      </c>
      <c r="B3" s="1159" t="s">
        <v>144</v>
      </c>
      <c r="C3" s="1227" t="s">
        <v>666</v>
      </c>
      <c r="D3" s="1161" t="s">
        <v>126</v>
      </c>
      <c r="E3" s="1161"/>
      <c r="F3" s="1162"/>
    </row>
    <row r="4" spans="1:6" ht="37.5" customHeight="1" thickBot="1">
      <c r="A4" s="1158"/>
      <c r="B4" s="1160"/>
      <c r="C4" s="1228"/>
      <c r="D4" s="210" t="s">
        <v>482</v>
      </c>
      <c r="E4" s="210" t="s">
        <v>489</v>
      </c>
      <c r="F4" s="211" t="s">
        <v>490</v>
      </c>
    </row>
    <row r="5" spans="1:6" s="30" customFormat="1" ht="12" customHeight="1" thickBot="1">
      <c r="A5" s="26">
        <v>1</v>
      </c>
      <c r="B5" s="27">
        <v>2</v>
      </c>
      <c r="C5" s="27">
        <v>3</v>
      </c>
      <c r="D5" s="27">
        <v>4</v>
      </c>
      <c r="E5" s="27">
        <v>5</v>
      </c>
      <c r="F5" s="28">
        <v>6</v>
      </c>
    </row>
    <row r="6" spans="1:6" s="1" customFormat="1" ht="12" customHeight="1" thickBot="1">
      <c r="A6" s="20" t="s">
        <v>145</v>
      </c>
      <c r="B6" s="19" t="s">
        <v>276</v>
      </c>
      <c r="C6" s="263">
        <f>+C7+C12+C23</f>
        <v>153657</v>
      </c>
      <c r="D6" s="263">
        <f>+D7+D12+D23</f>
        <v>84392</v>
      </c>
      <c r="E6" s="263">
        <f>+E7+E12+E23</f>
        <v>108826</v>
      </c>
      <c r="F6" s="119">
        <f>+F7+F12+F23</f>
        <v>108765</v>
      </c>
    </row>
    <row r="7" spans="1:6" s="1" customFormat="1" ht="12" customHeight="1" thickBot="1">
      <c r="A7" s="18" t="s">
        <v>146</v>
      </c>
      <c r="B7" s="101" t="s">
        <v>470</v>
      </c>
      <c r="C7" s="264">
        <f>+C8+C9+C10+C11</f>
        <v>58789</v>
      </c>
      <c r="D7" s="264">
        <f>+D8+D9+D10+D11</f>
        <v>47500</v>
      </c>
      <c r="E7" s="264">
        <f>+E8+E9+E10+E11</f>
        <v>62124</v>
      </c>
      <c r="F7" s="120">
        <f>+F8+F9+F10+F11</f>
        <v>62124</v>
      </c>
    </row>
    <row r="8" spans="1:6" s="1" customFormat="1" ht="12" customHeight="1">
      <c r="A8" s="12" t="s">
        <v>225</v>
      </c>
      <c r="B8" s="193" t="s">
        <v>182</v>
      </c>
      <c r="C8" s="510">
        <v>55695</v>
      </c>
      <c r="D8" s="510">
        <v>38000</v>
      </c>
      <c r="E8" s="581">
        <v>52777</v>
      </c>
      <c r="F8" s="582">
        <v>55319</v>
      </c>
    </row>
    <row r="9" spans="1:6" s="1" customFormat="1" ht="12" customHeight="1">
      <c r="A9" s="12" t="s">
        <v>226</v>
      </c>
      <c r="B9" s="115" t="s">
        <v>196</v>
      </c>
      <c r="C9" s="510"/>
      <c r="D9" s="510"/>
      <c r="E9" s="510"/>
      <c r="F9" s="583"/>
    </row>
    <row r="10" spans="1:6" s="1" customFormat="1" ht="12" customHeight="1">
      <c r="A10" s="12" t="s">
        <v>227</v>
      </c>
      <c r="B10" s="115" t="s">
        <v>277</v>
      </c>
      <c r="C10" s="510">
        <v>601</v>
      </c>
      <c r="D10" s="510">
        <v>9500</v>
      </c>
      <c r="E10" s="510">
        <v>9235</v>
      </c>
      <c r="F10" s="583">
        <v>6693</v>
      </c>
    </row>
    <row r="11" spans="1:6" s="1" customFormat="1" ht="12" customHeight="1" thickBot="1">
      <c r="A11" s="12" t="s">
        <v>228</v>
      </c>
      <c r="B11" s="194" t="s">
        <v>278</v>
      </c>
      <c r="C11" s="510">
        <f>2189+304</f>
        <v>2493</v>
      </c>
      <c r="D11" s="510"/>
      <c r="E11" s="562">
        <v>112</v>
      </c>
      <c r="F11" s="584">
        <v>112</v>
      </c>
    </row>
    <row r="12" spans="1:6" s="1" customFormat="1" ht="12" customHeight="1" thickBot="1">
      <c r="A12" s="18" t="s">
        <v>147</v>
      </c>
      <c r="B12" s="19" t="s">
        <v>279</v>
      </c>
      <c r="C12" s="264">
        <f>+C13+C14+C15+C16+C17+C18+C19+C20+C21+C22</f>
        <v>30950</v>
      </c>
      <c r="D12" s="264">
        <f>+D13+D14+D15+D16+D17+D18+D19+D20+D21+D22</f>
        <v>33692</v>
      </c>
      <c r="E12" s="264">
        <f>+E13+E14+E15+E16+E17+E18+E19+E20+E21+E22</f>
        <v>43102</v>
      </c>
      <c r="F12" s="264">
        <f>+F13+F14+F15+F16+F17+F18+F19+F20+F21+F22</f>
        <v>43041</v>
      </c>
    </row>
    <row r="13" spans="1:6" s="1" customFormat="1" ht="12" customHeight="1">
      <c r="A13" s="15" t="s">
        <v>197</v>
      </c>
      <c r="B13" s="8" t="s">
        <v>284</v>
      </c>
      <c r="C13" s="516">
        <v>7196</v>
      </c>
      <c r="D13" s="516">
        <v>7456</v>
      </c>
      <c r="E13" s="581">
        <f>10115</f>
        <v>10115</v>
      </c>
      <c r="F13" s="582">
        <v>10115</v>
      </c>
    </row>
    <row r="14" spans="1:6" s="1" customFormat="1" ht="12" customHeight="1">
      <c r="A14" s="12" t="s">
        <v>198</v>
      </c>
      <c r="B14" s="6" t="s">
        <v>285</v>
      </c>
      <c r="C14" s="510">
        <v>618</v>
      </c>
      <c r="D14" s="510">
        <v>421</v>
      </c>
      <c r="E14" s="510">
        <f>996+139</f>
        <v>1135</v>
      </c>
      <c r="F14" s="583">
        <v>1136</v>
      </c>
    </row>
    <row r="15" spans="1:6" s="1" customFormat="1" ht="12" customHeight="1">
      <c r="A15" s="12" t="s">
        <v>199</v>
      </c>
      <c r="B15" s="6" t="s">
        <v>838</v>
      </c>
      <c r="C15" s="510"/>
      <c r="D15" s="510">
        <v>0</v>
      </c>
      <c r="E15" s="510">
        <f>596</f>
        <v>596</v>
      </c>
      <c r="F15" s="583">
        <v>596</v>
      </c>
    </row>
    <row r="16" spans="1:6" s="1" customFormat="1" ht="12" customHeight="1">
      <c r="A16" s="12" t="s">
        <v>200</v>
      </c>
      <c r="B16" s="6" t="s">
        <v>286</v>
      </c>
      <c r="C16" s="510">
        <v>5897</v>
      </c>
      <c r="D16" s="510">
        <v>5288</v>
      </c>
      <c r="E16" s="510">
        <v>8404</v>
      </c>
      <c r="F16" s="583">
        <v>8403</v>
      </c>
    </row>
    <row r="17" spans="1:6" s="1" customFormat="1" ht="12" customHeight="1">
      <c r="A17" s="11" t="s">
        <v>280</v>
      </c>
      <c r="B17" s="6" t="s">
        <v>287</v>
      </c>
      <c r="C17" s="510">
        <v>8267</v>
      </c>
      <c r="D17" s="510">
        <v>9314</v>
      </c>
      <c r="E17" s="510">
        <f>1883+5315+551</f>
        <v>7749</v>
      </c>
      <c r="F17" s="585">
        <v>7749</v>
      </c>
    </row>
    <row r="18" spans="1:6" s="1" customFormat="1" ht="12" customHeight="1">
      <c r="A18" s="12" t="s">
        <v>281</v>
      </c>
      <c r="B18" s="873" t="s">
        <v>288</v>
      </c>
      <c r="C18" s="519">
        <v>1417</v>
      </c>
      <c r="D18" s="510">
        <v>665</v>
      </c>
      <c r="E18" s="510">
        <v>876</v>
      </c>
      <c r="F18" s="583">
        <v>876</v>
      </c>
    </row>
    <row r="19" spans="1:6" s="1" customFormat="1" ht="12" customHeight="1">
      <c r="A19" s="12" t="s">
        <v>282</v>
      </c>
      <c r="B19" s="873" t="s">
        <v>839</v>
      </c>
      <c r="C19" s="510"/>
      <c r="D19" s="510"/>
      <c r="E19" s="510">
        <f>1448+243</f>
        <v>1691</v>
      </c>
      <c r="F19" s="583">
        <v>1691</v>
      </c>
    </row>
    <row r="20" spans="1:6" s="1" customFormat="1" ht="12" customHeight="1">
      <c r="A20" s="11" t="s">
        <v>283</v>
      </c>
      <c r="B20" s="6" t="s">
        <v>345</v>
      </c>
      <c r="C20" s="510">
        <v>4482</v>
      </c>
      <c r="D20" s="510">
        <v>5242</v>
      </c>
      <c r="E20" s="510">
        <f>5094+149+2029</f>
        <v>7272</v>
      </c>
      <c r="F20" s="583">
        <v>7272</v>
      </c>
    </row>
    <row r="21" spans="1:6" s="1" customFormat="1" ht="12" customHeight="1">
      <c r="A21" s="508" t="s">
        <v>87</v>
      </c>
      <c r="B21" s="6" t="s">
        <v>289</v>
      </c>
      <c r="C21" s="510">
        <v>329</v>
      </c>
      <c r="D21" s="510"/>
      <c r="E21" s="510">
        <v>2124</v>
      </c>
      <c r="F21" s="599">
        <v>2124</v>
      </c>
    </row>
    <row r="22" spans="1:6" s="1" customFormat="1" ht="12" customHeight="1" thickBot="1">
      <c r="A22" s="561" t="s">
        <v>88</v>
      </c>
      <c r="B22" s="5" t="s">
        <v>290</v>
      </c>
      <c r="C22" s="514">
        <v>2744</v>
      </c>
      <c r="D22" s="514">
        <v>5306</v>
      </c>
      <c r="E22" s="514">
        <f>3108+31+1</f>
        <v>3140</v>
      </c>
      <c r="F22" s="600">
        <v>3079</v>
      </c>
    </row>
    <row r="23" spans="1:6" s="1" customFormat="1" ht="12" customHeight="1" thickBot="1">
      <c r="A23" s="18" t="s">
        <v>291</v>
      </c>
      <c r="B23" s="19" t="s">
        <v>346</v>
      </c>
      <c r="C23" s="267">
        <v>63918</v>
      </c>
      <c r="D23" s="525">
        <v>3200</v>
      </c>
      <c r="E23" s="586">
        <v>3600</v>
      </c>
      <c r="F23" s="587">
        <v>3600</v>
      </c>
    </row>
    <row r="24" spans="1:6" s="1" customFormat="1" ht="12" customHeight="1" thickBot="1">
      <c r="A24" s="18" t="s">
        <v>149</v>
      </c>
      <c r="B24" s="19" t="s">
        <v>293</v>
      </c>
      <c r="C24" s="264">
        <f>+C25+C26+C27+C28+C29+C30+C31+C32</f>
        <v>340013</v>
      </c>
      <c r="D24" s="264">
        <f>+D25+D26+D27+D28+D29+D30+D31+D32</f>
        <v>104405</v>
      </c>
      <c r="E24" s="264">
        <f>+E25+E26+E27+E28+E29+E30+E31+E32</f>
        <v>245866</v>
      </c>
      <c r="F24" s="120">
        <f>+F25+F26+F27+F28+F29+F30+F31+F32</f>
        <v>245866</v>
      </c>
    </row>
    <row r="25" spans="1:6" s="1" customFormat="1" ht="12" customHeight="1">
      <c r="A25" s="13" t="s">
        <v>201</v>
      </c>
      <c r="B25" s="7" t="s">
        <v>299</v>
      </c>
      <c r="C25" s="517">
        <v>46566</v>
      </c>
      <c r="D25" s="517">
        <v>104405</v>
      </c>
      <c r="E25" s="581">
        <v>126797</v>
      </c>
      <c r="F25" s="582">
        <v>126797</v>
      </c>
    </row>
    <row r="26" spans="1:6" s="1" customFormat="1" ht="12" customHeight="1">
      <c r="A26" s="12" t="s">
        <v>202</v>
      </c>
      <c r="B26" s="6" t="s">
        <v>300</v>
      </c>
      <c r="C26" s="510">
        <v>43518</v>
      </c>
      <c r="D26" s="510"/>
      <c r="E26" s="510">
        <v>6927</v>
      </c>
      <c r="F26" s="583">
        <v>6927</v>
      </c>
    </row>
    <row r="27" spans="1:6" s="1" customFormat="1" ht="12" customHeight="1">
      <c r="A27" s="12" t="s">
        <v>203</v>
      </c>
      <c r="B27" s="6" t="s">
        <v>301</v>
      </c>
      <c r="C27" s="510">
        <v>55</v>
      </c>
      <c r="D27" s="510"/>
      <c r="E27" s="510">
        <v>110000</v>
      </c>
      <c r="F27" s="583">
        <v>110000</v>
      </c>
    </row>
    <row r="28" spans="1:6" s="1" customFormat="1" ht="12" customHeight="1">
      <c r="A28" s="14" t="s">
        <v>294</v>
      </c>
      <c r="B28" s="6" t="s">
        <v>206</v>
      </c>
      <c r="C28" s="518">
        <v>230795</v>
      </c>
      <c r="D28" s="518"/>
      <c r="E28" s="518"/>
      <c r="F28" s="588"/>
    </row>
    <row r="29" spans="1:6" s="1" customFormat="1" ht="12" customHeight="1">
      <c r="A29" s="14" t="s">
        <v>295</v>
      </c>
      <c r="B29" s="6" t="s">
        <v>302</v>
      </c>
      <c r="C29" s="518"/>
      <c r="D29" s="518"/>
      <c r="E29" s="518"/>
      <c r="F29" s="588"/>
    </row>
    <row r="30" spans="1:6" s="1" customFormat="1" ht="12" customHeight="1">
      <c r="A30" s="12" t="s">
        <v>296</v>
      </c>
      <c r="B30" s="6" t="s">
        <v>303</v>
      </c>
      <c r="C30" s="510">
        <v>7087</v>
      </c>
      <c r="D30" s="510"/>
      <c r="E30" s="510"/>
      <c r="F30" s="583"/>
    </row>
    <row r="31" spans="1:6" s="1" customFormat="1" ht="12" customHeight="1">
      <c r="A31" s="12" t="s">
        <v>297</v>
      </c>
      <c r="B31" s="6" t="s">
        <v>347</v>
      </c>
      <c r="C31" s="510"/>
      <c r="D31" s="510"/>
      <c r="E31" s="510">
        <v>2142</v>
      </c>
      <c r="F31" s="523">
        <v>2142</v>
      </c>
    </row>
    <row r="32" spans="1:6" s="1" customFormat="1" ht="12" customHeight="1" thickBot="1">
      <c r="A32" s="12" t="s">
        <v>298</v>
      </c>
      <c r="B32" s="10" t="s">
        <v>304</v>
      </c>
      <c r="C32" s="510">
        <v>11992</v>
      </c>
      <c r="D32" s="510"/>
      <c r="E32" s="562"/>
      <c r="F32" s="589"/>
    </row>
    <row r="33" spans="1:6" s="1" customFormat="1" ht="12" customHeight="1" thickBot="1">
      <c r="A33" s="94" t="s">
        <v>150</v>
      </c>
      <c r="B33" s="19" t="s">
        <v>471</v>
      </c>
      <c r="C33" s="264">
        <f>+C34+C40</f>
        <v>36750</v>
      </c>
      <c r="D33" s="264">
        <f>+D34+D40</f>
        <v>38159</v>
      </c>
      <c r="E33" s="264">
        <f>+E34+E40</f>
        <v>39086</v>
      </c>
      <c r="F33" s="120">
        <f>+F34+F40</f>
        <v>39085</v>
      </c>
    </row>
    <row r="34" spans="1:6" s="1" customFormat="1" ht="12" customHeight="1">
      <c r="A34" s="95" t="s">
        <v>204</v>
      </c>
      <c r="B34" s="195" t="s">
        <v>472</v>
      </c>
      <c r="C34" s="529">
        <f>+C35+C36+C37+C38+C39</f>
        <v>35643</v>
      </c>
      <c r="D34" s="271">
        <f>+D35+D36+D37+D38+D39</f>
        <v>35784</v>
      </c>
      <c r="E34" s="597">
        <f>+E35+E36+E37+E38+E39</f>
        <v>37066</v>
      </c>
      <c r="F34" s="598">
        <f>+F35+F36+F37+F38+F39</f>
        <v>37065</v>
      </c>
    </row>
    <row r="35" spans="1:6" s="1" customFormat="1" ht="12" customHeight="1">
      <c r="A35" s="96" t="s">
        <v>207</v>
      </c>
      <c r="B35" s="102" t="s">
        <v>348</v>
      </c>
      <c r="C35" s="510">
        <v>3444</v>
      </c>
      <c r="D35" s="510">
        <v>3200</v>
      </c>
      <c r="E35" s="517">
        <v>3649</v>
      </c>
      <c r="F35" s="601">
        <v>3649</v>
      </c>
    </row>
    <row r="36" spans="1:6" s="1" customFormat="1" ht="12" customHeight="1">
      <c r="A36" s="96" t="s">
        <v>208</v>
      </c>
      <c r="B36" s="102" t="s">
        <v>349</v>
      </c>
      <c r="C36" s="510"/>
      <c r="D36" s="510"/>
      <c r="E36" s="510"/>
      <c r="F36" s="523"/>
    </row>
    <row r="37" spans="1:6" s="1" customFormat="1" ht="12" customHeight="1">
      <c r="A37" s="96" t="s">
        <v>209</v>
      </c>
      <c r="B37" s="102" t="s">
        <v>350</v>
      </c>
      <c r="C37" s="510">
        <v>11712</v>
      </c>
      <c r="D37" s="510">
        <v>6936</v>
      </c>
      <c r="E37" s="510">
        <v>3468</v>
      </c>
      <c r="F37" s="523">
        <v>3468</v>
      </c>
    </row>
    <row r="38" spans="1:6" s="1" customFormat="1" ht="12" customHeight="1">
      <c r="A38" s="96" t="s">
        <v>210</v>
      </c>
      <c r="B38" s="102" t="s">
        <v>351</v>
      </c>
      <c r="C38" s="510"/>
      <c r="D38" s="510"/>
      <c r="E38" s="510"/>
      <c r="F38" s="523"/>
    </row>
    <row r="39" spans="1:6" s="1" customFormat="1" ht="12" customHeight="1">
      <c r="A39" s="96" t="s">
        <v>305</v>
      </c>
      <c r="B39" s="102" t="s">
        <v>473</v>
      </c>
      <c r="C39" s="510">
        <v>20487</v>
      </c>
      <c r="D39" s="510">
        <v>25648</v>
      </c>
      <c r="E39" s="524">
        <v>29949</v>
      </c>
      <c r="F39" s="602">
        <v>29948</v>
      </c>
    </row>
    <row r="40" spans="1:6" s="1" customFormat="1" ht="12" customHeight="1">
      <c r="A40" s="96" t="s">
        <v>205</v>
      </c>
      <c r="B40" s="103" t="s">
        <v>474</v>
      </c>
      <c r="C40" s="520">
        <f>+C41+C42+C43+C44+C45</f>
        <v>1107</v>
      </c>
      <c r="D40" s="272">
        <f>+D41+D42+D43+D44+D45</f>
        <v>2375</v>
      </c>
      <c r="E40" s="272">
        <f>+E41+E42+E43+E44+E45</f>
        <v>2020</v>
      </c>
      <c r="F40" s="131">
        <f>+F41+F42+F43+F44+F45</f>
        <v>2020</v>
      </c>
    </row>
    <row r="41" spans="1:6" s="1" customFormat="1" ht="12" customHeight="1">
      <c r="A41" s="96" t="s">
        <v>213</v>
      </c>
      <c r="B41" s="102" t="s">
        <v>348</v>
      </c>
      <c r="C41" s="510"/>
      <c r="D41" s="270"/>
      <c r="E41" s="270"/>
      <c r="F41" s="276"/>
    </row>
    <row r="42" spans="1:6" s="1" customFormat="1" ht="12" customHeight="1">
      <c r="A42" s="96" t="s">
        <v>214</v>
      </c>
      <c r="B42" s="102" t="s">
        <v>349</v>
      </c>
      <c r="C42" s="510"/>
      <c r="D42" s="270"/>
      <c r="E42" s="270"/>
      <c r="F42" s="126"/>
    </row>
    <row r="43" spans="1:6" s="1" customFormat="1" ht="12" customHeight="1">
      <c r="A43" s="96" t="s">
        <v>215</v>
      </c>
      <c r="B43" s="102" t="s">
        <v>350</v>
      </c>
      <c r="C43" s="510"/>
      <c r="D43" s="270"/>
      <c r="E43" s="270"/>
      <c r="F43" s="126"/>
    </row>
    <row r="44" spans="1:6" s="1" customFormat="1" ht="12" customHeight="1">
      <c r="A44" s="96" t="s">
        <v>216</v>
      </c>
      <c r="B44" s="104" t="s">
        <v>351</v>
      </c>
      <c r="C44" s="510"/>
      <c r="D44" s="270"/>
      <c r="E44" s="270"/>
      <c r="F44" s="126"/>
    </row>
    <row r="45" spans="1:6" s="1" customFormat="1" ht="12" customHeight="1" thickBot="1">
      <c r="A45" s="97" t="s">
        <v>306</v>
      </c>
      <c r="B45" s="105" t="s">
        <v>475</v>
      </c>
      <c r="C45" s="518">
        <v>1107</v>
      </c>
      <c r="D45" s="518">
        <v>2375</v>
      </c>
      <c r="E45" s="874">
        <v>2020</v>
      </c>
      <c r="F45" s="589">
        <v>2020</v>
      </c>
    </row>
    <row r="46" spans="1:6" s="1" customFormat="1" ht="12" customHeight="1" thickBot="1">
      <c r="A46" s="18" t="s">
        <v>307</v>
      </c>
      <c r="B46" s="196" t="s">
        <v>352</v>
      </c>
      <c r="C46" s="264">
        <f>+C47+C48</f>
        <v>3715</v>
      </c>
      <c r="D46" s="264">
        <f>+D47+D48</f>
        <v>0</v>
      </c>
      <c r="E46" s="264">
        <f>+E47+E48</f>
        <v>50</v>
      </c>
      <c r="F46" s="120">
        <f>+F47+F48</f>
        <v>50</v>
      </c>
    </row>
    <row r="47" spans="1:6" s="1" customFormat="1" ht="12" customHeight="1">
      <c r="A47" s="13" t="s">
        <v>211</v>
      </c>
      <c r="B47" s="115" t="s">
        <v>353</v>
      </c>
      <c r="C47" s="517"/>
      <c r="D47" s="517"/>
      <c r="E47" s="581">
        <v>50</v>
      </c>
      <c r="F47" s="582">
        <v>50</v>
      </c>
    </row>
    <row r="48" spans="1:6" s="1" customFormat="1" ht="12" customHeight="1" thickBot="1">
      <c r="A48" s="11" t="s">
        <v>212</v>
      </c>
      <c r="B48" s="110" t="s">
        <v>357</v>
      </c>
      <c r="C48" s="519">
        <v>3715</v>
      </c>
      <c r="D48" s="519"/>
      <c r="E48" s="591"/>
      <c r="F48" s="596"/>
    </row>
    <row r="49" spans="1:6" s="1" customFormat="1" ht="12" customHeight="1" thickBot="1">
      <c r="A49" s="18" t="s">
        <v>152</v>
      </c>
      <c r="B49" s="196" t="s">
        <v>356</v>
      </c>
      <c r="C49" s="264">
        <f>+C50+C51+C52</f>
        <v>6082</v>
      </c>
      <c r="D49" s="264">
        <f>+D50+D51+D52</f>
        <v>0</v>
      </c>
      <c r="E49" s="264">
        <f>+E50+E51+E52</f>
        <v>3</v>
      </c>
      <c r="F49" s="120">
        <f>+F50+F51+F52</f>
        <v>3</v>
      </c>
    </row>
    <row r="50" spans="1:6" s="1" customFormat="1" ht="12" customHeight="1">
      <c r="A50" s="13" t="s">
        <v>310</v>
      </c>
      <c r="B50" s="115" t="s">
        <v>308</v>
      </c>
      <c r="C50" s="517">
        <v>5859</v>
      </c>
      <c r="D50" s="517"/>
      <c r="E50" s="581"/>
      <c r="F50" s="590"/>
    </row>
    <row r="51" spans="1:6" s="1" customFormat="1" ht="12" customHeight="1">
      <c r="A51" s="12" t="s">
        <v>311</v>
      </c>
      <c r="B51" s="102" t="s">
        <v>309</v>
      </c>
      <c r="C51" s="510"/>
      <c r="D51" s="510"/>
      <c r="E51" s="510"/>
      <c r="F51" s="523"/>
    </row>
    <row r="52" spans="1:6" s="1" customFormat="1" ht="12" customHeight="1" thickBot="1">
      <c r="A52" s="11" t="s">
        <v>399</v>
      </c>
      <c r="B52" s="110" t="s">
        <v>354</v>
      </c>
      <c r="C52" s="519">
        <v>223</v>
      </c>
      <c r="D52" s="519"/>
      <c r="E52" s="591">
        <v>3</v>
      </c>
      <c r="F52" s="592">
        <v>3</v>
      </c>
    </row>
    <row r="53" spans="1:6" s="1" customFormat="1" ht="17.25" customHeight="1" thickBot="1">
      <c r="A53" s="18" t="s">
        <v>312</v>
      </c>
      <c r="B53" s="527" t="s">
        <v>89</v>
      </c>
      <c r="C53" s="279"/>
      <c r="D53" s="528"/>
      <c r="E53" s="593">
        <v>1250</v>
      </c>
      <c r="F53" s="594">
        <v>5942</v>
      </c>
    </row>
    <row r="54" spans="1:6" s="1" customFormat="1" ht="12" customHeight="1" thickBot="1">
      <c r="A54" s="18" t="s">
        <v>154</v>
      </c>
      <c r="B54" s="21" t="s">
        <v>313</v>
      </c>
      <c r="C54" s="280">
        <f>+C7+C12+C23+C24+C33+C46+C49+C53</f>
        <v>540217</v>
      </c>
      <c r="D54" s="280">
        <f>+D7+D12+D23+D24+D33+D46+D49+D53</f>
        <v>226956</v>
      </c>
      <c r="E54" s="280">
        <f>+E7+E12+E23+E24+E33+E46+E49+E53</f>
        <v>395081</v>
      </c>
      <c r="F54" s="128">
        <f>+F7+F12+F23+F24+F33+F46+F49+F53</f>
        <v>399711</v>
      </c>
    </row>
    <row r="55" spans="1:6" s="1" customFormat="1" ht="12" customHeight="1" thickBot="1">
      <c r="A55" s="106" t="s">
        <v>155</v>
      </c>
      <c r="B55" s="101" t="s">
        <v>358</v>
      </c>
      <c r="C55" s="281">
        <f>+C56+C62</f>
        <v>44600</v>
      </c>
      <c r="D55" s="281">
        <f>+D56+D62</f>
        <v>65000</v>
      </c>
      <c r="E55" s="281">
        <f>+E56+E62</f>
        <v>70965</v>
      </c>
      <c r="F55" s="129">
        <f>+F56+F62</f>
        <v>70965</v>
      </c>
    </row>
    <row r="56" spans="1:6" s="1" customFormat="1" ht="12" customHeight="1">
      <c r="A56" s="197" t="s">
        <v>255</v>
      </c>
      <c r="B56" s="195" t="s">
        <v>439</v>
      </c>
      <c r="C56" s="529">
        <f>+C57+C58+C59+C60+C61</f>
        <v>44600</v>
      </c>
      <c r="D56" s="271">
        <f>+D57+D58+D59+D60+D61</f>
        <v>65000</v>
      </c>
      <c r="E56" s="597">
        <f>+E57+E58+E59+E60+E61</f>
        <v>70965</v>
      </c>
      <c r="F56" s="598">
        <f>+F57+F58+F59+F60+F61</f>
        <v>70965</v>
      </c>
    </row>
    <row r="57" spans="1:6" s="1" customFormat="1" ht="12" customHeight="1">
      <c r="A57" s="107" t="s">
        <v>370</v>
      </c>
      <c r="B57" s="102" t="s">
        <v>359</v>
      </c>
      <c r="C57" s="510">
        <v>44600</v>
      </c>
      <c r="D57" s="510">
        <v>65000</v>
      </c>
      <c r="E57" s="522">
        <v>70965</v>
      </c>
      <c r="F57" s="523">
        <v>70965</v>
      </c>
    </row>
    <row r="58" spans="1:6" s="1" customFormat="1" ht="12" customHeight="1">
      <c r="A58" s="107" t="s">
        <v>371</v>
      </c>
      <c r="B58" s="102" t="s">
        <v>360</v>
      </c>
      <c r="C58" s="510"/>
      <c r="D58" s="510"/>
      <c r="E58" s="510"/>
      <c r="F58" s="523"/>
    </row>
    <row r="59" spans="1:6" s="1" customFormat="1" ht="12" customHeight="1">
      <c r="A59" s="107" t="s">
        <v>372</v>
      </c>
      <c r="B59" s="102" t="s">
        <v>361</v>
      </c>
      <c r="C59" s="510"/>
      <c r="D59" s="510"/>
      <c r="E59" s="510"/>
      <c r="F59" s="523"/>
    </row>
    <row r="60" spans="1:6" s="1" customFormat="1" ht="12" customHeight="1">
      <c r="A60" s="107" t="s">
        <v>373</v>
      </c>
      <c r="B60" s="102" t="s">
        <v>362</v>
      </c>
      <c r="C60" s="510"/>
      <c r="D60" s="510"/>
      <c r="E60" s="510"/>
      <c r="F60" s="523"/>
    </row>
    <row r="61" spans="1:6" s="1" customFormat="1" ht="12" customHeight="1">
      <c r="A61" s="107" t="s">
        <v>374</v>
      </c>
      <c r="B61" s="102" t="s">
        <v>363</v>
      </c>
      <c r="C61" s="510"/>
      <c r="D61" s="510"/>
      <c r="E61" s="510"/>
      <c r="F61" s="523"/>
    </row>
    <row r="62" spans="1:6" s="1" customFormat="1" ht="12" customHeight="1">
      <c r="A62" s="108" t="s">
        <v>256</v>
      </c>
      <c r="B62" s="103" t="s">
        <v>438</v>
      </c>
      <c r="C62" s="520">
        <f>+C63+C64+C65+C66+C67</f>
        <v>0</v>
      </c>
      <c r="D62" s="520">
        <f>+D63+D64+D65+D66+D67</f>
        <v>0</v>
      </c>
      <c r="E62" s="520"/>
      <c r="F62" s="595">
        <f>+F63+F64+F65+F66+F67</f>
        <v>0</v>
      </c>
    </row>
    <row r="63" spans="1:6" s="1" customFormat="1" ht="12" customHeight="1">
      <c r="A63" s="107" t="s">
        <v>375</v>
      </c>
      <c r="B63" s="102" t="s">
        <v>364</v>
      </c>
      <c r="C63" s="510"/>
      <c r="D63" s="510"/>
      <c r="E63" s="510"/>
      <c r="F63" s="523"/>
    </row>
    <row r="64" spans="1:6" s="1" customFormat="1" ht="12" customHeight="1">
      <c r="A64" s="107" t="s">
        <v>376</v>
      </c>
      <c r="B64" s="102" t="s">
        <v>365</v>
      </c>
      <c r="C64" s="510"/>
      <c r="D64" s="510"/>
      <c r="E64" s="510"/>
      <c r="F64" s="523"/>
    </row>
    <row r="65" spans="1:6" s="1" customFormat="1" ht="12" customHeight="1">
      <c r="A65" s="107" t="s">
        <v>377</v>
      </c>
      <c r="B65" s="102" t="s">
        <v>366</v>
      </c>
      <c r="C65" s="510"/>
      <c r="D65" s="510"/>
      <c r="E65" s="510"/>
      <c r="F65" s="523"/>
    </row>
    <row r="66" spans="1:6" s="1" customFormat="1" ht="12" customHeight="1">
      <c r="A66" s="107" t="s">
        <v>378</v>
      </c>
      <c r="B66" s="102" t="s">
        <v>367</v>
      </c>
      <c r="C66" s="510"/>
      <c r="D66" s="510"/>
      <c r="E66" s="510"/>
      <c r="F66" s="523"/>
    </row>
    <row r="67" spans="1:6" s="1" customFormat="1" ht="12" customHeight="1" thickBot="1">
      <c r="A67" s="109" t="s">
        <v>379</v>
      </c>
      <c r="B67" s="110" t="s">
        <v>368</v>
      </c>
      <c r="C67" s="521"/>
      <c r="D67" s="521"/>
      <c r="E67" s="562"/>
      <c r="F67" s="589"/>
    </row>
    <row r="68" spans="1:6" s="1" customFormat="1" ht="12" customHeight="1" thickBot="1">
      <c r="A68" s="111" t="s">
        <v>156</v>
      </c>
      <c r="B68" s="198" t="s">
        <v>436</v>
      </c>
      <c r="C68" s="281">
        <f>+C54+C55</f>
        <v>584817</v>
      </c>
      <c r="D68" s="281">
        <f>+D54+D55</f>
        <v>291956</v>
      </c>
      <c r="E68" s="281">
        <f>+E54+E55</f>
        <v>466046</v>
      </c>
      <c r="F68" s="129">
        <f>+F54+F55</f>
        <v>470676</v>
      </c>
    </row>
    <row r="69" spans="1:6" s="1" customFormat="1" ht="13.5" customHeight="1" thickBot="1">
      <c r="A69" s="112" t="s">
        <v>157</v>
      </c>
      <c r="B69" s="199" t="s">
        <v>369</v>
      </c>
      <c r="C69" s="282">
        <v>294</v>
      </c>
      <c r="D69" s="282"/>
      <c r="E69" s="282"/>
      <c r="F69" s="137">
        <v>759</v>
      </c>
    </row>
    <row r="70" spans="1:6" s="1" customFormat="1" ht="12" customHeight="1" thickBot="1">
      <c r="A70" s="111" t="s">
        <v>158</v>
      </c>
      <c r="B70" s="198" t="s">
        <v>437</v>
      </c>
      <c r="C70" s="283">
        <f>+C68+C69</f>
        <v>585111</v>
      </c>
      <c r="D70" s="283">
        <f>+D68+D69</f>
        <v>291956</v>
      </c>
      <c r="E70" s="283">
        <f>+E68+E69</f>
        <v>466046</v>
      </c>
      <c r="F70" s="138">
        <f>+F68+F69</f>
        <v>471435</v>
      </c>
    </row>
    <row r="71" spans="1:6" s="1" customFormat="1" ht="83.25" customHeight="1">
      <c r="A71" s="3"/>
      <c r="B71" s="4"/>
      <c r="C71" s="4"/>
      <c r="D71" s="132"/>
      <c r="E71" s="132"/>
      <c r="F71" s="132"/>
    </row>
    <row r="72" spans="1:6" ht="16.5" customHeight="1">
      <c r="A72" s="1156" t="s">
        <v>174</v>
      </c>
      <c r="B72" s="1156"/>
      <c r="C72" s="1156"/>
      <c r="D72" s="1156"/>
      <c r="E72" s="1156"/>
      <c r="F72" s="1156"/>
    </row>
    <row r="73" spans="1:6" s="139" customFormat="1" ht="16.5" customHeight="1" thickBot="1">
      <c r="A73" s="208" t="s">
        <v>263</v>
      </c>
      <c r="B73" s="208"/>
      <c r="C73" s="208"/>
      <c r="D73" s="67"/>
      <c r="E73" s="67"/>
      <c r="F73" s="67" t="s">
        <v>398</v>
      </c>
    </row>
    <row r="74" spans="1:6" s="139" customFormat="1" ht="16.5" customHeight="1">
      <c r="A74" s="1157" t="s">
        <v>195</v>
      </c>
      <c r="B74" s="1159" t="s">
        <v>481</v>
      </c>
      <c r="C74" s="1227" t="s">
        <v>666</v>
      </c>
      <c r="D74" s="1161" t="s">
        <v>126</v>
      </c>
      <c r="E74" s="1161"/>
      <c r="F74" s="1162"/>
    </row>
    <row r="75" spans="1:6" ht="37.5" customHeight="1" thickBot="1">
      <c r="A75" s="1158"/>
      <c r="B75" s="1160"/>
      <c r="C75" s="1228"/>
      <c r="D75" s="210" t="s">
        <v>482</v>
      </c>
      <c r="E75" s="210" t="s">
        <v>489</v>
      </c>
      <c r="F75" s="211" t="s">
        <v>490</v>
      </c>
    </row>
    <row r="76" spans="1:6" s="30" customFormat="1" ht="12" customHeight="1" thickBot="1">
      <c r="A76" s="26">
        <v>1</v>
      </c>
      <c r="B76" s="27">
        <v>2</v>
      </c>
      <c r="C76" s="27">
        <v>3</v>
      </c>
      <c r="D76" s="27">
        <v>4</v>
      </c>
      <c r="E76" s="27">
        <v>5</v>
      </c>
      <c r="F76" s="28">
        <v>6</v>
      </c>
    </row>
    <row r="77" spans="1:6" ht="12" customHeight="1" thickBot="1">
      <c r="A77" s="20" t="s">
        <v>145</v>
      </c>
      <c r="B77" s="25" t="s">
        <v>314</v>
      </c>
      <c r="C77" s="263">
        <f>+C78+C79+C80+C81+C82</f>
        <v>489679</v>
      </c>
      <c r="D77" s="263">
        <f>+D78+D79+D80+D81+D82</f>
        <v>253288</v>
      </c>
      <c r="E77" s="263">
        <f>+E78+E79+E80+E81+E82</f>
        <v>333066</v>
      </c>
      <c r="F77" s="119">
        <f>+F78+F79+F80+F81+F82</f>
        <v>299727</v>
      </c>
    </row>
    <row r="78" spans="1:6" ht="12" customHeight="1">
      <c r="A78" s="15" t="s">
        <v>217</v>
      </c>
      <c r="B78" s="8" t="s">
        <v>175</v>
      </c>
      <c r="C78" s="516">
        <v>76182</v>
      </c>
      <c r="D78" s="516">
        <v>82664</v>
      </c>
      <c r="E78" s="581">
        <f>60953+19809+11872+11956</f>
        <v>104590</v>
      </c>
      <c r="F78" s="582">
        <v>101788</v>
      </c>
    </row>
    <row r="79" spans="1:6" ht="12" customHeight="1">
      <c r="A79" s="12" t="s">
        <v>218</v>
      </c>
      <c r="B79" s="6" t="s">
        <v>315</v>
      </c>
      <c r="C79" s="510">
        <v>18833</v>
      </c>
      <c r="D79" s="510">
        <v>19234</v>
      </c>
      <c r="E79" s="510">
        <f>13443+5085+3122+3137</f>
        <v>24787</v>
      </c>
      <c r="F79" s="583">
        <v>24358</v>
      </c>
    </row>
    <row r="80" spans="1:6" ht="12" customHeight="1">
      <c r="A80" s="12" t="s">
        <v>219</v>
      </c>
      <c r="B80" s="6" t="s">
        <v>248</v>
      </c>
      <c r="C80" s="518">
        <v>321380</v>
      </c>
      <c r="D80" s="518">
        <v>102152</v>
      </c>
      <c r="E80" s="518">
        <f>120352+15950+14799+4792</f>
        <v>155893</v>
      </c>
      <c r="F80" s="588">
        <v>125786</v>
      </c>
    </row>
    <row r="81" spans="1:6" ht="12" customHeight="1">
      <c r="A81" s="12" t="s">
        <v>220</v>
      </c>
      <c r="B81" s="9" t="s">
        <v>316</v>
      </c>
      <c r="C81" s="518"/>
      <c r="D81" s="518"/>
      <c r="E81" s="518"/>
      <c r="F81" s="588"/>
    </row>
    <row r="82" spans="1:6" ht="12" customHeight="1">
      <c r="A82" s="12" t="s">
        <v>231</v>
      </c>
      <c r="B82" s="17" t="s">
        <v>317</v>
      </c>
      <c r="C82" s="518">
        <f>SUM(C83:C89)</f>
        <v>73284</v>
      </c>
      <c r="D82" s="518">
        <f>SUM(D83:D89)</f>
        <v>49238</v>
      </c>
      <c r="E82" s="510">
        <f>SUM(E83:E89)</f>
        <v>47796</v>
      </c>
      <c r="F82" s="510">
        <f>SUM(F83:F89)</f>
        <v>47795</v>
      </c>
    </row>
    <row r="83" spans="1:6" ht="12" customHeight="1">
      <c r="A83" s="12" t="s">
        <v>221</v>
      </c>
      <c r="B83" s="6" t="s">
        <v>334</v>
      </c>
      <c r="C83" s="518"/>
      <c r="D83" s="518"/>
      <c r="E83" s="519"/>
      <c r="F83" s="588"/>
    </row>
    <row r="84" spans="1:6" ht="12" customHeight="1">
      <c r="A84" s="12" t="s">
        <v>222</v>
      </c>
      <c r="B84" s="68" t="s">
        <v>335</v>
      </c>
      <c r="C84" s="518">
        <v>58310</v>
      </c>
      <c r="D84" s="518">
        <v>45093</v>
      </c>
      <c r="E84" s="518">
        <f>531+42336</f>
        <v>42867</v>
      </c>
      <c r="F84" s="588">
        <v>42866</v>
      </c>
    </row>
    <row r="85" spans="1:6" ht="12" customHeight="1">
      <c r="A85" s="12" t="s">
        <v>232</v>
      </c>
      <c r="B85" s="68" t="s">
        <v>380</v>
      </c>
      <c r="C85" s="518">
        <f>2838+8958</f>
        <v>11796</v>
      </c>
      <c r="D85" s="518">
        <v>3836</v>
      </c>
      <c r="E85" s="518">
        <v>2188</v>
      </c>
      <c r="F85" s="588">
        <v>2188</v>
      </c>
    </row>
    <row r="86" spans="1:6" ht="12" customHeight="1">
      <c r="A86" s="12" t="s">
        <v>233</v>
      </c>
      <c r="B86" s="69" t="s">
        <v>336</v>
      </c>
      <c r="C86" s="518">
        <v>3178</v>
      </c>
      <c r="D86" s="518">
        <v>309</v>
      </c>
      <c r="E86" s="518">
        <v>2741</v>
      </c>
      <c r="F86" s="588">
        <v>2741</v>
      </c>
    </row>
    <row r="87" spans="1:6" ht="12" customHeight="1">
      <c r="A87" s="11" t="s">
        <v>234</v>
      </c>
      <c r="B87" s="70" t="s">
        <v>337</v>
      </c>
      <c r="C87" s="518"/>
      <c r="D87" s="518"/>
      <c r="E87" s="518"/>
      <c r="F87" s="588"/>
    </row>
    <row r="88" spans="1:6" ht="12" customHeight="1">
      <c r="A88" s="12" t="s">
        <v>235</v>
      </c>
      <c r="B88" s="70" t="s">
        <v>338</v>
      </c>
      <c r="C88" s="518"/>
      <c r="D88" s="518"/>
      <c r="E88" s="518"/>
      <c r="F88" s="588"/>
    </row>
    <row r="89" spans="1:6" ht="12" customHeight="1" thickBot="1">
      <c r="A89" s="16" t="s">
        <v>237</v>
      </c>
      <c r="B89" s="71" t="s">
        <v>339</v>
      </c>
      <c r="C89" s="521"/>
      <c r="D89" s="521"/>
      <c r="E89" s="562"/>
      <c r="F89" s="584"/>
    </row>
    <row r="90" spans="1:6" ht="12" customHeight="1" thickBot="1">
      <c r="A90" s="18" t="s">
        <v>146</v>
      </c>
      <c r="B90" s="24" t="s">
        <v>400</v>
      </c>
      <c r="C90" s="264">
        <f>+C91+C92+C93</f>
        <v>8855</v>
      </c>
      <c r="D90" s="264">
        <f>+D91+D92+D93</f>
        <v>21758</v>
      </c>
      <c r="E90" s="264">
        <f>+E91+E92+E93</f>
        <v>119604</v>
      </c>
      <c r="F90" s="120">
        <f>+F91+F92+F93</f>
        <v>18942</v>
      </c>
    </row>
    <row r="91" spans="1:6" ht="12" customHeight="1">
      <c r="A91" s="13" t="s">
        <v>225</v>
      </c>
      <c r="B91" s="6" t="s">
        <v>381</v>
      </c>
      <c r="C91" s="517">
        <v>8281</v>
      </c>
      <c r="D91" s="517">
        <v>2756</v>
      </c>
      <c r="E91" s="581">
        <f>2319+170</f>
        <v>2489</v>
      </c>
      <c r="F91" s="582">
        <v>2490</v>
      </c>
    </row>
    <row r="92" spans="1:6" ht="12" customHeight="1">
      <c r="A92" s="13" t="s">
        <v>226</v>
      </c>
      <c r="B92" s="10" t="s">
        <v>318</v>
      </c>
      <c r="C92" s="510"/>
      <c r="D92" s="510">
        <v>19002</v>
      </c>
      <c r="E92" s="518">
        <f>19002+67</f>
        <v>19069</v>
      </c>
      <c r="F92" s="583">
        <v>4406</v>
      </c>
    </row>
    <row r="93" spans="1:6" ht="12" customHeight="1">
      <c r="A93" s="13" t="s">
        <v>227</v>
      </c>
      <c r="B93" s="102" t="s">
        <v>401</v>
      </c>
      <c r="C93" s="510">
        <f>SUM(C94:C100)</f>
        <v>574</v>
      </c>
      <c r="D93" s="510">
        <f>SUM(D94:D100)</f>
        <v>0</v>
      </c>
      <c r="E93" s="510">
        <f>SUM(E94:E100)</f>
        <v>98046</v>
      </c>
      <c r="F93" s="510">
        <f>SUM(F94:F100)</f>
        <v>12046</v>
      </c>
    </row>
    <row r="94" spans="1:6" ht="12" customHeight="1">
      <c r="A94" s="13" t="s">
        <v>228</v>
      </c>
      <c r="B94" s="102" t="s">
        <v>476</v>
      </c>
      <c r="C94" s="510"/>
      <c r="D94" s="510"/>
      <c r="E94" s="517"/>
      <c r="F94" s="583"/>
    </row>
    <row r="95" spans="1:6" ht="12" customHeight="1">
      <c r="A95" s="13" t="s">
        <v>229</v>
      </c>
      <c r="B95" s="102" t="s">
        <v>414</v>
      </c>
      <c r="C95" s="510"/>
      <c r="D95" s="510"/>
      <c r="E95" s="510">
        <v>98008</v>
      </c>
      <c r="F95" s="583">
        <v>12008</v>
      </c>
    </row>
    <row r="96" spans="1:6" ht="15.75">
      <c r="A96" s="13" t="s">
        <v>236</v>
      </c>
      <c r="B96" s="102" t="s">
        <v>415</v>
      </c>
      <c r="C96" s="510"/>
      <c r="D96" s="510"/>
      <c r="E96" s="510">
        <v>38</v>
      </c>
      <c r="F96" s="583">
        <v>38</v>
      </c>
    </row>
    <row r="97" spans="1:6" ht="12" customHeight="1">
      <c r="A97" s="13" t="s">
        <v>238</v>
      </c>
      <c r="B97" s="200" t="s">
        <v>383</v>
      </c>
      <c r="C97" s="510"/>
      <c r="D97" s="510"/>
      <c r="E97" s="510"/>
      <c r="F97" s="583"/>
    </row>
    <row r="98" spans="1:6" ht="12" customHeight="1">
      <c r="A98" s="13" t="s">
        <v>319</v>
      </c>
      <c r="B98" s="200" t="s">
        <v>384</v>
      </c>
      <c r="C98" s="510"/>
      <c r="D98" s="510"/>
      <c r="E98" s="510"/>
      <c r="F98" s="583"/>
    </row>
    <row r="99" spans="1:6" ht="21.75" customHeight="1">
      <c r="A99" s="13" t="s">
        <v>320</v>
      </c>
      <c r="B99" s="200" t="s">
        <v>382</v>
      </c>
      <c r="C99" s="510">
        <v>574</v>
      </c>
      <c r="D99" s="510"/>
      <c r="E99" s="510"/>
      <c r="F99" s="583"/>
    </row>
    <row r="100" spans="1:6" ht="24" customHeight="1" thickBot="1">
      <c r="A100" s="11" t="s">
        <v>321</v>
      </c>
      <c r="B100" s="201" t="s">
        <v>502</v>
      </c>
      <c r="C100" s="518"/>
      <c r="D100" s="518"/>
      <c r="E100" s="562"/>
      <c r="F100" s="584"/>
    </row>
    <row r="101" spans="1:6" ht="12" customHeight="1" thickBot="1">
      <c r="A101" s="18" t="s">
        <v>147</v>
      </c>
      <c r="B101" s="58" t="s">
        <v>416</v>
      </c>
      <c r="C101" s="264">
        <f>+C102+C103</f>
        <v>0</v>
      </c>
      <c r="D101" s="264">
        <f>+D102+D103</f>
        <v>16910</v>
      </c>
      <c r="E101" s="264">
        <f>+E102+E103</f>
        <v>13376</v>
      </c>
      <c r="F101" s="120">
        <f>+F102+F103</f>
        <v>0</v>
      </c>
    </row>
    <row r="102" spans="1:6" ht="12" customHeight="1">
      <c r="A102" s="13" t="s">
        <v>197</v>
      </c>
      <c r="B102" s="7" t="s">
        <v>185</v>
      </c>
      <c r="C102" s="517"/>
      <c r="D102" s="517">
        <v>11910</v>
      </c>
      <c r="E102" s="581">
        <v>8376</v>
      </c>
      <c r="F102" s="582"/>
    </row>
    <row r="103" spans="1:6" ht="12" customHeight="1" thickBot="1">
      <c r="A103" s="14" t="s">
        <v>198</v>
      </c>
      <c r="B103" s="10" t="s">
        <v>186</v>
      </c>
      <c r="C103" s="518"/>
      <c r="D103" s="518">
        <v>5000</v>
      </c>
      <c r="E103" s="562">
        <v>5000</v>
      </c>
      <c r="F103" s="584"/>
    </row>
    <row r="104" spans="1:6" s="100" customFormat="1" ht="12" customHeight="1" thickBot="1">
      <c r="A104" s="106" t="s">
        <v>148</v>
      </c>
      <c r="B104" s="101" t="s">
        <v>385</v>
      </c>
      <c r="C104" s="284"/>
      <c r="D104" s="279"/>
      <c r="E104" s="284"/>
      <c r="F104" s="285"/>
    </row>
    <row r="105" spans="1:6" ht="12" customHeight="1" thickBot="1">
      <c r="A105" s="98" t="s">
        <v>149</v>
      </c>
      <c r="B105" s="99" t="s">
        <v>267</v>
      </c>
      <c r="C105" s="263">
        <f>+C77+C90+C101+C104</f>
        <v>498534</v>
      </c>
      <c r="D105" s="263">
        <f>+D77+D90+D101+D104</f>
        <v>291956</v>
      </c>
      <c r="E105" s="263">
        <f>+E77+E90+E101+E104</f>
        <v>466046</v>
      </c>
      <c r="F105" s="119">
        <f>+F77+F90+F101+F104</f>
        <v>318669</v>
      </c>
    </row>
    <row r="106" spans="1:6" ht="12" customHeight="1" thickBot="1">
      <c r="A106" s="106" t="s">
        <v>150</v>
      </c>
      <c r="B106" s="101" t="s">
        <v>477</v>
      </c>
      <c r="C106" s="264">
        <f>+C107+C115</f>
        <v>4286</v>
      </c>
      <c r="D106" s="264">
        <f>+D107+D115</f>
        <v>0</v>
      </c>
      <c r="E106" s="264">
        <f>+E107+E115</f>
        <v>0</v>
      </c>
      <c r="F106" s="120">
        <f>+F107+F115</f>
        <v>0</v>
      </c>
    </row>
    <row r="107" spans="1:6" ht="12" customHeight="1" thickBot="1">
      <c r="A107" s="113" t="s">
        <v>204</v>
      </c>
      <c r="B107" s="202" t="s">
        <v>78</v>
      </c>
      <c r="C107" s="264">
        <f>+C108+C109+C110+C111+C112+C113+C114</f>
        <v>3320</v>
      </c>
      <c r="D107" s="264">
        <f>+D108+D109+D110+D111+D112+D113+D114</f>
        <v>0</v>
      </c>
      <c r="E107" s="264">
        <f>+E108+E109+E110+E111+E112+E113+E114</f>
        <v>0</v>
      </c>
      <c r="F107" s="120">
        <f>+F108+F109+F110+F111+F112+F113+F114</f>
        <v>0</v>
      </c>
    </row>
    <row r="108" spans="1:6" ht="12" customHeight="1">
      <c r="A108" s="114" t="s">
        <v>207</v>
      </c>
      <c r="B108" s="115" t="s">
        <v>386</v>
      </c>
      <c r="C108" s="563"/>
      <c r="D108" s="563"/>
      <c r="E108" s="604"/>
      <c r="F108" s="582"/>
    </row>
    <row r="109" spans="1:6" ht="12" customHeight="1">
      <c r="A109" s="107" t="s">
        <v>208</v>
      </c>
      <c r="B109" s="102" t="s">
        <v>387</v>
      </c>
      <c r="C109" s="564"/>
      <c r="D109" s="564"/>
      <c r="E109" s="564"/>
      <c r="F109" s="583"/>
    </row>
    <row r="110" spans="1:6" ht="12" customHeight="1">
      <c r="A110" s="107" t="s">
        <v>209</v>
      </c>
      <c r="B110" s="102" t="s">
        <v>388</v>
      </c>
      <c r="C110" s="564"/>
      <c r="D110" s="564"/>
      <c r="E110" s="564"/>
      <c r="F110" s="583"/>
    </row>
    <row r="111" spans="1:6" ht="12" customHeight="1">
      <c r="A111" s="107" t="s">
        <v>210</v>
      </c>
      <c r="B111" s="102" t="s">
        <v>389</v>
      </c>
      <c r="C111" s="564">
        <v>3320</v>
      </c>
      <c r="D111" s="564"/>
      <c r="E111" s="564"/>
      <c r="F111" s="583"/>
    </row>
    <row r="112" spans="1:6" ht="12" customHeight="1">
      <c r="A112" s="107" t="s">
        <v>305</v>
      </c>
      <c r="B112" s="102" t="s">
        <v>390</v>
      </c>
      <c r="C112" s="564"/>
      <c r="D112" s="564"/>
      <c r="E112" s="564"/>
      <c r="F112" s="583"/>
    </row>
    <row r="113" spans="1:6" ht="12" customHeight="1">
      <c r="A113" s="107" t="s">
        <v>322</v>
      </c>
      <c r="B113" s="102" t="s">
        <v>391</v>
      </c>
      <c r="C113" s="564"/>
      <c r="D113" s="564"/>
      <c r="E113" s="564"/>
      <c r="F113" s="583"/>
    </row>
    <row r="114" spans="1:6" ht="12" customHeight="1" thickBot="1">
      <c r="A114" s="116" t="s">
        <v>323</v>
      </c>
      <c r="B114" s="117" t="s">
        <v>392</v>
      </c>
      <c r="C114" s="565"/>
      <c r="D114" s="565"/>
      <c r="E114" s="605"/>
      <c r="F114" s="584"/>
    </row>
    <row r="115" spans="1:6" ht="12" customHeight="1" thickBot="1">
      <c r="A115" s="113" t="s">
        <v>205</v>
      </c>
      <c r="B115" s="202" t="s">
        <v>79</v>
      </c>
      <c r="C115" s="264">
        <f>+C116+C117+C118+C119+C120+C121+C122+C123</f>
        <v>966</v>
      </c>
      <c r="D115" s="264">
        <f>+D116+D117+D118+D119+D120+D121+D122+D123</f>
        <v>0</v>
      </c>
      <c r="E115" s="264">
        <f>+E116+E117+E118+E119+E120+E121+E122+E123</f>
        <v>0</v>
      </c>
      <c r="F115" s="120">
        <f>+F116+F117+F118+F119+F120+F121+F122+F123</f>
        <v>0</v>
      </c>
    </row>
    <row r="116" spans="1:6" ht="12" customHeight="1">
      <c r="A116" s="114" t="s">
        <v>213</v>
      </c>
      <c r="B116" s="115" t="s">
        <v>386</v>
      </c>
      <c r="C116" s="563"/>
      <c r="D116" s="563"/>
      <c r="E116" s="604"/>
      <c r="F116" s="582"/>
    </row>
    <row r="117" spans="1:6" ht="12" customHeight="1">
      <c r="A117" s="107" t="s">
        <v>214</v>
      </c>
      <c r="B117" s="102" t="s">
        <v>393</v>
      </c>
      <c r="C117" s="564"/>
      <c r="D117" s="564"/>
      <c r="E117" s="564"/>
      <c r="F117" s="583"/>
    </row>
    <row r="118" spans="1:6" ht="12" customHeight="1">
      <c r="A118" s="107" t="s">
        <v>215</v>
      </c>
      <c r="B118" s="102" t="s">
        <v>388</v>
      </c>
      <c r="C118" s="564"/>
      <c r="D118" s="564"/>
      <c r="E118" s="564"/>
      <c r="F118" s="583"/>
    </row>
    <row r="119" spans="1:6" ht="12" customHeight="1">
      <c r="A119" s="107" t="s">
        <v>216</v>
      </c>
      <c r="B119" s="102" t="s">
        <v>389</v>
      </c>
      <c r="C119" s="564">
        <v>966</v>
      </c>
      <c r="D119" s="564"/>
      <c r="E119" s="564"/>
      <c r="F119" s="583"/>
    </row>
    <row r="120" spans="1:6" ht="12" customHeight="1">
      <c r="A120" s="107" t="s">
        <v>306</v>
      </c>
      <c r="B120" s="102" t="s">
        <v>390</v>
      </c>
      <c r="C120" s="564"/>
      <c r="D120" s="564"/>
      <c r="E120" s="564"/>
      <c r="F120" s="583"/>
    </row>
    <row r="121" spans="1:6" ht="12" customHeight="1">
      <c r="A121" s="107" t="s">
        <v>324</v>
      </c>
      <c r="B121" s="102" t="s">
        <v>394</v>
      </c>
      <c r="C121" s="564"/>
      <c r="D121" s="564"/>
      <c r="E121" s="564"/>
      <c r="F121" s="583"/>
    </row>
    <row r="122" spans="1:6" ht="12" customHeight="1">
      <c r="A122" s="107" t="s">
        <v>325</v>
      </c>
      <c r="B122" s="102" t="s">
        <v>392</v>
      </c>
      <c r="C122" s="564"/>
      <c r="D122" s="564"/>
      <c r="E122" s="564"/>
      <c r="F122" s="583"/>
    </row>
    <row r="123" spans="1:6" ht="12" customHeight="1" thickBot="1">
      <c r="A123" s="116" t="s">
        <v>326</v>
      </c>
      <c r="B123" s="117" t="s">
        <v>478</v>
      </c>
      <c r="C123" s="565"/>
      <c r="D123" s="565"/>
      <c r="E123" s="605"/>
      <c r="F123" s="584"/>
    </row>
    <row r="124" spans="1:6" ht="12" customHeight="1" thickBot="1">
      <c r="A124" s="106" t="s">
        <v>151</v>
      </c>
      <c r="B124" s="198" t="s">
        <v>395</v>
      </c>
      <c r="C124" s="286">
        <f>+C105+C106</f>
        <v>502820</v>
      </c>
      <c r="D124" s="286">
        <f>+D105+D106</f>
        <v>291956</v>
      </c>
      <c r="E124" s="286">
        <f>+E105+E106</f>
        <v>466046</v>
      </c>
      <c r="F124" s="133">
        <f>+F105+F106</f>
        <v>318669</v>
      </c>
    </row>
    <row r="125" spans="1:10" ht="15" customHeight="1" thickBot="1">
      <c r="A125" s="106" t="s">
        <v>152</v>
      </c>
      <c r="B125" s="198" t="s">
        <v>396</v>
      </c>
      <c r="C125" s="566">
        <v>3016</v>
      </c>
      <c r="D125" s="566"/>
      <c r="E125" s="606"/>
      <c r="F125" s="134">
        <v>-1916</v>
      </c>
      <c r="G125" s="31"/>
      <c r="H125" s="59"/>
      <c r="I125" s="59"/>
      <c r="J125" s="59"/>
    </row>
    <row r="126" spans="1:6" s="1" customFormat="1" ht="12.75" customHeight="1" thickBot="1">
      <c r="A126" s="118" t="s">
        <v>153</v>
      </c>
      <c r="B126" s="199" t="s">
        <v>397</v>
      </c>
      <c r="C126" s="281">
        <f>+C124+C125</f>
        <v>505836</v>
      </c>
      <c r="D126" s="281">
        <f>+D124+D125</f>
        <v>291956</v>
      </c>
      <c r="E126" s="281">
        <f>+E124+E125</f>
        <v>466046</v>
      </c>
      <c r="F126" s="129">
        <f>+F124+F125</f>
        <v>316753</v>
      </c>
    </row>
    <row r="127" spans="1:6" ht="7.5" customHeight="1">
      <c r="A127" s="203"/>
      <c r="B127" s="203"/>
      <c r="C127" s="203"/>
      <c r="D127" s="204"/>
      <c r="E127" s="204"/>
      <c r="F127" s="204"/>
    </row>
    <row r="128" spans="1:6" ht="7.5" customHeight="1">
      <c r="A128" s="203"/>
      <c r="B128" s="203"/>
      <c r="C128" s="203"/>
      <c r="D128" s="204"/>
      <c r="E128" s="204"/>
      <c r="F128" s="204"/>
    </row>
    <row r="130" ht="12.75" customHeight="1"/>
    <row r="131" ht="13.5" customHeight="1"/>
    <row r="132" ht="13.5" customHeight="1"/>
    <row r="133" ht="13.5" customHeight="1"/>
    <row r="134" ht="7.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</sheetData>
  <sheetProtection/>
  <mergeCells count="10">
    <mergeCell ref="A72:F72"/>
    <mergeCell ref="A74:A75"/>
    <mergeCell ref="B74:B75"/>
    <mergeCell ref="D74:F74"/>
    <mergeCell ref="C74:C75"/>
    <mergeCell ref="A1:F1"/>
    <mergeCell ref="A3:A4"/>
    <mergeCell ref="B3:B4"/>
    <mergeCell ref="D3:F3"/>
    <mergeCell ref="C3:C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Alattyán Községi Önkormányzat
2013. ÉVI ZÁRSZÁMADÁSÁNAK PÉNZÜGYI MÉRLEGE&amp;10
&amp;R&amp;"Times New Roman CE,Félkövér dőlt"&amp;11 1. tájékoztató tábla a ....../2014. (......) önkormányzati rendelethez</oddHeader>
  </headerFooter>
  <rowBreaks count="1" manualBreakCount="1">
    <brk id="71" max="4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workbookViewId="0" topLeftCell="A1">
      <selection activeCell="F53" sqref="F53:F54"/>
    </sheetView>
  </sheetViews>
  <sheetFormatPr defaultColWidth="9.00390625" defaultRowHeight="12.75"/>
  <cols>
    <col min="1" max="1" width="6.875" style="33" customWidth="1"/>
    <col min="2" max="2" width="36.00390625" style="32" customWidth="1"/>
    <col min="3" max="3" width="17.00390625" style="32" customWidth="1"/>
    <col min="4" max="8" width="12.875" style="32" customWidth="1"/>
    <col min="9" max="9" width="13.875" style="32" customWidth="1"/>
    <col min="10" max="16384" width="9.375" style="32" customWidth="1"/>
  </cols>
  <sheetData>
    <row r="1" spans="1:9" ht="14.25" thickBot="1">
      <c r="A1" s="298"/>
      <c r="B1" s="299"/>
      <c r="C1" s="299"/>
      <c r="D1" s="299"/>
      <c r="E1" s="299"/>
      <c r="F1" s="299"/>
      <c r="G1" s="299"/>
      <c r="H1" s="299"/>
      <c r="I1" s="300" t="s">
        <v>187</v>
      </c>
    </row>
    <row r="2" spans="1:9" s="303" customFormat="1" ht="26.25" customHeight="1">
      <c r="A2" s="1233" t="s">
        <v>195</v>
      </c>
      <c r="B2" s="1229" t="s">
        <v>667</v>
      </c>
      <c r="C2" s="1229" t="s">
        <v>668</v>
      </c>
      <c r="D2" s="1229" t="s">
        <v>669</v>
      </c>
      <c r="E2" s="1229" t="s">
        <v>67</v>
      </c>
      <c r="F2" s="301" t="s">
        <v>670</v>
      </c>
      <c r="G2" s="302"/>
      <c r="H2" s="302"/>
      <c r="I2" s="1231" t="s">
        <v>671</v>
      </c>
    </row>
    <row r="3" spans="1:9" s="307" customFormat="1" ht="32.25" customHeight="1" thickBot="1">
      <c r="A3" s="1234"/>
      <c r="B3" s="1235"/>
      <c r="C3" s="1235"/>
      <c r="D3" s="1230"/>
      <c r="E3" s="1230"/>
      <c r="F3" s="304" t="s">
        <v>672</v>
      </c>
      <c r="G3" s="305" t="s">
        <v>673</v>
      </c>
      <c r="H3" s="306" t="s">
        <v>108</v>
      </c>
      <c r="I3" s="1232"/>
    </row>
    <row r="4" spans="1:9" s="312" customFormat="1" ht="13.5" customHeight="1" thickBot="1">
      <c r="A4" s="308">
        <v>1</v>
      </c>
      <c r="B4" s="309">
        <v>2</v>
      </c>
      <c r="C4" s="310">
        <v>3</v>
      </c>
      <c r="D4" s="310">
        <v>4</v>
      </c>
      <c r="E4" s="310">
        <v>5</v>
      </c>
      <c r="F4" s="310">
        <v>6</v>
      </c>
      <c r="G4" s="310">
        <v>7</v>
      </c>
      <c r="H4" s="310">
        <v>8</v>
      </c>
      <c r="I4" s="311" t="s">
        <v>674</v>
      </c>
    </row>
    <row r="5" spans="1:9" ht="33.75" customHeight="1">
      <c r="A5" s="313" t="s">
        <v>145</v>
      </c>
      <c r="B5" s="314" t="s">
        <v>675</v>
      </c>
      <c r="C5" s="315"/>
      <c r="D5" s="316">
        <f>SUM(D6:D7)</f>
        <v>0</v>
      </c>
      <c r="E5" s="316">
        <f>SUM(E6:E7)</f>
        <v>0</v>
      </c>
      <c r="F5" s="316">
        <f>SUM(F6:F7)</f>
        <v>0</v>
      </c>
      <c r="G5" s="316">
        <f>SUM(G6:G7)</f>
        <v>0</v>
      </c>
      <c r="H5" s="316">
        <f>SUM(H6:H7)</f>
        <v>0</v>
      </c>
      <c r="I5" s="317">
        <f aca="true" t="shared" si="0" ref="I5:I16">SUM(F5:H5)</f>
        <v>0</v>
      </c>
    </row>
    <row r="6" spans="1:9" ht="21" customHeight="1">
      <c r="A6" s="318" t="s">
        <v>146</v>
      </c>
      <c r="B6" s="319" t="s">
        <v>676</v>
      </c>
      <c r="C6" s="320"/>
      <c r="D6" s="22"/>
      <c r="E6" s="22"/>
      <c r="F6" s="22"/>
      <c r="G6" s="22"/>
      <c r="H6" s="22"/>
      <c r="I6" s="321">
        <f t="shared" si="0"/>
        <v>0</v>
      </c>
    </row>
    <row r="7" spans="1:9" ht="21" customHeight="1">
      <c r="A7" s="318" t="s">
        <v>147</v>
      </c>
      <c r="B7" s="319" t="s">
        <v>676</v>
      </c>
      <c r="C7" s="320"/>
      <c r="D7" s="22"/>
      <c r="E7" s="22"/>
      <c r="F7" s="22"/>
      <c r="G7" s="22"/>
      <c r="H7" s="22"/>
      <c r="I7" s="321">
        <f t="shared" si="0"/>
        <v>0</v>
      </c>
    </row>
    <row r="8" spans="1:9" ht="36" customHeight="1">
      <c r="A8" s="318" t="s">
        <v>148</v>
      </c>
      <c r="B8" s="322" t="s">
        <v>677</v>
      </c>
      <c r="C8" s="323"/>
      <c r="D8" s="324">
        <f>SUM(D9:D10)</f>
        <v>0</v>
      </c>
      <c r="E8" s="324">
        <f>SUM(E9:E10)</f>
        <v>0</v>
      </c>
      <c r="F8" s="324">
        <f>SUM(F9:F10)</f>
        <v>0</v>
      </c>
      <c r="G8" s="324">
        <f>SUM(G9:G10)</f>
        <v>0</v>
      </c>
      <c r="H8" s="324">
        <f>SUM(H9:H10)</f>
        <v>0</v>
      </c>
      <c r="I8" s="325">
        <f t="shared" si="0"/>
        <v>0</v>
      </c>
    </row>
    <row r="9" spans="1:9" ht="21" customHeight="1">
      <c r="A9" s="318" t="s">
        <v>149</v>
      </c>
      <c r="B9" s="319" t="s">
        <v>676</v>
      </c>
      <c r="C9" s="320"/>
      <c r="D9" s="22"/>
      <c r="E9" s="22"/>
      <c r="F9" s="22"/>
      <c r="G9" s="22"/>
      <c r="H9" s="22"/>
      <c r="I9" s="321">
        <f t="shared" si="0"/>
        <v>0</v>
      </c>
    </row>
    <row r="10" spans="1:9" ht="18" customHeight="1">
      <c r="A10" s="318" t="s">
        <v>150</v>
      </c>
      <c r="B10" s="319"/>
      <c r="C10" s="320"/>
      <c r="D10" s="22"/>
      <c r="E10" s="22"/>
      <c r="F10" s="22"/>
      <c r="G10" s="22"/>
      <c r="H10" s="22"/>
      <c r="I10" s="321">
        <f t="shared" si="0"/>
        <v>0</v>
      </c>
    </row>
    <row r="11" spans="1:9" ht="21" customHeight="1">
      <c r="A11" s="318" t="s">
        <v>151</v>
      </c>
      <c r="B11" s="326" t="s">
        <v>678</v>
      </c>
      <c r="C11" s="323"/>
      <c r="D11" s="324">
        <f>SUM(D12:D12)</f>
        <v>0</v>
      </c>
      <c r="E11" s="324">
        <f>SUM(E12:E12)</f>
        <v>0</v>
      </c>
      <c r="F11" s="324">
        <f>SUM(F12:F12)</f>
        <v>0</v>
      </c>
      <c r="G11" s="324">
        <f>SUM(G12:G12)</f>
        <v>0</v>
      </c>
      <c r="H11" s="324">
        <f>SUM(H12:H12)</f>
        <v>0</v>
      </c>
      <c r="I11" s="325">
        <f t="shared" si="0"/>
        <v>0</v>
      </c>
    </row>
    <row r="12" spans="1:9" ht="21" customHeight="1">
      <c r="A12" s="318" t="s">
        <v>152</v>
      </c>
      <c r="B12" s="319" t="s">
        <v>676</v>
      </c>
      <c r="C12" s="320"/>
      <c r="D12" s="22"/>
      <c r="E12" s="22"/>
      <c r="F12" s="22"/>
      <c r="G12" s="22"/>
      <c r="H12" s="22"/>
      <c r="I12" s="321">
        <f t="shared" si="0"/>
        <v>0</v>
      </c>
    </row>
    <row r="13" spans="1:9" ht="21" customHeight="1">
      <c r="A13" s="570" t="s">
        <v>153</v>
      </c>
      <c r="B13" s="326" t="s">
        <v>679</v>
      </c>
      <c r="C13" s="323"/>
      <c r="D13" s="324">
        <f>SUM(D14:D14)</f>
        <v>20072</v>
      </c>
      <c r="E13" s="324">
        <f>SUM(E14:E14)</f>
        <v>4440</v>
      </c>
      <c r="F13" s="324">
        <f>SUM(F14:F14)</f>
        <v>15632</v>
      </c>
      <c r="G13" s="324">
        <f>SUM(G14:G14)</f>
        <v>0</v>
      </c>
      <c r="H13" s="324">
        <f>SUM(H14:H14)</f>
        <v>0</v>
      </c>
      <c r="I13" s="325">
        <f t="shared" si="0"/>
        <v>15632</v>
      </c>
    </row>
    <row r="14" spans="1:9" ht="21" customHeight="1">
      <c r="A14" s="318" t="s">
        <v>154</v>
      </c>
      <c r="B14" s="567" t="s">
        <v>107</v>
      </c>
      <c r="C14" s="320">
        <v>2013</v>
      </c>
      <c r="D14" s="22">
        <v>20072</v>
      </c>
      <c r="E14" s="22">
        <v>4440</v>
      </c>
      <c r="F14" s="22">
        <v>15632</v>
      </c>
      <c r="G14" s="22"/>
      <c r="H14" s="22"/>
      <c r="I14" s="321">
        <f t="shared" si="0"/>
        <v>15632</v>
      </c>
    </row>
    <row r="15" spans="1:9" ht="21" customHeight="1">
      <c r="A15" s="318" t="s">
        <v>155</v>
      </c>
      <c r="B15" s="568" t="s">
        <v>680</v>
      </c>
      <c r="C15" s="327"/>
      <c r="D15" s="328">
        <f>SUM(D16:D20)</f>
        <v>850</v>
      </c>
      <c r="E15" s="328">
        <f>SUM(E16:E20)</f>
        <v>134</v>
      </c>
      <c r="F15" s="328">
        <f>SUM(F16:F20)</f>
        <v>86</v>
      </c>
      <c r="G15" s="328">
        <f>SUM(G16:G20)</f>
        <v>46</v>
      </c>
      <c r="H15" s="328">
        <f>SUM(H16:H20)</f>
        <v>84</v>
      </c>
      <c r="I15" s="325">
        <f t="shared" si="0"/>
        <v>216</v>
      </c>
    </row>
    <row r="16" spans="1:9" ht="21" customHeight="1">
      <c r="A16" s="571" t="s">
        <v>156</v>
      </c>
      <c r="B16" s="572" t="s">
        <v>106</v>
      </c>
      <c r="C16" s="574">
        <v>2007</v>
      </c>
      <c r="D16" s="22">
        <v>300</v>
      </c>
      <c r="E16" s="22">
        <v>36</v>
      </c>
      <c r="F16" s="22"/>
      <c r="G16" s="22"/>
      <c r="H16" s="22"/>
      <c r="I16" s="321">
        <f t="shared" si="0"/>
        <v>0</v>
      </c>
    </row>
    <row r="17" spans="1:9" ht="21" customHeight="1">
      <c r="A17" s="571" t="s">
        <v>157</v>
      </c>
      <c r="B17" s="572" t="s">
        <v>106</v>
      </c>
      <c r="C17" s="575">
        <v>2008</v>
      </c>
      <c r="D17" s="22">
        <v>300</v>
      </c>
      <c r="E17" s="22">
        <v>60</v>
      </c>
      <c r="F17" s="22">
        <v>36</v>
      </c>
      <c r="G17" s="22"/>
      <c r="H17" s="22"/>
      <c r="I17" s="321"/>
    </row>
    <row r="18" spans="1:9" ht="21" customHeight="1">
      <c r="A18" s="571" t="s">
        <v>158</v>
      </c>
      <c r="B18" s="572" t="s">
        <v>106</v>
      </c>
      <c r="C18" s="575">
        <v>2009</v>
      </c>
      <c r="D18" s="22">
        <v>50</v>
      </c>
      <c r="E18" s="22">
        <v>10</v>
      </c>
      <c r="F18" s="22">
        <v>10</v>
      </c>
      <c r="G18" s="22">
        <v>6</v>
      </c>
      <c r="H18" s="22"/>
      <c r="I18" s="321"/>
    </row>
    <row r="19" spans="1:9" ht="21" customHeight="1">
      <c r="A19" s="571" t="s">
        <v>159</v>
      </c>
      <c r="B19" s="572" t="s">
        <v>106</v>
      </c>
      <c r="C19" s="575">
        <v>2011</v>
      </c>
      <c r="D19" s="22">
        <v>100</v>
      </c>
      <c r="E19" s="22">
        <v>20</v>
      </c>
      <c r="F19" s="22">
        <v>20</v>
      </c>
      <c r="G19" s="22">
        <v>20</v>
      </c>
      <c r="H19" s="22">
        <v>32</v>
      </c>
      <c r="I19" s="321"/>
    </row>
    <row r="20" spans="1:9" ht="21" customHeight="1" thickBot="1">
      <c r="A20" s="571" t="s">
        <v>160</v>
      </c>
      <c r="B20" s="573" t="s">
        <v>106</v>
      </c>
      <c r="C20" s="576">
        <v>2012</v>
      </c>
      <c r="D20" s="577">
        <v>100</v>
      </c>
      <c r="E20" s="577">
        <v>8</v>
      </c>
      <c r="F20" s="577">
        <v>20</v>
      </c>
      <c r="G20" s="577">
        <v>20</v>
      </c>
      <c r="H20" s="577">
        <v>52</v>
      </c>
      <c r="I20" s="321"/>
    </row>
    <row r="21" spans="1:9" ht="21" customHeight="1" thickBot="1">
      <c r="A21" s="329" t="s">
        <v>162</v>
      </c>
      <c r="B21" s="569" t="s">
        <v>681</v>
      </c>
      <c r="C21" s="330"/>
      <c r="D21" s="331">
        <f aca="true" t="shared" si="1" ref="D21:I21">D5+D8+D11+D13+D15</f>
        <v>20922</v>
      </c>
      <c r="E21" s="331">
        <f t="shared" si="1"/>
        <v>4574</v>
      </c>
      <c r="F21" s="331">
        <f t="shared" si="1"/>
        <v>15718</v>
      </c>
      <c r="G21" s="331">
        <f t="shared" si="1"/>
        <v>46</v>
      </c>
      <c r="H21" s="331">
        <f t="shared" si="1"/>
        <v>84</v>
      </c>
      <c r="I21" s="332">
        <f t="shared" si="1"/>
        <v>15848</v>
      </c>
    </row>
  </sheetData>
  <sheetProtection/>
  <mergeCells count="6">
    <mergeCell ref="E2:E3"/>
    <mergeCell ref="I2:I3"/>
    <mergeCell ref="A2:A3"/>
    <mergeCell ref="B2:B3"/>
    <mergeCell ref="C2:C3"/>
    <mergeCell ref="D2:D3"/>
  </mergeCells>
  <printOptions horizontalCentered="1"/>
  <pageMargins left="0.7874015748031497" right="0.7874015748031497" top="1.07" bottom="0.82" header="0.44" footer="0.39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dőlt"&amp;11 2. tájékoztató tábla a ......../2014. (........)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"/>
  <sheetViews>
    <sheetView workbookViewId="0" topLeftCell="A1">
      <selection activeCell="F53" sqref="F53:F54"/>
    </sheetView>
  </sheetViews>
  <sheetFormatPr defaultColWidth="9.00390625" defaultRowHeight="12.75"/>
  <cols>
    <col min="1" max="1" width="6.875" style="33" customWidth="1"/>
    <col min="2" max="2" width="50.375" style="32" customWidth="1"/>
    <col min="3" max="5" width="12.875" style="32" customWidth="1"/>
    <col min="6" max="6" width="13.875" style="32" customWidth="1"/>
    <col min="7" max="7" width="15.50390625" style="32" customWidth="1"/>
    <col min="8" max="8" width="16.875" style="32" customWidth="1"/>
    <col min="9" max="16384" width="9.375" style="32" customWidth="1"/>
  </cols>
  <sheetData>
    <row r="1" spans="1:8" s="50" customFormat="1" ht="15.75" thickBot="1">
      <c r="A1" s="333"/>
      <c r="B1" s="50" t="s">
        <v>105</v>
      </c>
      <c r="H1" s="334" t="s">
        <v>187</v>
      </c>
    </row>
    <row r="2" spans="1:8" s="303" customFormat="1" ht="26.25" customHeight="1">
      <c r="A2" s="1178" t="s">
        <v>195</v>
      </c>
      <c r="B2" s="1239" t="s">
        <v>682</v>
      </c>
      <c r="C2" s="1178" t="s">
        <v>683</v>
      </c>
      <c r="D2" s="1178" t="s">
        <v>684</v>
      </c>
      <c r="E2" s="1241" t="s">
        <v>68</v>
      </c>
      <c r="F2" s="1243" t="s">
        <v>685</v>
      </c>
      <c r="G2" s="1244"/>
      <c r="H2" s="1236" t="s">
        <v>69</v>
      </c>
    </row>
    <row r="3" spans="1:8" s="307" customFormat="1" ht="40.5" customHeight="1" thickBot="1">
      <c r="A3" s="1238"/>
      <c r="B3" s="1240"/>
      <c r="C3" s="1240"/>
      <c r="D3" s="1238"/>
      <c r="E3" s="1242"/>
      <c r="F3" s="335" t="s">
        <v>672</v>
      </c>
      <c r="G3" s="336" t="s">
        <v>673</v>
      </c>
      <c r="H3" s="1237"/>
    </row>
    <row r="4" spans="1:8" s="340" customFormat="1" ht="12.75" customHeight="1" thickBot="1">
      <c r="A4" s="337">
        <v>1</v>
      </c>
      <c r="B4" s="297">
        <v>2</v>
      </c>
      <c r="C4" s="297">
        <v>3</v>
      </c>
      <c r="D4" s="338">
        <v>4</v>
      </c>
      <c r="E4" s="337">
        <v>5</v>
      </c>
      <c r="F4" s="338">
        <v>6</v>
      </c>
      <c r="G4" s="338">
        <v>7</v>
      </c>
      <c r="H4" s="339">
        <v>8</v>
      </c>
    </row>
    <row r="5" spans="1:8" ht="19.5" customHeight="1" thickBot="1">
      <c r="A5" s="341" t="s">
        <v>145</v>
      </c>
      <c r="B5" s="342" t="s">
        <v>686</v>
      </c>
      <c r="C5" s="343"/>
      <c r="D5" s="344"/>
      <c r="E5" s="345">
        <f>SUM(E6:E9)</f>
        <v>0</v>
      </c>
      <c r="F5" s="346">
        <f>SUM(F6:F9)</f>
        <v>0</v>
      </c>
      <c r="G5" s="346">
        <f>SUM(G6:G9)</f>
        <v>0</v>
      </c>
      <c r="H5" s="347">
        <f>SUM(H6:H9)</f>
        <v>0</v>
      </c>
    </row>
    <row r="6" spans="1:8" ht="19.5" customHeight="1">
      <c r="A6" s="348" t="s">
        <v>146</v>
      </c>
      <c r="B6" s="349" t="s">
        <v>676</v>
      </c>
      <c r="C6" s="350"/>
      <c r="D6" s="351"/>
      <c r="E6" s="352"/>
      <c r="F6" s="22"/>
      <c r="G6" s="22"/>
      <c r="H6" s="353"/>
    </row>
    <row r="7" spans="1:8" ht="19.5" customHeight="1">
      <c r="A7" s="348" t="s">
        <v>147</v>
      </c>
      <c r="B7" s="349" t="s">
        <v>676</v>
      </c>
      <c r="C7" s="350"/>
      <c r="D7" s="351"/>
      <c r="E7" s="352"/>
      <c r="F7" s="22"/>
      <c r="G7" s="22"/>
      <c r="H7" s="353"/>
    </row>
    <row r="8" spans="1:8" ht="19.5" customHeight="1">
      <c r="A8" s="348" t="s">
        <v>148</v>
      </c>
      <c r="B8" s="349" t="s">
        <v>676</v>
      </c>
      <c r="C8" s="350"/>
      <c r="D8" s="351"/>
      <c r="E8" s="352"/>
      <c r="F8" s="22"/>
      <c r="G8" s="22"/>
      <c r="H8" s="353"/>
    </row>
    <row r="9" spans="1:8" ht="19.5" customHeight="1" thickBot="1">
      <c r="A9" s="348" t="s">
        <v>149</v>
      </c>
      <c r="B9" s="349" t="s">
        <v>676</v>
      </c>
      <c r="C9" s="350"/>
      <c r="D9" s="351"/>
      <c r="E9" s="352"/>
      <c r="F9" s="22"/>
      <c r="G9" s="22"/>
      <c r="H9" s="353"/>
    </row>
    <row r="10" spans="1:8" ht="19.5" customHeight="1" thickBot="1">
      <c r="A10" s="341" t="s">
        <v>150</v>
      </c>
      <c r="B10" s="342" t="s">
        <v>687</v>
      </c>
      <c r="C10" s="354"/>
      <c r="D10" s="355"/>
      <c r="E10" s="345">
        <f>SUM(E11:E14)</f>
        <v>0</v>
      </c>
      <c r="F10" s="346">
        <f>SUM(F11:F14)</f>
        <v>0</v>
      </c>
      <c r="G10" s="346">
        <f>SUM(G11:G14)</f>
        <v>0</v>
      </c>
      <c r="H10" s="347">
        <f>SUM(H11:H14)</f>
        <v>0</v>
      </c>
    </row>
    <row r="11" spans="1:8" ht="19.5" customHeight="1">
      <c r="A11" s="348" t="s">
        <v>151</v>
      </c>
      <c r="B11" s="349" t="s">
        <v>676</v>
      </c>
      <c r="C11" s="350"/>
      <c r="D11" s="351"/>
      <c r="E11" s="352"/>
      <c r="F11" s="22"/>
      <c r="G11" s="22"/>
      <c r="H11" s="353"/>
    </row>
    <row r="12" spans="1:8" ht="19.5" customHeight="1">
      <c r="A12" s="348" t="s">
        <v>152</v>
      </c>
      <c r="B12" s="349" t="s">
        <v>676</v>
      </c>
      <c r="C12" s="350"/>
      <c r="D12" s="351"/>
      <c r="E12" s="352"/>
      <c r="F12" s="22"/>
      <c r="G12" s="22"/>
      <c r="H12" s="353"/>
    </row>
    <row r="13" spans="1:8" ht="19.5" customHeight="1">
      <c r="A13" s="348" t="s">
        <v>153</v>
      </c>
      <c r="B13" s="349" t="s">
        <v>676</v>
      </c>
      <c r="C13" s="350"/>
      <c r="D13" s="351"/>
      <c r="E13" s="352"/>
      <c r="F13" s="22"/>
      <c r="G13" s="22"/>
      <c r="H13" s="353"/>
    </row>
    <row r="14" spans="1:8" ht="19.5" customHeight="1" thickBot="1">
      <c r="A14" s="348" t="s">
        <v>154</v>
      </c>
      <c r="B14" s="349" t="s">
        <v>676</v>
      </c>
      <c r="C14" s="350"/>
      <c r="D14" s="351"/>
      <c r="E14" s="352"/>
      <c r="F14" s="22"/>
      <c r="G14" s="22"/>
      <c r="H14" s="353"/>
    </row>
    <row r="15" spans="1:8" ht="19.5" customHeight="1" thickBot="1">
      <c r="A15" s="341" t="s">
        <v>155</v>
      </c>
      <c r="B15" s="342" t="s">
        <v>688</v>
      </c>
      <c r="C15" s="343"/>
      <c r="D15" s="344"/>
      <c r="E15" s="345">
        <f>E5+E10</f>
        <v>0</v>
      </c>
      <c r="F15" s="346">
        <f>F5+F10</f>
        <v>0</v>
      </c>
      <c r="G15" s="346">
        <f>G5+G10</f>
        <v>0</v>
      </c>
      <c r="H15" s="347">
        <f>H5+H10</f>
        <v>0</v>
      </c>
    </row>
    <row r="16" ht="19.5" customHeight="1"/>
  </sheetData>
  <sheetProtection/>
  <mergeCells count="7"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bontásban&amp;R&amp;"Times New Roman CE,Félkövér dőlt"&amp;11 3. tájékoztató tábla a ......../2014. (........) önkormányzati rendelethez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workbookViewId="0" topLeftCell="A1">
      <selection activeCell="F53" sqref="F53:F54"/>
    </sheetView>
  </sheetViews>
  <sheetFormatPr defaultColWidth="9.00390625" defaultRowHeight="12.75"/>
  <cols>
    <col min="1" max="1" width="5.50390625" style="36" customWidth="1"/>
    <col min="2" max="2" width="39.375" style="36" customWidth="1"/>
    <col min="3" max="8" width="13.875" style="36" customWidth="1"/>
    <col min="9" max="9" width="15.125" style="36" customWidth="1"/>
    <col min="10" max="16384" width="9.375" style="36" customWidth="1"/>
  </cols>
  <sheetData>
    <row r="1" spans="1:9" ht="34.5" customHeight="1">
      <c r="A1" s="1252" t="s">
        <v>70</v>
      </c>
      <c r="B1" s="1253"/>
      <c r="C1" s="1253"/>
      <c r="D1" s="1253"/>
      <c r="E1" s="1253"/>
      <c r="F1" s="1253"/>
      <c r="G1" s="1253"/>
      <c r="H1" s="1253"/>
      <c r="I1" s="1253"/>
    </row>
    <row r="2" spans="8:9" ht="14.25" thickBot="1">
      <c r="H2" s="1254" t="s">
        <v>689</v>
      </c>
      <c r="I2" s="1254"/>
    </row>
    <row r="3" spans="1:9" ht="13.5" thickBot="1">
      <c r="A3" s="1255" t="s">
        <v>143</v>
      </c>
      <c r="B3" s="1257" t="s">
        <v>690</v>
      </c>
      <c r="C3" s="1259" t="s">
        <v>691</v>
      </c>
      <c r="D3" s="1261" t="s">
        <v>692</v>
      </c>
      <c r="E3" s="1262"/>
      <c r="F3" s="1262"/>
      <c r="G3" s="1262"/>
      <c r="H3" s="1262"/>
      <c r="I3" s="1263" t="s">
        <v>693</v>
      </c>
    </row>
    <row r="4" spans="1:9" s="51" customFormat="1" ht="42" customHeight="1" thickBot="1">
      <c r="A4" s="1256"/>
      <c r="B4" s="1258"/>
      <c r="C4" s="1260"/>
      <c r="D4" s="356" t="s">
        <v>694</v>
      </c>
      <c r="E4" s="356" t="s">
        <v>695</v>
      </c>
      <c r="F4" s="356" t="s">
        <v>696</v>
      </c>
      <c r="G4" s="357" t="s">
        <v>697</v>
      </c>
      <c r="H4" s="357" t="s">
        <v>698</v>
      </c>
      <c r="I4" s="1264"/>
    </row>
    <row r="5" spans="1:9" s="51" customFormat="1" ht="12" customHeight="1" thickBot="1">
      <c r="A5" s="358">
        <v>1</v>
      </c>
      <c r="B5" s="359">
        <v>2</v>
      </c>
      <c r="C5" s="359">
        <v>3</v>
      </c>
      <c r="D5" s="359">
        <v>4</v>
      </c>
      <c r="E5" s="359">
        <v>5</v>
      </c>
      <c r="F5" s="359">
        <v>6</v>
      </c>
      <c r="G5" s="359">
        <v>7</v>
      </c>
      <c r="H5" s="359" t="s">
        <v>699</v>
      </c>
      <c r="I5" s="360" t="s">
        <v>700</v>
      </c>
    </row>
    <row r="6" spans="1:9" s="51" customFormat="1" ht="18" customHeight="1">
      <c r="A6" s="1265" t="s">
        <v>701</v>
      </c>
      <c r="B6" s="1266"/>
      <c r="C6" s="1266"/>
      <c r="D6" s="1266"/>
      <c r="E6" s="1266"/>
      <c r="F6" s="1266"/>
      <c r="G6" s="1266"/>
      <c r="H6" s="1266"/>
      <c r="I6" s="1267"/>
    </row>
    <row r="7" spans="1:9" ht="15.75" customHeight="1">
      <c r="A7" s="88" t="s">
        <v>145</v>
      </c>
      <c r="B7" s="86" t="s">
        <v>702</v>
      </c>
      <c r="C7" s="75"/>
      <c r="D7" s="75"/>
      <c r="E7" s="75"/>
      <c r="F7" s="75"/>
      <c r="G7" s="362"/>
      <c r="H7" s="363">
        <f aca="true" t="shared" si="0" ref="H7:H13">SUM(D7:G7)</f>
        <v>0</v>
      </c>
      <c r="I7" s="89">
        <f aca="true" t="shared" si="1" ref="I7:I13">C7+H7</f>
        <v>0</v>
      </c>
    </row>
    <row r="8" spans="1:9" ht="22.5">
      <c r="A8" s="88" t="s">
        <v>146</v>
      </c>
      <c r="B8" s="86" t="s">
        <v>341</v>
      </c>
      <c r="C8" s="75">
        <v>114511</v>
      </c>
      <c r="D8" s="75">
        <v>10</v>
      </c>
      <c r="E8" s="75"/>
      <c r="F8" s="75"/>
      <c r="G8" s="362"/>
      <c r="H8" s="363">
        <f t="shared" si="0"/>
        <v>10</v>
      </c>
      <c r="I8" s="89">
        <f t="shared" si="1"/>
        <v>114521</v>
      </c>
    </row>
    <row r="9" spans="1:9" ht="22.5">
      <c r="A9" s="88" t="s">
        <v>147</v>
      </c>
      <c r="B9" s="86" t="s">
        <v>342</v>
      </c>
      <c r="C9" s="75"/>
      <c r="D9" s="75"/>
      <c r="E9" s="75"/>
      <c r="F9" s="75"/>
      <c r="G9" s="362"/>
      <c r="H9" s="363">
        <f t="shared" si="0"/>
        <v>0</v>
      </c>
      <c r="I9" s="89">
        <f t="shared" si="1"/>
        <v>0</v>
      </c>
    </row>
    <row r="10" spans="1:9" ht="15.75" customHeight="1">
      <c r="A10" s="88" t="s">
        <v>148</v>
      </c>
      <c r="B10" s="86" t="s">
        <v>343</v>
      </c>
      <c r="C10" s="75"/>
      <c r="D10" s="75"/>
      <c r="E10" s="75"/>
      <c r="F10" s="75"/>
      <c r="G10" s="362"/>
      <c r="H10" s="363">
        <f t="shared" si="0"/>
        <v>0</v>
      </c>
      <c r="I10" s="89">
        <f t="shared" si="1"/>
        <v>0</v>
      </c>
    </row>
    <row r="11" spans="1:9" ht="22.5">
      <c r="A11" s="88" t="s">
        <v>149</v>
      </c>
      <c r="B11" s="86" t="s">
        <v>344</v>
      </c>
      <c r="C11" s="75"/>
      <c r="D11" s="75"/>
      <c r="E11" s="75"/>
      <c r="F11" s="75"/>
      <c r="G11" s="362"/>
      <c r="H11" s="363">
        <f t="shared" si="0"/>
        <v>0</v>
      </c>
      <c r="I11" s="89">
        <f t="shared" si="1"/>
        <v>0</v>
      </c>
    </row>
    <row r="12" spans="1:9" ht="15.75" customHeight="1">
      <c r="A12" s="90" t="s">
        <v>150</v>
      </c>
      <c r="B12" s="91" t="s">
        <v>703</v>
      </c>
      <c r="C12" s="76">
        <v>3896</v>
      </c>
      <c r="D12" s="76">
        <v>101</v>
      </c>
      <c r="E12" s="76"/>
      <c r="F12" s="76"/>
      <c r="G12" s="364"/>
      <c r="H12" s="363">
        <f t="shared" si="0"/>
        <v>101</v>
      </c>
      <c r="I12" s="89">
        <f t="shared" si="1"/>
        <v>3997</v>
      </c>
    </row>
    <row r="13" spans="1:9" ht="15.75" customHeight="1" thickBot="1">
      <c r="A13" s="365" t="s">
        <v>151</v>
      </c>
      <c r="B13" s="366" t="s">
        <v>704</v>
      </c>
      <c r="C13" s="368">
        <f>265+868</f>
        <v>1133</v>
      </c>
      <c r="D13" s="368">
        <f>491</f>
        <v>491</v>
      </c>
      <c r="E13" s="368">
        <v>573</v>
      </c>
      <c r="F13" s="368">
        <v>563</v>
      </c>
      <c r="G13" s="369">
        <f>184+31</f>
        <v>215</v>
      </c>
      <c r="H13" s="363">
        <f t="shared" si="0"/>
        <v>1842</v>
      </c>
      <c r="I13" s="89">
        <f t="shared" si="1"/>
        <v>2975</v>
      </c>
    </row>
    <row r="14" spans="1:9" s="77" customFormat="1" ht="18" customHeight="1" thickBot="1">
      <c r="A14" s="1248" t="s">
        <v>705</v>
      </c>
      <c r="B14" s="1249"/>
      <c r="C14" s="92">
        <f aca="true" t="shared" si="2" ref="C14:I14">SUM(C7:C13)</f>
        <v>119540</v>
      </c>
      <c r="D14" s="92">
        <f>SUM(D7:D13)</f>
        <v>602</v>
      </c>
      <c r="E14" s="92">
        <f t="shared" si="2"/>
        <v>573</v>
      </c>
      <c r="F14" s="92">
        <f t="shared" si="2"/>
        <v>563</v>
      </c>
      <c r="G14" s="370">
        <f t="shared" si="2"/>
        <v>215</v>
      </c>
      <c r="H14" s="370">
        <f t="shared" si="2"/>
        <v>1953</v>
      </c>
      <c r="I14" s="93">
        <f t="shared" si="2"/>
        <v>121493</v>
      </c>
    </row>
    <row r="15" spans="1:9" s="74" customFormat="1" ht="18" customHeight="1">
      <c r="A15" s="1245" t="s">
        <v>706</v>
      </c>
      <c r="B15" s="1246"/>
      <c r="C15" s="1246"/>
      <c r="D15" s="1246"/>
      <c r="E15" s="1246"/>
      <c r="F15" s="1246"/>
      <c r="G15" s="1246"/>
      <c r="H15" s="1246"/>
      <c r="I15" s="1247"/>
    </row>
    <row r="16" spans="1:9" s="74" customFormat="1" ht="12.75">
      <c r="A16" s="88" t="s">
        <v>145</v>
      </c>
      <c r="B16" s="86" t="s">
        <v>707</v>
      </c>
      <c r="C16" s="75"/>
      <c r="D16" s="75"/>
      <c r="E16" s="75"/>
      <c r="F16" s="75"/>
      <c r="G16" s="362"/>
      <c r="H16" s="363">
        <f>SUM(D16:G16)</f>
        <v>0</v>
      </c>
      <c r="I16" s="89">
        <f>C16+H16</f>
        <v>0</v>
      </c>
    </row>
    <row r="17" spans="1:9" ht="13.5" thickBot="1">
      <c r="A17" s="365" t="s">
        <v>146</v>
      </c>
      <c r="B17" s="366" t="s">
        <v>704</v>
      </c>
      <c r="C17" s="368"/>
      <c r="D17" s="368"/>
      <c r="E17" s="368"/>
      <c r="F17" s="368"/>
      <c r="G17" s="369"/>
      <c r="H17" s="363">
        <f>SUM(D17:G17)</f>
        <v>0</v>
      </c>
      <c r="I17" s="371">
        <f>C17+H17</f>
        <v>0</v>
      </c>
    </row>
    <row r="18" spans="1:9" ht="15.75" customHeight="1" thickBot="1">
      <c r="A18" s="1248" t="s">
        <v>708</v>
      </c>
      <c r="B18" s="1249"/>
      <c r="C18" s="92">
        <f aca="true" t="shared" si="3" ref="C18:I18">SUM(C16:C17)</f>
        <v>0</v>
      </c>
      <c r="D18" s="92">
        <f t="shared" si="3"/>
        <v>0</v>
      </c>
      <c r="E18" s="92">
        <f t="shared" si="3"/>
        <v>0</v>
      </c>
      <c r="F18" s="92">
        <f t="shared" si="3"/>
        <v>0</v>
      </c>
      <c r="G18" s="370">
        <f t="shared" si="3"/>
        <v>0</v>
      </c>
      <c r="H18" s="370">
        <f t="shared" si="3"/>
        <v>0</v>
      </c>
      <c r="I18" s="93">
        <f t="shared" si="3"/>
        <v>0</v>
      </c>
    </row>
    <row r="19" spans="1:9" ht="18" customHeight="1" thickBot="1">
      <c r="A19" s="1250" t="s">
        <v>709</v>
      </c>
      <c r="B19" s="1251"/>
      <c r="C19" s="372">
        <f aca="true" t="shared" si="4" ref="C19:I19">C14+C18</f>
        <v>119540</v>
      </c>
      <c r="D19" s="372">
        <f t="shared" si="4"/>
        <v>602</v>
      </c>
      <c r="E19" s="372">
        <f t="shared" si="4"/>
        <v>573</v>
      </c>
      <c r="F19" s="372">
        <f t="shared" si="4"/>
        <v>563</v>
      </c>
      <c r="G19" s="372">
        <f t="shared" si="4"/>
        <v>215</v>
      </c>
      <c r="H19" s="372">
        <f t="shared" si="4"/>
        <v>1953</v>
      </c>
      <c r="I19" s="93">
        <f t="shared" si="4"/>
        <v>121493</v>
      </c>
    </row>
  </sheetData>
  <sheetProtection/>
  <mergeCells count="12">
    <mergeCell ref="A6:I6"/>
    <mergeCell ref="A14:B14"/>
    <mergeCell ref="A15:I15"/>
    <mergeCell ref="A18:B18"/>
    <mergeCell ref="A19:B19"/>
    <mergeCell ref="A1:I1"/>
    <mergeCell ref="H2:I2"/>
    <mergeCell ref="A3:A4"/>
    <mergeCell ref="B3:B4"/>
    <mergeCell ref="C3:C4"/>
    <mergeCell ref="D3:H3"/>
    <mergeCell ref="I3:I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4. tájékoztató tábla a ......../2014. (........) önkormányzati rendelethez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workbookViewId="0" topLeftCell="A1">
      <selection activeCell="F53" sqref="F53:F54"/>
    </sheetView>
  </sheetViews>
  <sheetFormatPr defaultColWidth="9.00390625" defaultRowHeight="12.75"/>
  <cols>
    <col min="1" max="1" width="5.875" style="392" customWidth="1"/>
    <col min="2" max="2" width="55.875" style="2" customWidth="1"/>
    <col min="3" max="4" width="14.875" style="2" customWidth="1"/>
    <col min="5" max="16384" width="9.375" style="2" customWidth="1"/>
  </cols>
  <sheetData>
    <row r="1" spans="1:4" s="50" customFormat="1" ht="15.75" thickBot="1">
      <c r="A1" s="333"/>
      <c r="D1" s="334" t="s">
        <v>187</v>
      </c>
    </row>
    <row r="2" spans="1:4" s="51" customFormat="1" ht="48" customHeight="1" thickBot="1">
      <c r="A2" s="373" t="s">
        <v>143</v>
      </c>
      <c r="B2" s="356" t="s">
        <v>144</v>
      </c>
      <c r="C2" s="356" t="s">
        <v>710</v>
      </c>
      <c r="D2" s="374" t="s">
        <v>711</v>
      </c>
    </row>
    <row r="3" spans="1:4" s="51" customFormat="1" ht="13.5" customHeight="1" thickBot="1">
      <c r="A3" s="375">
        <v>1</v>
      </c>
      <c r="B3" s="376">
        <v>2</v>
      </c>
      <c r="C3" s="376">
        <v>3</v>
      </c>
      <c r="D3" s="377">
        <v>4</v>
      </c>
    </row>
    <row r="4" spans="1:4" ht="18" customHeight="1">
      <c r="A4" s="378" t="s">
        <v>145</v>
      </c>
      <c r="B4" s="379" t="s">
        <v>712</v>
      </c>
      <c r="C4" s="380">
        <v>8197824</v>
      </c>
      <c r="D4" s="381">
        <v>2148494</v>
      </c>
    </row>
    <row r="5" spans="1:4" ht="18" customHeight="1">
      <c r="A5" s="382" t="s">
        <v>146</v>
      </c>
      <c r="B5" s="383" t="s">
        <v>713</v>
      </c>
      <c r="C5" s="384"/>
      <c r="D5" s="385"/>
    </row>
    <row r="6" spans="1:4" ht="18" customHeight="1">
      <c r="A6" s="382" t="s">
        <v>147</v>
      </c>
      <c r="B6" s="383" t="s">
        <v>714</v>
      </c>
      <c r="C6" s="384"/>
      <c r="D6" s="385"/>
    </row>
    <row r="7" spans="1:4" ht="18" customHeight="1">
      <c r="A7" s="382" t="s">
        <v>148</v>
      </c>
      <c r="B7" s="383" t="s">
        <v>715</v>
      </c>
      <c r="C7" s="384"/>
      <c r="D7" s="385"/>
    </row>
    <row r="8" spans="1:4" ht="18" customHeight="1">
      <c r="A8" s="386" t="s">
        <v>149</v>
      </c>
      <c r="B8" s="383" t="s">
        <v>716</v>
      </c>
      <c r="C8" s="384"/>
      <c r="D8" s="385"/>
    </row>
    <row r="9" spans="1:4" ht="18" customHeight="1">
      <c r="A9" s="382" t="s">
        <v>150</v>
      </c>
      <c r="B9" s="383" t="s">
        <v>717</v>
      </c>
      <c r="C9" s="384"/>
      <c r="D9" s="385"/>
    </row>
    <row r="10" spans="1:4" ht="18" customHeight="1">
      <c r="A10" s="386" t="s">
        <v>151</v>
      </c>
      <c r="B10" s="387" t="s">
        <v>718</v>
      </c>
      <c r="C10" s="384"/>
      <c r="D10" s="385"/>
    </row>
    <row r="11" spans="1:4" ht="18" customHeight="1">
      <c r="A11" s="386" t="s">
        <v>152</v>
      </c>
      <c r="B11" s="387" t="s">
        <v>719</v>
      </c>
      <c r="C11" s="384"/>
      <c r="D11" s="385"/>
    </row>
    <row r="12" spans="1:4" ht="18" customHeight="1">
      <c r="A12" s="382" t="s">
        <v>153</v>
      </c>
      <c r="B12" s="387" t="s">
        <v>720</v>
      </c>
      <c r="C12" s="384"/>
      <c r="D12" s="385"/>
    </row>
    <row r="13" spans="1:4" ht="18" customHeight="1">
      <c r="A13" s="386" t="s">
        <v>154</v>
      </c>
      <c r="B13" s="387" t="s">
        <v>721</v>
      </c>
      <c r="C13" s="384"/>
      <c r="D13" s="385"/>
    </row>
    <row r="14" spans="1:4" ht="22.5">
      <c r="A14" s="382" t="s">
        <v>155</v>
      </c>
      <c r="B14" s="387" t="s">
        <v>722</v>
      </c>
      <c r="C14" s="384"/>
      <c r="D14" s="385"/>
    </row>
    <row r="15" spans="1:4" ht="18" customHeight="1">
      <c r="A15" s="386" t="s">
        <v>156</v>
      </c>
      <c r="B15" s="383" t="s">
        <v>723</v>
      </c>
      <c r="C15" s="384"/>
      <c r="D15" s="385"/>
    </row>
    <row r="16" spans="1:4" ht="18" customHeight="1">
      <c r="A16" s="382" t="s">
        <v>157</v>
      </c>
      <c r="B16" s="383" t="s">
        <v>724</v>
      </c>
      <c r="C16" s="384"/>
      <c r="D16" s="385"/>
    </row>
    <row r="17" spans="1:4" ht="18" customHeight="1">
      <c r="A17" s="386" t="s">
        <v>158</v>
      </c>
      <c r="B17" s="383" t="s">
        <v>725</v>
      </c>
      <c r="C17" s="384"/>
      <c r="D17" s="385"/>
    </row>
    <row r="18" spans="1:4" ht="18" customHeight="1">
      <c r="A18" s="382" t="s">
        <v>159</v>
      </c>
      <c r="B18" s="383" t="s">
        <v>109</v>
      </c>
      <c r="C18" s="384">
        <v>17288</v>
      </c>
      <c r="D18" s="385">
        <v>668</v>
      </c>
    </row>
    <row r="19" spans="1:4" ht="18" customHeight="1">
      <c r="A19" s="386" t="s">
        <v>160</v>
      </c>
      <c r="B19" s="383" t="s">
        <v>726</v>
      </c>
      <c r="C19" s="384"/>
      <c r="D19" s="385"/>
    </row>
    <row r="20" spans="1:4" ht="18" customHeight="1">
      <c r="A20" s="382" t="s">
        <v>161</v>
      </c>
      <c r="B20" s="361"/>
      <c r="C20" s="384"/>
      <c r="D20" s="385"/>
    </row>
    <row r="21" spans="1:4" ht="18" customHeight="1">
      <c r="A21" s="386" t="s">
        <v>162</v>
      </c>
      <c r="B21" s="361"/>
      <c r="C21" s="384"/>
      <c r="D21" s="385"/>
    </row>
    <row r="22" spans="1:4" ht="18" customHeight="1">
      <c r="A22" s="382" t="s">
        <v>163</v>
      </c>
      <c r="B22" s="361"/>
      <c r="C22" s="384"/>
      <c r="D22" s="385"/>
    </row>
    <row r="23" spans="1:4" ht="18" customHeight="1">
      <c r="A23" s="386" t="s">
        <v>164</v>
      </c>
      <c r="B23" s="361"/>
      <c r="C23" s="384"/>
      <c r="D23" s="385"/>
    </row>
    <row r="24" spans="1:4" ht="18" customHeight="1">
      <c r="A24" s="382" t="s">
        <v>165</v>
      </c>
      <c r="B24" s="361"/>
      <c r="C24" s="384"/>
      <c r="D24" s="385"/>
    </row>
    <row r="25" spans="1:4" ht="18" customHeight="1">
      <c r="A25" s="386" t="s">
        <v>166</v>
      </c>
      <c r="B25" s="361"/>
      <c r="C25" s="384"/>
      <c r="D25" s="385"/>
    </row>
    <row r="26" spans="1:4" ht="18" customHeight="1">
      <c r="A26" s="382" t="s">
        <v>167</v>
      </c>
      <c r="B26" s="361"/>
      <c r="C26" s="384"/>
      <c r="D26" s="385"/>
    </row>
    <row r="27" spans="1:4" ht="18" customHeight="1">
      <c r="A27" s="386" t="s">
        <v>168</v>
      </c>
      <c r="B27" s="361"/>
      <c r="C27" s="384"/>
      <c r="D27" s="385"/>
    </row>
    <row r="28" spans="1:4" ht="18" customHeight="1" thickBot="1">
      <c r="A28" s="388" t="s">
        <v>169</v>
      </c>
      <c r="B28" s="367"/>
      <c r="C28" s="389"/>
      <c r="D28" s="390"/>
    </row>
    <row r="29" spans="1:4" ht="18" customHeight="1" thickBot="1">
      <c r="A29" s="469" t="s">
        <v>170</v>
      </c>
      <c r="B29" s="470" t="s">
        <v>178</v>
      </c>
      <c r="C29" s="471">
        <f>+C4+C5+C6+C7+C8+C15+C16+C17+C18+C19+C20+C21+C22+C23+C24+C25+C26+C27+C28</f>
        <v>8215112</v>
      </c>
      <c r="D29" s="472">
        <f>+D4+D5+D6+D7+D8+D15+D16+D17+D18+D19+D20+D21+D22+D23+D24+D25+D26+D27+D28</f>
        <v>2149162</v>
      </c>
    </row>
    <row r="30" spans="1:4" ht="25.5" customHeight="1">
      <c r="A30" s="391"/>
      <c r="B30" s="1268"/>
      <c r="C30" s="1268"/>
      <c r="D30" s="1268"/>
    </row>
  </sheetData>
  <sheetProtection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......../2014. (........) önkormányzati rendelethez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workbookViewId="0" topLeftCell="A1">
      <selection activeCell="D6" sqref="D6:D7"/>
    </sheetView>
  </sheetViews>
  <sheetFormatPr defaultColWidth="9.00390625" defaultRowHeight="12.75"/>
  <cols>
    <col min="1" max="1" width="6.625" style="36" customWidth="1"/>
    <col min="2" max="2" width="32.875" style="36" customWidth="1"/>
    <col min="3" max="3" width="20.875" style="36" customWidth="1"/>
    <col min="4" max="5" width="12.875" style="36" customWidth="1"/>
    <col min="6" max="16384" width="9.375" style="36" customWidth="1"/>
  </cols>
  <sheetData>
    <row r="1" spans="3:5" ht="14.25" thickBot="1">
      <c r="C1" s="393"/>
      <c r="D1" s="393"/>
      <c r="E1" s="393" t="s">
        <v>689</v>
      </c>
    </row>
    <row r="2" spans="1:5" ht="42.75" customHeight="1" thickBot="1">
      <c r="A2" s="394" t="s">
        <v>195</v>
      </c>
      <c r="B2" s="395" t="s">
        <v>727</v>
      </c>
      <c r="C2" s="395" t="s">
        <v>728</v>
      </c>
      <c r="D2" s="396" t="s">
        <v>729</v>
      </c>
      <c r="E2" s="397" t="s">
        <v>730</v>
      </c>
    </row>
    <row r="3" spans="1:5" ht="15.75" customHeight="1">
      <c r="A3" s="398" t="s">
        <v>145</v>
      </c>
      <c r="B3" s="578" t="s">
        <v>110</v>
      </c>
      <c r="C3" s="578" t="s">
        <v>111</v>
      </c>
      <c r="D3" s="607">
        <v>1441</v>
      </c>
      <c r="E3" s="399">
        <v>1441</v>
      </c>
    </row>
    <row r="4" spans="1:5" ht="15.75" customHeight="1">
      <c r="A4" s="400" t="s">
        <v>146</v>
      </c>
      <c r="B4" s="579" t="s">
        <v>112</v>
      </c>
      <c r="C4" s="579" t="s">
        <v>111</v>
      </c>
      <c r="D4" s="608">
        <v>61</v>
      </c>
      <c r="E4" s="403">
        <v>61</v>
      </c>
    </row>
    <row r="5" spans="1:5" ht="15.75" customHeight="1">
      <c r="A5" s="400" t="s">
        <v>147</v>
      </c>
      <c r="B5" s="579" t="s">
        <v>113</v>
      </c>
      <c r="C5" s="579" t="s">
        <v>114</v>
      </c>
      <c r="D5" s="608">
        <v>641</v>
      </c>
      <c r="E5" s="403">
        <v>641</v>
      </c>
    </row>
    <row r="6" spans="1:5" ht="22.5">
      <c r="A6" s="400" t="s">
        <v>148</v>
      </c>
      <c r="B6" s="580" t="s">
        <v>103</v>
      </c>
      <c r="C6" s="579" t="s">
        <v>115</v>
      </c>
      <c r="D6" s="1131">
        <v>45</v>
      </c>
      <c r="E6" s="403">
        <v>45</v>
      </c>
    </row>
    <row r="7" spans="1:5" ht="15.75" customHeight="1">
      <c r="A7" s="400" t="s">
        <v>149</v>
      </c>
      <c r="B7" s="579" t="s">
        <v>116</v>
      </c>
      <c r="C7" s="579" t="s">
        <v>117</v>
      </c>
      <c r="D7" s="1131">
        <v>21</v>
      </c>
      <c r="E7" s="403">
        <v>21</v>
      </c>
    </row>
    <row r="8" spans="1:5" ht="15.75" customHeight="1">
      <c r="A8" s="400" t="s">
        <v>150</v>
      </c>
      <c r="B8" s="579" t="s">
        <v>118</v>
      </c>
      <c r="C8" s="579" t="s">
        <v>119</v>
      </c>
      <c r="D8" s="608">
        <v>1617</v>
      </c>
      <c r="E8" s="403">
        <v>1617</v>
      </c>
    </row>
    <row r="9" spans="1:5" ht="15.75" customHeight="1">
      <c r="A9" s="400" t="s">
        <v>151</v>
      </c>
      <c r="B9" s="579" t="s">
        <v>120</v>
      </c>
      <c r="C9" s="579" t="s">
        <v>121</v>
      </c>
      <c r="D9" s="608">
        <v>1050</v>
      </c>
      <c r="E9" s="403">
        <v>1050</v>
      </c>
    </row>
    <row r="10" spans="1:5" ht="15.75" customHeight="1">
      <c r="A10" s="400" t="s">
        <v>152</v>
      </c>
      <c r="B10" s="579" t="s">
        <v>122</v>
      </c>
      <c r="C10" s="579" t="s">
        <v>123</v>
      </c>
      <c r="D10" s="608">
        <v>53</v>
      </c>
      <c r="E10" s="403">
        <v>53</v>
      </c>
    </row>
    <row r="11" spans="1:5" ht="15.75" customHeight="1">
      <c r="A11" s="400" t="s">
        <v>153</v>
      </c>
      <c r="B11" s="401"/>
      <c r="C11" s="401"/>
      <c r="D11" s="402"/>
      <c r="E11" s="403"/>
    </row>
    <row r="12" spans="1:5" ht="15.75" customHeight="1">
      <c r="A12" s="400" t="s">
        <v>154</v>
      </c>
      <c r="B12" s="401"/>
      <c r="C12" s="401"/>
      <c r="D12" s="402"/>
      <c r="E12" s="403"/>
    </row>
    <row r="13" spans="1:5" ht="15.75" customHeight="1">
      <c r="A13" s="400" t="s">
        <v>155</v>
      </c>
      <c r="B13" s="401"/>
      <c r="C13" s="401"/>
      <c r="D13" s="402"/>
      <c r="E13" s="403"/>
    </row>
    <row r="14" spans="1:5" ht="15.75" customHeight="1">
      <c r="A14" s="400" t="s">
        <v>156</v>
      </c>
      <c r="B14" s="401"/>
      <c r="C14" s="401"/>
      <c r="D14" s="402"/>
      <c r="E14" s="403"/>
    </row>
    <row r="15" spans="1:5" ht="15.75" customHeight="1">
      <c r="A15" s="400" t="s">
        <v>157</v>
      </c>
      <c r="B15" s="401"/>
      <c r="C15" s="401"/>
      <c r="D15" s="402"/>
      <c r="E15" s="403"/>
    </row>
    <row r="16" spans="1:5" ht="15.75" customHeight="1">
      <c r="A16" s="400" t="s">
        <v>158</v>
      </c>
      <c r="B16" s="401"/>
      <c r="C16" s="401"/>
      <c r="D16" s="402"/>
      <c r="E16" s="403"/>
    </row>
    <row r="17" spans="1:5" ht="15.75" customHeight="1">
      <c r="A17" s="400" t="s">
        <v>159</v>
      </c>
      <c r="B17" s="401"/>
      <c r="C17" s="401"/>
      <c r="D17" s="402"/>
      <c r="E17" s="403"/>
    </row>
    <row r="18" spans="1:5" ht="15.75" customHeight="1">
      <c r="A18" s="400" t="s">
        <v>160</v>
      </c>
      <c r="B18" s="401"/>
      <c r="C18" s="401"/>
      <c r="D18" s="402"/>
      <c r="E18" s="403"/>
    </row>
    <row r="19" spans="1:5" ht="15.75" customHeight="1">
      <c r="A19" s="400" t="s">
        <v>161</v>
      </c>
      <c r="B19" s="401"/>
      <c r="C19" s="401"/>
      <c r="D19" s="402"/>
      <c r="E19" s="403"/>
    </row>
    <row r="20" spans="1:5" ht="15.75" customHeight="1">
      <c r="A20" s="400" t="s">
        <v>162</v>
      </c>
      <c r="B20" s="401"/>
      <c r="C20" s="401"/>
      <c r="D20" s="402"/>
      <c r="E20" s="403"/>
    </row>
    <row r="21" spans="1:5" ht="15.75" customHeight="1">
      <c r="A21" s="400" t="s">
        <v>163</v>
      </c>
      <c r="B21" s="401"/>
      <c r="C21" s="401"/>
      <c r="D21" s="402"/>
      <c r="E21" s="403"/>
    </row>
    <row r="22" spans="1:5" ht="15.75" customHeight="1">
      <c r="A22" s="400" t="s">
        <v>164</v>
      </c>
      <c r="B22" s="401"/>
      <c r="C22" s="401"/>
      <c r="D22" s="402"/>
      <c r="E22" s="403"/>
    </row>
    <row r="23" spans="1:5" ht="15.75" customHeight="1">
      <c r="A23" s="400" t="s">
        <v>165</v>
      </c>
      <c r="B23" s="401"/>
      <c r="C23" s="401"/>
      <c r="D23" s="402"/>
      <c r="E23" s="403"/>
    </row>
    <row r="24" spans="1:5" ht="15.75" customHeight="1">
      <c r="A24" s="400" t="s">
        <v>166</v>
      </c>
      <c r="B24" s="401"/>
      <c r="C24" s="401"/>
      <c r="D24" s="402"/>
      <c r="E24" s="403"/>
    </row>
    <row r="25" spans="1:5" ht="15.75" customHeight="1">
      <c r="A25" s="400" t="s">
        <v>167</v>
      </c>
      <c r="B25" s="401"/>
      <c r="C25" s="401"/>
      <c r="D25" s="402"/>
      <c r="E25" s="403"/>
    </row>
    <row r="26" spans="1:5" ht="15.75" customHeight="1">
      <c r="A26" s="400" t="s">
        <v>168</v>
      </c>
      <c r="B26" s="401"/>
      <c r="C26" s="401"/>
      <c r="D26" s="402"/>
      <c r="E26" s="403"/>
    </row>
    <row r="27" spans="1:5" ht="15.75" customHeight="1">
      <c r="A27" s="400" t="s">
        <v>169</v>
      </c>
      <c r="B27" s="401"/>
      <c r="C27" s="401"/>
      <c r="D27" s="402"/>
      <c r="E27" s="403"/>
    </row>
    <row r="28" spans="1:5" ht="15.75" customHeight="1">
      <c r="A28" s="400" t="s">
        <v>170</v>
      </c>
      <c r="B28" s="401"/>
      <c r="C28" s="401"/>
      <c r="D28" s="402"/>
      <c r="E28" s="403"/>
    </row>
    <row r="29" spans="1:5" ht="15.75" customHeight="1">
      <c r="A29" s="400" t="s">
        <v>171</v>
      </c>
      <c r="B29" s="401"/>
      <c r="C29" s="401"/>
      <c r="D29" s="402"/>
      <c r="E29" s="403"/>
    </row>
    <row r="30" spans="1:5" ht="15.75" customHeight="1">
      <c r="A30" s="400" t="s">
        <v>172</v>
      </c>
      <c r="B30" s="401"/>
      <c r="C30" s="401"/>
      <c r="D30" s="402"/>
      <c r="E30" s="403"/>
    </row>
    <row r="31" spans="1:5" ht="15.75" customHeight="1">
      <c r="A31" s="400" t="s">
        <v>173</v>
      </c>
      <c r="B31" s="401"/>
      <c r="C31" s="401"/>
      <c r="D31" s="402"/>
      <c r="E31" s="403"/>
    </row>
    <row r="32" spans="1:5" ht="15.75" customHeight="1">
      <c r="A32" s="400" t="s">
        <v>239</v>
      </c>
      <c r="B32" s="401"/>
      <c r="C32" s="401"/>
      <c r="D32" s="402"/>
      <c r="E32" s="403"/>
    </row>
    <row r="33" spans="1:5" ht="15.75" customHeight="1">
      <c r="A33" s="400" t="s">
        <v>503</v>
      </c>
      <c r="B33" s="401"/>
      <c r="C33" s="401"/>
      <c r="D33" s="402"/>
      <c r="E33" s="403"/>
    </row>
    <row r="34" spans="1:5" ht="15.75" customHeight="1">
      <c r="A34" s="400" t="s">
        <v>731</v>
      </c>
      <c r="B34" s="401"/>
      <c r="C34" s="401"/>
      <c r="D34" s="402"/>
      <c r="E34" s="403"/>
    </row>
    <row r="35" spans="1:5" ht="15.75" customHeight="1" thickBot="1">
      <c r="A35" s="404" t="s">
        <v>732</v>
      </c>
      <c r="B35" s="405"/>
      <c r="C35" s="405"/>
      <c r="D35" s="406"/>
      <c r="E35" s="407"/>
    </row>
    <row r="36" spans="1:5" ht="15.75" customHeight="1" thickBot="1">
      <c r="A36" s="1269" t="s">
        <v>178</v>
      </c>
      <c r="B36" s="1270"/>
      <c r="C36" s="408"/>
      <c r="D36" s="409">
        <f>SUM(D3:D35)</f>
        <v>4929</v>
      </c>
      <c r="E36" s="410">
        <f>SUM(E3:E35)</f>
        <v>4929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2013. évi céljelleggel juttatott támogatások felhasználásáról&amp;R&amp;"Times New Roman CE,Félkövér dőlt"&amp;11 6. tájékoztató tábla a ......../2014. (........)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30"/>
  <sheetViews>
    <sheetView zoomScale="120" zoomScaleNormal="120" zoomScaleSheetLayoutView="130" workbookViewId="0" topLeftCell="A1">
      <selection activeCell="E125" sqref="E125"/>
    </sheetView>
  </sheetViews>
  <sheetFormatPr defaultColWidth="9.00390625" defaultRowHeight="12.75"/>
  <cols>
    <col min="1" max="1" width="9.50390625" style="205" customWidth="1"/>
    <col min="2" max="2" width="60.875" style="205" customWidth="1"/>
    <col min="3" max="5" width="15.875" style="206" customWidth="1"/>
    <col min="6" max="16384" width="9.375" style="29" customWidth="1"/>
  </cols>
  <sheetData>
    <row r="1" spans="1:5" ht="15.75" customHeight="1">
      <c r="A1" s="1156" t="s">
        <v>142</v>
      </c>
      <c r="B1" s="1156"/>
      <c r="C1" s="1156"/>
      <c r="D1" s="1156"/>
      <c r="E1" s="1156"/>
    </row>
    <row r="2" spans="1:5" ht="15.75" customHeight="1" thickBot="1">
      <c r="A2" s="207" t="s">
        <v>262</v>
      </c>
      <c r="B2" s="207"/>
      <c r="C2" s="136"/>
      <c r="D2" s="136"/>
      <c r="E2" s="136" t="s">
        <v>398</v>
      </c>
    </row>
    <row r="3" spans="1:5" ht="37.5" customHeight="1">
      <c r="A3" s="1157" t="s">
        <v>195</v>
      </c>
      <c r="B3" s="1159" t="s">
        <v>144</v>
      </c>
      <c r="C3" s="1161" t="s">
        <v>126</v>
      </c>
      <c r="D3" s="1161"/>
      <c r="E3" s="1162"/>
    </row>
    <row r="4" spans="1:5" s="30" customFormat="1" ht="12" customHeight="1" thickBot="1">
      <c r="A4" s="1158"/>
      <c r="B4" s="1160"/>
      <c r="C4" s="210" t="s">
        <v>482</v>
      </c>
      <c r="D4" s="210" t="s">
        <v>489</v>
      </c>
      <c r="E4" s="211" t="s">
        <v>490</v>
      </c>
    </row>
    <row r="5" spans="1:5" s="1" customFormat="1" ht="12" customHeight="1" thickBot="1">
      <c r="A5" s="26">
        <v>1</v>
      </c>
      <c r="B5" s="27">
        <v>2</v>
      </c>
      <c r="C5" s="27">
        <v>3</v>
      </c>
      <c r="D5" s="27">
        <v>4</v>
      </c>
      <c r="E5" s="28">
        <v>5</v>
      </c>
    </row>
    <row r="6" spans="1:5" s="1" customFormat="1" ht="12" customHeight="1" thickBot="1">
      <c r="A6" s="20" t="s">
        <v>145</v>
      </c>
      <c r="B6" s="19" t="s">
        <v>276</v>
      </c>
      <c r="C6" s="263">
        <f>+C7+C12+C23</f>
        <v>12379</v>
      </c>
      <c r="D6" s="263">
        <f>+D7+D12+D23</f>
        <v>17558</v>
      </c>
      <c r="E6" s="119">
        <f>+E7+E12+E23</f>
        <v>17499</v>
      </c>
    </row>
    <row r="7" spans="1:5" s="1" customFormat="1" ht="12" customHeight="1" thickBot="1">
      <c r="A7" s="18" t="s">
        <v>146</v>
      </c>
      <c r="B7" s="101" t="s">
        <v>470</v>
      </c>
      <c r="C7" s="264">
        <f>+C8+C9+C10+C11</f>
        <v>4163</v>
      </c>
      <c r="D7" s="264">
        <f>+D8+D9+D10+D11</f>
        <v>8723</v>
      </c>
      <c r="E7" s="120">
        <f>+E8+E9+E10+E11</f>
        <v>8723</v>
      </c>
    </row>
    <row r="8" spans="1:5" s="1" customFormat="1" ht="12" customHeight="1">
      <c r="A8" s="12" t="s">
        <v>225</v>
      </c>
      <c r="B8" s="193" t="s">
        <v>182</v>
      </c>
      <c r="C8" s="510">
        <v>4163</v>
      </c>
      <c r="D8" s="581">
        <v>8723</v>
      </c>
      <c r="E8" s="582">
        <v>8723</v>
      </c>
    </row>
    <row r="9" spans="1:5" s="1" customFormat="1" ht="12" customHeight="1">
      <c r="A9" s="12" t="s">
        <v>226</v>
      </c>
      <c r="B9" s="115" t="s">
        <v>196</v>
      </c>
      <c r="C9" s="510"/>
      <c r="D9" s="510"/>
      <c r="E9" s="583"/>
    </row>
    <row r="10" spans="1:5" s="1" customFormat="1" ht="12" customHeight="1">
      <c r="A10" s="12" t="s">
        <v>227</v>
      </c>
      <c r="B10" s="115" t="s">
        <v>277</v>
      </c>
      <c r="C10" s="510"/>
      <c r="D10" s="510"/>
      <c r="E10" s="583"/>
    </row>
    <row r="11" spans="1:5" s="1" customFormat="1" ht="12" customHeight="1" thickBot="1">
      <c r="A11" s="12" t="s">
        <v>228</v>
      </c>
      <c r="B11" s="194" t="s">
        <v>278</v>
      </c>
      <c r="C11" s="510"/>
      <c r="D11" s="562"/>
      <c r="E11" s="584"/>
    </row>
    <row r="12" spans="1:5" s="1" customFormat="1" ht="12" customHeight="1" thickBot="1">
      <c r="A12" s="18" t="s">
        <v>147</v>
      </c>
      <c r="B12" s="19" t="s">
        <v>279</v>
      </c>
      <c r="C12" s="264">
        <f>+C13+C14+C15+C16+C17+C18+C19+C20+C21+C22</f>
        <v>8216</v>
      </c>
      <c r="D12" s="264">
        <f>+D13+D14+D15+D16+D17+D18+D19+D20+D21+D22</f>
        <v>8835</v>
      </c>
      <c r="E12" s="264">
        <f>+E13+E14+E15+E16+E17+E18+E19+E20+E21+E22</f>
        <v>8776</v>
      </c>
    </row>
    <row r="13" spans="1:5" s="1" customFormat="1" ht="12" customHeight="1">
      <c r="A13" s="15" t="s">
        <v>197</v>
      </c>
      <c r="B13" s="8" t="s">
        <v>284</v>
      </c>
      <c r="C13" s="516">
        <v>2101</v>
      </c>
      <c r="D13" s="581">
        <v>1902</v>
      </c>
      <c r="E13" s="582">
        <v>1902</v>
      </c>
    </row>
    <row r="14" spans="1:5" s="1" customFormat="1" ht="12" customHeight="1">
      <c r="A14" s="12" t="s">
        <v>198</v>
      </c>
      <c r="B14" s="6" t="s">
        <v>285</v>
      </c>
      <c r="C14" s="510">
        <v>421</v>
      </c>
      <c r="D14" s="510">
        <v>902</v>
      </c>
      <c r="E14" s="583">
        <v>903</v>
      </c>
    </row>
    <row r="15" spans="1:5" s="1" customFormat="1" ht="12" customHeight="1">
      <c r="A15" s="12" t="s">
        <v>199</v>
      </c>
      <c r="B15" s="6" t="s">
        <v>838</v>
      </c>
      <c r="C15" s="510"/>
      <c r="D15" s="510"/>
      <c r="E15" s="583"/>
    </row>
    <row r="16" spans="1:5" s="1" customFormat="1" ht="12" customHeight="1">
      <c r="A16" s="12" t="s">
        <v>200</v>
      </c>
      <c r="B16" s="6" t="s">
        <v>286</v>
      </c>
      <c r="C16" s="510"/>
      <c r="D16" s="510"/>
      <c r="E16" s="583"/>
    </row>
    <row r="17" spans="1:5" s="1" customFormat="1" ht="12" customHeight="1">
      <c r="A17" s="11" t="s">
        <v>280</v>
      </c>
      <c r="B17" s="6" t="s">
        <v>287</v>
      </c>
      <c r="C17" s="519">
        <v>1431</v>
      </c>
      <c r="D17" s="519">
        <v>1329</v>
      </c>
      <c r="E17" s="585">
        <v>1329</v>
      </c>
    </row>
    <row r="18" spans="1:5" s="1" customFormat="1" ht="12" customHeight="1">
      <c r="A18" s="12" t="s">
        <v>281</v>
      </c>
      <c r="B18" s="873" t="s">
        <v>288</v>
      </c>
      <c r="C18" s="510">
        <v>665</v>
      </c>
      <c r="D18" s="510">
        <v>876</v>
      </c>
      <c r="E18" s="583">
        <v>876</v>
      </c>
    </row>
    <row r="19" spans="1:5" s="1" customFormat="1" ht="12" customHeight="1">
      <c r="A19" s="12" t="s">
        <v>282</v>
      </c>
      <c r="B19" s="873" t="s">
        <v>839</v>
      </c>
      <c r="C19" s="510"/>
      <c r="D19" s="510">
        <v>272</v>
      </c>
      <c r="E19" s="583">
        <v>272</v>
      </c>
    </row>
    <row r="20" spans="1:5" s="1" customFormat="1" ht="12" customHeight="1">
      <c r="A20" s="11" t="s">
        <v>283</v>
      </c>
      <c r="B20" s="6" t="s">
        <v>345</v>
      </c>
      <c r="C20" s="510">
        <v>1648</v>
      </c>
      <c r="D20" s="510">
        <v>2403</v>
      </c>
      <c r="E20" s="585">
        <v>2404</v>
      </c>
    </row>
    <row r="21" spans="1:5" s="1" customFormat="1" ht="12" customHeight="1">
      <c r="A21" s="12" t="s">
        <v>87</v>
      </c>
      <c r="B21" s="6" t="s">
        <v>289</v>
      </c>
      <c r="C21" s="510"/>
      <c r="D21" s="510"/>
      <c r="E21" s="583"/>
    </row>
    <row r="22" spans="1:5" s="1" customFormat="1" ht="12" customHeight="1" thickBot="1">
      <c r="A22" s="16" t="s">
        <v>88</v>
      </c>
      <c r="B22" s="5" t="s">
        <v>290</v>
      </c>
      <c r="C22" s="514">
        <v>1950</v>
      </c>
      <c r="D22" s="591">
        <v>1151</v>
      </c>
      <c r="E22" s="584">
        <v>1090</v>
      </c>
    </row>
    <row r="23" spans="1:5" s="1" customFormat="1" ht="12" customHeight="1" thickBot="1">
      <c r="A23" s="18" t="s">
        <v>291</v>
      </c>
      <c r="B23" s="19" t="s">
        <v>346</v>
      </c>
      <c r="C23" s="267"/>
      <c r="D23" s="267"/>
      <c r="E23" s="123"/>
    </row>
    <row r="24" spans="1:5" s="1" customFormat="1" ht="12" customHeight="1" thickBot="1">
      <c r="A24" s="18" t="s">
        <v>149</v>
      </c>
      <c r="B24" s="19" t="s">
        <v>293</v>
      </c>
      <c r="C24" s="264">
        <f>+C25+C26+C27+C28+C29+C30+C31+C32</f>
        <v>6200</v>
      </c>
      <c r="D24" s="264">
        <f>+D25+D26+D27+D28+D29+D30+D31+D32</f>
        <v>5500</v>
      </c>
      <c r="E24" s="120">
        <f>+E25+E26+E27+E28+E29+E30+E31+E32</f>
        <v>5500</v>
      </c>
    </row>
    <row r="25" spans="1:5" s="1" customFormat="1" ht="12" customHeight="1">
      <c r="A25" s="13" t="s">
        <v>201</v>
      </c>
      <c r="B25" s="7" t="s">
        <v>299</v>
      </c>
      <c r="C25" s="517">
        <v>6200</v>
      </c>
      <c r="D25" s="581">
        <v>5500</v>
      </c>
      <c r="E25" s="582">
        <v>5500</v>
      </c>
    </row>
    <row r="26" spans="1:5" s="1" customFormat="1" ht="12" customHeight="1">
      <c r="A26" s="12" t="s">
        <v>202</v>
      </c>
      <c r="B26" s="6" t="s">
        <v>300</v>
      </c>
      <c r="C26" s="510"/>
      <c r="D26" s="510"/>
      <c r="E26" s="583"/>
    </row>
    <row r="27" spans="1:5" s="1" customFormat="1" ht="12" customHeight="1">
      <c r="A27" s="12" t="s">
        <v>203</v>
      </c>
      <c r="B27" s="6" t="s">
        <v>301</v>
      </c>
      <c r="C27" s="510"/>
      <c r="D27" s="510"/>
      <c r="E27" s="583"/>
    </row>
    <row r="28" spans="1:5" s="1" customFormat="1" ht="12" customHeight="1">
      <c r="A28" s="14" t="s">
        <v>294</v>
      </c>
      <c r="B28" s="6" t="s">
        <v>206</v>
      </c>
      <c r="C28" s="518"/>
      <c r="D28" s="518"/>
      <c r="E28" s="588"/>
    </row>
    <row r="29" spans="1:5" s="1" customFormat="1" ht="12" customHeight="1">
      <c r="A29" s="14" t="s">
        <v>295</v>
      </c>
      <c r="B29" s="6" t="s">
        <v>302</v>
      </c>
      <c r="C29" s="518"/>
      <c r="D29" s="518"/>
      <c r="E29" s="588"/>
    </row>
    <row r="30" spans="1:5" s="1" customFormat="1" ht="12" customHeight="1">
      <c r="A30" s="12" t="s">
        <v>296</v>
      </c>
      <c r="B30" s="6" t="s">
        <v>303</v>
      </c>
      <c r="C30" s="510"/>
      <c r="D30" s="510"/>
      <c r="E30" s="583"/>
    </row>
    <row r="31" spans="1:5" s="1" customFormat="1" ht="12" customHeight="1">
      <c r="A31" s="12" t="s">
        <v>297</v>
      </c>
      <c r="B31" s="6" t="s">
        <v>347</v>
      </c>
      <c r="C31" s="510"/>
      <c r="D31" s="510"/>
      <c r="E31" s="523"/>
    </row>
    <row r="32" spans="1:5" s="1" customFormat="1" ht="12" customHeight="1" thickBot="1">
      <c r="A32" s="12" t="s">
        <v>298</v>
      </c>
      <c r="B32" s="10" t="s">
        <v>304</v>
      </c>
      <c r="C32" s="510"/>
      <c r="D32" s="562"/>
      <c r="E32" s="589"/>
    </row>
    <row r="33" spans="1:5" s="1" customFormat="1" ht="12" customHeight="1" thickBot="1">
      <c r="A33" s="94" t="s">
        <v>150</v>
      </c>
      <c r="B33" s="19" t="s">
        <v>471</v>
      </c>
      <c r="C33" s="264">
        <f>+C34+C40</f>
        <v>0</v>
      </c>
      <c r="D33" s="264">
        <f>+D34+D40</f>
        <v>0</v>
      </c>
      <c r="E33" s="120">
        <f>+E34+E40</f>
        <v>0</v>
      </c>
    </row>
    <row r="34" spans="1:5" s="1" customFormat="1" ht="12" customHeight="1">
      <c r="A34" s="95" t="s">
        <v>204</v>
      </c>
      <c r="B34" s="195" t="s">
        <v>472</v>
      </c>
      <c r="C34" s="271">
        <f>+C35+C36+C37+C38+C39</f>
        <v>0</v>
      </c>
      <c r="D34" s="271">
        <f>+D35+D36+D37+D38+D39</f>
        <v>0</v>
      </c>
      <c r="E34" s="130">
        <f>+E35+E36+E37+E38+E39</f>
        <v>0</v>
      </c>
    </row>
    <row r="35" spans="1:5" s="1" customFormat="1" ht="12" customHeight="1">
      <c r="A35" s="96" t="s">
        <v>207</v>
      </c>
      <c r="B35" s="102" t="s">
        <v>348</v>
      </c>
      <c r="C35" s="270"/>
      <c r="D35" s="270"/>
      <c r="E35" s="126"/>
    </row>
    <row r="36" spans="1:5" s="1" customFormat="1" ht="12" customHeight="1">
      <c r="A36" s="96" t="s">
        <v>208</v>
      </c>
      <c r="B36" s="102" t="s">
        <v>349</v>
      </c>
      <c r="C36" s="270"/>
      <c r="D36" s="270"/>
      <c r="E36" s="126"/>
    </row>
    <row r="37" spans="1:5" s="1" customFormat="1" ht="12" customHeight="1">
      <c r="A37" s="96" t="s">
        <v>209</v>
      </c>
      <c r="B37" s="102" t="s">
        <v>350</v>
      </c>
      <c r="C37" s="270"/>
      <c r="D37" s="270"/>
      <c r="E37" s="126"/>
    </row>
    <row r="38" spans="1:5" s="1" customFormat="1" ht="12" customHeight="1">
      <c r="A38" s="96" t="s">
        <v>210</v>
      </c>
      <c r="B38" s="102" t="s">
        <v>351</v>
      </c>
      <c r="C38" s="270"/>
      <c r="D38" s="270"/>
      <c r="E38" s="126"/>
    </row>
    <row r="39" spans="1:5" s="1" customFormat="1" ht="12" customHeight="1">
      <c r="A39" s="96" t="s">
        <v>305</v>
      </c>
      <c r="B39" s="102" t="s">
        <v>473</v>
      </c>
      <c r="C39" s="270"/>
      <c r="D39" s="270"/>
      <c r="E39" s="126"/>
    </row>
    <row r="40" spans="1:5" s="1" customFormat="1" ht="12" customHeight="1">
      <c r="A40" s="96" t="s">
        <v>205</v>
      </c>
      <c r="B40" s="103" t="s">
        <v>474</v>
      </c>
      <c r="C40" s="272">
        <f>+C41+C42+C43+C44+C45</f>
        <v>0</v>
      </c>
      <c r="D40" s="272">
        <f>+D41+D42+D43+D44+D45</f>
        <v>0</v>
      </c>
      <c r="E40" s="131">
        <f>+E41+E42+E43+E44+E45</f>
        <v>0</v>
      </c>
    </row>
    <row r="41" spans="1:5" s="1" customFormat="1" ht="12" customHeight="1">
      <c r="A41" s="96" t="s">
        <v>213</v>
      </c>
      <c r="B41" s="102" t="s">
        <v>348</v>
      </c>
      <c r="C41" s="270"/>
      <c r="D41" s="270"/>
      <c r="E41" s="126"/>
    </row>
    <row r="42" spans="1:5" s="1" customFormat="1" ht="12" customHeight="1">
      <c r="A42" s="96" t="s">
        <v>214</v>
      </c>
      <c r="B42" s="102" t="s">
        <v>349</v>
      </c>
      <c r="C42" s="270"/>
      <c r="D42" s="270"/>
      <c r="E42" s="126"/>
    </row>
    <row r="43" spans="1:5" s="1" customFormat="1" ht="12" customHeight="1">
      <c r="A43" s="96" t="s">
        <v>215</v>
      </c>
      <c r="B43" s="102" t="s">
        <v>350</v>
      </c>
      <c r="C43" s="270"/>
      <c r="D43" s="270"/>
      <c r="E43" s="126"/>
    </row>
    <row r="44" spans="1:5" s="1" customFormat="1" ht="12" customHeight="1">
      <c r="A44" s="96" t="s">
        <v>216</v>
      </c>
      <c r="B44" s="104" t="s">
        <v>351</v>
      </c>
      <c r="C44" s="270"/>
      <c r="D44" s="270"/>
      <c r="E44" s="126"/>
    </row>
    <row r="45" spans="1:5" s="1" customFormat="1" ht="12" customHeight="1" thickBot="1">
      <c r="A45" s="97" t="s">
        <v>306</v>
      </c>
      <c r="B45" s="105" t="s">
        <v>475</v>
      </c>
      <c r="C45" s="273"/>
      <c r="D45" s="273"/>
      <c r="E45" s="274"/>
    </row>
    <row r="46" spans="1:5" s="1" customFormat="1" ht="12" customHeight="1" thickBot="1">
      <c r="A46" s="18" t="s">
        <v>307</v>
      </c>
      <c r="B46" s="196" t="s">
        <v>352</v>
      </c>
      <c r="C46" s="264">
        <f>+C47+C48</f>
        <v>0</v>
      </c>
      <c r="D46" s="264">
        <f>+D47+D48</f>
        <v>50</v>
      </c>
      <c r="E46" s="120">
        <f>+E47+E48</f>
        <v>50</v>
      </c>
    </row>
    <row r="47" spans="1:5" s="1" customFormat="1" ht="12" customHeight="1">
      <c r="A47" s="13" t="s">
        <v>211</v>
      </c>
      <c r="B47" s="115" t="s">
        <v>353</v>
      </c>
      <c r="C47" s="517"/>
      <c r="D47" s="581">
        <v>50</v>
      </c>
      <c r="E47" s="582">
        <v>50</v>
      </c>
    </row>
    <row r="48" spans="1:5" s="1" customFormat="1" ht="12" customHeight="1" thickBot="1">
      <c r="A48" s="11" t="s">
        <v>212</v>
      </c>
      <c r="B48" s="110" t="s">
        <v>357</v>
      </c>
      <c r="C48" s="519"/>
      <c r="D48" s="591"/>
      <c r="E48" s="596"/>
    </row>
    <row r="49" spans="1:5" s="1" customFormat="1" ht="12" customHeight="1" thickBot="1">
      <c r="A49" s="18" t="s">
        <v>152</v>
      </c>
      <c r="B49" s="196" t="s">
        <v>356</v>
      </c>
      <c r="C49" s="264">
        <f>+C50+C51+C52</f>
        <v>0</v>
      </c>
      <c r="D49" s="264">
        <f>+D50+D51+D52</f>
        <v>0</v>
      </c>
      <c r="E49" s="120">
        <f>+E50+E51+E52</f>
        <v>0</v>
      </c>
    </row>
    <row r="50" spans="1:5" s="1" customFormat="1" ht="12" customHeight="1">
      <c r="A50" s="13" t="s">
        <v>310</v>
      </c>
      <c r="B50" s="115" t="s">
        <v>308</v>
      </c>
      <c r="C50" s="275"/>
      <c r="D50" s="275"/>
      <c r="E50" s="276"/>
    </row>
    <row r="51" spans="1:5" s="1" customFormat="1" ht="12" customHeight="1">
      <c r="A51" s="12" t="s">
        <v>311</v>
      </c>
      <c r="B51" s="102" t="s">
        <v>309</v>
      </c>
      <c r="C51" s="270"/>
      <c r="D51" s="270"/>
      <c r="E51" s="126"/>
    </row>
    <row r="52" spans="1:5" s="1" customFormat="1" ht="17.25" customHeight="1" thickBot="1">
      <c r="A52" s="11" t="s">
        <v>399</v>
      </c>
      <c r="B52" s="110" t="s">
        <v>354</v>
      </c>
      <c r="C52" s="277"/>
      <c r="D52" s="277"/>
      <c r="E52" s="278"/>
    </row>
    <row r="53" spans="1:5" s="1" customFormat="1" ht="12" customHeight="1" thickBot="1">
      <c r="A53" s="526" t="s">
        <v>312</v>
      </c>
      <c r="B53" s="527" t="s">
        <v>89</v>
      </c>
      <c r="C53" s="279"/>
      <c r="D53" s="279"/>
      <c r="E53" s="127"/>
    </row>
    <row r="54" spans="1:5" s="1" customFormat="1" ht="12" customHeight="1" thickBot="1">
      <c r="A54" s="18" t="s">
        <v>154</v>
      </c>
      <c r="B54" s="21" t="s">
        <v>313</v>
      </c>
      <c r="C54" s="280">
        <f>+C7+C12+C23+C24+C33+C46+C49+C53</f>
        <v>18579</v>
      </c>
      <c r="D54" s="280">
        <f>+D7+D12+D23+D24+D33+D46+D49+D53</f>
        <v>23108</v>
      </c>
      <c r="E54" s="128">
        <f>+E7+E12+E23+E24+E33+E46+E49+E53</f>
        <v>23049</v>
      </c>
    </row>
    <row r="55" spans="1:5" s="1" customFormat="1" ht="12" customHeight="1" thickBot="1">
      <c r="A55" s="106" t="s">
        <v>155</v>
      </c>
      <c r="B55" s="101" t="s">
        <v>358</v>
      </c>
      <c r="C55" s="281">
        <f>+C56+C62</f>
        <v>31351</v>
      </c>
      <c r="D55" s="281">
        <f>+D56+D62</f>
        <v>30617</v>
      </c>
      <c r="E55" s="129">
        <f>+E56+E62</f>
        <v>30617</v>
      </c>
    </row>
    <row r="56" spans="1:5" s="1" customFormat="1" ht="12" customHeight="1">
      <c r="A56" s="197" t="s">
        <v>255</v>
      </c>
      <c r="B56" s="195" t="s">
        <v>439</v>
      </c>
      <c r="C56" s="529">
        <f>+C57+C58+C59+C60+C61</f>
        <v>31351</v>
      </c>
      <c r="D56" s="603">
        <f>+D57+D58+D59+D60+D61</f>
        <v>30617</v>
      </c>
      <c r="E56" s="881">
        <f>+E57+E58+E59+E60+E61</f>
        <v>30617</v>
      </c>
    </row>
    <row r="57" spans="1:5" s="1" customFormat="1" ht="12" customHeight="1">
      <c r="A57" s="107" t="s">
        <v>370</v>
      </c>
      <c r="B57" s="102" t="s">
        <v>359</v>
      </c>
      <c r="C57" s="510">
        <v>31351</v>
      </c>
      <c r="D57" s="510">
        <v>30617</v>
      </c>
      <c r="E57" s="583">
        <v>30617</v>
      </c>
    </row>
    <row r="58" spans="1:5" s="1" customFormat="1" ht="12" customHeight="1">
      <c r="A58" s="107" t="s">
        <v>371</v>
      </c>
      <c r="B58" s="102" t="s">
        <v>360</v>
      </c>
      <c r="C58" s="510"/>
      <c r="D58" s="510"/>
      <c r="E58" s="583"/>
    </row>
    <row r="59" spans="1:5" s="1" customFormat="1" ht="12" customHeight="1">
      <c r="A59" s="107" t="s">
        <v>372</v>
      </c>
      <c r="B59" s="102" t="s">
        <v>361</v>
      </c>
      <c r="C59" s="510"/>
      <c r="D59" s="510"/>
      <c r="E59" s="585"/>
    </row>
    <row r="60" spans="1:5" s="1" customFormat="1" ht="12" customHeight="1">
      <c r="A60" s="107" t="s">
        <v>373</v>
      </c>
      <c r="B60" s="102" t="s">
        <v>362</v>
      </c>
      <c r="C60" s="510"/>
      <c r="D60" s="510"/>
      <c r="E60" s="583"/>
    </row>
    <row r="61" spans="1:5" s="1" customFormat="1" ht="12" customHeight="1">
      <c r="A61" s="107" t="s">
        <v>374</v>
      </c>
      <c r="B61" s="102" t="s">
        <v>363</v>
      </c>
      <c r="C61" s="510"/>
      <c r="D61" s="510"/>
      <c r="E61" s="583"/>
    </row>
    <row r="62" spans="1:5" s="1" customFormat="1" ht="12" customHeight="1">
      <c r="A62" s="108" t="s">
        <v>256</v>
      </c>
      <c r="B62" s="103" t="s">
        <v>438</v>
      </c>
      <c r="C62" s="520">
        <f>+C63+C64+C65+C66+C67</f>
        <v>0</v>
      </c>
      <c r="D62" s="520"/>
      <c r="E62" s="585">
        <f>+E63+E64+E65+E66+E67</f>
        <v>0</v>
      </c>
    </row>
    <row r="63" spans="1:5" s="1" customFormat="1" ht="12" customHeight="1">
      <c r="A63" s="107" t="s">
        <v>375</v>
      </c>
      <c r="B63" s="102" t="s">
        <v>364</v>
      </c>
      <c r="C63" s="510"/>
      <c r="D63" s="510"/>
      <c r="E63" s="583"/>
    </row>
    <row r="64" spans="1:5" s="1" customFormat="1" ht="12" customHeight="1">
      <c r="A64" s="107" t="s">
        <v>376</v>
      </c>
      <c r="B64" s="102" t="s">
        <v>365</v>
      </c>
      <c r="C64" s="510"/>
      <c r="D64" s="510"/>
      <c r="E64" s="583"/>
    </row>
    <row r="65" spans="1:5" s="1" customFormat="1" ht="12" customHeight="1">
      <c r="A65" s="107" t="s">
        <v>377</v>
      </c>
      <c r="B65" s="102" t="s">
        <v>366</v>
      </c>
      <c r="C65" s="510"/>
      <c r="D65" s="510"/>
      <c r="E65" s="585"/>
    </row>
    <row r="66" spans="1:5" s="1" customFormat="1" ht="12" customHeight="1">
      <c r="A66" s="107" t="s">
        <v>378</v>
      </c>
      <c r="B66" s="102" t="s">
        <v>367</v>
      </c>
      <c r="C66" s="510"/>
      <c r="D66" s="510"/>
      <c r="E66" s="583"/>
    </row>
    <row r="67" spans="1:5" s="1" customFormat="1" ht="12" customHeight="1" thickBot="1">
      <c r="A67" s="109" t="s">
        <v>379</v>
      </c>
      <c r="B67" s="110" t="s">
        <v>368</v>
      </c>
      <c r="C67" s="521"/>
      <c r="D67" s="562"/>
      <c r="E67" s="584"/>
    </row>
    <row r="68" spans="1:5" s="1" customFormat="1" ht="21" customHeight="1" thickBot="1">
      <c r="A68" s="111" t="s">
        <v>156</v>
      </c>
      <c r="B68" s="198" t="s">
        <v>436</v>
      </c>
      <c r="C68" s="281">
        <f>+C54+C55</f>
        <v>49930</v>
      </c>
      <c r="D68" s="281">
        <f>+D54+D55</f>
        <v>53725</v>
      </c>
      <c r="E68" s="129">
        <f>+E54+E55</f>
        <v>53666</v>
      </c>
    </row>
    <row r="69" spans="1:5" s="1" customFormat="1" ht="12" customHeight="1" thickBot="1">
      <c r="A69" s="112" t="s">
        <v>157</v>
      </c>
      <c r="B69" s="199" t="s">
        <v>369</v>
      </c>
      <c r="C69" s="282"/>
      <c r="D69" s="282"/>
      <c r="E69" s="137"/>
    </row>
    <row r="70" spans="1:5" s="1" customFormat="1" ht="12.75" customHeight="1" thickBot="1">
      <c r="A70" s="111" t="s">
        <v>158</v>
      </c>
      <c r="B70" s="198" t="s">
        <v>437</v>
      </c>
      <c r="C70" s="283">
        <f>+C68+C69</f>
        <v>49930</v>
      </c>
      <c r="D70" s="283">
        <f>+D68+D69</f>
        <v>53725</v>
      </c>
      <c r="E70" s="138">
        <f>+E68+E69</f>
        <v>53666</v>
      </c>
    </row>
    <row r="71" spans="1:5" ht="16.5" customHeight="1">
      <c r="A71" s="3"/>
      <c r="B71" s="4"/>
      <c r="C71" s="132"/>
      <c r="D71" s="132"/>
      <c r="E71" s="132"/>
    </row>
    <row r="72" spans="1:5" s="139" customFormat="1" ht="16.5" customHeight="1">
      <c r="A72" s="1156" t="s">
        <v>174</v>
      </c>
      <c r="B72" s="1156"/>
      <c r="C72" s="1156"/>
      <c r="D72" s="1156"/>
      <c r="E72" s="1156"/>
    </row>
    <row r="73" spans="1:5" ht="37.5" customHeight="1" thickBot="1">
      <c r="A73" s="208" t="s">
        <v>263</v>
      </c>
      <c r="B73" s="208"/>
      <c r="C73" s="67"/>
      <c r="D73" s="67"/>
      <c r="E73" s="67" t="s">
        <v>398</v>
      </c>
    </row>
    <row r="74" spans="1:5" s="30" customFormat="1" ht="12" customHeight="1">
      <c r="A74" s="1157" t="s">
        <v>195</v>
      </c>
      <c r="B74" s="1159" t="s">
        <v>481</v>
      </c>
      <c r="C74" s="1161" t="s">
        <v>126</v>
      </c>
      <c r="D74" s="1161"/>
      <c r="E74" s="1162"/>
    </row>
    <row r="75" spans="1:5" ht="12" customHeight="1" thickBot="1">
      <c r="A75" s="1158"/>
      <c r="B75" s="1160"/>
      <c r="C75" s="210" t="s">
        <v>482</v>
      </c>
      <c r="D75" s="210" t="s">
        <v>489</v>
      </c>
      <c r="E75" s="211" t="s">
        <v>490</v>
      </c>
    </row>
    <row r="76" spans="1:5" ht="12" customHeight="1" thickBot="1">
      <c r="A76" s="26">
        <v>1</v>
      </c>
      <c r="B76" s="27">
        <v>2</v>
      </c>
      <c r="C76" s="27">
        <v>3</v>
      </c>
      <c r="D76" s="27">
        <v>4</v>
      </c>
      <c r="E76" s="28">
        <v>5</v>
      </c>
    </row>
    <row r="77" spans="1:5" ht="12" customHeight="1" thickBot="1">
      <c r="A77" s="20" t="s">
        <v>145</v>
      </c>
      <c r="B77" s="25" t="s">
        <v>314</v>
      </c>
      <c r="C77" s="263">
        <f>+C78+C79+C80+C81+C82</f>
        <v>30718</v>
      </c>
      <c r="D77" s="263">
        <f>+D78+D79+D80+D81+D82</f>
        <v>34423</v>
      </c>
      <c r="E77" s="119">
        <f>+E78+E79+E80+E81+E82</f>
        <v>34123</v>
      </c>
    </row>
    <row r="78" spans="1:5" ht="12" customHeight="1">
      <c r="A78" s="15" t="s">
        <v>217</v>
      </c>
      <c r="B78" s="8" t="s">
        <v>175</v>
      </c>
      <c r="C78" s="516">
        <v>15642</v>
      </c>
      <c r="D78" s="581">
        <v>16424</v>
      </c>
      <c r="E78" s="582">
        <v>16424</v>
      </c>
    </row>
    <row r="79" spans="1:5" ht="12" customHeight="1">
      <c r="A79" s="12" t="s">
        <v>218</v>
      </c>
      <c r="B79" s="6" t="s">
        <v>315</v>
      </c>
      <c r="C79" s="510">
        <v>3917</v>
      </c>
      <c r="D79" s="510">
        <v>4676</v>
      </c>
      <c r="E79" s="583">
        <v>4377</v>
      </c>
    </row>
    <row r="80" spans="1:5" ht="12" customHeight="1">
      <c r="A80" s="12" t="s">
        <v>219</v>
      </c>
      <c r="B80" s="6" t="s">
        <v>248</v>
      </c>
      <c r="C80" s="518">
        <v>9869</v>
      </c>
      <c r="D80" s="518">
        <v>12220</v>
      </c>
      <c r="E80" s="588">
        <v>12219</v>
      </c>
    </row>
    <row r="81" spans="1:5" ht="12" customHeight="1">
      <c r="A81" s="12" t="s">
        <v>220</v>
      </c>
      <c r="B81" s="9" t="s">
        <v>316</v>
      </c>
      <c r="C81" s="518"/>
      <c r="D81" s="518"/>
      <c r="E81" s="588"/>
    </row>
    <row r="82" spans="1:5" ht="12" customHeight="1">
      <c r="A82" s="12" t="s">
        <v>231</v>
      </c>
      <c r="B82" s="17" t="s">
        <v>317</v>
      </c>
      <c r="C82" s="518">
        <f>SUM(C83:C89)</f>
        <v>1290</v>
      </c>
      <c r="D82" s="518">
        <v>1103</v>
      </c>
      <c r="E82" s="518">
        <v>1103</v>
      </c>
    </row>
    <row r="83" spans="1:5" ht="12" customHeight="1">
      <c r="A83" s="12" t="s">
        <v>221</v>
      </c>
      <c r="B83" s="6" t="s">
        <v>334</v>
      </c>
      <c r="C83" s="518"/>
      <c r="D83" s="518"/>
      <c r="E83" s="588"/>
    </row>
    <row r="84" spans="1:5" ht="12" customHeight="1">
      <c r="A84" s="12" t="s">
        <v>222</v>
      </c>
      <c r="B84" s="68" t="s">
        <v>335</v>
      </c>
      <c r="C84" s="518"/>
      <c r="D84" s="518"/>
      <c r="E84" s="588"/>
    </row>
    <row r="85" spans="1:5" ht="12" customHeight="1">
      <c r="A85" s="12" t="s">
        <v>232</v>
      </c>
      <c r="B85" s="68" t="s">
        <v>380</v>
      </c>
      <c r="C85" s="518">
        <v>1290</v>
      </c>
      <c r="D85" s="518">
        <v>1103</v>
      </c>
      <c r="E85" s="588">
        <v>1103</v>
      </c>
    </row>
    <row r="86" spans="1:5" ht="12" customHeight="1">
      <c r="A86" s="12" t="s">
        <v>233</v>
      </c>
      <c r="B86" s="69" t="s">
        <v>336</v>
      </c>
      <c r="C86" s="518"/>
      <c r="D86" s="518"/>
      <c r="E86" s="588"/>
    </row>
    <row r="87" spans="1:5" ht="12" customHeight="1">
      <c r="A87" s="11" t="s">
        <v>234</v>
      </c>
      <c r="B87" s="70" t="s">
        <v>337</v>
      </c>
      <c r="C87" s="518"/>
      <c r="D87" s="518"/>
      <c r="E87" s="588"/>
    </row>
    <row r="88" spans="1:5" ht="12" customHeight="1">
      <c r="A88" s="12" t="s">
        <v>235</v>
      </c>
      <c r="B88" s="70" t="s">
        <v>338</v>
      </c>
      <c r="C88" s="518"/>
      <c r="D88" s="518"/>
      <c r="E88" s="588"/>
    </row>
    <row r="89" spans="1:5" ht="12" customHeight="1" thickBot="1">
      <c r="A89" s="16" t="s">
        <v>237</v>
      </c>
      <c r="B89" s="71" t="s">
        <v>339</v>
      </c>
      <c r="C89" s="521"/>
      <c r="D89" s="562"/>
      <c r="E89" s="584"/>
    </row>
    <row r="90" spans="1:5" ht="12" customHeight="1" thickBot="1">
      <c r="A90" s="18" t="s">
        <v>146</v>
      </c>
      <c r="B90" s="24" t="s">
        <v>400</v>
      </c>
      <c r="C90" s="264">
        <f>+C91+C92+C93</f>
        <v>19002</v>
      </c>
      <c r="D90" s="264">
        <f>+D91+D92+D93</f>
        <v>19302</v>
      </c>
      <c r="E90" s="120">
        <f>+E91+E92+E93</f>
        <v>4640</v>
      </c>
    </row>
    <row r="91" spans="1:5" ht="12" customHeight="1">
      <c r="A91" s="13" t="s">
        <v>225</v>
      </c>
      <c r="B91" s="6" t="s">
        <v>381</v>
      </c>
      <c r="C91" s="517"/>
      <c r="D91" s="581">
        <v>300</v>
      </c>
      <c r="E91" s="582">
        <v>300</v>
      </c>
    </row>
    <row r="92" spans="1:5" ht="12" customHeight="1">
      <c r="A92" s="13" t="s">
        <v>226</v>
      </c>
      <c r="B92" s="10" t="s">
        <v>318</v>
      </c>
      <c r="C92" s="510">
        <v>19002</v>
      </c>
      <c r="D92" s="510">
        <v>19002</v>
      </c>
      <c r="E92" s="583">
        <v>4340</v>
      </c>
    </row>
    <row r="93" spans="1:5" ht="12" customHeight="1">
      <c r="A93" s="13" t="s">
        <v>227</v>
      </c>
      <c r="B93" s="102" t="s">
        <v>401</v>
      </c>
      <c r="C93" s="510"/>
      <c r="D93" s="510"/>
      <c r="E93" s="583"/>
    </row>
    <row r="94" spans="1:5" ht="22.5">
      <c r="A94" s="13" t="s">
        <v>228</v>
      </c>
      <c r="B94" s="102" t="s">
        <v>476</v>
      </c>
      <c r="C94" s="510"/>
      <c r="D94" s="510"/>
      <c r="E94" s="583"/>
    </row>
    <row r="95" spans="1:5" ht="12" customHeight="1">
      <c r="A95" s="13" t="s">
        <v>229</v>
      </c>
      <c r="B95" s="102" t="s">
        <v>414</v>
      </c>
      <c r="C95" s="510"/>
      <c r="D95" s="510"/>
      <c r="E95" s="583"/>
    </row>
    <row r="96" spans="1:5" ht="12" customHeight="1">
      <c r="A96" s="13" t="s">
        <v>236</v>
      </c>
      <c r="B96" s="102" t="s">
        <v>415</v>
      </c>
      <c r="C96" s="510"/>
      <c r="D96" s="510"/>
      <c r="E96" s="583"/>
    </row>
    <row r="97" spans="1:5" ht="12" customHeight="1">
      <c r="A97" s="13" t="s">
        <v>238</v>
      </c>
      <c r="B97" s="200" t="s">
        <v>383</v>
      </c>
      <c r="C97" s="510"/>
      <c r="D97" s="510"/>
      <c r="E97" s="583"/>
    </row>
    <row r="98" spans="1:5" ht="24" customHeight="1">
      <c r="A98" s="13" t="s">
        <v>319</v>
      </c>
      <c r="B98" s="200" t="s">
        <v>384</v>
      </c>
      <c r="C98" s="510"/>
      <c r="D98" s="510"/>
      <c r="E98" s="583"/>
    </row>
    <row r="99" spans="1:5" ht="21.75" customHeight="1">
      <c r="A99" s="13" t="s">
        <v>320</v>
      </c>
      <c r="B99" s="200" t="s">
        <v>382</v>
      </c>
      <c r="C99" s="510"/>
      <c r="D99" s="510"/>
      <c r="E99" s="583"/>
    </row>
    <row r="100" spans="1:5" ht="12" customHeight="1" thickBot="1">
      <c r="A100" s="11" t="s">
        <v>321</v>
      </c>
      <c r="B100" s="201" t="s">
        <v>502</v>
      </c>
      <c r="C100" s="518"/>
      <c r="D100" s="562"/>
      <c r="E100" s="584"/>
    </row>
    <row r="101" spans="1:5" ht="12" customHeight="1" thickBot="1">
      <c r="A101" s="18" t="s">
        <v>147</v>
      </c>
      <c r="B101" s="58" t="s">
        <v>416</v>
      </c>
      <c r="C101" s="264">
        <f>+C102+C103</f>
        <v>210</v>
      </c>
      <c r="D101" s="264">
        <f>+D102+D103</f>
        <v>0</v>
      </c>
      <c r="E101" s="120">
        <f>+E102+E103</f>
        <v>0</v>
      </c>
    </row>
    <row r="102" spans="1:5" s="100" customFormat="1" ht="12" customHeight="1">
      <c r="A102" s="13" t="s">
        <v>197</v>
      </c>
      <c r="B102" s="7" t="s">
        <v>185</v>
      </c>
      <c r="C102" s="517">
        <v>210</v>
      </c>
      <c r="D102" s="581"/>
      <c r="E102" s="582"/>
    </row>
    <row r="103" spans="1:5" ht="12" customHeight="1" thickBot="1">
      <c r="A103" s="14" t="s">
        <v>198</v>
      </c>
      <c r="B103" s="10" t="s">
        <v>186</v>
      </c>
      <c r="C103" s="518"/>
      <c r="D103" s="562"/>
      <c r="E103" s="584"/>
    </row>
    <row r="104" spans="1:5" ht="12" customHeight="1" thickBot="1">
      <c r="A104" s="106" t="s">
        <v>148</v>
      </c>
      <c r="B104" s="101" t="s">
        <v>385</v>
      </c>
      <c r="C104" s="284"/>
      <c r="D104" s="284"/>
      <c r="E104" s="285"/>
    </row>
    <row r="105" spans="1:5" ht="12" customHeight="1" thickBot="1">
      <c r="A105" s="98" t="s">
        <v>149</v>
      </c>
      <c r="B105" s="99" t="s">
        <v>267</v>
      </c>
      <c r="C105" s="263">
        <f>+C77+C90+C101+C104</f>
        <v>49930</v>
      </c>
      <c r="D105" s="263">
        <f>+D77+D90+D101+D104</f>
        <v>53725</v>
      </c>
      <c r="E105" s="119">
        <f>+E77+E90+E101+E104</f>
        <v>38763</v>
      </c>
    </row>
    <row r="106" spans="1:5" ht="12" customHeight="1" thickBot="1">
      <c r="A106" s="106" t="s">
        <v>150</v>
      </c>
      <c r="B106" s="101" t="s">
        <v>477</v>
      </c>
      <c r="C106" s="264">
        <f>+C107+C115</f>
        <v>0</v>
      </c>
      <c r="D106" s="264">
        <f>+D107+D115</f>
        <v>0</v>
      </c>
      <c r="E106" s="120">
        <f>+E107+E115</f>
        <v>0</v>
      </c>
    </row>
    <row r="107" spans="1:5" ht="12" customHeight="1" thickBot="1">
      <c r="A107" s="113" t="s">
        <v>204</v>
      </c>
      <c r="B107" s="202" t="s">
        <v>78</v>
      </c>
      <c r="C107" s="264">
        <f>+C108+C109+C110+C111+C112+C113+C114</f>
        <v>0</v>
      </c>
      <c r="D107" s="264">
        <f>+D108+D109+D110+D111+D112+D113+D114</f>
        <v>0</v>
      </c>
      <c r="E107" s="120">
        <f>+E108+E109+E110+E111+E112+E113+E114</f>
        <v>0</v>
      </c>
    </row>
    <row r="108" spans="1:5" ht="12" customHeight="1">
      <c r="A108" s="114" t="s">
        <v>207</v>
      </c>
      <c r="B108" s="115" t="s">
        <v>386</v>
      </c>
      <c r="C108" s="266"/>
      <c r="D108" s="266"/>
      <c r="E108" s="122"/>
    </row>
    <row r="109" spans="1:5" ht="12" customHeight="1">
      <c r="A109" s="107" t="s">
        <v>208</v>
      </c>
      <c r="B109" s="102" t="s">
        <v>387</v>
      </c>
      <c r="C109" s="265"/>
      <c r="D109" s="265"/>
      <c r="E109" s="121"/>
    </row>
    <row r="110" spans="1:5" ht="12" customHeight="1">
      <c r="A110" s="107" t="s">
        <v>209</v>
      </c>
      <c r="B110" s="102" t="s">
        <v>388</v>
      </c>
      <c r="C110" s="265"/>
      <c r="D110" s="265"/>
      <c r="E110" s="121"/>
    </row>
    <row r="111" spans="1:5" ht="12" customHeight="1">
      <c r="A111" s="107" t="s">
        <v>210</v>
      </c>
      <c r="B111" s="102" t="s">
        <v>389</v>
      </c>
      <c r="C111" s="266"/>
      <c r="D111" s="266"/>
      <c r="E111" s="122"/>
    </row>
    <row r="112" spans="1:5" ht="12" customHeight="1">
      <c r="A112" s="107" t="s">
        <v>305</v>
      </c>
      <c r="B112" s="102" t="s">
        <v>390</v>
      </c>
      <c r="C112" s="265"/>
      <c r="D112" s="265"/>
      <c r="E112" s="121"/>
    </row>
    <row r="113" spans="1:5" ht="12" customHeight="1">
      <c r="A113" s="107" t="s">
        <v>322</v>
      </c>
      <c r="B113" s="102" t="s">
        <v>391</v>
      </c>
      <c r="C113" s="265"/>
      <c r="D113" s="265"/>
      <c r="E113" s="121"/>
    </row>
    <row r="114" spans="1:5" ht="12" customHeight="1" thickBot="1">
      <c r="A114" s="116" t="s">
        <v>323</v>
      </c>
      <c r="B114" s="117" t="s">
        <v>392</v>
      </c>
      <c r="C114" s="266"/>
      <c r="D114" s="266"/>
      <c r="E114" s="122"/>
    </row>
    <row r="115" spans="1:5" ht="12" customHeight="1" thickBot="1">
      <c r="A115" s="113" t="s">
        <v>205</v>
      </c>
      <c r="B115" s="202" t="s">
        <v>79</v>
      </c>
      <c r="C115" s="264">
        <f>+C116+C117+C118+C119+C120+C121+C122+C123</f>
        <v>0</v>
      </c>
      <c r="D115" s="264">
        <f>+D116+D117+D118+D119+D120+D121+D122+D123</f>
        <v>0</v>
      </c>
      <c r="E115" s="120">
        <f>+E116+E117+E118+E119+E120+E121+E122+E123</f>
        <v>0</v>
      </c>
    </row>
    <row r="116" spans="1:5" ht="12" customHeight="1">
      <c r="A116" s="114" t="s">
        <v>213</v>
      </c>
      <c r="B116" s="115" t="s">
        <v>386</v>
      </c>
      <c r="C116" s="266"/>
      <c r="D116" s="266"/>
      <c r="E116" s="122"/>
    </row>
    <row r="117" spans="1:5" ht="12" customHeight="1">
      <c r="A117" s="107" t="s">
        <v>214</v>
      </c>
      <c r="B117" s="102" t="s">
        <v>393</v>
      </c>
      <c r="C117" s="265"/>
      <c r="D117" s="265"/>
      <c r="E117" s="121"/>
    </row>
    <row r="118" spans="1:5" ht="12" customHeight="1">
      <c r="A118" s="107" t="s">
        <v>215</v>
      </c>
      <c r="B118" s="102" t="s">
        <v>388</v>
      </c>
      <c r="C118" s="265"/>
      <c r="D118" s="265"/>
      <c r="E118" s="121"/>
    </row>
    <row r="119" spans="1:5" ht="12" customHeight="1">
      <c r="A119" s="107" t="s">
        <v>216</v>
      </c>
      <c r="B119" s="102" t="s">
        <v>389</v>
      </c>
      <c r="C119" s="266"/>
      <c r="D119" s="266"/>
      <c r="E119" s="122"/>
    </row>
    <row r="120" spans="1:5" ht="12" customHeight="1">
      <c r="A120" s="107" t="s">
        <v>306</v>
      </c>
      <c r="B120" s="102" t="s">
        <v>390</v>
      </c>
      <c r="C120" s="265"/>
      <c r="D120" s="265"/>
      <c r="E120" s="121"/>
    </row>
    <row r="121" spans="1:5" ht="12" customHeight="1">
      <c r="A121" s="107" t="s">
        <v>324</v>
      </c>
      <c r="B121" s="102" t="s">
        <v>394</v>
      </c>
      <c r="C121" s="265"/>
      <c r="D121" s="265"/>
      <c r="E121" s="121"/>
    </row>
    <row r="122" spans="1:5" ht="12" customHeight="1">
      <c r="A122" s="107" t="s">
        <v>325</v>
      </c>
      <c r="B122" s="102" t="s">
        <v>392</v>
      </c>
      <c r="C122" s="265"/>
      <c r="D122" s="265"/>
      <c r="E122" s="121"/>
    </row>
    <row r="123" spans="1:9" ht="15" customHeight="1" thickBot="1">
      <c r="A123" s="116" t="s">
        <v>326</v>
      </c>
      <c r="B123" s="117" t="s">
        <v>478</v>
      </c>
      <c r="C123" s="266"/>
      <c r="D123" s="266"/>
      <c r="E123" s="122"/>
      <c r="F123" s="31"/>
      <c r="G123" s="59"/>
      <c r="H123" s="59"/>
      <c r="I123" s="59"/>
    </row>
    <row r="124" spans="1:5" s="1" customFormat="1" ht="22.5" customHeight="1" thickBot="1">
      <c r="A124" s="106" t="s">
        <v>151</v>
      </c>
      <c r="B124" s="198" t="s">
        <v>395</v>
      </c>
      <c r="C124" s="286">
        <f>+C105+C106</f>
        <v>49930</v>
      </c>
      <c r="D124" s="286">
        <f>+D105+D106</f>
        <v>53725</v>
      </c>
      <c r="E124" s="133">
        <f>+E105+E106</f>
        <v>38763</v>
      </c>
    </row>
    <row r="125" spans="1:5" ht="15.75" customHeight="1" thickBot="1">
      <c r="A125" s="106" t="s">
        <v>152</v>
      </c>
      <c r="B125" s="198" t="s">
        <v>396</v>
      </c>
      <c r="C125" s="287"/>
      <c r="D125" s="287"/>
      <c r="E125" s="134"/>
    </row>
    <row r="126" spans="1:5" ht="16.5" thickBot="1">
      <c r="A126" s="118" t="s">
        <v>153</v>
      </c>
      <c r="B126" s="199" t="s">
        <v>397</v>
      </c>
      <c r="C126" s="281">
        <f>+C124+C125</f>
        <v>49930</v>
      </c>
      <c r="D126" s="281">
        <f>+D124+D125</f>
        <v>53725</v>
      </c>
      <c r="E126" s="129">
        <f>+E124+E125</f>
        <v>38763</v>
      </c>
    </row>
    <row r="127" spans="1:5" ht="15" customHeight="1">
      <c r="A127" s="203"/>
      <c r="B127" s="203"/>
      <c r="C127" s="204"/>
      <c r="D127" s="204"/>
      <c r="E127" s="204"/>
    </row>
    <row r="128" spans="1:5" ht="13.5" customHeight="1">
      <c r="A128" s="209" t="s">
        <v>270</v>
      </c>
      <c r="B128" s="209"/>
      <c r="C128" s="209"/>
      <c r="D128" s="209"/>
      <c r="E128" s="209"/>
    </row>
    <row r="129" spans="1:5" ht="14.25" customHeight="1" thickBot="1">
      <c r="A129" s="207" t="s">
        <v>264</v>
      </c>
      <c r="B129" s="207"/>
      <c r="C129" s="136"/>
      <c r="D129" s="136"/>
      <c r="E129" s="136" t="s">
        <v>398</v>
      </c>
    </row>
    <row r="130" spans="1:5" ht="21.75" thickBot="1">
      <c r="A130" s="18">
        <v>1</v>
      </c>
      <c r="B130" s="24" t="s">
        <v>333</v>
      </c>
      <c r="C130" s="135">
        <f>+C54-C105</f>
        <v>-31351</v>
      </c>
      <c r="D130" s="135">
        <f>+D54-D105</f>
        <v>-30617</v>
      </c>
      <c r="E130" s="120">
        <f>+E54-E105</f>
        <v>-15714</v>
      </c>
    </row>
  </sheetData>
  <sheetProtection/>
  <mergeCells count="8">
    <mergeCell ref="A72:E72"/>
    <mergeCell ref="A74:A75"/>
    <mergeCell ref="B74:B75"/>
    <mergeCell ref="C74:E74"/>
    <mergeCell ref="A1:E1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Alattyán Község Önkormányzata
2013. ÉVI ZÁRSZÁMADÁS
ÖNKÉNT VÁLLALT FELADATAINAK MÉRLEGE&amp;10
&amp;R&amp;"Times New Roman CE,Félkövér dőlt"&amp;11 1.3. melléklet a ....../2014. (......) önkormányzati rendelethez</oddHeader>
  </headerFooter>
  <rowBreaks count="1" manualBreakCount="1">
    <brk id="71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E119"/>
  <sheetViews>
    <sheetView view="pageBreakPreview" zoomScale="120" zoomScaleSheetLayoutView="120" workbookViewId="0" topLeftCell="A92">
      <selection activeCell="F53" sqref="F53:F54"/>
    </sheetView>
  </sheetViews>
  <sheetFormatPr defaultColWidth="9.00390625" defaultRowHeight="12.75"/>
  <cols>
    <col min="1" max="1" width="70.625" style="411" customWidth="1"/>
    <col min="2" max="2" width="6.50390625" style="411" customWidth="1"/>
    <col min="3" max="4" width="12.875" style="411" customWidth="1"/>
    <col min="5" max="16384" width="10.875" style="411" customWidth="1"/>
  </cols>
  <sheetData>
    <row r="1" spans="1:4" ht="49.5" customHeight="1">
      <c r="A1" s="1271" t="s">
        <v>71</v>
      </c>
      <c r="B1" s="1271"/>
      <c r="C1" s="1271"/>
      <c r="D1" s="1271"/>
    </row>
    <row r="2" spans="3:4" ht="15.75">
      <c r="C2" s="1272" t="s">
        <v>733</v>
      </c>
      <c r="D2" s="1272"/>
    </row>
    <row r="3" spans="1:4" ht="15.75" customHeight="1">
      <c r="A3" s="1273" t="s">
        <v>734</v>
      </c>
      <c r="B3" s="1274" t="s">
        <v>735</v>
      </c>
      <c r="C3" s="1275" t="s">
        <v>736</v>
      </c>
      <c r="D3" s="1276" t="s">
        <v>737</v>
      </c>
    </row>
    <row r="4" spans="1:4" ht="11.25" customHeight="1">
      <c r="A4" s="1273"/>
      <c r="B4" s="1274"/>
      <c r="C4" s="1275"/>
      <c r="D4" s="1276"/>
    </row>
    <row r="5" spans="1:4" ht="15.75" customHeight="1">
      <c r="A5" s="1273"/>
      <c r="B5" s="1274"/>
      <c r="C5" s="1277" t="s">
        <v>738</v>
      </c>
      <c r="D5" s="1277"/>
    </row>
    <row r="6" spans="1:4" s="412" customFormat="1" ht="16.5" thickBot="1">
      <c r="A6" s="645">
        <v>1</v>
      </c>
      <c r="B6" s="646">
        <v>2</v>
      </c>
      <c r="C6" s="646">
        <v>3</v>
      </c>
      <c r="D6" s="647">
        <v>4</v>
      </c>
    </row>
    <row r="7" spans="1:4" s="413" customFormat="1" ht="15.75">
      <c r="A7" s="648" t="s">
        <v>763</v>
      </c>
      <c r="B7" s="649" t="s">
        <v>145</v>
      </c>
      <c r="C7" s="650">
        <f>SUM(C8:C13)</f>
        <v>7183</v>
      </c>
      <c r="D7" s="651">
        <f>SUM(D8:D13)</f>
        <v>106</v>
      </c>
    </row>
    <row r="8" spans="1:4" s="413" customFormat="1" ht="16.5" customHeight="1">
      <c r="A8" s="652" t="s">
        <v>764</v>
      </c>
      <c r="B8" s="649" t="s">
        <v>146</v>
      </c>
      <c r="C8" s="653"/>
      <c r="D8" s="654"/>
    </row>
    <row r="9" spans="1:4" s="413" customFormat="1" ht="15.75">
      <c r="A9" s="652" t="s">
        <v>765</v>
      </c>
      <c r="B9" s="649" t="s">
        <v>147</v>
      </c>
      <c r="C9" s="653"/>
      <c r="D9" s="654"/>
    </row>
    <row r="10" spans="1:4" s="413" customFormat="1" ht="15.75">
      <c r="A10" s="652" t="s">
        <v>766</v>
      </c>
      <c r="B10" s="649" t="s">
        <v>148</v>
      </c>
      <c r="C10" s="655"/>
      <c r="D10" s="656"/>
    </row>
    <row r="11" spans="1:4" s="413" customFormat="1" ht="15.75">
      <c r="A11" s="652" t="s">
        <v>767</v>
      </c>
      <c r="B11" s="649" t="s">
        <v>149</v>
      </c>
      <c r="C11" s="655">
        <f>6407+776</f>
        <v>7183</v>
      </c>
      <c r="D11" s="654">
        <f>66+40</f>
        <v>106</v>
      </c>
    </row>
    <row r="12" spans="1:4" s="413" customFormat="1" ht="15.75">
      <c r="A12" s="652" t="s">
        <v>768</v>
      </c>
      <c r="B12" s="649" t="s">
        <v>150</v>
      </c>
      <c r="C12" s="653"/>
      <c r="D12" s="656"/>
    </row>
    <row r="13" spans="1:4" s="413" customFormat="1" ht="15.75">
      <c r="A13" s="652" t="s">
        <v>769</v>
      </c>
      <c r="B13" s="649" t="s">
        <v>151</v>
      </c>
      <c r="C13" s="653"/>
      <c r="D13" s="656"/>
    </row>
    <row r="14" spans="1:4" s="413" customFormat="1" ht="15.75">
      <c r="A14" s="657" t="s">
        <v>770</v>
      </c>
      <c r="B14" s="649" t="s">
        <v>152</v>
      </c>
      <c r="C14" s="658">
        <f>SUM(C15:C22)</f>
        <v>1219097</v>
      </c>
      <c r="D14" s="651">
        <f>SUM(D15:D22)</f>
        <v>931591</v>
      </c>
    </row>
    <row r="15" spans="1:4" s="662" customFormat="1" ht="15.75">
      <c r="A15" s="659" t="s">
        <v>771</v>
      </c>
      <c r="B15" s="649" t="s">
        <v>153</v>
      </c>
      <c r="C15" s="660">
        <f>1121000+65778+9377</f>
        <v>1196155</v>
      </c>
      <c r="D15" s="661">
        <f>859080+56546+6564</f>
        <v>922190</v>
      </c>
    </row>
    <row r="16" spans="1:4" s="662" customFormat="1" ht="15.75">
      <c r="A16" s="663" t="s">
        <v>772</v>
      </c>
      <c r="B16" s="649" t="s">
        <v>154</v>
      </c>
      <c r="C16" s="660">
        <f>7758+155+2646</f>
        <v>10559</v>
      </c>
      <c r="D16" s="661">
        <f>3138+378</f>
        <v>3516</v>
      </c>
    </row>
    <row r="17" spans="1:4" s="662" customFormat="1" ht="15.75">
      <c r="A17" s="659" t="s">
        <v>773</v>
      </c>
      <c r="B17" s="649" t="s">
        <v>155</v>
      </c>
      <c r="C17" s="660">
        <v>7726</v>
      </c>
      <c r="D17" s="661">
        <v>1228</v>
      </c>
    </row>
    <row r="18" spans="1:4" s="662" customFormat="1" ht="15.75">
      <c r="A18" s="659" t="s">
        <v>774</v>
      </c>
      <c r="B18" s="649" t="s">
        <v>156</v>
      </c>
      <c r="C18" s="660"/>
      <c r="D18" s="661"/>
    </row>
    <row r="19" spans="1:4" s="413" customFormat="1" ht="15.75">
      <c r="A19" s="659" t="s">
        <v>775</v>
      </c>
      <c r="B19" s="649" t="s">
        <v>157</v>
      </c>
      <c r="C19" s="655">
        <v>4657</v>
      </c>
      <c r="D19" s="656">
        <v>4657</v>
      </c>
    </row>
    <row r="20" spans="1:4" s="413" customFormat="1" ht="15.75">
      <c r="A20" s="659" t="s">
        <v>776</v>
      </c>
      <c r="B20" s="649" t="s">
        <v>158</v>
      </c>
      <c r="C20" s="655"/>
      <c r="D20" s="654"/>
    </row>
    <row r="21" spans="1:4" s="413" customFormat="1" ht="15.75">
      <c r="A21" s="659" t="s">
        <v>777</v>
      </c>
      <c r="B21" s="649" t="s">
        <v>159</v>
      </c>
      <c r="C21" s="653"/>
      <c r="D21" s="656"/>
    </row>
    <row r="22" spans="1:4" s="413" customFormat="1" ht="15.75">
      <c r="A22" s="659" t="s">
        <v>778</v>
      </c>
      <c r="B22" s="649" t="s">
        <v>160</v>
      </c>
      <c r="C22" s="664"/>
      <c r="D22" s="665"/>
    </row>
    <row r="23" spans="1:4" s="413" customFormat="1" ht="15.75">
      <c r="A23" s="657" t="s">
        <v>779</v>
      </c>
      <c r="B23" s="649" t="s">
        <v>161</v>
      </c>
      <c r="C23" s="658">
        <v>538</v>
      </c>
      <c r="D23" s="666">
        <v>538</v>
      </c>
    </row>
    <row r="24" spans="1:4" s="413" customFormat="1" ht="15.75">
      <c r="A24" s="667" t="s">
        <v>780</v>
      </c>
      <c r="B24" s="649" t="s">
        <v>162</v>
      </c>
      <c r="C24" s="664">
        <v>538</v>
      </c>
      <c r="D24" s="665">
        <v>538</v>
      </c>
    </row>
    <row r="25" spans="1:4" s="413" customFormat="1" ht="15.75">
      <c r="A25" s="659" t="s">
        <v>781</v>
      </c>
      <c r="B25" s="649" t="s">
        <v>163</v>
      </c>
      <c r="C25" s="664"/>
      <c r="D25" s="665"/>
    </row>
    <row r="26" spans="1:4" s="413" customFormat="1" ht="15.75">
      <c r="A26" s="659" t="s">
        <v>782</v>
      </c>
      <c r="B26" s="649" t="s">
        <v>164</v>
      </c>
      <c r="C26" s="653"/>
      <c r="D26" s="656"/>
    </row>
    <row r="27" spans="1:4" s="413" customFormat="1" ht="15.75">
      <c r="A27" s="667" t="s">
        <v>783</v>
      </c>
      <c r="B27" s="649" t="s">
        <v>165</v>
      </c>
      <c r="C27" s="664"/>
      <c r="D27" s="665"/>
    </row>
    <row r="28" spans="1:4" s="413" customFormat="1" ht="15.75">
      <c r="A28" s="667" t="s">
        <v>784</v>
      </c>
      <c r="B28" s="649" t="s">
        <v>166</v>
      </c>
      <c r="C28" s="664"/>
      <c r="D28" s="665"/>
    </row>
    <row r="29" spans="1:4" s="413" customFormat="1" ht="15.75">
      <c r="A29" s="667" t="s">
        <v>785</v>
      </c>
      <c r="B29" s="649" t="s">
        <v>167</v>
      </c>
      <c r="C29" s="664"/>
      <c r="D29" s="665"/>
    </row>
    <row r="30" spans="1:4" s="413" customFormat="1" ht="28.5" customHeight="1">
      <c r="A30" s="657" t="s">
        <v>786</v>
      </c>
      <c r="B30" s="649" t="s">
        <v>168</v>
      </c>
      <c r="C30" s="658">
        <f>SUM(C31:C35)</f>
        <v>1007732</v>
      </c>
      <c r="D30" s="651">
        <f>SUM(D31:D35)</f>
        <v>794029</v>
      </c>
    </row>
    <row r="31" spans="1:4" s="413" customFormat="1" ht="15.75">
      <c r="A31" s="667" t="s">
        <v>787</v>
      </c>
      <c r="B31" s="649" t="s">
        <v>169</v>
      </c>
      <c r="C31" s="660">
        <v>924184</v>
      </c>
      <c r="D31" s="661">
        <v>730916</v>
      </c>
    </row>
    <row r="32" spans="1:4" s="413" customFormat="1" ht="15.75">
      <c r="A32" s="659" t="s">
        <v>788</v>
      </c>
      <c r="B32" s="649" t="s">
        <v>170</v>
      </c>
      <c r="C32" s="658"/>
      <c r="D32" s="651"/>
    </row>
    <row r="33" spans="1:4" s="413" customFormat="1" ht="15.75">
      <c r="A33" s="659" t="s">
        <v>789</v>
      </c>
      <c r="B33" s="649" t="s">
        <v>171</v>
      </c>
      <c r="C33" s="660">
        <v>83548</v>
      </c>
      <c r="D33" s="661">
        <v>63113</v>
      </c>
    </row>
    <row r="34" spans="1:4" s="413" customFormat="1" ht="15.75">
      <c r="A34" s="667" t="s">
        <v>790</v>
      </c>
      <c r="B34" s="649" t="s">
        <v>172</v>
      </c>
      <c r="C34" s="658"/>
      <c r="D34" s="651"/>
    </row>
    <row r="35" spans="1:4" s="413" customFormat="1" ht="22.5">
      <c r="A35" s="667" t="s">
        <v>791</v>
      </c>
      <c r="B35" s="649" t="s">
        <v>173</v>
      </c>
      <c r="C35" s="658"/>
      <c r="D35" s="651"/>
    </row>
    <row r="36" spans="1:4" s="413" customFormat="1" ht="15.75" customHeight="1">
      <c r="A36" s="657" t="s">
        <v>792</v>
      </c>
      <c r="B36" s="649" t="s">
        <v>239</v>
      </c>
      <c r="C36" s="658">
        <f>C7+C14+C23+C30</f>
        <v>2234550</v>
      </c>
      <c r="D36" s="651">
        <f>D7+D14+D23+D30</f>
        <v>1726264</v>
      </c>
    </row>
    <row r="37" spans="1:4" s="413" customFormat="1" ht="15.75">
      <c r="A37" s="657" t="s">
        <v>793</v>
      </c>
      <c r="B37" s="649" t="s">
        <v>503</v>
      </c>
      <c r="C37" s="658">
        <f>SUM(C38:C45)</f>
        <v>579</v>
      </c>
      <c r="D37" s="651">
        <f>SUM(D38:D45)</f>
        <v>579</v>
      </c>
    </row>
    <row r="38" spans="1:4" s="413" customFormat="1" ht="15.75">
      <c r="A38" s="667" t="s">
        <v>794</v>
      </c>
      <c r="B38" s="649" t="s">
        <v>731</v>
      </c>
      <c r="C38" s="664"/>
      <c r="D38" s="668"/>
    </row>
    <row r="39" spans="1:4" s="662" customFormat="1" ht="15.75">
      <c r="A39" s="669" t="s">
        <v>1002</v>
      </c>
      <c r="B39" s="649" t="s">
        <v>732</v>
      </c>
      <c r="C39" s="660">
        <v>579</v>
      </c>
      <c r="D39" s="670">
        <v>579</v>
      </c>
    </row>
    <row r="40" spans="1:4" s="662" customFormat="1" ht="15.75">
      <c r="A40" s="669" t="s">
        <v>1003</v>
      </c>
      <c r="B40" s="649" t="s">
        <v>748</v>
      </c>
      <c r="C40" s="660"/>
      <c r="D40" s="670"/>
    </row>
    <row r="41" spans="1:4" s="662" customFormat="1" ht="15.75">
      <c r="A41" s="669" t="s">
        <v>1004</v>
      </c>
      <c r="B41" s="649" t="s">
        <v>749</v>
      </c>
      <c r="C41" s="660"/>
      <c r="D41" s="670"/>
    </row>
    <row r="42" spans="1:4" s="662" customFormat="1" ht="15.75">
      <c r="A42" s="669" t="s">
        <v>1005</v>
      </c>
      <c r="B42" s="649" t="s">
        <v>750</v>
      </c>
      <c r="C42" s="660"/>
      <c r="D42" s="670"/>
    </row>
    <row r="43" spans="1:4" s="662" customFormat="1" ht="15.75">
      <c r="A43" s="669" t="s">
        <v>1006</v>
      </c>
      <c r="B43" s="649" t="s">
        <v>751</v>
      </c>
      <c r="C43" s="660"/>
      <c r="D43" s="670"/>
    </row>
    <row r="44" spans="1:4" s="662" customFormat="1" ht="15.75">
      <c r="A44" s="671" t="s">
        <v>1038</v>
      </c>
      <c r="B44" s="649" t="s">
        <v>752</v>
      </c>
      <c r="C44" s="660"/>
      <c r="D44" s="670"/>
    </row>
    <row r="45" spans="1:4" s="662" customFormat="1" ht="15.75">
      <c r="A45" s="669" t="s">
        <v>1039</v>
      </c>
      <c r="B45" s="649" t="s">
        <v>753</v>
      </c>
      <c r="C45" s="660"/>
      <c r="D45" s="670"/>
    </row>
    <row r="46" spans="1:4" s="413" customFormat="1" ht="15.75">
      <c r="A46" s="667" t="s">
        <v>795</v>
      </c>
      <c r="B46" s="649" t="s">
        <v>754</v>
      </c>
      <c r="C46" s="664"/>
      <c r="D46" s="668"/>
    </row>
    <row r="47" spans="1:4" s="662" customFormat="1" ht="15.75">
      <c r="A47" s="669" t="s">
        <v>1040</v>
      </c>
      <c r="B47" s="649" t="s">
        <v>755</v>
      </c>
      <c r="C47" s="660"/>
      <c r="D47" s="670"/>
    </row>
    <row r="48" spans="1:4" s="662" customFormat="1" ht="15.75">
      <c r="A48" s="669" t="s">
        <v>1041</v>
      </c>
      <c r="B48" s="649" t="s">
        <v>756</v>
      </c>
      <c r="C48" s="660"/>
      <c r="D48" s="670"/>
    </row>
    <row r="49" spans="1:4" s="662" customFormat="1" ht="15.75">
      <c r="A49" s="669" t="s">
        <v>1042</v>
      </c>
      <c r="B49" s="649" t="s">
        <v>757</v>
      </c>
      <c r="C49" s="660"/>
      <c r="D49" s="670"/>
    </row>
    <row r="50" spans="1:4" s="662" customFormat="1" ht="15.75">
      <c r="A50" s="669" t="s">
        <v>1043</v>
      </c>
      <c r="B50" s="649" t="s">
        <v>758</v>
      </c>
      <c r="C50" s="660"/>
      <c r="D50" s="670"/>
    </row>
    <row r="51" spans="1:4" s="662" customFormat="1" ht="15.75">
      <c r="A51" s="669" t="s">
        <v>1044</v>
      </c>
      <c r="B51" s="649" t="s">
        <v>759</v>
      </c>
      <c r="C51" s="660"/>
      <c r="D51" s="661"/>
    </row>
    <row r="52" spans="1:4" s="413" customFormat="1" ht="15.75">
      <c r="A52" s="667" t="s">
        <v>796</v>
      </c>
      <c r="B52" s="649" t="s">
        <v>934</v>
      </c>
      <c r="C52" s="664"/>
      <c r="D52" s="668"/>
    </row>
    <row r="53" spans="1:4" s="662" customFormat="1" ht="15.75">
      <c r="A53" s="669" t="s">
        <v>1045</v>
      </c>
      <c r="B53" s="649" t="s">
        <v>935</v>
      </c>
      <c r="C53" s="660"/>
      <c r="D53" s="670"/>
    </row>
    <row r="54" spans="1:4" s="662" customFormat="1" ht="15.75">
      <c r="A54" s="669" t="s">
        <v>1046</v>
      </c>
      <c r="B54" s="649" t="s">
        <v>936</v>
      </c>
      <c r="C54" s="660"/>
      <c r="D54" s="670"/>
    </row>
    <row r="55" spans="1:4" s="662" customFormat="1" ht="15.75">
      <c r="A55" s="669" t="s">
        <v>1047</v>
      </c>
      <c r="B55" s="649" t="s">
        <v>937</v>
      </c>
      <c r="C55" s="660"/>
      <c r="D55" s="670"/>
    </row>
    <row r="56" spans="1:4" s="413" customFormat="1" ht="15.75">
      <c r="A56" s="657" t="s">
        <v>797</v>
      </c>
      <c r="B56" s="649" t="s">
        <v>938</v>
      </c>
      <c r="C56" s="658">
        <f>C57+C58+C63+C76+C77+C78</f>
        <v>392851</v>
      </c>
      <c r="D56" s="651">
        <f>D57+D58+D63+D76+D77+D78</f>
        <v>392851</v>
      </c>
    </row>
    <row r="57" spans="1:4" s="413" customFormat="1" ht="15.75">
      <c r="A57" s="667" t="s">
        <v>1048</v>
      </c>
      <c r="B57" s="649" t="s">
        <v>939</v>
      </c>
      <c r="C57" s="672">
        <v>360174</v>
      </c>
      <c r="D57" s="673">
        <v>360174</v>
      </c>
    </row>
    <row r="58" spans="1:4" s="413" customFormat="1" ht="15.75">
      <c r="A58" s="667" t="s">
        <v>798</v>
      </c>
      <c r="B58" s="649" t="s">
        <v>940</v>
      </c>
      <c r="C58" s="664">
        <f>C59+C60+C61+C62</f>
        <v>14483</v>
      </c>
      <c r="D58" s="668">
        <f>D59+D60+D61+D62</f>
        <v>14483</v>
      </c>
    </row>
    <row r="59" spans="1:4" s="662" customFormat="1" ht="15.75">
      <c r="A59" s="669" t="s">
        <v>1049</v>
      </c>
      <c r="B59" s="649" t="s">
        <v>941</v>
      </c>
      <c r="C59" s="660">
        <v>14371</v>
      </c>
      <c r="D59" s="670">
        <v>14371</v>
      </c>
    </row>
    <row r="60" spans="1:4" s="662" customFormat="1" ht="15.75">
      <c r="A60" s="669" t="s">
        <v>1050</v>
      </c>
      <c r="B60" s="649" t="s">
        <v>942</v>
      </c>
      <c r="C60" s="660"/>
      <c r="D60" s="670"/>
    </row>
    <row r="61" spans="1:4" s="662" customFormat="1" ht="15.75">
      <c r="A61" s="669" t="s">
        <v>1051</v>
      </c>
      <c r="B61" s="649" t="s">
        <v>943</v>
      </c>
      <c r="C61" s="660">
        <f>43+37+32</f>
        <v>112</v>
      </c>
      <c r="D61" s="661">
        <f>43+37+32</f>
        <v>112</v>
      </c>
    </row>
    <row r="62" spans="1:4" s="662" customFormat="1" ht="15.75">
      <c r="A62" s="669" t="s">
        <v>1052</v>
      </c>
      <c r="B62" s="649" t="s">
        <v>944</v>
      </c>
      <c r="C62" s="660"/>
      <c r="D62" s="670"/>
    </row>
    <row r="63" spans="1:4" s="413" customFormat="1" ht="15.75">
      <c r="A63" s="667" t="s">
        <v>799</v>
      </c>
      <c r="B63" s="649" t="s">
        <v>945</v>
      </c>
      <c r="C63" s="664">
        <f>C64+C70</f>
        <v>0</v>
      </c>
      <c r="D63" s="668">
        <f>D64+D70</f>
        <v>0</v>
      </c>
    </row>
    <row r="64" spans="1:4" s="662" customFormat="1" ht="15.75">
      <c r="A64" s="669" t="s">
        <v>800</v>
      </c>
      <c r="B64" s="649" t="s">
        <v>946</v>
      </c>
      <c r="C64" s="660">
        <f>SUM(C66:C69)</f>
        <v>0</v>
      </c>
      <c r="D64" s="661">
        <f>SUM(D65:D69)</f>
        <v>0</v>
      </c>
    </row>
    <row r="65" spans="1:4" s="662" customFormat="1" ht="15.75">
      <c r="A65" s="674" t="s">
        <v>1053</v>
      </c>
      <c r="B65" s="649" t="s">
        <v>947</v>
      </c>
      <c r="C65" s="660"/>
      <c r="D65" s="670"/>
    </row>
    <row r="66" spans="1:4" s="662" customFormat="1" ht="15.75">
      <c r="A66" s="674" t="s">
        <v>1054</v>
      </c>
      <c r="B66" s="649" t="s">
        <v>948</v>
      </c>
      <c r="C66" s="660"/>
      <c r="D66" s="670"/>
    </row>
    <row r="67" spans="1:4" s="662" customFormat="1" ht="15.75">
      <c r="A67" s="674" t="s">
        <v>1055</v>
      </c>
      <c r="B67" s="649" t="s">
        <v>949</v>
      </c>
      <c r="C67" s="660"/>
      <c r="D67" s="670"/>
    </row>
    <row r="68" spans="1:4" s="662" customFormat="1" ht="15.75">
      <c r="A68" s="674" t="s">
        <v>1056</v>
      </c>
      <c r="B68" s="649" t="s">
        <v>950</v>
      </c>
      <c r="C68" s="660"/>
      <c r="D68" s="670"/>
    </row>
    <row r="69" spans="1:4" s="662" customFormat="1" ht="15.75">
      <c r="A69" s="674" t="s">
        <v>1057</v>
      </c>
      <c r="B69" s="649" t="s">
        <v>951</v>
      </c>
      <c r="C69" s="660"/>
      <c r="D69" s="670"/>
    </row>
    <row r="70" spans="1:4" s="662" customFormat="1" ht="15.75">
      <c r="A70" s="669" t="s">
        <v>801</v>
      </c>
      <c r="B70" s="649" t="s">
        <v>952</v>
      </c>
      <c r="C70" s="660"/>
      <c r="D70" s="661">
        <f>SUM(D71:D75)</f>
        <v>0</v>
      </c>
    </row>
    <row r="71" spans="1:4" s="662" customFormat="1" ht="15.75">
      <c r="A71" s="674" t="s">
        <v>1058</v>
      </c>
      <c r="B71" s="649" t="s">
        <v>953</v>
      </c>
      <c r="C71" s="660"/>
      <c r="D71" s="670"/>
    </row>
    <row r="72" spans="1:4" s="662" customFormat="1" ht="15.75">
      <c r="A72" s="674" t="s">
        <v>1059</v>
      </c>
      <c r="B72" s="649" t="s">
        <v>954</v>
      </c>
      <c r="C72" s="660"/>
      <c r="D72" s="670"/>
    </row>
    <row r="73" spans="1:4" s="662" customFormat="1" ht="15.75">
      <c r="A73" s="674" t="s">
        <v>1060</v>
      </c>
      <c r="B73" s="649" t="s">
        <v>955</v>
      </c>
      <c r="C73" s="660"/>
      <c r="D73" s="670"/>
    </row>
    <row r="74" spans="1:4" s="662" customFormat="1" ht="15.75">
      <c r="A74" s="674" t="s">
        <v>1061</v>
      </c>
      <c r="B74" s="649" t="s">
        <v>956</v>
      </c>
      <c r="C74" s="660"/>
      <c r="D74" s="670"/>
    </row>
    <row r="75" spans="1:4" s="662" customFormat="1" ht="15.75">
      <c r="A75" s="674" t="s">
        <v>1062</v>
      </c>
      <c r="B75" s="649" t="s">
        <v>957</v>
      </c>
      <c r="C75" s="660"/>
      <c r="D75" s="670"/>
    </row>
    <row r="76" spans="1:4" s="413" customFormat="1" ht="15.75">
      <c r="A76" s="667" t="s">
        <v>1063</v>
      </c>
      <c r="B76" s="649" t="s">
        <v>958</v>
      </c>
      <c r="C76" s="664"/>
      <c r="D76" s="665"/>
    </row>
    <row r="77" spans="1:4" s="413" customFormat="1" ht="15.75">
      <c r="A77" s="667" t="s">
        <v>1064</v>
      </c>
      <c r="B77" s="649" t="s">
        <v>959</v>
      </c>
      <c r="C77" s="664"/>
      <c r="D77" s="665"/>
    </row>
    <row r="78" spans="1:4" s="413" customFormat="1" ht="15.75">
      <c r="A78" s="667" t="s">
        <v>802</v>
      </c>
      <c r="B78" s="649" t="s">
        <v>960</v>
      </c>
      <c r="C78" s="664">
        <f>C79+C80+C81+C82</f>
        <v>18194</v>
      </c>
      <c r="D78" s="668">
        <f>D79+D80+D81+D82</f>
        <v>18194</v>
      </c>
    </row>
    <row r="79" spans="1:4" s="662" customFormat="1" ht="15.75">
      <c r="A79" s="669" t="s">
        <v>1065</v>
      </c>
      <c r="B79" s="649" t="s">
        <v>961</v>
      </c>
      <c r="C79" s="660"/>
      <c r="D79" s="670"/>
    </row>
    <row r="80" spans="1:4" s="662" customFormat="1" ht="15.75">
      <c r="A80" s="669" t="s">
        <v>1066</v>
      </c>
      <c r="B80" s="649" t="s">
        <v>962</v>
      </c>
      <c r="C80" s="660"/>
      <c r="D80" s="670"/>
    </row>
    <row r="81" spans="1:4" s="413" customFormat="1" ht="15.75">
      <c r="A81" s="669" t="s">
        <v>1067</v>
      </c>
      <c r="B81" s="649" t="s">
        <v>963</v>
      </c>
      <c r="C81" s="653">
        <v>17877</v>
      </c>
      <c r="D81" s="654">
        <v>17877</v>
      </c>
    </row>
    <row r="82" spans="1:4" s="413" customFormat="1" ht="15.75">
      <c r="A82" s="669" t="s">
        <v>1068</v>
      </c>
      <c r="B82" s="649" t="s">
        <v>964</v>
      </c>
      <c r="C82" s="653">
        <v>317</v>
      </c>
      <c r="D82" s="654">
        <v>317</v>
      </c>
    </row>
    <row r="83" spans="1:4" s="413" customFormat="1" ht="15.75">
      <c r="A83" s="657" t="s">
        <v>803</v>
      </c>
      <c r="B83" s="649" t="s">
        <v>965</v>
      </c>
      <c r="C83" s="653"/>
      <c r="D83" s="651">
        <f>SUM(D84:D88)</f>
        <v>0</v>
      </c>
    </row>
    <row r="84" spans="1:4" s="413" customFormat="1" ht="15.75">
      <c r="A84" s="667" t="s">
        <v>804</v>
      </c>
      <c r="B84" s="649" t="s">
        <v>966</v>
      </c>
      <c r="C84" s="664"/>
      <c r="D84" s="665"/>
    </row>
    <row r="85" spans="1:4" s="413" customFormat="1" ht="15.75">
      <c r="A85" s="667" t="s">
        <v>805</v>
      </c>
      <c r="B85" s="649" t="s">
        <v>967</v>
      </c>
      <c r="C85" s="664"/>
      <c r="D85" s="665"/>
    </row>
    <row r="86" spans="1:4" s="413" customFormat="1" ht="15.75">
      <c r="A86" s="667" t="s">
        <v>806</v>
      </c>
      <c r="B86" s="649" t="s">
        <v>968</v>
      </c>
      <c r="C86" s="664"/>
      <c r="D86" s="665"/>
    </row>
    <row r="87" spans="1:4" s="413" customFormat="1" ht="15.75">
      <c r="A87" s="667" t="s">
        <v>807</v>
      </c>
      <c r="B87" s="649" t="s">
        <v>969</v>
      </c>
      <c r="C87" s="664"/>
      <c r="D87" s="665"/>
    </row>
    <row r="88" spans="1:4" s="413" customFormat="1" ht="15.75">
      <c r="A88" s="667" t="s">
        <v>808</v>
      </c>
      <c r="B88" s="649" t="s">
        <v>970</v>
      </c>
      <c r="C88" s="664"/>
      <c r="D88" s="665"/>
    </row>
    <row r="89" spans="1:4" s="413" customFormat="1" ht="15.75">
      <c r="A89" s="657" t="s">
        <v>809</v>
      </c>
      <c r="B89" s="649" t="s">
        <v>971</v>
      </c>
      <c r="C89" s="658">
        <f>C90+C97+C108</f>
        <v>155879</v>
      </c>
      <c r="D89" s="651">
        <f>D90+D97+D108</f>
        <v>155879</v>
      </c>
    </row>
    <row r="90" spans="1:4" s="413" customFormat="1" ht="15.75">
      <c r="A90" s="667" t="s">
        <v>810</v>
      </c>
      <c r="B90" s="649" t="s">
        <v>972</v>
      </c>
      <c r="C90" s="664">
        <f>C91+C94+C95+C96</f>
        <v>155</v>
      </c>
      <c r="D90" s="675">
        <f>D91+D94+D95+D96</f>
        <v>155</v>
      </c>
    </row>
    <row r="91" spans="1:4" s="413" customFormat="1" ht="15.75">
      <c r="A91" s="676" t="s">
        <v>811</v>
      </c>
      <c r="B91" s="649" t="s">
        <v>973</v>
      </c>
      <c r="C91" s="653">
        <f>C92+C93</f>
        <v>155</v>
      </c>
      <c r="D91" s="654">
        <f>D92+D93</f>
        <v>155</v>
      </c>
    </row>
    <row r="92" spans="1:4" s="413" customFormat="1" ht="15.75">
      <c r="A92" s="677" t="s">
        <v>1069</v>
      </c>
      <c r="B92" s="649" t="s">
        <v>974</v>
      </c>
      <c r="C92" s="653">
        <f>30+33+50+42</f>
        <v>155</v>
      </c>
      <c r="D92" s="654">
        <f>30+33+50+42</f>
        <v>155</v>
      </c>
    </row>
    <row r="93" spans="1:4" s="413" customFormat="1" ht="15.75">
      <c r="A93" s="677" t="s">
        <v>1070</v>
      </c>
      <c r="B93" s="649" t="s">
        <v>975</v>
      </c>
      <c r="C93" s="653"/>
      <c r="D93" s="656"/>
    </row>
    <row r="94" spans="1:4" s="413" customFormat="1" ht="15.75">
      <c r="A94" s="676" t="s">
        <v>1071</v>
      </c>
      <c r="B94" s="649" t="s">
        <v>976</v>
      </c>
      <c r="C94" s="653"/>
      <c r="D94" s="656"/>
    </row>
    <row r="95" spans="1:4" s="413" customFormat="1" ht="15.75">
      <c r="A95" s="676" t="s">
        <v>1072</v>
      </c>
      <c r="B95" s="649" t="s">
        <v>977</v>
      </c>
      <c r="C95" s="653"/>
      <c r="D95" s="656"/>
    </row>
    <row r="96" spans="1:4" s="413" customFormat="1" ht="15.75">
      <c r="A96" s="676" t="s">
        <v>1073</v>
      </c>
      <c r="B96" s="649" t="s">
        <v>978</v>
      </c>
      <c r="C96" s="653"/>
      <c r="D96" s="656"/>
    </row>
    <row r="97" spans="1:5" s="413" customFormat="1" ht="15.75">
      <c r="A97" s="667" t="s">
        <v>812</v>
      </c>
      <c r="B97" s="649" t="s">
        <v>979</v>
      </c>
      <c r="C97" s="664">
        <f>SUM(C98:C105)</f>
        <v>155724</v>
      </c>
      <c r="D97" s="668">
        <f>SUM(D98:D105)</f>
        <v>155724</v>
      </c>
      <c r="E97" s="413">
        <f>SUM(E98:E106)</f>
        <v>155724</v>
      </c>
    </row>
    <row r="98" spans="1:5" s="413" customFormat="1" ht="15.75">
      <c r="A98" s="676" t="s">
        <v>0</v>
      </c>
      <c r="B98" s="649" t="s">
        <v>980</v>
      </c>
      <c r="C98" s="653">
        <v>0</v>
      </c>
      <c r="D98" s="656">
        <v>0</v>
      </c>
      <c r="E98" s="413">
        <f>262+9007</f>
        <v>9269</v>
      </c>
    </row>
    <row r="99" spans="1:5" s="413" customFormat="1" ht="15.75">
      <c r="A99" s="676" t="s">
        <v>1</v>
      </c>
      <c r="B99" s="649" t="s">
        <v>981</v>
      </c>
      <c r="C99" s="653">
        <v>155262</v>
      </c>
      <c r="D99" s="656">
        <v>155262</v>
      </c>
      <c r="E99" s="413">
        <f>1387+140+251+53+557+5407+1</f>
        <v>7796</v>
      </c>
    </row>
    <row r="100" spans="1:5" s="413" customFormat="1" ht="15.75">
      <c r="A100" s="676" t="s">
        <v>2</v>
      </c>
      <c r="B100" s="649" t="s">
        <v>982</v>
      </c>
      <c r="C100" s="653">
        <v>61</v>
      </c>
      <c r="D100" s="656">
        <v>61</v>
      </c>
      <c r="E100" s="413">
        <v>61</v>
      </c>
    </row>
    <row r="101" spans="1:4" s="413" customFormat="1" ht="15.75">
      <c r="A101" s="676" t="s">
        <v>3</v>
      </c>
      <c r="B101" s="649" t="s">
        <v>983</v>
      </c>
      <c r="C101" s="653"/>
      <c r="D101" s="656"/>
    </row>
    <row r="102" spans="1:5" s="413" customFormat="1" ht="22.5">
      <c r="A102" s="676" t="s">
        <v>813</v>
      </c>
      <c r="B102" s="649" t="s">
        <v>984</v>
      </c>
      <c r="C102" s="653">
        <v>401</v>
      </c>
      <c r="D102" s="654">
        <v>401</v>
      </c>
      <c r="E102" s="413">
        <v>401</v>
      </c>
    </row>
    <row r="103" spans="1:4" s="413" customFormat="1" ht="15.75">
      <c r="A103" s="676" t="s">
        <v>4</v>
      </c>
      <c r="B103" s="649" t="s">
        <v>985</v>
      </c>
      <c r="C103" s="653"/>
      <c r="D103" s="656"/>
    </row>
    <row r="104" spans="1:5" s="413" customFormat="1" ht="15.75">
      <c r="A104" s="676" t="s">
        <v>5</v>
      </c>
      <c r="B104" s="649" t="s">
        <v>986</v>
      </c>
      <c r="C104" s="653"/>
      <c r="D104" s="656"/>
      <c r="E104" s="413">
        <v>112073</v>
      </c>
    </row>
    <row r="105" spans="1:4" s="413" customFormat="1" ht="15.75">
      <c r="A105" s="676" t="s">
        <v>6</v>
      </c>
      <c r="B105" s="649" t="s">
        <v>987</v>
      </c>
      <c r="C105" s="653"/>
      <c r="D105" s="656"/>
    </row>
    <row r="106" spans="1:5" s="413" customFormat="1" ht="15.75">
      <c r="A106" s="667" t="s">
        <v>814</v>
      </c>
      <c r="B106" s="649" t="s">
        <v>988</v>
      </c>
      <c r="C106" s="655">
        <f>18012+8112</f>
        <v>26124</v>
      </c>
      <c r="D106" s="656">
        <f>18012+8112</f>
        <v>26124</v>
      </c>
      <c r="E106" s="413">
        <v>26124</v>
      </c>
    </row>
    <row r="107" spans="1:4" s="413" customFormat="1" ht="15.75">
      <c r="A107" s="676" t="s">
        <v>815</v>
      </c>
      <c r="B107" s="649" t="s">
        <v>989</v>
      </c>
      <c r="C107" s="655">
        <v>26124</v>
      </c>
      <c r="D107" s="656">
        <v>26124</v>
      </c>
    </row>
    <row r="108" spans="1:4" s="413" customFormat="1" ht="15.75">
      <c r="A108" s="667" t="s">
        <v>816</v>
      </c>
      <c r="B108" s="649" t="s">
        <v>990</v>
      </c>
      <c r="C108" s="664"/>
      <c r="D108" s="678"/>
    </row>
    <row r="109" spans="1:4" s="413" customFormat="1" ht="15.75">
      <c r="A109" s="676" t="s">
        <v>817</v>
      </c>
      <c r="B109" s="649" t="s">
        <v>991</v>
      </c>
      <c r="C109" s="653"/>
      <c r="D109" s="656"/>
    </row>
    <row r="110" spans="1:4" s="413" customFormat="1" ht="15.75">
      <c r="A110" s="676" t="s">
        <v>818</v>
      </c>
      <c r="B110" s="649" t="s">
        <v>992</v>
      </c>
      <c r="C110" s="653"/>
      <c r="D110" s="656"/>
    </row>
    <row r="111" spans="1:4" s="413" customFormat="1" ht="15.75">
      <c r="A111" s="676" t="s">
        <v>819</v>
      </c>
      <c r="B111" s="649" t="s">
        <v>993</v>
      </c>
      <c r="C111" s="653"/>
      <c r="D111" s="656"/>
    </row>
    <row r="112" spans="1:4" s="413" customFormat="1" ht="15.75">
      <c r="A112" s="676" t="s">
        <v>820</v>
      </c>
      <c r="B112" s="649" t="s">
        <v>994</v>
      </c>
      <c r="C112" s="653"/>
      <c r="D112" s="656"/>
    </row>
    <row r="113" spans="1:4" s="413" customFormat="1" ht="15.75">
      <c r="A113" s="676" t="s">
        <v>821</v>
      </c>
      <c r="B113" s="649" t="s">
        <v>995</v>
      </c>
      <c r="C113" s="653"/>
      <c r="D113" s="656"/>
    </row>
    <row r="114" spans="1:4" s="413" customFormat="1" ht="15.75">
      <c r="A114" s="676" t="s">
        <v>822</v>
      </c>
      <c r="B114" s="649" t="s">
        <v>996</v>
      </c>
      <c r="C114" s="653"/>
      <c r="D114" s="656"/>
    </row>
    <row r="115" spans="1:4" s="413" customFormat="1" ht="22.5">
      <c r="A115" s="676" t="s">
        <v>823</v>
      </c>
      <c r="B115" s="649" t="s">
        <v>997</v>
      </c>
      <c r="C115" s="653"/>
      <c r="D115" s="656"/>
    </row>
    <row r="116" spans="1:4" s="413" customFormat="1" ht="15.75">
      <c r="A116" s="676" t="s">
        <v>824</v>
      </c>
      <c r="B116" s="649" t="s">
        <v>998</v>
      </c>
      <c r="C116" s="653"/>
      <c r="D116" s="656"/>
    </row>
    <row r="117" spans="1:4" s="413" customFormat="1" ht="15.75">
      <c r="A117" s="667" t="s">
        <v>7</v>
      </c>
      <c r="B117" s="649" t="s">
        <v>999</v>
      </c>
      <c r="C117" s="664">
        <v>8213</v>
      </c>
      <c r="D117" s="668">
        <v>8213</v>
      </c>
    </row>
    <row r="118" spans="1:4" s="413" customFormat="1" ht="15.75">
      <c r="A118" s="657" t="s">
        <v>825</v>
      </c>
      <c r="B118" s="649" t="s">
        <v>1000</v>
      </c>
      <c r="C118" s="658">
        <f>C37+C56+C83+C89+C117</f>
        <v>557522</v>
      </c>
      <c r="D118" s="651">
        <f>D37+D56+D83+D89+D117</f>
        <v>557522</v>
      </c>
    </row>
    <row r="119" spans="1:4" s="413" customFormat="1" ht="16.5" thickBot="1">
      <c r="A119" s="679" t="s">
        <v>826</v>
      </c>
      <c r="B119" s="680" t="s">
        <v>1001</v>
      </c>
      <c r="C119" s="681">
        <f>C36+C118</f>
        <v>2792072</v>
      </c>
      <c r="D119" s="682">
        <f>D36+D118</f>
        <v>2283786</v>
      </c>
    </row>
  </sheetData>
  <sheetProtection selectLockedCells="1" selectUnlockedCells="1"/>
  <mergeCells count="7">
    <mergeCell ref="A1:D1"/>
    <mergeCell ref="C2:D2"/>
    <mergeCell ref="A3:A5"/>
    <mergeCell ref="B3:B5"/>
    <mergeCell ref="C3:C4"/>
    <mergeCell ref="D3:D4"/>
    <mergeCell ref="C5:D5"/>
  </mergeCells>
  <printOptions horizontalCentered="1"/>
  <pageMargins left="0.7875" right="0.8236111111111111" top="1.0888888888888888" bottom="0.9840277777777777" header="0.7875" footer="0.7875"/>
  <pageSetup firstPageNumber="42" useFirstPageNumber="1" horizontalDpi="300" verticalDpi="300" orientation="portrait" paperSize="9" scale="85" r:id="rId1"/>
  <headerFooter alignWithMargins="0">
    <oddHeader>&amp;L&amp;"Times New Roman,Félkövér dőlt"Alattyán Község Önkormányzata&amp;R&amp;"Times New Roman,Félkövér dőlt"7.1. tájékoztató tábla a ……/2013. (……) önkormányzati rendelethez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F53" sqref="F53:F54"/>
    </sheetView>
  </sheetViews>
  <sheetFormatPr defaultColWidth="9.00390625" defaultRowHeight="12.75"/>
  <cols>
    <col min="1" max="1" width="74.875" style="684" customWidth="1"/>
    <col min="2" max="2" width="6.50390625" style="709" customWidth="1"/>
    <col min="3" max="3" width="18.875" style="683" customWidth="1"/>
    <col min="4" max="16384" width="9.875" style="683" customWidth="1"/>
  </cols>
  <sheetData>
    <row r="1" spans="1:3" ht="32.25" customHeight="1">
      <c r="A1" s="1278" t="s">
        <v>8</v>
      </c>
      <c r="B1" s="1278"/>
      <c r="C1" s="1278"/>
    </row>
    <row r="2" spans="1:3" ht="15.75" customHeight="1">
      <c r="A2" s="1279" t="s">
        <v>72</v>
      </c>
      <c r="B2" s="1279"/>
      <c r="C2" s="1279"/>
    </row>
    <row r="4" spans="2:3" ht="12.75">
      <c r="B4" s="1280" t="s">
        <v>733</v>
      </c>
      <c r="C4" s="1280"/>
    </row>
    <row r="5" spans="1:3" s="685" customFormat="1" ht="31.5" customHeight="1">
      <c r="A5" s="1281" t="s">
        <v>9</v>
      </c>
      <c r="B5" s="1282" t="s">
        <v>735</v>
      </c>
      <c r="C5" s="1283" t="s">
        <v>10</v>
      </c>
    </row>
    <row r="6" spans="1:3" s="685" customFormat="1" ht="12.75">
      <c r="A6" s="1281"/>
      <c r="B6" s="1282"/>
      <c r="C6" s="1283"/>
    </row>
    <row r="7" spans="1:3" s="689" customFormat="1" ht="12.75">
      <c r="A7" s="686" t="s">
        <v>11</v>
      </c>
      <c r="B7" s="687" t="s">
        <v>12</v>
      </c>
      <c r="C7" s="688" t="s">
        <v>13</v>
      </c>
    </row>
    <row r="8" spans="1:3" ht="15.75" customHeight="1">
      <c r="A8" s="690" t="s">
        <v>14</v>
      </c>
      <c r="B8" s="691" t="s">
        <v>739</v>
      </c>
      <c r="C8" s="692">
        <f>2569503+59512+6981</f>
        <v>2635996</v>
      </c>
    </row>
    <row r="9" spans="1:3" ht="15.75" customHeight="1">
      <c r="A9" s="693" t="s">
        <v>15</v>
      </c>
      <c r="B9" s="694" t="s">
        <v>740</v>
      </c>
      <c r="C9" s="695">
        <v>-637795</v>
      </c>
    </row>
    <row r="10" spans="1:3" ht="15.75" customHeight="1">
      <c r="A10" s="693" t="s">
        <v>16</v>
      </c>
      <c r="B10" s="694" t="s">
        <v>741</v>
      </c>
      <c r="C10" s="695"/>
    </row>
    <row r="11" spans="1:3" ht="15.75" customHeight="1">
      <c r="A11" s="696" t="s">
        <v>17</v>
      </c>
      <c r="B11" s="694" t="s">
        <v>742</v>
      </c>
      <c r="C11" s="697">
        <f>SUM(C8:C10)</f>
        <v>1998201</v>
      </c>
    </row>
    <row r="12" spans="1:3" ht="15.75" customHeight="1">
      <c r="A12" s="696" t="s">
        <v>18</v>
      </c>
      <c r="B12" s="694" t="s">
        <v>743</v>
      </c>
      <c r="C12" s="697">
        <f>SUM(C13:C14)</f>
        <v>163039</v>
      </c>
    </row>
    <row r="13" spans="1:3" ht="15.75" customHeight="1">
      <c r="A13" s="693" t="s">
        <v>19</v>
      </c>
      <c r="B13" s="694" t="s">
        <v>744</v>
      </c>
      <c r="C13" s="695">
        <v>163039</v>
      </c>
    </row>
    <row r="14" spans="1:3" ht="15.75" customHeight="1">
      <c r="A14" s="693" t="s">
        <v>20</v>
      </c>
      <c r="B14" s="694" t="s">
        <v>745</v>
      </c>
      <c r="C14" s="695"/>
    </row>
    <row r="15" spans="1:3" ht="15.75" customHeight="1">
      <c r="A15" s="696" t="s">
        <v>21</v>
      </c>
      <c r="B15" s="694" t="s">
        <v>746</v>
      </c>
      <c r="C15" s="697">
        <f>SUM(C16:C17)</f>
        <v>0</v>
      </c>
    </row>
    <row r="16" spans="1:3" s="698" customFormat="1" ht="15.75" customHeight="1">
      <c r="A16" s="693" t="s">
        <v>22</v>
      </c>
      <c r="B16" s="694" t="s">
        <v>747</v>
      </c>
      <c r="C16" s="695"/>
    </row>
    <row r="17" spans="1:3" ht="15.75" customHeight="1">
      <c r="A17" s="693" t="s">
        <v>23</v>
      </c>
      <c r="B17" s="694" t="s">
        <v>154</v>
      </c>
      <c r="C17" s="695"/>
    </row>
    <row r="18" spans="1:3" ht="15.75" customHeight="1">
      <c r="A18" s="699" t="s">
        <v>24</v>
      </c>
      <c r="B18" s="694" t="s">
        <v>155</v>
      </c>
      <c r="C18" s="697">
        <f>C12+C15</f>
        <v>163039</v>
      </c>
    </row>
    <row r="19" spans="1:3" ht="15.75" customHeight="1">
      <c r="A19" s="700" t="s">
        <v>25</v>
      </c>
      <c r="B19" s="694" t="s">
        <v>156</v>
      </c>
      <c r="C19" s="701">
        <f>SUM(C20:C23)</f>
        <v>0</v>
      </c>
    </row>
    <row r="20" spans="1:3" ht="15.75" customHeight="1">
      <c r="A20" s="693" t="s">
        <v>26</v>
      </c>
      <c r="B20" s="694" t="s">
        <v>157</v>
      </c>
      <c r="C20" s="695"/>
    </row>
    <row r="21" spans="1:3" ht="15.75" customHeight="1">
      <c r="A21" s="693" t="s">
        <v>27</v>
      </c>
      <c r="B21" s="694" t="s">
        <v>158</v>
      </c>
      <c r="C21" s="695"/>
    </row>
    <row r="22" spans="1:3" ht="15.75" customHeight="1">
      <c r="A22" s="693" t="s">
        <v>28</v>
      </c>
      <c r="B22" s="694" t="s">
        <v>159</v>
      </c>
      <c r="C22" s="695"/>
    </row>
    <row r="23" spans="1:3" ht="15.75" customHeight="1">
      <c r="A23" s="693" t="s">
        <v>29</v>
      </c>
      <c r="B23" s="694" t="s">
        <v>160</v>
      </c>
      <c r="C23" s="695"/>
    </row>
    <row r="24" spans="1:3" ht="15.75" customHeight="1">
      <c r="A24" s="700" t="s">
        <v>30</v>
      </c>
      <c r="B24" s="694" t="s">
        <v>161</v>
      </c>
      <c r="C24" s="701">
        <f>C25+C26+C27+C28</f>
        <v>121493</v>
      </c>
    </row>
    <row r="25" spans="1:3" ht="15.75" customHeight="1">
      <c r="A25" s="693" t="s">
        <v>31</v>
      </c>
      <c r="B25" s="694" t="s">
        <v>162</v>
      </c>
      <c r="C25" s="695"/>
    </row>
    <row r="26" spans="1:3" ht="15.75" customHeight="1">
      <c r="A26" s="693" t="s">
        <v>32</v>
      </c>
      <c r="B26" s="694" t="s">
        <v>163</v>
      </c>
      <c r="C26" s="695"/>
    </row>
    <row r="27" spans="1:3" ht="15.75" customHeight="1">
      <c r="A27" s="693" t="s">
        <v>33</v>
      </c>
      <c r="B27" s="694" t="s">
        <v>164</v>
      </c>
      <c r="C27" s="695">
        <f>2140+817+107+933</f>
        <v>3997</v>
      </c>
    </row>
    <row r="28" spans="1:3" ht="15.75" customHeight="1">
      <c r="A28" s="693" t="s">
        <v>34</v>
      </c>
      <c r="B28" s="694" t="s">
        <v>165</v>
      </c>
      <c r="C28" s="702">
        <f>SUM(C29:C32)</f>
        <v>117496</v>
      </c>
    </row>
    <row r="29" spans="1:3" ht="15.75" customHeight="1">
      <c r="A29" s="703" t="s">
        <v>35</v>
      </c>
      <c r="B29" s="694" t="s">
        <v>166</v>
      </c>
      <c r="C29" s="695">
        <v>1052</v>
      </c>
    </row>
    <row r="30" spans="1:3" ht="15.75" customHeight="1">
      <c r="A30" s="704" t="s">
        <v>36</v>
      </c>
      <c r="B30" s="694" t="s">
        <v>167</v>
      </c>
      <c r="C30" s="695"/>
    </row>
    <row r="31" spans="1:3" ht="15.75" customHeight="1">
      <c r="A31" s="704" t="s">
        <v>37</v>
      </c>
      <c r="B31" s="694" t="s">
        <v>168</v>
      </c>
      <c r="C31" s="695"/>
    </row>
    <row r="32" spans="1:3" ht="15.75" customHeight="1">
      <c r="A32" s="704" t="s">
        <v>38</v>
      </c>
      <c r="B32" s="694" t="s">
        <v>169</v>
      </c>
      <c r="C32" s="695">
        <f>116422+4+18</f>
        <v>116444</v>
      </c>
    </row>
    <row r="33" spans="1:3" ht="15.75" customHeight="1">
      <c r="A33" s="700" t="s">
        <v>39</v>
      </c>
      <c r="B33" s="694" t="s">
        <v>170</v>
      </c>
      <c r="C33" s="705">
        <v>1053</v>
      </c>
    </row>
    <row r="34" spans="1:3" ht="15.75" customHeight="1">
      <c r="A34" s="699" t="s">
        <v>40</v>
      </c>
      <c r="B34" s="694" t="s">
        <v>171</v>
      </c>
      <c r="C34" s="697">
        <f>C19+C24+C33</f>
        <v>122546</v>
      </c>
    </row>
    <row r="35" spans="1:3" ht="15.75" customHeight="1">
      <c r="A35" s="706" t="s">
        <v>41</v>
      </c>
      <c r="B35" s="707" t="s">
        <v>172</v>
      </c>
      <c r="C35" s="708">
        <f>C11+C18+C34</f>
        <v>2283786</v>
      </c>
    </row>
  </sheetData>
  <sheetProtection/>
  <mergeCells count="6">
    <mergeCell ref="A1:C1"/>
    <mergeCell ref="A2:C2"/>
    <mergeCell ref="B4:C4"/>
    <mergeCell ref="A5:A6"/>
    <mergeCell ref="B5:B6"/>
    <mergeCell ref="C5:C6"/>
  </mergeCells>
  <printOptions horizontalCentered="1"/>
  <pageMargins left="0.7875" right="0.7875" top="1.2472222222222222" bottom="0.9840277777777777" header="0.7875" footer="0.7875"/>
  <pageSetup firstPageNumber="45" useFirstPageNumber="1" horizontalDpi="300" verticalDpi="300" orientation="portrait" paperSize="9" scale="95" r:id="rId1"/>
  <headerFooter alignWithMargins="0">
    <oddHeader>&amp;L&amp;"Times New Roman,Félkövér dőlt"Alattyán Község Önkormányzata&amp;R&amp;"Times New Roman CE,Félkövér dőlt"7.2. tájékoztató tábla a ……/2013. (……) önkormányzati rendelethez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3"/>
  <sheetViews>
    <sheetView workbookViewId="0" topLeftCell="A1">
      <selection activeCell="F53" sqref="F53:F54"/>
    </sheetView>
  </sheetViews>
  <sheetFormatPr defaultColWidth="12.00390625" defaultRowHeight="12.75"/>
  <cols>
    <col min="1" max="1" width="49.625" style="411" customWidth="1"/>
    <col min="2" max="2" width="6.875" style="411" customWidth="1"/>
    <col min="3" max="3" width="17.125" style="411" customWidth="1"/>
    <col min="4" max="4" width="19.125" style="411" customWidth="1"/>
    <col min="5" max="16384" width="12.00390625" style="411" customWidth="1"/>
  </cols>
  <sheetData>
    <row r="1" spans="1:4" ht="48" customHeight="1">
      <c r="A1" s="1284" t="s">
        <v>73</v>
      </c>
      <c r="B1" s="1285"/>
      <c r="C1" s="1285"/>
      <c r="D1" s="1285"/>
    </row>
    <row r="2" ht="16.5" thickBot="1">
      <c r="A2" s="415" t="s">
        <v>105</v>
      </c>
    </row>
    <row r="3" spans="1:4" ht="43.5" customHeight="1" thickBot="1">
      <c r="A3" s="418" t="s">
        <v>188</v>
      </c>
      <c r="B3" s="419" t="s">
        <v>735</v>
      </c>
      <c r="C3" s="420" t="s">
        <v>42</v>
      </c>
      <c r="D3" s="421" t="s">
        <v>43</v>
      </c>
    </row>
    <row r="4" spans="1:4" ht="15.75" customHeight="1">
      <c r="A4" s="422" t="s">
        <v>44</v>
      </c>
      <c r="B4" s="423" t="s">
        <v>145</v>
      </c>
      <c r="C4" s="424"/>
      <c r="D4" s="425"/>
    </row>
    <row r="5" spans="1:4" ht="15.75" customHeight="1">
      <c r="A5" s="426" t="s">
        <v>45</v>
      </c>
      <c r="B5" s="427" t="s">
        <v>146</v>
      </c>
      <c r="C5" s="428"/>
      <c r="D5" s="429"/>
    </row>
    <row r="6" spans="1:4" ht="15.75" customHeight="1">
      <c r="A6" s="426" t="s">
        <v>46</v>
      </c>
      <c r="B6" s="427" t="s">
        <v>147</v>
      </c>
      <c r="C6" s="428"/>
      <c r="D6" s="429"/>
    </row>
    <row r="7" spans="1:4" ht="15.75" customHeight="1">
      <c r="A7" s="426" t="s">
        <v>47</v>
      </c>
      <c r="B7" s="427" t="s">
        <v>148</v>
      </c>
      <c r="C7" s="428"/>
      <c r="D7" s="429"/>
    </row>
    <row r="8" spans="1:4" ht="15.75" customHeight="1">
      <c r="A8" s="426" t="s">
        <v>48</v>
      </c>
      <c r="B8" s="427" t="s">
        <v>149</v>
      </c>
      <c r="C8" s="428"/>
      <c r="D8" s="429"/>
    </row>
    <row r="9" spans="1:4" ht="15.75" customHeight="1">
      <c r="A9" s="426" t="s">
        <v>49</v>
      </c>
      <c r="B9" s="427" t="s">
        <v>150</v>
      </c>
      <c r="C9" s="428"/>
      <c r="D9" s="429"/>
    </row>
    <row r="10" spans="1:4" ht="15.75" customHeight="1">
      <c r="A10" s="426" t="s">
        <v>50</v>
      </c>
      <c r="B10" s="427" t="s">
        <v>151</v>
      </c>
      <c r="C10" s="428"/>
      <c r="D10" s="429"/>
    </row>
    <row r="11" spans="1:4" ht="15.75" customHeight="1">
      <c r="A11" s="426" t="s">
        <v>51</v>
      </c>
      <c r="B11" s="427" t="s">
        <v>152</v>
      </c>
      <c r="C11" s="428"/>
      <c r="D11" s="429"/>
    </row>
    <row r="12" spans="1:4" ht="15.75" customHeight="1">
      <c r="A12" s="430"/>
      <c r="B12" s="427" t="s">
        <v>153</v>
      </c>
      <c r="C12" s="428"/>
      <c r="D12" s="429"/>
    </row>
    <row r="13" spans="1:4" ht="15.75" customHeight="1">
      <c r="A13" s="430"/>
      <c r="B13" s="427" t="s">
        <v>154</v>
      </c>
      <c r="C13" s="428"/>
      <c r="D13" s="429"/>
    </row>
    <row r="14" spans="1:4" ht="15.75" customHeight="1">
      <c r="A14" s="430"/>
      <c r="B14" s="427" t="s">
        <v>155</v>
      </c>
      <c r="C14" s="428"/>
      <c r="D14" s="429"/>
    </row>
    <row r="15" spans="1:4" ht="15.75" customHeight="1">
      <c r="A15" s="430"/>
      <c r="B15" s="427" t="s">
        <v>156</v>
      </c>
      <c r="C15" s="428"/>
      <c r="D15" s="429"/>
    </row>
    <row r="16" spans="1:4" ht="15.75" customHeight="1">
      <c r="A16" s="430"/>
      <c r="B16" s="427" t="s">
        <v>157</v>
      </c>
      <c r="C16" s="428"/>
      <c r="D16" s="429"/>
    </row>
    <row r="17" spans="1:4" ht="15.75" customHeight="1">
      <c r="A17" s="430"/>
      <c r="B17" s="427" t="s">
        <v>158</v>
      </c>
      <c r="C17" s="428"/>
      <c r="D17" s="429"/>
    </row>
    <row r="18" spans="1:4" ht="15.75" customHeight="1">
      <c r="A18" s="430"/>
      <c r="B18" s="427" t="s">
        <v>159</v>
      </c>
      <c r="C18" s="428"/>
      <c r="D18" s="429"/>
    </row>
    <row r="19" spans="1:4" ht="15.75" customHeight="1">
      <c r="A19" s="430"/>
      <c r="B19" s="427" t="s">
        <v>160</v>
      </c>
      <c r="C19" s="428"/>
      <c r="D19" s="429"/>
    </row>
    <row r="20" spans="1:4" ht="15.75" customHeight="1">
      <c r="A20" s="430"/>
      <c r="B20" s="427" t="s">
        <v>161</v>
      </c>
      <c r="C20" s="428"/>
      <c r="D20" s="429"/>
    </row>
    <row r="21" spans="1:4" ht="15.75" customHeight="1">
      <c r="A21" s="430"/>
      <c r="B21" s="427" t="s">
        <v>162</v>
      </c>
      <c r="C21" s="428"/>
      <c r="D21" s="429"/>
    </row>
    <row r="22" spans="1:4" ht="15.75" customHeight="1">
      <c r="A22" s="430"/>
      <c r="B22" s="427" t="s">
        <v>163</v>
      </c>
      <c r="C22" s="428"/>
      <c r="D22" s="429"/>
    </row>
    <row r="23" spans="1:4" ht="15.75" customHeight="1">
      <c r="A23" s="430"/>
      <c r="B23" s="427" t="s">
        <v>164</v>
      </c>
      <c r="C23" s="428"/>
      <c r="D23" s="429"/>
    </row>
    <row r="24" spans="1:4" ht="15.75" customHeight="1">
      <c r="A24" s="430"/>
      <c r="B24" s="427" t="s">
        <v>165</v>
      </c>
      <c r="C24" s="428"/>
      <c r="D24" s="429"/>
    </row>
    <row r="25" spans="1:4" ht="15.75" customHeight="1">
      <c r="A25" s="430"/>
      <c r="B25" s="427" t="s">
        <v>166</v>
      </c>
      <c r="C25" s="428"/>
      <c r="D25" s="429"/>
    </row>
    <row r="26" spans="1:4" ht="15.75" customHeight="1">
      <c r="A26" s="430"/>
      <c r="B26" s="427" t="s">
        <v>167</v>
      </c>
      <c r="C26" s="428"/>
      <c r="D26" s="429"/>
    </row>
    <row r="27" spans="1:4" ht="15.75" customHeight="1">
      <c r="A27" s="430"/>
      <c r="B27" s="427" t="s">
        <v>168</v>
      </c>
      <c r="C27" s="428"/>
      <c r="D27" s="429"/>
    </row>
    <row r="28" spans="1:4" ht="15.75" customHeight="1">
      <c r="A28" s="430"/>
      <c r="B28" s="427" t="s">
        <v>169</v>
      </c>
      <c r="C28" s="428"/>
      <c r="D28" s="429"/>
    </row>
    <row r="29" spans="1:4" ht="15.75" customHeight="1">
      <c r="A29" s="430"/>
      <c r="B29" s="427" t="s">
        <v>170</v>
      </c>
      <c r="C29" s="428"/>
      <c r="D29" s="429"/>
    </row>
    <row r="30" spans="1:4" ht="15.75" customHeight="1">
      <c r="A30" s="430"/>
      <c r="B30" s="427" t="s">
        <v>171</v>
      </c>
      <c r="C30" s="428"/>
      <c r="D30" s="429"/>
    </row>
    <row r="31" spans="1:4" ht="15.75" customHeight="1">
      <c r="A31" s="430"/>
      <c r="B31" s="427" t="s">
        <v>172</v>
      </c>
      <c r="C31" s="428"/>
      <c r="D31" s="429"/>
    </row>
    <row r="32" spans="1:4" ht="15.75" customHeight="1">
      <c r="A32" s="430"/>
      <c r="B32" s="427" t="s">
        <v>173</v>
      </c>
      <c r="C32" s="428"/>
      <c r="D32" s="429"/>
    </row>
    <row r="33" spans="1:4" ht="15.75" customHeight="1">
      <c r="A33" s="430"/>
      <c r="B33" s="427" t="s">
        <v>239</v>
      </c>
      <c r="C33" s="428"/>
      <c r="D33" s="429"/>
    </row>
    <row r="34" spans="1:4" ht="15.75" customHeight="1">
      <c r="A34" s="430"/>
      <c r="B34" s="427" t="s">
        <v>503</v>
      </c>
      <c r="C34" s="428"/>
      <c r="D34" s="429"/>
    </row>
    <row r="35" spans="1:4" ht="15.75" customHeight="1">
      <c r="A35" s="430"/>
      <c r="B35" s="427" t="s">
        <v>731</v>
      </c>
      <c r="C35" s="428"/>
      <c r="D35" s="429"/>
    </row>
    <row r="36" spans="1:4" ht="15.75" customHeight="1" thickBot="1">
      <c r="A36" s="431"/>
      <c r="B36" s="432" t="s">
        <v>732</v>
      </c>
      <c r="C36" s="433"/>
      <c r="D36" s="434"/>
    </row>
    <row r="37" spans="1:6" ht="15.75" customHeight="1" thickBot="1">
      <c r="A37" s="1286" t="s">
        <v>178</v>
      </c>
      <c r="B37" s="1287"/>
      <c r="C37" s="435"/>
      <c r="D37" s="436">
        <f>IF((SUM(D4:D36)=0),"",SUM(D4:D36))</f>
      </c>
      <c r="F37" s="437"/>
    </row>
    <row r="39" spans="1:4" ht="15.75">
      <c r="A39" s="414"/>
      <c r="B39" s="415"/>
      <c r="C39" s="1288"/>
      <c r="D39" s="1288"/>
    </row>
    <row r="40" spans="1:4" ht="15.75">
      <c r="A40" s="414"/>
      <c r="B40" s="415"/>
      <c r="C40" s="416"/>
      <c r="D40" s="416"/>
    </row>
    <row r="41" spans="1:4" ht="15.75">
      <c r="A41" s="415"/>
      <c r="B41" s="415"/>
      <c r="C41" s="1288"/>
      <c r="D41" s="1288"/>
    </row>
    <row r="42" spans="1:2" ht="15.75">
      <c r="A42" s="417"/>
      <c r="B42" s="417"/>
    </row>
    <row r="43" spans="1:3" ht="15.75">
      <c r="A43" s="417"/>
      <c r="B43" s="417"/>
      <c r="C43" s="417"/>
    </row>
  </sheetData>
  <sheetProtection/>
  <mergeCells count="4">
    <mergeCell ref="A1:D1"/>
    <mergeCell ref="A37:B37"/>
    <mergeCell ref="C39:D39"/>
    <mergeCell ref="C41:D41"/>
  </mergeCells>
  <printOptions horizontalCentered="1"/>
  <pageMargins left="0.7874015748031497" right="0.7874015748031497" top="1.14791666666666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dőlt"Alattyán Község Önkormányzata&amp;R&amp;"Times New Roman,Félkövér dőlt"7.3. tájékoztató tábla a ……/2014. (……) önkormányzati rendelethez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workbookViewId="0" topLeftCell="A1">
      <selection activeCell="C7" sqref="C7"/>
    </sheetView>
  </sheetViews>
  <sheetFormatPr defaultColWidth="12.00390625" defaultRowHeight="12.75"/>
  <cols>
    <col min="1" max="1" width="51.50390625" style="411" customWidth="1"/>
    <col min="2" max="2" width="6.875" style="411" customWidth="1"/>
    <col min="3" max="3" width="17.125" style="411" customWidth="1"/>
    <col min="4" max="4" width="19.125" style="411" customWidth="1"/>
    <col min="5" max="16384" width="12.00390625" style="411" customWidth="1"/>
  </cols>
  <sheetData>
    <row r="1" spans="1:4" ht="48.75" customHeight="1">
      <c r="A1" s="1289" t="s">
        <v>74</v>
      </c>
      <c r="B1" s="1290"/>
      <c r="C1" s="1290"/>
      <c r="D1" s="1290"/>
    </row>
    <row r="2" ht="16.5" thickBot="1"/>
    <row r="3" spans="1:4" ht="43.5" customHeight="1" thickBot="1">
      <c r="A3" s="438" t="s">
        <v>52</v>
      </c>
      <c r="B3" s="419" t="s">
        <v>735</v>
      </c>
      <c r="C3" s="439" t="s">
        <v>42</v>
      </c>
      <c r="D3" s="440" t="s">
        <v>43</v>
      </c>
    </row>
    <row r="4" spans="1:4" ht="15.75" customHeight="1">
      <c r="A4" s="422" t="s">
        <v>53</v>
      </c>
      <c r="B4" s="423" t="s">
        <v>145</v>
      </c>
      <c r="C4" s="424">
        <v>1</v>
      </c>
      <c r="D4" s="425">
        <v>155223</v>
      </c>
    </row>
    <row r="5" spans="1:4" ht="15.75" customHeight="1">
      <c r="A5" s="426" t="s">
        <v>54</v>
      </c>
      <c r="B5" s="427" t="s">
        <v>146</v>
      </c>
      <c r="C5" s="428"/>
      <c r="D5" s="429"/>
    </row>
    <row r="6" spans="1:4" ht="15.75" customHeight="1">
      <c r="A6" s="426" t="s">
        <v>55</v>
      </c>
      <c r="B6" s="427" t="s">
        <v>147</v>
      </c>
      <c r="C6" s="428">
        <v>1</v>
      </c>
      <c r="D6" s="429">
        <v>15107</v>
      </c>
    </row>
    <row r="7" spans="1:4" ht="15.75" customHeight="1">
      <c r="A7" s="426" t="s">
        <v>56</v>
      </c>
      <c r="B7" s="427" t="s">
        <v>148</v>
      </c>
      <c r="C7" s="428"/>
      <c r="D7" s="429"/>
    </row>
    <row r="8" spans="1:4" ht="15.75" customHeight="1">
      <c r="A8" s="426"/>
      <c r="B8" s="427" t="s">
        <v>149</v>
      </c>
      <c r="C8" s="428"/>
      <c r="D8" s="429"/>
    </row>
    <row r="9" spans="1:4" ht="15.75" customHeight="1">
      <c r="A9" s="426"/>
      <c r="B9" s="427" t="s">
        <v>150</v>
      </c>
      <c r="C9" s="428"/>
      <c r="D9" s="429"/>
    </row>
    <row r="10" spans="1:4" ht="15.75" customHeight="1">
      <c r="A10" s="426"/>
      <c r="B10" s="427" t="s">
        <v>151</v>
      </c>
      <c r="C10" s="428"/>
      <c r="D10" s="429"/>
    </row>
    <row r="11" spans="1:4" ht="15.75" customHeight="1">
      <c r="A11" s="426"/>
      <c r="B11" s="427" t="s">
        <v>152</v>
      </c>
      <c r="C11" s="428"/>
      <c r="D11" s="429"/>
    </row>
    <row r="12" spans="1:4" ht="15.75" customHeight="1">
      <c r="A12" s="426"/>
      <c r="B12" s="427" t="s">
        <v>153</v>
      </c>
      <c r="C12" s="428"/>
      <c r="D12" s="429"/>
    </row>
    <row r="13" spans="1:4" ht="15.75" customHeight="1">
      <c r="A13" s="426"/>
      <c r="B13" s="427" t="s">
        <v>154</v>
      </c>
      <c r="C13" s="428"/>
      <c r="D13" s="429"/>
    </row>
    <row r="14" spans="1:4" ht="15.75" customHeight="1">
      <c r="A14" s="426"/>
      <c r="B14" s="427" t="s">
        <v>155</v>
      </c>
      <c r="C14" s="428"/>
      <c r="D14" s="429"/>
    </row>
    <row r="15" spans="1:4" ht="15.75" customHeight="1">
      <c r="A15" s="426"/>
      <c r="B15" s="427" t="s">
        <v>156</v>
      </c>
      <c r="C15" s="428"/>
      <c r="D15" s="429"/>
    </row>
    <row r="16" spans="1:4" ht="15.75" customHeight="1">
      <c r="A16" s="426"/>
      <c r="B16" s="427" t="s">
        <v>157</v>
      </c>
      <c r="C16" s="428"/>
      <c r="D16" s="429"/>
    </row>
    <row r="17" spans="1:4" ht="15.75" customHeight="1">
      <c r="A17" s="426"/>
      <c r="B17" s="427" t="s">
        <v>158</v>
      </c>
      <c r="C17" s="428"/>
      <c r="D17" s="429"/>
    </row>
    <row r="18" spans="1:4" ht="15.75" customHeight="1">
      <c r="A18" s="426"/>
      <c r="B18" s="427" t="s">
        <v>159</v>
      </c>
      <c r="C18" s="428"/>
      <c r="D18" s="429"/>
    </row>
    <row r="19" spans="1:4" ht="15.75" customHeight="1">
      <c r="A19" s="426"/>
      <c r="B19" s="427" t="s">
        <v>160</v>
      </c>
      <c r="C19" s="428"/>
      <c r="D19" s="429"/>
    </row>
    <row r="20" spans="1:4" ht="15.75" customHeight="1">
      <c r="A20" s="426"/>
      <c r="B20" s="427" t="s">
        <v>161</v>
      </c>
      <c r="C20" s="428"/>
      <c r="D20" s="429"/>
    </row>
    <row r="21" spans="1:4" ht="15.75" customHeight="1">
      <c r="A21" s="426"/>
      <c r="B21" s="427" t="s">
        <v>162</v>
      </c>
      <c r="C21" s="428"/>
      <c r="D21" s="429"/>
    </row>
    <row r="22" spans="1:4" ht="15.75" customHeight="1">
      <c r="A22" s="426"/>
      <c r="B22" s="427" t="s">
        <v>163</v>
      </c>
      <c r="C22" s="428"/>
      <c r="D22" s="429"/>
    </row>
    <row r="23" spans="1:4" ht="15.75" customHeight="1">
      <c r="A23" s="426"/>
      <c r="B23" s="427" t="s">
        <v>164</v>
      </c>
      <c r="C23" s="428"/>
      <c r="D23" s="429"/>
    </row>
    <row r="24" spans="1:4" ht="15.75" customHeight="1">
      <c r="A24" s="426"/>
      <c r="B24" s="427" t="s">
        <v>165</v>
      </c>
      <c r="C24" s="428"/>
      <c r="D24" s="429"/>
    </row>
    <row r="25" spans="1:4" ht="15.75" customHeight="1">
      <c r="A25" s="426"/>
      <c r="B25" s="427" t="s">
        <v>166</v>
      </c>
      <c r="C25" s="428"/>
      <c r="D25" s="429"/>
    </row>
    <row r="26" spans="1:4" ht="15.75" customHeight="1">
      <c r="A26" s="426"/>
      <c r="B26" s="427" t="s">
        <v>167</v>
      </c>
      <c r="C26" s="428"/>
      <c r="D26" s="429"/>
    </row>
    <row r="27" spans="1:4" ht="15.75" customHeight="1">
      <c r="A27" s="426"/>
      <c r="B27" s="427" t="s">
        <v>168</v>
      </c>
      <c r="C27" s="428"/>
      <c r="D27" s="429"/>
    </row>
    <row r="28" spans="1:4" ht="15.75" customHeight="1">
      <c r="A28" s="426"/>
      <c r="B28" s="427" t="s">
        <v>169</v>
      </c>
      <c r="C28" s="428"/>
      <c r="D28" s="429"/>
    </row>
    <row r="29" spans="1:4" ht="15.75" customHeight="1">
      <c r="A29" s="426"/>
      <c r="B29" s="427" t="s">
        <v>170</v>
      </c>
      <c r="C29" s="428"/>
      <c r="D29" s="429"/>
    </row>
    <row r="30" spans="1:4" ht="15.75" customHeight="1">
      <c r="A30" s="426"/>
      <c r="B30" s="427" t="s">
        <v>171</v>
      </c>
      <c r="C30" s="428"/>
      <c r="D30" s="429"/>
    </row>
    <row r="31" spans="1:4" ht="15.75" customHeight="1">
      <c r="A31" s="426"/>
      <c r="B31" s="427" t="s">
        <v>172</v>
      </c>
      <c r="C31" s="428"/>
      <c r="D31" s="429"/>
    </row>
    <row r="32" spans="1:4" ht="15.75" customHeight="1">
      <c r="A32" s="426"/>
      <c r="B32" s="427" t="s">
        <v>173</v>
      </c>
      <c r="C32" s="428"/>
      <c r="D32" s="429"/>
    </row>
    <row r="33" spans="1:4" ht="15.75" customHeight="1">
      <c r="A33" s="426"/>
      <c r="B33" s="427" t="s">
        <v>239</v>
      </c>
      <c r="C33" s="428"/>
      <c r="D33" s="429"/>
    </row>
    <row r="34" spans="1:4" ht="15.75" customHeight="1">
      <c r="A34" s="426"/>
      <c r="B34" s="427" t="s">
        <v>503</v>
      </c>
      <c r="C34" s="428"/>
      <c r="D34" s="429"/>
    </row>
    <row r="35" spans="1:4" ht="15.75" customHeight="1">
      <c r="A35" s="426"/>
      <c r="B35" s="427" t="s">
        <v>731</v>
      </c>
      <c r="C35" s="428"/>
      <c r="D35" s="429"/>
    </row>
    <row r="36" spans="1:4" ht="15.75" customHeight="1" thickBot="1">
      <c r="A36" s="441"/>
      <c r="B36" s="442" t="s">
        <v>732</v>
      </c>
      <c r="C36" s="443"/>
      <c r="D36" s="444"/>
    </row>
    <row r="37" spans="1:6" ht="15.75" customHeight="1" thickBot="1">
      <c r="A37" s="1291" t="s">
        <v>178</v>
      </c>
      <c r="B37" s="1292"/>
      <c r="C37" s="435"/>
      <c r="D37" s="436">
        <f>IF((SUM(D4:D36)=0),"",SUM(D4:D36))</f>
        <v>170330</v>
      </c>
      <c r="F37" s="445"/>
    </row>
  </sheetData>
  <sheetProtection/>
  <mergeCells count="2">
    <mergeCell ref="A1:D1"/>
    <mergeCell ref="A37:B37"/>
  </mergeCells>
  <printOptions horizontalCentered="1"/>
  <pageMargins left="0.7874015748031497" right="0.7874015748031497" top="1.12812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dőlt"Alattyán Község Önkormányzata&amp;R&amp;"Times New Roman,Félkövér dőlt"7.4. tájékoztató tábla a ……/2014. (……) önkormányzati rendelethez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D24"/>
  <sheetViews>
    <sheetView zoomScalePageLayoutView="0" workbookViewId="0" topLeftCell="A1">
      <selection activeCell="F53" sqref="F53:F54"/>
    </sheetView>
  </sheetViews>
  <sheetFormatPr defaultColWidth="9.00390625" defaultRowHeight="12.75"/>
  <cols>
    <col min="1" max="1" width="9.375" style="473" customWidth="1"/>
    <col min="2" max="2" width="83.375" style="473" customWidth="1"/>
    <col min="3" max="4" width="25.00390625" style="473" customWidth="1"/>
    <col min="5" max="16384" width="9.375" style="473" customWidth="1"/>
  </cols>
  <sheetData>
    <row r="1" spans="1:4" ht="15">
      <c r="A1" s="1296" t="s">
        <v>75</v>
      </c>
      <c r="B1" s="1296"/>
      <c r="C1" s="1296"/>
      <c r="D1" s="1296"/>
    </row>
    <row r="2" ht="12.75">
      <c r="A2" s="474"/>
    </row>
    <row r="3" spans="1:4" ht="33" customHeight="1">
      <c r="A3" s="1293" t="s">
        <v>125</v>
      </c>
      <c r="B3" s="1293"/>
      <c r="C3" s="1293"/>
      <c r="D3" s="1293"/>
    </row>
    <row r="4" ht="16.5" thickBot="1">
      <c r="A4" s="475"/>
    </row>
    <row r="5" spans="1:4" ht="32.25" thickBot="1">
      <c r="A5" s="476" t="s">
        <v>735</v>
      </c>
      <c r="B5" s="477" t="s">
        <v>57</v>
      </c>
      <c r="C5" s="477" t="s">
        <v>58</v>
      </c>
      <c r="D5" s="477" t="s">
        <v>59</v>
      </c>
    </row>
    <row r="6" spans="1:4" ht="15.75">
      <c r="A6" s="478" t="s">
        <v>145</v>
      </c>
      <c r="B6" s="482" t="s">
        <v>124</v>
      </c>
      <c r="C6" s="485">
        <v>1</v>
      </c>
      <c r="D6" s="488">
        <v>500000</v>
      </c>
    </row>
    <row r="7" spans="1:4" ht="15.75">
      <c r="A7" s="479" t="s">
        <v>146</v>
      </c>
      <c r="B7" s="483" t="s">
        <v>1010</v>
      </c>
      <c r="C7" s="486"/>
      <c r="D7" s="489">
        <v>10000</v>
      </c>
    </row>
    <row r="8" spans="1:4" ht="15.75">
      <c r="A8" s="479" t="s">
        <v>147</v>
      </c>
      <c r="B8" s="483"/>
      <c r="C8" s="486"/>
      <c r="D8" s="489"/>
    </row>
    <row r="9" spans="1:4" ht="15.75">
      <c r="A9" s="479" t="s">
        <v>148</v>
      </c>
      <c r="B9" s="483"/>
      <c r="C9" s="486"/>
      <c r="D9" s="489"/>
    </row>
    <row r="10" spans="1:4" ht="15.75">
      <c r="A10" s="479" t="s">
        <v>149</v>
      </c>
      <c r="B10" s="483"/>
      <c r="C10" s="486"/>
      <c r="D10" s="489"/>
    </row>
    <row r="11" spans="1:4" ht="15.75">
      <c r="A11" s="479" t="s">
        <v>150</v>
      </c>
      <c r="B11" s="483"/>
      <c r="C11" s="486"/>
      <c r="D11" s="489"/>
    </row>
    <row r="12" spans="1:4" ht="15.75">
      <c r="A12" s="479" t="s">
        <v>151</v>
      </c>
      <c r="B12" s="483"/>
      <c r="C12" s="486"/>
      <c r="D12" s="489"/>
    </row>
    <row r="13" spans="1:4" ht="15.75">
      <c r="A13" s="479" t="s">
        <v>152</v>
      </c>
      <c r="B13" s="483"/>
      <c r="C13" s="486"/>
      <c r="D13" s="489"/>
    </row>
    <row r="14" spans="1:4" ht="15.75">
      <c r="A14" s="479" t="s">
        <v>153</v>
      </c>
      <c r="B14" s="483"/>
      <c r="C14" s="486"/>
      <c r="D14" s="489"/>
    </row>
    <row r="15" spans="1:4" ht="15.75">
      <c r="A15" s="479" t="s">
        <v>154</v>
      </c>
      <c r="B15" s="483"/>
      <c r="C15" s="486"/>
      <c r="D15" s="489"/>
    </row>
    <row r="16" spans="1:4" ht="15.75">
      <c r="A16" s="479" t="s">
        <v>155</v>
      </c>
      <c r="B16" s="483"/>
      <c r="C16" s="486"/>
      <c r="D16" s="489"/>
    </row>
    <row r="17" spans="1:4" ht="15.75">
      <c r="A17" s="479" t="s">
        <v>156</v>
      </c>
      <c r="B17" s="483"/>
      <c r="C17" s="486"/>
      <c r="D17" s="489"/>
    </row>
    <row r="18" spans="1:4" ht="15.75">
      <c r="A18" s="479" t="s">
        <v>157</v>
      </c>
      <c r="B18" s="483"/>
      <c r="C18" s="486"/>
      <c r="D18" s="489"/>
    </row>
    <row r="19" spans="1:4" ht="15.75">
      <c r="A19" s="479" t="s">
        <v>158</v>
      </c>
      <c r="B19" s="483"/>
      <c r="C19" s="486"/>
      <c r="D19" s="489"/>
    </row>
    <row r="20" spans="1:4" ht="15.75">
      <c r="A20" s="479" t="s">
        <v>159</v>
      </c>
      <c r="B20" s="483"/>
      <c r="C20" s="486"/>
      <c r="D20" s="489"/>
    </row>
    <row r="21" spans="1:4" ht="15.75">
      <c r="A21" s="479" t="s">
        <v>160</v>
      </c>
      <c r="B21" s="483"/>
      <c r="C21" s="486"/>
      <c r="D21" s="489"/>
    </row>
    <row r="22" spans="1:4" ht="16.5" thickBot="1">
      <c r="A22" s="480" t="s">
        <v>161</v>
      </c>
      <c r="B22" s="484"/>
      <c r="C22" s="487"/>
      <c r="D22" s="490"/>
    </row>
    <row r="23" spans="1:4" ht="16.5" thickBot="1">
      <c r="A23" s="1294" t="s">
        <v>60</v>
      </c>
      <c r="B23" s="1295"/>
      <c r="C23" s="481"/>
      <c r="D23" s="491">
        <f>IF(SUM(D6:D22)=0,"",SUM(D6:D22))</f>
        <v>510000</v>
      </c>
    </row>
    <row r="24" ht="15.75">
      <c r="A24" s="475"/>
    </row>
  </sheetData>
  <sheetProtection/>
  <mergeCells count="3">
    <mergeCell ref="A3:D3"/>
    <mergeCell ref="A23:B2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"/>
  <sheetViews>
    <sheetView workbookViewId="0" topLeftCell="A1">
      <selection activeCell="N43" sqref="N43"/>
    </sheetView>
  </sheetViews>
  <sheetFormatPr defaultColWidth="9.00390625" defaultRowHeight="12.75"/>
  <cols>
    <col min="1" max="1" width="7.625" style="36" customWidth="1"/>
    <col min="2" max="2" width="60.875" style="36" customWidth="1"/>
    <col min="3" max="3" width="25.625" style="36" customWidth="1"/>
    <col min="4" max="16384" width="9.375" style="36" customWidth="1"/>
  </cols>
  <sheetData>
    <row r="1" ht="15">
      <c r="C1" s="446" t="s">
        <v>652</v>
      </c>
    </row>
    <row r="2" spans="1:3" ht="14.25">
      <c r="A2" s="447"/>
      <c r="B2" s="447"/>
      <c r="C2" s="447"/>
    </row>
    <row r="3" spans="1:3" ht="33.75" customHeight="1">
      <c r="A3" s="1297" t="s">
        <v>61</v>
      </c>
      <c r="B3" s="1297"/>
      <c r="C3" s="1297"/>
    </row>
    <row r="4" ht="13.5" thickBot="1">
      <c r="C4" s="448"/>
    </row>
    <row r="5" spans="1:3" s="452" customFormat="1" ht="43.5" customHeight="1" thickBot="1">
      <c r="A5" s="449" t="s">
        <v>143</v>
      </c>
      <c r="B5" s="450" t="s">
        <v>188</v>
      </c>
      <c r="C5" s="451" t="s">
        <v>62</v>
      </c>
    </row>
    <row r="6" spans="1:3" ht="28.5" customHeight="1">
      <c r="A6" s="453" t="s">
        <v>145</v>
      </c>
      <c r="B6" s="454" t="s">
        <v>76</v>
      </c>
      <c r="C6" s="455">
        <f>C7+C8</f>
        <v>72162</v>
      </c>
    </row>
    <row r="7" spans="1:3" ht="18" customHeight="1">
      <c r="A7" s="456" t="s">
        <v>146</v>
      </c>
      <c r="B7" s="457" t="s">
        <v>63</v>
      </c>
      <c r="C7" s="458">
        <v>72044</v>
      </c>
    </row>
    <row r="8" spans="1:3" ht="18" customHeight="1">
      <c r="A8" s="456" t="s">
        <v>147</v>
      </c>
      <c r="B8" s="457" t="s">
        <v>64</v>
      </c>
      <c r="C8" s="458">
        <v>118</v>
      </c>
    </row>
    <row r="9" spans="1:3" ht="18" customHeight="1">
      <c r="A9" s="456" t="s">
        <v>148</v>
      </c>
      <c r="B9" s="459" t="s">
        <v>65</v>
      </c>
      <c r="C9" s="458">
        <v>519914</v>
      </c>
    </row>
    <row r="10" spans="1:3" ht="18" customHeight="1" thickBot="1">
      <c r="A10" s="460" t="s">
        <v>149</v>
      </c>
      <c r="B10" s="461" t="s">
        <v>66</v>
      </c>
      <c r="C10" s="462">
        <v>436197</v>
      </c>
    </row>
    <row r="11" spans="1:3" ht="25.5" customHeight="1">
      <c r="A11" s="463" t="s">
        <v>150</v>
      </c>
      <c r="B11" s="464" t="s">
        <v>77</v>
      </c>
      <c r="C11" s="465">
        <f>C6+C9-C10</f>
        <v>155879</v>
      </c>
    </row>
    <row r="12" spans="1:3" ht="18" customHeight="1">
      <c r="A12" s="456" t="s">
        <v>151</v>
      </c>
      <c r="B12" s="457" t="s">
        <v>63</v>
      </c>
      <c r="C12" s="458">
        <v>155724</v>
      </c>
    </row>
    <row r="13" spans="1:3" ht="18" customHeight="1" thickBot="1">
      <c r="A13" s="466" t="s">
        <v>152</v>
      </c>
      <c r="B13" s="467" t="s">
        <v>64</v>
      </c>
      <c r="C13" s="468">
        <v>155</v>
      </c>
    </row>
  </sheetData>
  <sheetProtection/>
  <mergeCells count="1">
    <mergeCell ref="A3:C3"/>
  </mergeCells>
  <conditionalFormatting sqref="C11">
    <cfRule type="cellIs" priority="1" dxfId="0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60" workbookViewId="0" topLeftCell="A1">
      <selection activeCell="A1" sqref="A1:O1"/>
    </sheetView>
  </sheetViews>
  <sheetFormatPr defaultColWidth="9.00390625" defaultRowHeight="12.75"/>
  <cols>
    <col min="1" max="1" width="6.50390625" style="610" customWidth="1"/>
    <col min="2" max="2" width="30.00390625" style="609" customWidth="1"/>
    <col min="3" max="4" width="9.00390625" style="609" customWidth="1"/>
    <col min="5" max="5" width="9.50390625" style="609" customWidth="1"/>
    <col min="6" max="6" width="8.875" style="609" customWidth="1"/>
    <col min="7" max="7" width="8.625" style="609" customWidth="1"/>
    <col min="8" max="8" width="8.875" style="609" customWidth="1"/>
    <col min="9" max="9" width="8.125" style="609" customWidth="1"/>
    <col min="10" max="14" width="9.50390625" style="609" customWidth="1"/>
    <col min="15" max="15" width="12.625" style="610" customWidth="1"/>
    <col min="16" max="17" width="11.00390625" style="609" bestFit="1" customWidth="1"/>
    <col min="18" max="16384" width="9.375" style="609" customWidth="1"/>
  </cols>
  <sheetData>
    <row r="1" spans="1:15" ht="31.5" customHeight="1">
      <c r="A1" s="1298" t="s">
        <v>1037</v>
      </c>
      <c r="B1" s="1299"/>
      <c r="C1" s="1299"/>
      <c r="D1" s="1299"/>
      <c r="E1" s="1299"/>
      <c r="F1" s="1299"/>
      <c r="G1" s="1299"/>
      <c r="H1" s="1299"/>
      <c r="I1" s="1299"/>
      <c r="J1" s="1299"/>
      <c r="K1" s="1299"/>
      <c r="L1" s="1299"/>
      <c r="M1" s="1299"/>
      <c r="N1" s="1299"/>
      <c r="O1" s="1299"/>
    </row>
    <row r="2" ht="16.5" thickBot="1">
      <c r="O2" s="611" t="s">
        <v>179</v>
      </c>
    </row>
    <row r="3" spans="1:15" s="610" customFormat="1" ht="24.75" thickBot="1">
      <c r="A3" s="612" t="s">
        <v>143</v>
      </c>
      <c r="B3" s="613" t="s">
        <v>188</v>
      </c>
      <c r="C3" s="613" t="s">
        <v>1011</v>
      </c>
      <c r="D3" s="613" t="s">
        <v>1012</v>
      </c>
      <c r="E3" s="613" t="s">
        <v>1013</v>
      </c>
      <c r="F3" s="613" t="s">
        <v>1014</v>
      </c>
      <c r="G3" s="613" t="s">
        <v>1015</v>
      </c>
      <c r="H3" s="613" t="s">
        <v>1016</v>
      </c>
      <c r="I3" s="613" t="s">
        <v>1017</v>
      </c>
      <c r="J3" s="613" t="s">
        <v>1018</v>
      </c>
      <c r="K3" s="613" t="s">
        <v>1019</v>
      </c>
      <c r="L3" s="613" t="s">
        <v>1020</v>
      </c>
      <c r="M3" s="613" t="s">
        <v>1021</v>
      </c>
      <c r="N3" s="613" t="s">
        <v>1022</v>
      </c>
      <c r="O3" s="614" t="s">
        <v>178</v>
      </c>
    </row>
    <row r="4" spans="1:15" s="616" customFormat="1" ht="15" customHeight="1" thickBot="1">
      <c r="A4" s="615" t="s">
        <v>145</v>
      </c>
      <c r="B4" s="1300" t="s">
        <v>180</v>
      </c>
      <c r="C4" s="1301"/>
      <c r="D4" s="1301"/>
      <c r="E4" s="1301"/>
      <c r="F4" s="1301"/>
      <c r="G4" s="1301"/>
      <c r="H4" s="1301"/>
      <c r="I4" s="1301"/>
      <c r="J4" s="1301"/>
      <c r="K4" s="1301"/>
      <c r="L4" s="1301"/>
      <c r="M4" s="1301"/>
      <c r="N4" s="1301"/>
      <c r="O4" s="1302"/>
    </row>
    <row r="5" spans="1:15" s="616" customFormat="1" ht="15" customHeight="1" thickBot="1">
      <c r="A5" s="637" t="s">
        <v>146</v>
      </c>
      <c r="B5" s="637" t="s">
        <v>1023</v>
      </c>
      <c r="C5" s="634">
        <f>'9. tájékoztató tábla'!C6</f>
        <v>72162</v>
      </c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8" t="s">
        <v>1024</v>
      </c>
    </row>
    <row r="6" spans="1:17" s="621" customFormat="1" ht="23.25" thickBot="1">
      <c r="A6" s="637" t="s">
        <v>147</v>
      </c>
      <c r="B6" s="638" t="s">
        <v>761</v>
      </c>
      <c r="C6" s="635">
        <v>320</v>
      </c>
      <c r="D6" s="619">
        <v>14</v>
      </c>
      <c r="E6" s="619">
        <v>259</v>
      </c>
      <c r="F6" s="619">
        <v>1182</v>
      </c>
      <c r="G6" s="619">
        <v>11730</v>
      </c>
      <c r="H6" s="619">
        <v>13259</v>
      </c>
      <c r="I6" s="619">
        <v>6</v>
      </c>
      <c r="J6" s="619">
        <v>2719</v>
      </c>
      <c r="K6" s="619">
        <v>21583</v>
      </c>
      <c r="L6" s="619">
        <v>2448</v>
      </c>
      <c r="M6" s="619">
        <f>1295+67</f>
        <v>1362</v>
      </c>
      <c r="N6" s="619">
        <v>10842</v>
      </c>
      <c r="O6" s="620">
        <f aca="true" t="shared" si="0" ref="O6:O15">SUM(C6:N6)</f>
        <v>65724</v>
      </c>
      <c r="P6" s="621">
        <f>62124+3600</f>
        <v>65724</v>
      </c>
      <c r="Q6" s="628">
        <f>O6-P6</f>
        <v>0</v>
      </c>
    </row>
    <row r="7" spans="1:17" s="621" customFormat="1" ht="13.5" customHeight="1" thickBot="1">
      <c r="A7" s="637" t="s">
        <v>148</v>
      </c>
      <c r="B7" s="637" t="s">
        <v>181</v>
      </c>
      <c r="C7" s="635">
        <f>2266+33+1411</f>
        <v>3710</v>
      </c>
      <c r="D7" s="619">
        <f>2904+1+535</f>
        <v>3440</v>
      </c>
      <c r="E7" s="619">
        <f>9687+29+528-7000</f>
        <v>3244</v>
      </c>
      <c r="F7" s="619">
        <f>2284+5+569</f>
        <v>2858</v>
      </c>
      <c r="G7" s="619">
        <f>562+4+3118</f>
        <v>3684</v>
      </c>
      <c r="H7" s="619">
        <f>2244+19+564-6</f>
        <v>2821</v>
      </c>
      <c r="I7" s="619">
        <f>18+565+6-4703+7000</f>
        <v>2886</v>
      </c>
      <c r="J7" s="619">
        <f>11+731+38+2329</f>
        <v>3109</v>
      </c>
      <c r="K7" s="619">
        <f>20+528+197+1595</f>
        <v>2340</v>
      </c>
      <c r="L7" s="619">
        <f>15+588+181+3484</f>
        <v>4268</v>
      </c>
      <c r="M7" s="619">
        <f>147+11+518+3082</f>
        <v>3758</v>
      </c>
      <c r="N7" s="619">
        <f>6296+119+491+17</f>
        <v>6923</v>
      </c>
      <c r="O7" s="620">
        <f t="shared" si="0"/>
        <v>43041</v>
      </c>
      <c r="P7" s="621">
        <v>43041</v>
      </c>
      <c r="Q7" s="628">
        <f aca="true" t="shared" si="1" ref="Q7:Q16">O7-P7</f>
        <v>0</v>
      </c>
    </row>
    <row r="8" spans="1:17" s="621" customFormat="1" ht="27" customHeight="1" thickBot="1">
      <c r="A8" s="637" t="s">
        <v>149</v>
      </c>
      <c r="B8" s="638" t="s">
        <v>1025</v>
      </c>
      <c r="C8" s="635">
        <v>9992</v>
      </c>
      <c r="D8" s="619">
        <v>9271</v>
      </c>
      <c r="E8" s="619">
        <v>11378</v>
      </c>
      <c r="F8" s="619">
        <v>8616</v>
      </c>
      <c r="G8" s="619">
        <f>8447+1002</f>
        <v>9449</v>
      </c>
      <c r="H8" s="619">
        <v>9755</v>
      </c>
      <c r="I8" s="619">
        <f>9865+1142</f>
        <v>11007</v>
      </c>
      <c r="J8" s="619">
        <v>12979</v>
      </c>
      <c r="K8" s="619">
        <v>11192</v>
      </c>
      <c r="L8" s="619">
        <v>11972</v>
      </c>
      <c r="M8" s="619">
        <v>16888</v>
      </c>
      <c r="N8" s="619">
        <v>123367</v>
      </c>
      <c r="O8" s="622">
        <f t="shared" si="0"/>
        <v>245866</v>
      </c>
      <c r="P8" s="621">
        <v>245866</v>
      </c>
      <c r="Q8" s="628">
        <f t="shared" si="1"/>
        <v>0</v>
      </c>
    </row>
    <row r="9" spans="1:17" s="621" customFormat="1" ht="13.5" customHeight="1" thickBot="1">
      <c r="A9" s="637" t="s">
        <v>150</v>
      </c>
      <c r="B9" s="637" t="s">
        <v>1026</v>
      </c>
      <c r="C9" s="635"/>
      <c r="D9" s="619"/>
      <c r="E9" s="619"/>
      <c r="F9" s="619"/>
      <c r="G9" s="619"/>
      <c r="H9" s="619"/>
      <c r="I9" s="619"/>
      <c r="J9" s="619"/>
      <c r="K9" s="619"/>
      <c r="L9" s="619"/>
      <c r="M9" s="619"/>
      <c r="N9" s="619"/>
      <c r="O9" s="620">
        <f t="shared" si="0"/>
        <v>0</v>
      </c>
      <c r="Q9" s="628">
        <f t="shared" si="1"/>
        <v>0</v>
      </c>
    </row>
    <row r="10" spans="1:17" s="621" customFormat="1" ht="13.5" customHeight="1" thickBot="1">
      <c r="A10" s="637" t="s">
        <v>151</v>
      </c>
      <c r="B10" s="637" t="s">
        <v>1027</v>
      </c>
      <c r="C10" s="635"/>
      <c r="D10" s="619"/>
      <c r="E10" s="619">
        <v>1</v>
      </c>
      <c r="F10" s="619"/>
      <c r="G10" s="619"/>
      <c r="H10" s="619"/>
      <c r="I10" s="619">
        <v>1</v>
      </c>
      <c r="J10" s="619"/>
      <c r="K10" s="619"/>
      <c r="L10" s="619">
        <v>1</v>
      </c>
      <c r="M10" s="619"/>
      <c r="N10" s="619"/>
      <c r="O10" s="620">
        <f t="shared" si="0"/>
        <v>3</v>
      </c>
      <c r="P10" s="621">
        <v>3</v>
      </c>
      <c r="Q10" s="628">
        <f t="shared" si="1"/>
        <v>0</v>
      </c>
    </row>
    <row r="11" spans="1:17" s="621" customFormat="1" ht="23.25" thickBot="1">
      <c r="A11" s="637" t="s">
        <v>152</v>
      </c>
      <c r="B11" s="638" t="s">
        <v>418</v>
      </c>
      <c r="C11" s="635">
        <f>317</f>
        <v>317</v>
      </c>
      <c r="D11" s="619">
        <f>1172</f>
        <v>1172</v>
      </c>
      <c r="E11" s="619">
        <f>3578+350</f>
        <v>3928</v>
      </c>
      <c r="F11" s="619">
        <f>2357</f>
        <v>2357</v>
      </c>
      <c r="G11" s="619">
        <f>2944+1067</f>
        <v>4011</v>
      </c>
      <c r="H11" s="619">
        <f>5631+179</f>
        <v>5810</v>
      </c>
      <c r="I11" s="619">
        <f>3341</f>
        <v>3341</v>
      </c>
      <c r="J11" s="619">
        <f>2897</f>
        <v>2897</v>
      </c>
      <c r="K11" s="619">
        <f>2447</f>
        <v>2447</v>
      </c>
      <c r="L11" s="619">
        <f>1941</f>
        <v>1941</v>
      </c>
      <c r="M11" s="619">
        <f>6370</f>
        <v>6370</v>
      </c>
      <c r="N11" s="619">
        <f>3621+272+601</f>
        <v>4494</v>
      </c>
      <c r="O11" s="620">
        <f t="shared" si="0"/>
        <v>39085</v>
      </c>
      <c r="P11" s="621">
        <v>39085</v>
      </c>
      <c r="Q11" s="628">
        <f t="shared" si="1"/>
        <v>0</v>
      </c>
    </row>
    <row r="12" spans="1:17" s="621" customFormat="1" ht="23.25" thickBot="1">
      <c r="A12" s="637" t="s">
        <v>153</v>
      </c>
      <c r="B12" s="638" t="s">
        <v>760</v>
      </c>
      <c r="C12" s="635"/>
      <c r="D12" s="619"/>
      <c r="E12" s="619"/>
      <c r="F12" s="619"/>
      <c r="G12" s="619">
        <v>25</v>
      </c>
      <c r="H12" s="619"/>
      <c r="I12" s="619"/>
      <c r="J12" s="619"/>
      <c r="K12" s="619">
        <v>25</v>
      </c>
      <c r="L12" s="619"/>
      <c r="M12" s="619"/>
      <c r="N12" s="619"/>
      <c r="O12" s="620">
        <f t="shared" si="0"/>
        <v>50</v>
      </c>
      <c r="P12" s="621">
        <v>50</v>
      </c>
      <c r="Q12" s="628">
        <f t="shared" si="1"/>
        <v>0</v>
      </c>
    </row>
    <row r="13" spans="1:17" s="621" customFormat="1" ht="23.25" thickBot="1">
      <c r="A13" s="637" t="s">
        <v>154</v>
      </c>
      <c r="B13" s="638" t="s">
        <v>90</v>
      </c>
      <c r="C13" s="635"/>
      <c r="D13" s="619"/>
      <c r="E13" s="619"/>
      <c r="F13" s="619">
        <v>213</v>
      </c>
      <c r="G13" s="619">
        <f>2328+2798</f>
        <v>5126</v>
      </c>
      <c r="H13" s="619">
        <f>60887+300</f>
        <v>61187</v>
      </c>
      <c r="I13" s="619"/>
      <c r="J13" s="619"/>
      <c r="K13" s="619"/>
      <c r="L13" s="619"/>
      <c r="M13" s="619"/>
      <c r="N13" s="619">
        <v>4439</v>
      </c>
      <c r="O13" s="620">
        <f t="shared" si="0"/>
        <v>70965</v>
      </c>
      <c r="P13" s="621">
        <v>70965</v>
      </c>
      <c r="Q13" s="628">
        <f t="shared" si="1"/>
        <v>0</v>
      </c>
    </row>
    <row r="14" spans="1:17" s="621" customFormat="1" ht="13.5" customHeight="1" thickBot="1">
      <c r="A14" s="637" t="s">
        <v>155</v>
      </c>
      <c r="B14" s="637" t="s">
        <v>1028</v>
      </c>
      <c r="C14" s="635"/>
      <c r="D14" s="619">
        <v>1250</v>
      </c>
      <c r="E14" s="619"/>
      <c r="F14" s="619"/>
      <c r="G14" s="619">
        <v>4692</v>
      </c>
      <c r="H14" s="619"/>
      <c r="I14" s="619"/>
      <c r="J14" s="619"/>
      <c r="K14" s="619"/>
      <c r="L14" s="619"/>
      <c r="M14" s="619"/>
      <c r="N14" s="619"/>
      <c r="O14" s="620">
        <f t="shared" si="0"/>
        <v>5942</v>
      </c>
      <c r="P14" s="621">
        <v>5942</v>
      </c>
      <c r="Q14" s="628">
        <f t="shared" si="1"/>
        <v>0</v>
      </c>
    </row>
    <row r="15" spans="1:17" s="621" customFormat="1" ht="23.25" thickBot="1">
      <c r="A15" s="637" t="s">
        <v>156</v>
      </c>
      <c r="B15" s="638" t="s">
        <v>426</v>
      </c>
      <c r="C15" s="636">
        <f>-1330-553</f>
        <v>-1883</v>
      </c>
      <c r="D15" s="623">
        <f>1640-4228</f>
        <v>-2588</v>
      </c>
      <c r="E15" s="623">
        <f>-107+4782</f>
        <v>4675</v>
      </c>
      <c r="F15" s="623">
        <f>2026+259</f>
        <v>2285</v>
      </c>
      <c r="G15" s="623">
        <f>-902-259</f>
        <v>-1161</v>
      </c>
      <c r="H15" s="623">
        <f>1061</f>
        <v>1061</v>
      </c>
      <c r="I15" s="623">
        <f>-2691</f>
        <v>-2691</v>
      </c>
      <c r="J15" s="623">
        <f>-1345</f>
        <v>-1345</v>
      </c>
      <c r="K15" s="623">
        <f>5479</f>
        <v>5479</v>
      </c>
      <c r="L15" s="623">
        <f>-5696</f>
        <v>-5696</v>
      </c>
      <c r="M15" s="623">
        <f>-2652</f>
        <v>-2652</v>
      </c>
      <c r="N15" s="623">
        <v>5275</v>
      </c>
      <c r="O15" s="620">
        <f t="shared" si="0"/>
        <v>759</v>
      </c>
      <c r="P15" s="621">
        <v>759</v>
      </c>
      <c r="Q15" s="628">
        <f t="shared" si="1"/>
        <v>0</v>
      </c>
    </row>
    <row r="16" spans="1:18" s="616" customFormat="1" ht="15.75" customHeight="1" thickBot="1">
      <c r="A16" s="637" t="s">
        <v>157</v>
      </c>
      <c r="B16" s="642" t="s">
        <v>1029</v>
      </c>
      <c r="C16" s="640">
        <f aca="true" t="shared" si="2" ref="C16:N16">SUM(C5:C15)</f>
        <v>84618</v>
      </c>
      <c r="D16" s="624">
        <f t="shared" si="2"/>
        <v>12559</v>
      </c>
      <c r="E16" s="624">
        <f t="shared" si="2"/>
        <v>23485</v>
      </c>
      <c r="F16" s="624">
        <f t="shared" si="2"/>
        <v>17511</v>
      </c>
      <c r="G16" s="624">
        <f t="shared" si="2"/>
        <v>37556</v>
      </c>
      <c r="H16" s="624">
        <f t="shared" si="2"/>
        <v>93893</v>
      </c>
      <c r="I16" s="624">
        <f t="shared" si="2"/>
        <v>14550</v>
      </c>
      <c r="J16" s="624">
        <f t="shared" si="2"/>
        <v>20359</v>
      </c>
      <c r="K16" s="624">
        <f t="shared" si="2"/>
        <v>43066</v>
      </c>
      <c r="L16" s="624">
        <f t="shared" si="2"/>
        <v>14934</v>
      </c>
      <c r="M16" s="624">
        <f t="shared" si="2"/>
        <v>25726</v>
      </c>
      <c r="N16" s="624">
        <f t="shared" si="2"/>
        <v>155340</v>
      </c>
      <c r="O16" s="625">
        <f>SUM(C16:N16)</f>
        <v>543597</v>
      </c>
      <c r="P16" s="616">
        <f>SUM(P6:P15)</f>
        <v>471435</v>
      </c>
      <c r="Q16" s="628">
        <f t="shared" si="1"/>
        <v>72162</v>
      </c>
      <c r="R16" s="626"/>
    </row>
    <row r="17" spans="1:15" s="616" customFormat="1" ht="15" customHeight="1" thickBot="1">
      <c r="A17" s="637" t="s">
        <v>158</v>
      </c>
      <c r="B17" s="1303" t="s">
        <v>184</v>
      </c>
      <c r="C17" s="1303"/>
      <c r="D17" s="1303"/>
      <c r="E17" s="1303"/>
      <c r="F17" s="1303"/>
      <c r="G17" s="1303"/>
      <c r="H17" s="1303"/>
      <c r="I17" s="1303"/>
      <c r="J17" s="1303"/>
      <c r="K17" s="1303"/>
      <c r="L17" s="1303"/>
      <c r="M17" s="1303"/>
      <c r="N17" s="1303"/>
      <c r="O17" s="1303"/>
    </row>
    <row r="18" spans="1:18" s="621" customFormat="1" ht="13.5" customHeight="1" thickBot="1">
      <c r="A18" s="637" t="s">
        <v>159</v>
      </c>
      <c r="B18" s="637" t="s">
        <v>189</v>
      </c>
      <c r="C18" s="639">
        <f>3276+795+2079</f>
        <v>6150</v>
      </c>
      <c r="D18" s="627">
        <f>2698+737+1917</f>
        <v>5352</v>
      </c>
      <c r="E18" s="627">
        <f>3093+1552+2007</f>
        <v>6652</v>
      </c>
      <c r="F18" s="627">
        <f>9300+2324+842</f>
        <v>12466</v>
      </c>
      <c r="G18" s="627">
        <f>922+1703</f>
        <v>2625</v>
      </c>
      <c r="H18" s="627">
        <f>6957+628+964</f>
        <v>8549</v>
      </c>
      <c r="I18" s="627">
        <f>6011+850+1712</f>
        <v>8573</v>
      </c>
      <c r="J18" s="627">
        <f>4981+1929+934+2070</f>
        <v>9914</v>
      </c>
      <c r="K18" s="627">
        <f>4995+1457+931+3191</f>
        <v>10574</v>
      </c>
      <c r="L18" s="627">
        <f>4665+1412+928+2125</f>
        <v>9130</v>
      </c>
      <c r="M18" s="627">
        <f>5011+1596+2279+931</f>
        <v>9817</v>
      </c>
      <c r="N18" s="627">
        <f>7167+2291+1028+1500</f>
        <v>11986</v>
      </c>
      <c r="O18" s="622">
        <f aca="true" t="shared" si="3" ref="O18:O29">SUM(C18:N18)</f>
        <v>101788</v>
      </c>
      <c r="P18" s="621">
        <v>101788</v>
      </c>
      <c r="Q18" s="628">
        <f>O18-P18</f>
        <v>0</v>
      </c>
      <c r="R18" s="628"/>
    </row>
    <row r="19" spans="1:17" s="621" customFormat="1" ht="27" customHeight="1" thickBot="1">
      <c r="A19" s="637" t="s">
        <v>160</v>
      </c>
      <c r="B19" s="638" t="s">
        <v>315</v>
      </c>
      <c r="C19" s="639">
        <f>784+203+544</f>
        <v>1531</v>
      </c>
      <c r="D19" s="627">
        <f>745+186+507</f>
        <v>1438</v>
      </c>
      <c r="E19" s="627">
        <f>850+413+540</f>
        <v>1803</v>
      </c>
      <c r="F19" s="627">
        <f>2092+610+260</f>
        <v>2962</v>
      </c>
      <c r="G19" s="627">
        <f>233+420</f>
        <v>653</v>
      </c>
      <c r="H19" s="627">
        <f>1487+151+248</f>
        <v>1886</v>
      </c>
      <c r="I19" s="627">
        <f>1228+221+429</f>
        <v>1878</v>
      </c>
      <c r="J19" s="627">
        <f>1060+487+242+551</f>
        <v>2340</v>
      </c>
      <c r="K19" s="627">
        <f>1120+376+246+849</f>
        <v>2591</v>
      </c>
      <c r="L19" s="627">
        <f>1059+367+242+567</f>
        <v>2235</v>
      </c>
      <c r="M19" s="627">
        <f>1126+385+575+242</f>
        <v>2328</v>
      </c>
      <c r="N19" s="627">
        <f>1463+596+259+395</f>
        <v>2713</v>
      </c>
      <c r="O19" s="620">
        <f t="shared" si="3"/>
        <v>24358</v>
      </c>
      <c r="P19" s="621">
        <v>24358</v>
      </c>
      <c r="Q19" s="628">
        <f aca="true" t="shared" si="4" ref="Q19:Q30">O19-P19</f>
        <v>0</v>
      </c>
    </row>
    <row r="20" spans="1:17" s="621" customFormat="1" ht="13.5" customHeight="1" thickBot="1">
      <c r="A20" s="637" t="s">
        <v>161</v>
      </c>
      <c r="B20" s="637" t="s">
        <v>1030</v>
      </c>
      <c r="C20" s="639">
        <f>7845+410+7262</f>
        <v>15517</v>
      </c>
      <c r="D20" s="627">
        <f>6998+1753+848</f>
        <v>9599</v>
      </c>
      <c r="E20" s="627">
        <f>3381+482+827</f>
        <v>4690</v>
      </c>
      <c r="F20" s="627">
        <f>11049+308+1229</f>
        <v>12586</v>
      </c>
      <c r="G20" s="627">
        <f>7306+3209+3162</f>
        <v>13677</v>
      </c>
      <c r="H20" s="627">
        <f>11010+309+1027</f>
        <v>12346</v>
      </c>
      <c r="I20" s="627">
        <f>8370+42+988+804</f>
        <v>10204</v>
      </c>
      <c r="J20" s="627">
        <f>3362+197+1501+686</f>
        <v>5746</v>
      </c>
      <c r="K20" s="627">
        <f>2717+247+699+226</f>
        <v>3889</v>
      </c>
      <c r="L20" s="627">
        <f>8508+565+1021+1295</f>
        <v>11389</v>
      </c>
      <c r="M20" s="627">
        <f>-184+830+1033+1063</f>
        <v>2742</v>
      </c>
      <c r="N20" s="627">
        <f>20147+1330+1033+891</f>
        <v>23401</v>
      </c>
      <c r="O20" s="620">
        <f t="shared" si="3"/>
        <v>125786</v>
      </c>
      <c r="P20" s="621">
        <v>125786</v>
      </c>
      <c r="Q20" s="628">
        <f t="shared" si="4"/>
        <v>0</v>
      </c>
    </row>
    <row r="21" spans="1:17" s="621" customFormat="1" ht="13.5" customHeight="1" thickBot="1">
      <c r="A21" s="637" t="s">
        <v>162</v>
      </c>
      <c r="B21" s="637" t="s">
        <v>1031</v>
      </c>
      <c r="C21" s="639"/>
      <c r="D21" s="627"/>
      <c r="E21" s="627"/>
      <c r="F21" s="627"/>
      <c r="G21" s="627"/>
      <c r="H21" s="627"/>
      <c r="I21" s="627"/>
      <c r="J21" s="627"/>
      <c r="K21" s="627"/>
      <c r="L21" s="627"/>
      <c r="M21" s="627"/>
      <c r="N21" s="627"/>
      <c r="O21" s="620">
        <f t="shared" si="3"/>
        <v>0</v>
      </c>
      <c r="Q21" s="628">
        <f t="shared" si="4"/>
        <v>0</v>
      </c>
    </row>
    <row r="22" spans="1:17" s="621" customFormat="1" ht="13.5" customHeight="1" thickBot="1">
      <c r="A22" s="637" t="s">
        <v>163</v>
      </c>
      <c r="B22" s="637" t="s">
        <v>1032</v>
      </c>
      <c r="C22" s="639"/>
      <c r="D22" s="627"/>
      <c r="E22" s="627"/>
      <c r="F22" s="627"/>
      <c r="G22" s="627"/>
      <c r="H22" s="627"/>
      <c r="I22" s="627"/>
      <c r="J22" s="627"/>
      <c r="K22" s="627"/>
      <c r="L22" s="627"/>
      <c r="M22" s="627"/>
      <c r="N22" s="627"/>
      <c r="O22" s="620">
        <f t="shared" si="3"/>
        <v>0</v>
      </c>
      <c r="Q22" s="628">
        <f t="shared" si="4"/>
        <v>0</v>
      </c>
    </row>
    <row r="23" spans="1:17" s="621" customFormat="1" ht="13.5" customHeight="1" thickBot="1">
      <c r="A23" s="637" t="s">
        <v>164</v>
      </c>
      <c r="B23" s="637" t="s">
        <v>317</v>
      </c>
      <c r="C23" s="639">
        <f>50+4861</f>
        <v>4911</v>
      </c>
      <c r="D23" s="627">
        <f>62+3470</f>
        <v>3532</v>
      </c>
      <c r="E23" s="627">
        <f>807+30+3870</f>
        <v>4707</v>
      </c>
      <c r="F23" s="627">
        <f>113+62+3676</f>
        <v>3851</v>
      </c>
      <c r="G23" s="627">
        <f>304+25+3177</f>
        <v>3506</v>
      </c>
      <c r="H23" s="627">
        <f>3019+65+3005</f>
        <v>6089</v>
      </c>
      <c r="I23" s="627">
        <f>355+15+2716</f>
        <v>3086</v>
      </c>
      <c r="J23" s="627">
        <f>5+35+2851</f>
        <v>2891</v>
      </c>
      <c r="K23" s="627">
        <f>76+23+2694</f>
        <v>2793</v>
      </c>
      <c r="L23" s="627">
        <f>170+73+2797</f>
        <v>3040</v>
      </c>
      <c r="M23" s="627">
        <f>19+28+3160</f>
        <v>3207</v>
      </c>
      <c r="N23" s="627">
        <f>61+63+6058</f>
        <v>6182</v>
      </c>
      <c r="O23" s="620">
        <f t="shared" si="3"/>
        <v>47795</v>
      </c>
      <c r="P23" s="621">
        <v>47795</v>
      </c>
      <c r="Q23" s="628">
        <f t="shared" si="4"/>
        <v>0</v>
      </c>
    </row>
    <row r="24" spans="1:17" s="621" customFormat="1" ht="38.25" customHeight="1" thickBot="1">
      <c r="A24" s="637" t="s">
        <v>165</v>
      </c>
      <c r="B24" s="644" t="s">
        <v>762</v>
      </c>
      <c r="C24" s="639">
        <f>50+4861</f>
        <v>4911</v>
      </c>
      <c r="D24" s="627">
        <f>62+3470</f>
        <v>3532</v>
      </c>
      <c r="E24" s="627">
        <f>30+3870</f>
        <v>3900</v>
      </c>
      <c r="F24" s="627">
        <f>62+3676</f>
        <v>3738</v>
      </c>
      <c r="G24" s="627">
        <f>25+3177</f>
        <v>3202</v>
      </c>
      <c r="H24" s="627">
        <f>65+3005</f>
        <v>3070</v>
      </c>
      <c r="I24" s="627">
        <f>15+2716</f>
        <v>2731</v>
      </c>
      <c r="J24" s="627">
        <f>35+2851</f>
        <v>2886</v>
      </c>
      <c r="K24" s="627">
        <f>23+2694</f>
        <v>2717</v>
      </c>
      <c r="L24" s="627">
        <f>73+2797</f>
        <v>2870</v>
      </c>
      <c r="M24" s="627">
        <f>28+3160</f>
        <v>3188</v>
      </c>
      <c r="N24" s="627">
        <f>63+6058</f>
        <v>6121</v>
      </c>
      <c r="O24" s="620">
        <f t="shared" si="3"/>
        <v>42866</v>
      </c>
      <c r="P24" s="628">
        <v>42866</v>
      </c>
      <c r="Q24" s="628">
        <f t="shared" si="4"/>
        <v>0</v>
      </c>
    </row>
    <row r="25" spans="1:17" s="621" customFormat="1" ht="13.5" customHeight="1" thickBot="1">
      <c r="A25" s="637" t="s">
        <v>166</v>
      </c>
      <c r="B25" s="637" t="s">
        <v>176</v>
      </c>
      <c r="C25" s="639"/>
      <c r="D25" s="627"/>
      <c r="E25" s="627"/>
      <c r="F25" s="627"/>
      <c r="G25" s="627"/>
      <c r="H25" s="627"/>
      <c r="I25" s="627"/>
      <c r="J25" s="627"/>
      <c r="K25" s="627"/>
      <c r="L25" s="627"/>
      <c r="M25" s="627"/>
      <c r="N25" s="627"/>
      <c r="O25" s="620">
        <f t="shared" si="3"/>
        <v>0</v>
      </c>
      <c r="Q25" s="628">
        <f t="shared" si="4"/>
        <v>0</v>
      </c>
    </row>
    <row r="26" spans="1:17" s="621" customFormat="1" ht="13.5" customHeight="1" thickBot="1">
      <c r="A26" s="637" t="s">
        <v>167</v>
      </c>
      <c r="B26" s="637" t="s">
        <v>1033</v>
      </c>
      <c r="C26" s="639"/>
      <c r="D26" s="627"/>
      <c r="E26" s="627"/>
      <c r="F26" s="627"/>
      <c r="G26" s="627"/>
      <c r="H26" s="627"/>
      <c r="I26" s="627"/>
      <c r="J26" s="627"/>
      <c r="K26" s="627"/>
      <c r="L26" s="627"/>
      <c r="M26" s="627"/>
      <c r="N26" s="627"/>
      <c r="O26" s="620">
        <f t="shared" si="3"/>
        <v>0</v>
      </c>
      <c r="Q26" s="628">
        <f t="shared" si="4"/>
        <v>0</v>
      </c>
    </row>
    <row r="27" spans="1:17" s="621" customFormat="1" ht="13.5" customHeight="1" thickBot="1">
      <c r="A27" s="637" t="s">
        <v>168</v>
      </c>
      <c r="B27" s="637" t="s">
        <v>1034</v>
      </c>
      <c r="C27" s="639"/>
      <c r="D27" s="627"/>
      <c r="E27" s="627">
        <f>500+67</f>
        <v>567</v>
      </c>
      <c r="F27" s="627"/>
      <c r="G27" s="627"/>
      <c r="H27" s="627">
        <f>1520</f>
        <v>1520</v>
      </c>
      <c r="I27" s="627">
        <v>10</v>
      </c>
      <c r="J27" s="627"/>
      <c r="K27" s="627"/>
      <c r="L27" s="627">
        <f>191+160</f>
        <v>351</v>
      </c>
      <c r="M27" s="627">
        <f>5761</f>
        <v>5761</v>
      </c>
      <c r="N27" s="627">
        <v>10733</v>
      </c>
      <c r="O27" s="620">
        <f t="shared" si="3"/>
        <v>18942</v>
      </c>
      <c r="P27" s="621">
        <v>18942</v>
      </c>
      <c r="Q27" s="628">
        <f t="shared" si="4"/>
        <v>0</v>
      </c>
    </row>
    <row r="28" spans="1:17" s="621" customFormat="1" ht="13.5" customHeight="1" thickBot="1">
      <c r="A28" s="637" t="s">
        <v>169</v>
      </c>
      <c r="B28" s="637" t="s">
        <v>1035</v>
      </c>
      <c r="C28" s="639"/>
      <c r="D28" s="627"/>
      <c r="E28" s="627"/>
      <c r="F28" s="627"/>
      <c r="G28" s="627"/>
      <c r="H28" s="627"/>
      <c r="I28" s="627"/>
      <c r="J28" s="627"/>
      <c r="K28" s="627"/>
      <c r="L28" s="627"/>
      <c r="M28" s="627"/>
      <c r="N28" s="627"/>
      <c r="O28" s="620">
        <f t="shared" si="3"/>
        <v>0</v>
      </c>
      <c r="Q28" s="628">
        <f t="shared" si="4"/>
        <v>0</v>
      </c>
    </row>
    <row r="29" spans="1:17" s="621" customFormat="1" ht="13.5" customHeight="1" thickBot="1">
      <c r="A29" s="637" t="s">
        <v>170</v>
      </c>
      <c r="B29" s="637" t="s">
        <v>432</v>
      </c>
      <c r="C29" s="639">
        <f>149+197-25</f>
        <v>321</v>
      </c>
      <c r="D29" s="627">
        <f>3019-22-242</f>
        <v>2755</v>
      </c>
      <c r="E29" s="627">
        <f>2541+792+393</f>
        <v>3726</v>
      </c>
      <c r="F29" s="627">
        <f>-2796-573-210</f>
        <v>-3579</v>
      </c>
      <c r="G29" s="627">
        <f>663-1179-53</f>
        <v>-569</v>
      </c>
      <c r="H29" s="627">
        <f>-4606+144-85</f>
        <v>-4547</v>
      </c>
      <c r="I29" s="627">
        <f>-4618+424+190+120</f>
        <v>-3884</v>
      </c>
      <c r="J29" s="627">
        <f>7342-541-37+854</f>
        <v>7618</v>
      </c>
      <c r="K29" s="627">
        <f>1127+87+58-819</f>
        <v>453</v>
      </c>
      <c r="L29" s="627">
        <f>322-20-30+51</f>
        <v>323</v>
      </c>
      <c r="M29" s="627">
        <f>-2978-89-110-40</f>
        <v>-3217</v>
      </c>
      <c r="N29" s="627">
        <f>-1103-38-103-72</f>
        <v>-1316</v>
      </c>
      <c r="O29" s="620">
        <f t="shared" si="3"/>
        <v>-1916</v>
      </c>
      <c r="P29" s="621">
        <v>-1916</v>
      </c>
      <c r="Q29" s="628">
        <f t="shared" si="4"/>
        <v>0</v>
      </c>
    </row>
    <row r="30" spans="1:17" s="616" customFormat="1" ht="15.75" customHeight="1" thickBot="1">
      <c r="A30" s="637" t="s">
        <v>171</v>
      </c>
      <c r="B30" s="642" t="s">
        <v>230</v>
      </c>
      <c r="C30" s="640">
        <f>SUM(C18:C29)-C24</f>
        <v>28430</v>
      </c>
      <c r="D30" s="640">
        <f aca="true" t="shared" si="5" ref="D30:N30">SUM(D18:D29)-D24</f>
        <v>22676</v>
      </c>
      <c r="E30" s="640">
        <f t="shared" si="5"/>
        <v>22145</v>
      </c>
      <c r="F30" s="640">
        <f t="shared" si="5"/>
        <v>28286</v>
      </c>
      <c r="G30" s="640">
        <f t="shared" si="5"/>
        <v>19892</v>
      </c>
      <c r="H30" s="640">
        <f t="shared" si="5"/>
        <v>25843</v>
      </c>
      <c r="I30" s="640">
        <f t="shared" si="5"/>
        <v>19867</v>
      </c>
      <c r="J30" s="640">
        <f t="shared" si="5"/>
        <v>28509</v>
      </c>
      <c r="K30" s="640">
        <f t="shared" si="5"/>
        <v>20300</v>
      </c>
      <c r="L30" s="640">
        <f t="shared" si="5"/>
        <v>26468</v>
      </c>
      <c r="M30" s="640">
        <f t="shared" si="5"/>
        <v>20638</v>
      </c>
      <c r="N30" s="640">
        <f t="shared" si="5"/>
        <v>53699</v>
      </c>
      <c r="O30" s="625">
        <f>SUM(C30:N30)</f>
        <v>316753</v>
      </c>
      <c r="P30" s="626">
        <f>SUM(P18:P29)-P24</f>
        <v>316753</v>
      </c>
      <c r="Q30" s="628">
        <f t="shared" si="4"/>
        <v>0</v>
      </c>
    </row>
    <row r="31" spans="1:15" ht="16.5" thickBot="1">
      <c r="A31" s="637" t="s">
        <v>172</v>
      </c>
      <c r="B31" s="643" t="s">
        <v>1036</v>
      </c>
      <c r="C31" s="641">
        <f aca="true" t="shared" si="6" ref="C31:N31">C16-C30</f>
        <v>56188</v>
      </c>
      <c r="D31" s="629">
        <f t="shared" si="6"/>
        <v>-10117</v>
      </c>
      <c r="E31" s="629">
        <f t="shared" si="6"/>
        <v>1340</v>
      </c>
      <c r="F31" s="629">
        <f t="shared" si="6"/>
        <v>-10775</v>
      </c>
      <c r="G31" s="629">
        <f t="shared" si="6"/>
        <v>17664</v>
      </c>
      <c r="H31" s="629">
        <f t="shared" si="6"/>
        <v>68050</v>
      </c>
      <c r="I31" s="629">
        <f t="shared" si="6"/>
        <v>-5317</v>
      </c>
      <c r="J31" s="629">
        <f t="shared" si="6"/>
        <v>-8150</v>
      </c>
      <c r="K31" s="629">
        <f t="shared" si="6"/>
        <v>22766</v>
      </c>
      <c r="L31" s="629">
        <f t="shared" si="6"/>
        <v>-11534</v>
      </c>
      <c r="M31" s="629">
        <f t="shared" si="6"/>
        <v>5088</v>
      </c>
      <c r="N31" s="629">
        <f t="shared" si="6"/>
        <v>101641</v>
      </c>
      <c r="O31" s="630" t="s">
        <v>1024</v>
      </c>
    </row>
    <row r="32" ht="15.75">
      <c r="A32" s="631"/>
    </row>
    <row r="33" spans="2:14" ht="15.75">
      <c r="B33" s="632"/>
      <c r="C33" s="633"/>
      <c r="D33" s="633"/>
      <c r="E33" s="633"/>
      <c r="F33" s="633"/>
      <c r="G33" s="633"/>
      <c r="H33" s="633"/>
      <c r="I33" s="633"/>
      <c r="J33" s="633"/>
      <c r="K33" s="633"/>
      <c r="L33" s="633"/>
      <c r="M33" s="633"/>
      <c r="N33" s="633"/>
    </row>
    <row r="34" spans="3:14" ht="15.75"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</row>
  </sheetData>
  <sheetProtection/>
  <mergeCells count="3">
    <mergeCell ref="A1:O1"/>
    <mergeCell ref="B4:O4"/>
    <mergeCell ref="B17:O17"/>
  </mergeCells>
  <printOptions horizontalCentered="1"/>
  <pageMargins left="0.7874015748031497" right="0.7874015748031497" top="0.52" bottom="0.35" header="0.27" footer="0.22"/>
  <pageSetup firstPageNumber="50" useFirstPageNumber="1" horizontalDpi="600" verticalDpi="600" orientation="landscape" paperSize="9" scale="90" r:id="rId1"/>
  <headerFooter alignWithMargins="0">
    <oddHeader>&amp;R&amp;"Times New Roman CE,Félkövér dőlt"&amp;11 10. számú tájékoztató tábla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B61" sqref="B6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30"/>
  <sheetViews>
    <sheetView zoomScale="120" zoomScaleNormal="120" zoomScaleSheetLayoutView="100" workbookViewId="0" topLeftCell="A1">
      <selection activeCell="E131" sqref="E131"/>
    </sheetView>
  </sheetViews>
  <sheetFormatPr defaultColWidth="9.00390625" defaultRowHeight="12.75"/>
  <cols>
    <col min="1" max="1" width="9.50390625" style="205" customWidth="1"/>
    <col min="2" max="2" width="60.875" style="205" customWidth="1"/>
    <col min="3" max="5" width="15.875" style="206" customWidth="1"/>
    <col min="6" max="16384" width="9.375" style="29" customWidth="1"/>
  </cols>
  <sheetData>
    <row r="1" spans="1:5" ht="15.75" customHeight="1">
      <c r="A1" s="1156" t="s">
        <v>142</v>
      </c>
      <c r="B1" s="1156"/>
      <c r="C1" s="1156"/>
      <c r="D1" s="1156"/>
      <c r="E1" s="1156"/>
    </row>
    <row r="2" spans="1:5" ht="15.75" customHeight="1" thickBot="1">
      <c r="A2" s="207" t="s">
        <v>262</v>
      </c>
      <c r="B2" s="207"/>
      <c r="C2" s="136"/>
      <c r="D2" s="136"/>
      <c r="E2" s="136" t="s">
        <v>398</v>
      </c>
    </row>
    <row r="3" spans="1:5" ht="37.5" customHeight="1">
      <c r="A3" s="1157" t="s">
        <v>195</v>
      </c>
      <c r="B3" s="1159" t="s">
        <v>144</v>
      </c>
      <c r="C3" s="1161" t="s">
        <v>126</v>
      </c>
      <c r="D3" s="1161"/>
      <c r="E3" s="1162"/>
    </row>
    <row r="4" spans="1:5" s="30" customFormat="1" ht="12" customHeight="1" thickBot="1">
      <c r="A4" s="1158"/>
      <c r="B4" s="1160"/>
      <c r="C4" s="210" t="s">
        <v>482</v>
      </c>
      <c r="D4" s="210" t="s">
        <v>489</v>
      </c>
      <c r="E4" s="211" t="s">
        <v>490</v>
      </c>
    </row>
    <row r="5" spans="1:5" s="1" customFormat="1" ht="12" customHeight="1" thickBot="1">
      <c r="A5" s="26">
        <v>1</v>
      </c>
      <c r="B5" s="27">
        <v>2</v>
      </c>
      <c r="C5" s="27">
        <v>3</v>
      </c>
      <c r="D5" s="27">
        <v>4</v>
      </c>
      <c r="E5" s="28">
        <v>5</v>
      </c>
    </row>
    <row r="6" spans="1:5" s="1" customFormat="1" ht="12" customHeight="1" thickBot="1">
      <c r="A6" s="20" t="s">
        <v>145</v>
      </c>
      <c r="B6" s="19" t="s">
        <v>276</v>
      </c>
      <c r="C6" s="263">
        <f>+C7+C12+C23</f>
        <v>2889</v>
      </c>
      <c r="D6" s="263">
        <f>+D7+D12+D23</f>
        <v>733</v>
      </c>
      <c r="E6" s="119">
        <f>+E7+E12+E23</f>
        <v>733</v>
      </c>
    </row>
    <row r="7" spans="1:5" s="1" customFormat="1" ht="12" customHeight="1" thickBot="1">
      <c r="A7" s="18" t="s">
        <v>146</v>
      </c>
      <c r="B7" s="101" t="s">
        <v>470</v>
      </c>
      <c r="C7" s="264">
        <f>+C8+C9+C10+C11</f>
        <v>2889</v>
      </c>
      <c r="D7" s="264">
        <f>+D8+D9+D10+D11</f>
        <v>563</v>
      </c>
      <c r="E7" s="120">
        <f>+E8+E9+E10+E11</f>
        <v>563</v>
      </c>
    </row>
    <row r="8" spans="1:5" s="1" customFormat="1" ht="12" customHeight="1">
      <c r="A8" s="12" t="s">
        <v>225</v>
      </c>
      <c r="B8" s="193" t="s">
        <v>182</v>
      </c>
      <c r="C8" s="510">
        <v>2889</v>
      </c>
      <c r="D8" s="581">
        <v>451</v>
      </c>
      <c r="E8" s="582">
        <v>451</v>
      </c>
    </row>
    <row r="9" spans="1:5" s="1" customFormat="1" ht="12" customHeight="1">
      <c r="A9" s="12" t="s">
        <v>226</v>
      </c>
      <c r="B9" s="115" t="s">
        <v>196</v>
      </c>
      <c r="C9" s="510"/>
      <c r="D9" s="510"/>
      <c r="E9" s="583"/>
    </row>
    <row r="10" spans="1:5" s="1" customFormat="1" ht="12" customHeight="1">
      <c r="A10" s="12" t="s">
        <v>227</v>
      </c>
      <c r="B10" s="115" t="s">
        <v>277</v>
      </c>
      <c r="C10" s="510"/>
      <c r="D10" s="510"/>
      <c r="E10" s="583"/>
    </row>
    <row r="11" spans="1:5" s="1" customFormat="1" ht="12" customHeight="1" thickBot="1">
      <c r="A11" s="12" t="s">
        <v>228</v>
      </c>
      <c r="B11" s="194" t="s">
        <v>278</v>
      </c>
      <c r="C11" s="510"/>
      <c r="D11" s="562">
        <v>112</v>
      </c>
      <c r="E11" s="584">
        <v>112</v>
      </c>
    </row>
    <row r="12" spans="1:5" s="1" customFormat="1" ht="12" customHeight="1" thickBot="1">
      <c r="A12" s="18" t="s">
        <v>147</v>
      </c>
      <c r="B12" s="19" t="s">
        <v>279</v>
      </c>
      <c r="C12" s="264">
        <f>+C13+C14+C15+C16+C17+C18+C19+C20+C21+C22</f>
        <v>0</v>
      </c>
      <c r="D12" s="264">
        <f>+D13+D14+D15+D16+D17+D18+D19+D20+D21+D22</f>
        <v>170</v>
      </c>
      <c r="E12" s="264">
        <f>+E13+E14+E15+E16+E17+E18+E19+E20+E21+E22</f>
        <v>170</v>
      </c>
    </row>
    <row r="13" spans="1:5" s="1" customFormat="1" ht="12" customHeight="1">
      <c r="A13" s="15" t="s">
        <v>197</v>
      </c>
      <c r="B13" s="8" t="s">
        <v>284</v>
      </c>
      <c r="C13" s="516"/>
      <c r="D13" s="581"/>
      <c r="E13" s="582"/>
    </row>
    <row r="14" spans="1:5" s="1" customFormat="1" ht="12" customHeight="1">
      <c r="A14" s="12" t="s">
        <v>198</v>
      </c>
      <c r="B14" s="6" t="s">
        <v>285</v>
      </c>
      <c r="C14" s="510"/>
      <c r="D14" s="510">
        <v>139</v>
      </c>
      <c r="E14" s="583">
        <v>139</v>
      </c>
    </row>
    <row r="15" spans="1:5" s="1" customFormat="1" ht="12" customHeight="1">
      <c r="A15" s="12" t="s">
        <v>199</v>
      </c>
      <c r="B15" s="6" t="s">
        <v>838</v>
      </c>
      <c r="C15" s="510"/>
      <c r="D15" s="510"/>
      <c r="E15" s="583"/>
    </row>
    <row r="16" spans="1:5" s="1" customFormat="1" ht="12" customHeight="1">
      <c r="A16" s="12" t="s">
        <v>200</v>
      </c>
      <c r="B16" s="6" t="s">
        <v>286</v>
      </c>
      <c r="C16" s="510"/>
      <c r="D16" s="510"/>
      <c r="E16" s="583"/>
    </row>
    <row r="17" spans="1:5" s="1" customFormat="1" ht="12" customHeight="1">
      <c r="A17" s="11" t="s">
        <v>280</v>
      </c>
      <c r="B17" s="6" t="s">
        <v>287</v>
      </c>
      <c r="C17" s="519"/>
      <c r="D17" s="519"/>
      <c r="E17" s="585"/>
    </row>
    <row r="18" spans="1:5" s="1" customFormat="1" ht="12" customHeight="1">
      <c r="A18" s="12" t="s">
        <v>281</v>
      </c>
      <c r="B18" s="873" t="s">
        <v>288</v>
      </c>
      <c r="C18" s="510"/>
      <c r="D18" s="510"/>
      <c r="E18" s="583"/>
    </row>
    <row r="19" spans="1:5" s="1" customFormat="1" ht="12" customHeight="1">
      <c r="A19" s="12" t="s">
        <v>282</v>
      </c>
      <c r="B19" s="873" t="s">
        <v>839</v>
      </c>
      <c r="C19" s="510"/>
      <c r="D19" s="510"/>
      <c r="E19" s="583"/>
    </row>
    <row r="20" spans="1:5" s="1" customFormat="1" ht="12" customHeight="1">
      <c r="A20" s="11" t="s">
        <v>283</v>
      </c>
      <c r="B20" s="6" t="s">
        <v>345</v>
      </c>
      <c r="C20" s="510"/>
      <c r="D20" s="510"/>
      <c r="E20" s="585"/>
    </row>
    <row r="21" spans="1:5" s="1" customFormat="1" ht="12" customHeight="1">
      <c r="A21" s="12" t="s">
        <v>87</v>
      </c>
      <c r="B21" s="6" t="s">
        <v>289</v>
      </c>
      <c r="C21" s="510"/>
      <c r="D21" s="510"/>
      <c r="E21" s="583"/>
    </row>
    <row r="22" spans="1:5" s="1" customFormat="1" ht="12" customHeight="1" thickBot="1">
      <c r="A22" s="16" t="s">
        <v>88</v>
      </c>
      <c r="B22" s="5" t="s">
        <v>290</v>
      </c>
      <c r="C22" s="514"/>
      <c r="D22" s="591">
        <v>31</v>
      </c>
      <c r="E22" s="584">
        <v>31</v>
      </c>
    </row>
    <row r="23" spans="1:5" s="1" customFormat="1" ht="12" customHeight="1" thickBot="1">
      <c r="A23" s="18" t="s">
        <v>291</v>
      </c>
      <c r="B23" s="19" t="s">
        <v>346</v>
      </c>
      <c r="C23" s="267"/>
      <c r="D23" s="267"/>
      <c r="E23" s="123"/>
    </row>
    <row r="24" spans="1:5" s="1" customFormat="1" ht="12" customHeight="1" thickBot="1">
      <c r="A24" s="18" t="s">
        <v>149</v>
      </c>
      <c r="B24" s="19" t="s">
        <v>293</v>
      </c>
      <c r="C24" s="264">
        <f>+C25+C26+C27+C28+C29+C30+C31+C32</f>
        <v>25923</v>
      </c>
      <c r="D24" s="264">
        <f>+D25+D26+D27+D28+D29+D30+D31+D32</f>
        <v>0</v>
      </c>
      <c r="E24" s="120">
        <f>+E25+E26+E27+E28+E29+E30+E31+E32</f>
        <v>0</v>
      </c>
    </row>
    <row r="25" spans="1:5" s="1" customFormat="1" ht="12" customHeight="1">
      <c r="A25" s="13" t="s">
        <v>201</v>
      </c>
      <c r="B25" s="7" t="s">
        <v>299</v>
      </c>
      <c r="C25" s="517">
        <v>25923</v>
      </c>
      <c r="D25" s="581"/>
      <c r="E25" s="582"/>
    </row>
    <row r="26" spans="1:5" s="1" customFormat="1" ht="12" customHeight="1">
      <c r="A26" s="12" t="s">
        <v>202</v>
      </c>
      <c r="B26" s="6" t="s">
        <v>300</v>
      </c>
      <c r="C26" s="510"/>
      <c r="D26" s="510"/>
      <c r="E26" s="583"/>
    </row>
    <row r="27" spans="1:5" s="1" customFormat="1" ht="12" customHeight="1">
      <c r="A27" s="12" t="s">
        <v>203</v>
      </c>
      <c r="B27" s="6" t="s">
        <v>301</v>
      </c>
      <c r="C27" s="510"/>
      <c r="D27" s="510"/>
      <c r="E27" s="583"/>
    </row>
    <row r="28" spans="1:5" s="1" customFormat="1" ht="12" customHeight="1">
      <c r="A28" s="14" t="s">
        <v>294</v>
      </c>
      <c r="B28" s="6" t="s">
        <v>206</v>
      </c>
      <c r="C28" s="518"/>
      <c r="D28" s="518"/>
      <c r="E28" s="588"/>
    </row>
    <row r="29" spans="1:5" s="1" customFormat="1" ht="12" customHeight="1">
      <c r="A29" s="14" t="s">
        <v>295</v>
      </c>
      <c r="B29" s="6" t="s">
        <v>302</v>
      </c>
      <c r="C29" s="518"/>
      <c r="D29" s="518"/>
      <c r="E29" s="588"/>
    </row>
    <row r="30" spans="1:5" s="1" customFormat="1" ht="12" customHeight="1">
      <c r="A30" s="12" t="s">
        <v>296</v>
      </c>
      <c r="B30" s="6" t="s">
        <v>303</v>
      </c>
      <c r="C30" s="510"/>
      <c r="D30" s="510"/>
      <c r="E30" s="583"/>
    </row>
    <row r="31" spans="1:5" s="1" customFormat="1" ht="12" customHeight="1">
      <c r="A31" s="12" t="s">
        <v>297</v>
      </c>
      <c r="B31" s="6" t="s">
        <v>347</v>
      </c>
      <c r="C31" s="510"/>
      <c r="D31" s="510"/>
      <c r="E31" s="523"/>
    </row>
    <row r="32" spans="1:5" s="1" customFormat="1" ht="12" customHeight="1" thickBot="1">
      <c r="A32" s="12" t="s">
        <v>298</v>
      </c>
      <c r="B32" s="10" t="s">
        <v>304</v>
      </c>
      <c r="C32" s="510"/>
      <c r="D32" s="562"/>
      <c r="E32" s="589"/>
    </row>
    <row r="33" spans="1:5" s="1" customFormat="1" ht="12" customHeight="1" thickBot="1">
      <c r="A33" s="94" t="s">
        <v>150</v>
      </c>
      <c r="B33" s="19" t="s">
        <v>471</v>
      </c>
      <c r="C33" s="264">
        <f>+C34+C40</f>
        <v>0</v>
      </c>
      <c r="D33" s="264">
        <f>+D34+D40</f>
        <v>0</v>
      </c>
      <c r="E33" s="120">
        <f>+E34+E40</f>
        <v>0</v>
      </c>
    </row>
    <row r="34" spans="1:5" s="1" customFormat="1" ht="12" customHeight="1">
      <c r="A34" s="95" t="s">
        <v>204</v>
      </c>
      <c r="B34" s="195" t="s">
        <v>472</v>
      </c>
      <c r="C34" s="271">
        <f>+C35+C36+C37+C38+C39</f>
        <v>0</v>
      </c>
      <c r="D34" s="271">
        <f>+D35+D36+D37+D38+D39</f>
        <v>0</v>
      </c>
      <c r="E34" s="130">
        <f>+E35+E36+E37+E38+E39</f>
        <v>0</v>
      </c>
    </row>
    <row r="35" spans="1:5" s="1" customFormat="1" ht="12" customHeight="1">
      <c r="A35" s="96" t="s">
        <v>207</v>
      </c>
      <c r="B35" s="102" t="s">
        <v>348</v>
      </c>
      <c r="C35" s="270"/>
      <c r="D35" s="270"/>
      <c r="E35" s="126"/>
    </row>
    <row r="36" spans="1:5" s="1" customFormat="1" ht="12" customHeight="1">
      <c r="A36" s="96" t="s">
        <v>208</v>
      </c>
      <c r="B36" s="102" t="s">
        <v>349</v>
      </c>
      <c r="C36" s="270"/>
      <c r="D36" s="270"/>
      <c r="E36" s="126"/>
    </row>
    <row r="37" spans="1:5" s="1" customFormat="1" ht="12" customHeight="1">
      <c r="A37" s="96" t="s">
        <v>209</v>
      </c>
      <c r="B37" s="102" t="s">
        <v>350</v>
      </c>
      <c r="C37" s="270"/>
      <c r="D37" s="270"/>
      <c r="E37" s="126"/>
    </row>
    <row r="38" spans="1:5" s="1" customFormat="1" ht="12" customHeight="1">
      <c r="A38" s="96" t="s">
        <v>210</v>
      </c>
      <c r="B38" s="102" t="s">
        <v>351</v>
      </c>
      <c r="C38" s="270"/>
      <c r="D38" s="270"/>
      <c r="E38" s="126"/>
    </row>
    <row r="39" spans="1:5" s="1" customFormat="1" ht="12" customHeight="1">
      <c r="A39" s="96" t="s">
        <v>305</v>
      </c>
      <c r="B39" s="102" t="s">
        <v>473</v>
      </c>
      <c r="C39" s="270"/>
      <c r="D39" s="270"/>
      <c r="E39" s="126"/>
    </row>
    <row r="40" spans="1:5" s="1" customFormat="1" ht="12" customHeight="1">
      <c r="A40" s="96" t="s">
        <v>205</v>
      </c>
      <c r="B40" s="103" t="s">
        <v>474</v>
      </c>
      <c r="C40" s="272">
        <f>+C41+C42+C43+C44+C45</f>
        <v>0</v>
      </c>
      <c r="D40" s="272">
        <f>+D41+D42+D43+D44+D45</f>
        <v>0</v>
      </c>
      <c r="E40" s="131">
        <f>+E41+E42+E43+E44+E45</f>
        <v>0</v>
      </c>
    </row>
    <row r="41" spans="1:5" s="1" customFormat="1" ht="12" customHeight="1">
      <c r="A41" s="96" t="s">
        <v>213</v>
      </c>
      <c r="B41" s="102" t="s">
        <v>348</v>
      </c>
      <c r="C41" s="270"/>
      <c r="D41" s="270"/>
      <c r="E41" s="126"/>
    </row>
    <row r="42" spans="1:5" s="1" customFormat="1" ht="12" customHeight="1">
      <c r="A42" s="96" t="s">
        <v>214</v>
      </c>
      <c r="B42" s="102" t="s">
        <v>349</v>
      </c>
      <c r="C42" s="270"/>
      <c r="D42" s="270"/>
      <c r="E42" s="126"/>
    </row>
    <row r="43" spans="1:5" s="1" customFormat="1" ht="12" customHeight="1">
      <c r="A43" s="96" t="s">
        <v>215</v>
      </c>
      <c r="B43" s="102" t="s">
        <v>350</v>
      </c>
      <c r="C43" s="270"/>
      <c r="D43" s="270"/>
      <c r="E43" s="126"/>
    </row>
    <row r="44" spans="1:5" s="1" customFormat="1" ht="12" customHeight="1">
      <c r="A44" s="96" t="s">
        <v>216</v>
      </c>
      <c r="B44" s="104" t="s">
        <v>351</v>
      </c>
      <c r="C44" s="270"/>
      <c r="D44" s="270"/>
      <c r="E44" s="126"/>
    </row>
    <row r="45" spans="1:5" s="1" customFormat="1" ht="12" customHeight="1" thickBot="1">
      <c r="A45" s="97" t="s">
        <v>306</v>
      </c>
      <c r="B45" s="105" t="s">
        <v>475</v>
      </c>
      <c r="C45" s="273"/>
      <c r="D45" s="273"/>
      <c r="E45" s="274"/>
    </row>
    <row r="46" spans="1:5" s="1" customFormat="1" ht="12" customHeight="1" thickBot="1">
      <c r="A46" s="18" t="s">
        <v>307</v>
      </c>
      <c r="B46" s="196" t="s">
        <v>352</v>
      </c>
      <c r="C46" s="264">
        <f>+C47+C48</f>
        <v>0</v>
      </c>
      <c r="D46" s="264">
        <f>+D47+D48</f>
        <v>0</v>
      </c>
      <c r="E46" s="120">
        <f>+E47+E48</f>
        <v>0</v>
      </c>
    </row>
    <row r="47" spans="1:5" s="1" customFormat="1" ht="12" customHeight="1">
      <c r="A47" s="13" t="s">
        <v>211</v>
      </c>
      <c r="B47" s="115" t="s">
        <v>353</v>
      </c>
      <c r="C47" s="268"/>
      <c r="D47" s="268"/>
      <c r="E47" s="124"/>
    </row>
    <row r="48" spans="1:5" s="1" customFormat="1" ht="12" customHeight="1" thickBot="1">
      <c r="A48" s="11" t="s">
        <v>212</v>
      </c>
      <c r="B48" s="110" t="s">
        <v>357</v>
      </c>
      <c r="C48" s="266"/>
      <c r="D48" s="266"/>
      <c r="E48" s="122"/>
    </row>
    <row r="49" spans="1:5" s="1" customFormat="1" ht="12" customHeight="1" thickBot="1">
      <c r="A49" s="18" t="s">
        <v>152</v>
      </c>
      <c r="B49" s="196" t="s">
        <v>356</v>
      </c>
      <c r="C49" s="264">
        <f>+C50+C51+C52</f>
        <v>0</v>
      </c>
      <c r="D49" s="264">
        <f>+D50+D51+D52</f>
        <v>0</v>
      </c>
      <c r="E49" s="120">
        <f>+E50+E51+E52</f>
        <v>0</v>
      </c>
    </row>
    <row r="50" spans="1:5" s="1" customFormat="1" ht="12" customHeight="1">
      <c r="A50" s="13" t="s">
        <v>310</v>
      </c>
      <c r="B50" s="115" t="s">
        <v>308</v>
      </c>
      <c r="C50" s="275"/>
      <c r="D50" s="275"/>
      <c r="E50" s="276"/>
    </row>
    <row r="51" spans="1:5" s="1" customFormat="1" ht="12" customHeight="1">
      <c r="A51" s="12" t="s">
        <v>311</v>
      </c>
      <c r="B51" s="102" t="s">
        <v>309</v>
      </c>
      <c r="C51" s="270"/>
      <c r="D51" s="270"/>
      <c r="E51" s="126"/>
    </row>
    <row r="52" spans="1:5" s="1" customFormat="1" ht="17.25" customHeight="1" thickBot="1">
      <c r="A52" s="11" t="s">
        <v>399</v>
      </c>
      <c r="B52" s="110" t="s">
        <v>354</v>
      </c>
      <c r="C52" s="277"/>
      <c r="D52" s="277"/>
      <c r="E52" s="278"/>
    </row>
    <row r="53" spans="1:5" s="1" customFormat="1" ht="12" customHeight="1" thickBot="1">
      <c r="A53" s="526" t="s">
        <v>312</v>
      </c>
      <c r="B53" s="527" t="s">
        <v>89</v>
      </c>
      <c r="C53" s="279"/>
      <c r="D53" s="279"/>
      <c r="E53" s="127"/>
    </row>
    <row r="54" spans="1:5" s="1" customFormat="1" ht="12" customHeight="1" thickBot="1">
      <c r="A54" s="18" t="s">
        <v>154</v>
      </c>
      <c r="B54" s="21" t="s">
        <v>313</v>
      </c>
      <c r="C54" s="280">
        <f>+C7+C12+C23+C24+C33+C46+C49+C53</f>
        <v>28812</v>
      </c>
      <c r="D54" s="280">
        <f>+D7+D12+D23+D24+D33+D46+D49+D53</f>
        <v>733</v>
      </c>
      <c r="E54" s="128">
        <f>+E7+E12+E23+E24+E33+E46+E49+E53</f>
        <v>733</v>
      </c>
    </row>
    <row r="55" spans="1:5" s="1" customFormat="1" ht="12" customHeight="1" thickBot="1">
      <c r="A55" s="106" t="s">
        <v>155</v>
      </c>
      <c r="B55" s="101" t="s">
        <v>358</v>
      </c>
      <c r="C55" s="281">
        <f>+C56+C62</f>
        <v>5725</v>
      </c>
      <c r="D55" s="281">
        <f>+D56+D62</f>
        <v>40348</v>
      </c>
      <c r="E55" s="129">
        <f>+E56+E62</f>
        <v>40348</v>
      </c>
    </row>
    <row r="56" spans="1:5" s="1" customFormat="1" ht="12" customHeight="1">
      <c r="A56" s="197" t="s">
        <v>255</v>
      </c>
      <c r="B56" s="195" t="s">
        <v>439</v>
      </c>
      <c r="C56" s="529">
        <f>+C57+C58+C59+C60+C61</f>
        <v>5725</v>
      </c>
      <c r="D56" s="603">
        <f>+D57+D58+D59+D60+D61</f>
        <v>40348</v>
      </c>
      <c r="E56" s="582">
        <f>+E57+E58+E59+E60+E61</f>
        <v>40348</v>
      </c>
    </row>
    <row r="57" spans="1:5" s="1" customFormat="1" ht="12" customHeight="1">
      <c r="A57" s="107" t="s">
        <v>370</v>
      </c>
      <c r="B57" s="102" t="s">
        <v>359</v>
      </c>
      <c r="C57" s="510">
        <v>5725</v>
      </c>
      <c r="D57" s="510">
        <v>40348</v>
      </c>
      <c r="E57" s="583">
        <v>40348</v>
      </c>
    </row>
    <row r="58" spans="1:5" s="1" customFormat="1" ht="12" customHeight="1">
      <c r="A58" s="107" t="s">
        <v>371</v>
      </c>
      <c r="B58" s="102" t="s">
        <v>360</v>
      </c>
      <c r="C58" s="510"/>
      <c r="D58" s="510"/>
      <c r="E58" s="583"/>
    </row>
    <row r="59" spans="1:5" s="1" customFormat="1" ht="12" customHeight="1">
      <c r="A59" s="107" t="s">
        <v>372</v>
      </c>
      <c r="B59" s="102" t="s">
        <v>361</v>
      </c>
      <c r="C59" s="510"/>
      <c r="D59" s="510"/>
      <c r="E59" s="583"/>
    </row>
    <row r="60" spans="1:5" s="1" customFormat="1" ht="12" customHeight="1">
      <c r="A60" s="107" t="s">
        <v>373</v>
      </c>
      <c r="B60" s="102" t="s">
        <v>362</v>
      </c>
      <c r="C60" s="510"/>
      <c r="D60" s="510"/>
      <c r="E60" s="583"/>
    </row>
    <row r="61" spans="1:5" s="1" customFormat="1" ht="12" customHeight="1">
      <c r="A61" s="107" t="s">
        <v>374</v>
      </c>
      <c r="B61" s="102" t="s">
        <v>363</v>
      </c>
      <c r="C61" s="510"/>
      <c r="D61" s="510"/>
      <c r="E61" s="583"/>
    </row>
    <row r="62" spans="1:5" s="1" customFormat="1" ht="12" customHeight="1">
      <c r="A62" s="108" t="s">
        <v>256</v>
      </c>
      <c r="B62" s="103" t="s">
        <v>438</v>
      </c>
      <c r="C62" s="520">
        <f>+C63+C64+C65+C66+C67</f>
        <v>0</v>
      </c>
      <c r="D62" s="520"/>
      <c r="E62" s="583">
        <f>+E63+E64+E65+E66+E67</f>
        <v>0</v>
      </c>
    </row>
    <row r="63" spans="1:5" s="1" customFormat="1" ht="12" customHeight="1">
      <c r="A63" s="107" t="s">
        <v>375</v>
      </c>
      <c r="B63" s="102" t="s">
        <v>364</v>
      </c>
      <c r="C63" s="510"/>
      <c r="D63" s="510"/>
      <c r="E63" s="583"/>
    </row>
    <row r="64" spans="1:5" s="1" customFormat="1" ht="12" customHeight="1">
      <c r="A64" s="107" t="s">
        <v>376</v>
      </c>
      <c r="B64" s="102" t="s">
        <v>365</v>
      </c>
      <c r="C64" s="510"/>
      <c r="D64" s="510"/>
      <c r="E64" s="583"/>
    </row>
    <row r="65" spans="1:5" s="1" customFormat="1" ht="12" customHeight="1">
      <c r="A65" s="107" t="s">
        <v>377</v>
      </c>
      <c r="B65" s="102" t="s">
        <v>366</v>
      </c>
      <c r="C65" s="510"/>
      <c r="D65" s="510"/>
      <c r="E65" s="583"/>
    </row>
    <row r="66" spans="1:5" s="1" customFormat="1" ht="12" customHeight="1">
      <c r="A66" s="107" t="s">
        <v>378</v>
      </c>
      <c r="B66" s="102" t="s">
        <v>367</v>
      </c>
      <c r="C66" s="510"/>
      <c r="D66" s="510"/>
      <c r="E66" s="583"/>
    </row>
    <row r="67" spans="1:5" s="1" customFormat="1" ht="12" customHeight="1" thickBot="1">
      <c r="A67" s="109" t="s">
        <v>379</v>
      </c>
      <c r="B67" s="110" t="s">
        <v>368</v>
      </c>
      <c r="C67" s="521"/>
      <c r="D67" s="562"/>
      <c r="E67" s="584"/>
    </row>
    <row r="68" spans="1:5" s="1" customFormat="1" ht="22.5" customHeight="1" thickBot="1">
      <c r="A68" s="111" t="s">
        <v>156</v>
      </c>
      <c r="B68" s="198" t="s">
        <v>436</v>
      </c>
      <c r="C68" s="281">
        <f>+C54+C55</f>
        <v>34537</v>
      </c>
      <c r="D68" s="281">
        <f>+D54+D55</f>
        <v>41081</v>
      </c>
      <c r="E68" s="129">
        <f>+E54+E55</f>
        <v>41081</v>
      </c>
    </row>
    <row r="69" spans="1:5" s="1" customFormat="1" ht="12" customHeight="1" thickBot="1">
      <c r="A69" s="112" t="s">
        <v>157</v>
      </c>
      <c r="B69" s="199" t="s">
        <v>369</v>
      </c>
      <c r="C69" s="282"/>
      <c r="D69" s="282"/>
      <c r="E69" s="137"/>
    </row>
    <row r="70" spans="1:5" s="1" customFormat="1" ht="12.75" customHeight="1" thickBot="1">
      <c r="A70" s="111" t="s">
        <v>158</v>
      </c>
      <c r="B70" s="198" t="s">
        <v>437</v>
      </c>
      <c r="C70" s="283">
        <f>+C68+C69</f>
        <v>34537</v>
      </c>
      <c r="D70" s="283">
        <f>+D68+D69</f>
        <v>41081</v>
      </c>
      <c r="E70" s="138">
        <f>+E68+E69</f>
        <v>41081</v>
      </c>
    </row>
    <row r="71" spans="1:5" ht="16.5" customHeight="1">
      <c r="A71" s="3"/>
      <c r="B71" s="4"/>
      <c r="C71" s="132"/>
      <c r="D71" s="132"/>
      <c r="E71" s="132"/>
    </row>
    <row r="72" spans="1:5" s="139" customFormat="1" ht="16.5" customHeight="1">
      <c r="A72" s="1156" t="s">
        <v>174</v>
      </c>
      <c r="B72" s="1156"/>
      <c r="C72" s="1156"/>
      <c r="D72" s="1156"/>
      <c r="E72" s="1156"/>
    </row>
    <row r="73" spans="1:5" ht="37.5" customHeight="1" thickBot="1">
      <c r="A73" s="208" t="s">
        <v>263</v>
      </c>
      <c r="B73" s="208"/>
      <c r="C73" s="67"/>
      <c r="D73" s="67"/>
      <c r="E73" s="67" t="s">
        <v>398</v>
      </c>
    </row>
    <row r="74" spans="1:5" s="30" customFormat="1" ht="12" customHeight="1">
      <c r="A74" s="1157" t="s">
        <v>195</v>
      </c>
      <c r="B74" s="1159" t="s">
        <v>481</v>
      </c>
      <c r="C74" s="1161" t="s">
        <v>126</v>
      </c>
      <c r="D74" s="1161"/>
      <c r="E74" s="1162"/>
    </row>
    <row r="75" spans="1:5" ht="12" customHeight="1" thickBot="1">
      <c r="A75" s="1158"/>
      <c r="B75" s="1160"/>
      <c r="C75" s="210" t="s">
        <v>482</v>
      </c>
      <c r="D75" s="210" t="s">
        <v>489</v>
      </c>
      <c r="E75" s="211" t="s">
        <v>490</v>
      </c>
    </row>
    <row r="76" spans="1:5" ht="12" customHeight="1" thickBot="1">
      <c r="A76" s="26">
        <v>1</v>
      </c>
      <c r="B76" s="27">
        <v>2</v>
      </c>
      <c r="C76" s="27">
        <v>3</v>
      </c>
      <c r="D76" s="27">
        <v>4</v>
      </c>
      <c r="E76" s="28">
        <v>5</v>
      </c>
    </row>
    <row r="77" spans="1:5" ht="12" customHeight="1" thickBot="1">
      <c r="A77" s="20" t="s">
        <v>145</v>
      </c>
      <c r="B77" s="25" t="s">
        <v>314</v>
      </c>
      <c r="C77" s="263">
        <f>+C78+C79+C80+C81+C82</f>
        <v>34537</v>
      </c>
      <c r="D77" s="263">
        <f>+D78+D79+D80+D81+D82</f>
        <v>40844</v>
      </c>
      <c r="E77" s="119">
        <f>+E78+E79+E80+E81+E82</f>
        <v>40797</v>
      </c>
    </row>
    <row r="78" spans="1:5" ht="12" customHeight="1">
      <c r="A78" s="15" t="s">
        <v>217</v>
      </c>
      <c r="B78" s="8" t="s">
        <v>175</v>
      </c>
      <c r="C78" s="516">
        <v>17999</v>
      </c>
      <c r="D78" s="516">
        <v>19809</v>
      </c>
      <c r="E78" s="582">
        <v>19808</v>
      </c>
    </row>
    <row r="79" spans="1:5" ht="12" customHeight="1">
      <c r="A79" s="12" t="s">
        <v>218</v>
      </c>
      <c r="B79" s="6" t="s">
        <v>315</v>
      </c>
      <c r="C79" s="510">
        <v>4611</v>
      </c>
      <c r="D79" s="510">
        <v>5085</v>
      </c>
      <c r="E79" s="583">
        <v>5085</v>
      </c>
    </row>
    <row r="80" spans="1:5" ht="12" customHeight="1">
      <c r="A80" s="12" t="s">
        <v>219</v>
      </c>
      <c r="B80" s="6" t="s">
        <v>248</v>
      </c>
      <c r="C80" s="518">
        <v>11927</v>
      </c>
      <c r="D80" s="518">
        <v>15950</v>
      </c>
      <c r="E80" s="588">
        <v>15904</v>
      </c>
    </row>
    <row r="81" spans="1:5" ht="12" customHeight="1">
      <c r="A81" s="12" t="s">
        <v>220</v>
      </c>
      <c r="B81" s="9" t="s">
        <v>316</v>
      </c>
      <c r="C81" s="518"/>
      <c r="D81" s="518"/>
      <c r="E81" s="588"/>
    </row>
    <row r="82" spans="1:5" ht="12" customHeight="1">
      <c r="A82" s="12" t="s">
        <v>231</v>
      </c>
      <c r="B82" s="17" t="s">
        <v>317</v>
      </c>
      <c r="C82" s="518">
        <f>SUM(C83:C89)</f>
        <v>0</v>
      </c>
      <c r="D82" s="518"/>
      <c r="E82" s="588"/>
    </row>
    <row r="83" spans="1:5" ht="12" customHeight="1">
      <c r="A83" s="12" t="s">
        <v>221</v>
      </c>
      <c r="B83" s="6" t="s">
        <v>334</v>
      </c>
      <c r="C83" s="518"/>
      <c r="D83" s="518"/>
      <c r="E83" s="588"/>
    </row>
    <row r="84" spans="1:5" ht="12" customHeight="1">
      <c r="A84" s="12" t="s">
        <v>222</v>
      </c>
      <c r="B84" s="68" t="s">
        <v>335</v>
      </c>
      <c r="C84" s="518"/>
      <c r="D84" s="518"/>
      <c r="E84" s="588"/>
    </row>
    <row r="85" spans="1:5" ht="12" customHeight="1">
      <c r="A85" s="12" t="s">
        <v>232</v>
      </c>
      <c r="B85" s="68" t="s">
        <v>380</v>
      </c>
      <c r="C85" s="518"/>
      <c r="D85" s="518"/>
      <c r="E85" s="588"/>
    </row>
    <row r="86" spans="1:5" ht="12" customHeight="1">
      <c r="A86" s="12" t="s">
        <v>233</v>
      </c>
      <c r="B86" s="69" t="s">
        <v>336</v>
      </c>
      <c r="C86" s="518"/>
      <c r="D86" s="518"/>
      <c r="E86" s="588"/>
    </row>
    <row r="87" spans="1:5" ht="12" customHeight="1">
      <c r="A87" s="11" t="s">
        <v>234</v>
      </c>
      <c r="B87" s="70" t="s">
        <v>337</v>
      </c>
      <c r="C87" s="518"/>
      <c r="D87" s="518"/>
      <c r="E87" s="588"/>
    </row>
    <row r="88" spans="1:5" ht="12" customHeight="1">
      <c r="A88" s="12" t="s">
        <v>235</v>
      </c>
      <c r="B88" s="70" t="s">
        <v>338</v>
      </c>
      <c r="C88" s="518"/>
      <c r="D88" s="518"/>
      <c r="E88" s="588"/>
    </row>
    <row r="89" spans="1:5" ht="12" customHeight="1" thickBot="1">
      <c r="A89" s="16" t="s">
        <v>237</v>
      </c>
      <c r="B89" s="71" t="s">
        <v>339</v>
      </c>
      <c r="C89" s="521"/>
      <c r="D89" s="562"/>
      <c r="E89" s="584"/>
    </row>
    <row r="90" spans="1:5" ht="12" customHeight="1" thickBot="1">
      <c r="A90" s="18" t="s">
        <v>146</v>
      </c>
      <c r="B90" s="24" t="s">
        <v>400</v>
      </c>
      <c r="C90" s="264">
        <f>+C91+C92+C93</f>
        <v>0</v>
      </c>
      <c r="D90" s="264">
        <f>+D91+D92+D93</f>
        <v>237</v>
      </c>
      <c r="E90" s="120">
        <f>+E91+E92+E93</f>
        <v>236</v>
      </c>
    </row>
    <row r="91" spans="1:5" ht="12" customHeight="1">
      <c r="A91" s="13" t="s">
        <v>225</v>
      </c>
      <c r="B91" s="6" t="s">
        <v>381</v>
      </c>
      <c r="C91" s="517"/>
      <c r="D91" s="581">
        <v>170</v>
      </c>
      <c r="E91" s="582">
        <v>170</v>
      </c>
    </row>
    <row r="92" spans="1:5" ht="12" customHeight="1">
      <c r="A92" s="13" t="s">
        <v>226</v>
      </c>
      <c r="B92" s="10" t="s">
        <v>318</v>
      </c>
      <c r="C92" s="510"/>
      <c r="D92" s="510">
        <v>67</v>
      </c>
      <c r="E92" s="583">
        <v>66</v>
      </c>
    </row>
    <row r="93" spans="1:5" ht="12" customHeight="1">
      <c r="A93" s="13" t="s">
        <v>227</v>
      </c>
      <c r="B93" s="102" t="s">
        <v>401</v>
      </c>
      <c r="C93" s="510"/>
      <c r="D93" s="510"/>
      <c r="E93" s="583"/>
    </row>
    <row r="94" spans="1:5" ht="22.5">
      <c r="A94" s="13" t="s">
        <v>228</v>
      </c>
      <c r="B94" s="102" t="s">
        <v>476</v>
      </c>
      <c r="C94" s="510"/>
      <c r="D94" s="510"/>
      <c r="E94" s="583"/>
    </row>
    <row r="95" spans="1:5" ht="12" customHeight="1">
      <c r="A95" s="13" t="s">
        <v>229</v>
      </c>
      <c r="B95" s="102" t="s">
        <v>414</v>
      </c>
      <c r="C95" s="510"/>
      <c r="D95" s="510"/>
      <c r="E95" s="583"/>
    </row>
    <row r="96" spans="1:5" ht="12" customHeight="1">
      <c r="A96" s="13" t="s">
        <v>236</v>
      </c>
      <c r="B96" s="102" t="s">
        <v>415</v>
      </c>
      <c r="C96" s="510"/>
      <c r="D96" s="510"/>
      <c r="E96" s="583"/>
    </row>
    <row r="97" spans="1:5" ht="12" customHeight="1">
      <c r="A97" s="13" t="s">
        <v>238</v>
      </c>
      <c r="B97" s="200" t="s">
        <v>383</v>
      </c>
      <c r="C97" s="510"/>
      <c r="D97" s="510"/>
      <c r="E97" s="583"/>
    </row>
    <row r="98" spans="1:5" ht="24" customHeight="1">
      <c r="A98" s="13" t="s">
        <v>319</v>
      </c>
      <c r="B98" s="200" t="s">
        <v>384</v>
      </c>
      <c r="C98" s="510"/>
      <c r="D98" s="510"/>
      <c r="E98" s="583"/>
    </row>
    <row r="99" spans="1:5" ht="21.75" customHeight="1">
      <c r="A99" s="13" t="s">
        <v>320</v>
      </c>
      <c r="B99" s="200" t="s">
        <v>382</v>
      </c>
      <c r="C99" s="510"/>
      <c r="D99" s="510"/>
      <c r="E99" s="583"/>
    </row>
    <row r="100" spans="1:5" ht="12" customHeight="1" thickBot="1">
      <c r="A100" s="11" t="s">
        <v>321</v>
      </c>
      <c r="B100" s="201" t="s">
        <v>502</v>
      </c>
      <c r="C100" s="518"/>
      <c r="D100" s="562"/>
      <c r="E100" s="584"/>
    </row>
    <row r="101" spans="1:5" ht="12" customHeight="1" thickBot="1">
      <c r="A101" s="18" t="s">
        <v>147</v>
      </c>
      <c r="B101" s="58" t="s">
        <v>416</v>
      </c>
      <c r="C101" s="264">
        <f>+C102+C103</f>
        <v>0</v>
      </c>
      <c r="D101" s="264">
        <f>+D102+D103</f>
        <v>0</v>
      </c>
      <c r="E101" s="120">
        <f>+E102+E103</f>
        <v>0</v>
      </c>
    </row>
    <row r="102" spans="1:5" s="100" customFormat="1" ht="12" customHeight="1">
      <c r="A102" s="13" t="s">
        <v>197</v>
      </c>
      <c r="B102" s="7" t="s">
        <v>185</v>
      </c>
      <c r="C102" s="268"/>
      <c r="D102" s="268"/>
      <c r="E102" s="124"/>
    </row>
    <row r="103" spans="1:5" ht="12" customHeight="1" thickBot="1">
      <c r="A103" s="14" t="s">
        <v>198</v>
      </c>
      <c r="B103" s="10" t="s">
        <v>186</v>
      </c>
      <c r="C103" s="269"/>
      <c r="D103" s="269"/>
      <c r="E103" s="125"/>
    </row>
    <row r="104" spans="1:5" ht="12" customHeight="1" thickBot="1">
      <c r="A104" s="106" t="s">
        <v>148</v>
      </c>
      <c r="B104" s="101" t="s">
        <v>385</v>
      </c>
      <c r="C104" s="284"/>
      <c r="D104" s="284"/>
      <c r="E104" s="285"/>
    </row>
    <row r="105" spans="1:5" ht="12" customHeight="1" thickBot="1">
      <c r="A105" s="98" t="s">
        <v>149</v>
      </c>
      <c r="B105" s="99" t="s">
        <v>267</v>
      </c>
      <c r="C105" s="263">
        <f>+C77+C90+C101+C104</f>
        <v>34537</v>
      </c>
      <c r="D105" s="263">
        <f>+D77+D90+D101+D104</f>
        <v>41081</v>
      </c>
      <c r="E105" s="119">
        <f>+E77+E90+E101+E104</f>
        <v>41033</v>
      </c>
    </row>
    <row r="106" spans="1:5" ht="12" customHeight="1" thickBot="1">
      <c r="A106" s="106" t="s">
        <v>150</v>
      </c>
      <c r="B106" s="101" t="s">
        <v>477</v>
      </c>
      <c r="C106" s="264">
        <f>+C107+C115</f>
        <v>0</v>
      </c>
      <c r="D106" s="264">
        <f>+D107+D115</f>
        <v>0</v>
      </c>
      <c r="E106" s="120">
        <f>+E107+E115</f>
        <v>0</v>
      </c>
    </row>
    <row r="107" spans="1:5" ht="12" customHeight="1" thickBot="1">
      <c r="A107" s="113" t="s">
        <v>204</v>
      </c>
      <c r="B107" s="202" t="s">
        <v>78</v>
      </c>
      <c r="C107" s="264">
        <f>+C108+C109+C110+C111+C112+C113+C114</f>
        <v>0</v>
      </c>
      <c r="D107" s="264">
        <f>+D108+D109+D110+D111+D112+D113+D114</f>
        <v>0</v>
      </c>
      <c r="E107" s="120">
        <f>+E108+E109+E110+E111+E112+E113+E114</f>
        <v>0</v>
      </c>
    </row>
    <row r="108" spans="1:5" ht="12" customHeight="1">
      <c r="A108" s="114" t="s">
        <v>207</v>
      </c>
      <c r="B108" s="115" t="s">
        <v>386</v>
      </c>
      <c r="C108" s="265"/>
      <c r="D108" s="265"/>
      <c r="E108" s="121"/>
    </row>
    <row r="109" spans="1:5" ht="12" customHeight="1">
      <c r="A109" s="107" t="s">
        <v>208</v>
      </c>
      <c r="B109" s="102" t="s">
        <v>387</v>
      </c>
      <c r="C109" s="265"/>
      <c r="D109" s="265"/>
      <c r="E109" s="121"/>
    </row>
    <row r="110" spans="1:5" ht="12" customHeight="1">
      <c r="A110" s="107" t="s">
        <v>209</v>
      </c>
      <c r="B110" s="102" t="s">
        <v>388</v>
      </c>
      <c r="C110" s="265"/>
      <c r="D110" s="265"/>
      <c r="E110" s="121"/>
    </row>
    <row r="111" spans="1:5" ht="12" customHeight="1">
      <c r="A111" s="107" t="s">
        <v>210</v>
      </c>
      <c r="B111" s="102" t="s">
        <v>389</v>
      </c>
      <c r="C111" s="265"/>
      <c r="D111" s="265"/>
      <c r="E111" s="121"/>
    </row>
    <row r="112" spans="1:5" ht="12" customHeight="1">
      <c r="A112" s="107" t="s">
        <v>305</v>
      </c>
      <c r="B112" s="102" t="s">
        <v>390</v>
      </c>
      <c r="C112" s="265"/>
      <c r="D112" s="265"/>
      <c r="E112" s="121"/>
    </row>
    <row r="113" spans="1:5" ht="12" customHeight="1">
      <c r="A113" s="107" t="s">
        <v>322</v>
      </c>
      <c r="B113" s="102" t="s">
        <v>391</v>
      </c>
      <c r="C113" s="265"/>
      <c r="D113" s="265"/>
      <c r="E113" s="121"/>
    </row>
    <row r="114" spans="1:5" ht="12" customHeight="1" thickBot="1">
      <c r="A114" s="116" t="s">
        <v>323</v>
      </c>
      <c r="B114" s="117" t="s">
        <v>392</v>
      </c>
      <c r="C114" s="265"/>
      <c r="D114" s="265"/>
      <c r="E114" s="121"/>
    </row>
    <row r="115" spans="1:5" ht="12" customHeight="1" thickBot="1">
      <c r="A115" s="113" t="s">
        <v>205</v>
      </c>
      <c r="B115" s="202" t="s">
        <v>79</v>
      </c>
      <c r="C115" s="264">
        <f>+C116+C117+C118+C119+C120+C121+C122+C123</f>
        <v>0</v>
      </c>
      <c r="D115" s="264">
        <f>+D116+D117+D118+D119+D120+D121+D122+D123</f>
        <v>0</v>
      </c>
      <c r="E115" s="120">
        <f>+E116+E117+E118+E119+E120+E121+E122+E123</f>
        <v>0</v>
      </c>
    </row>
    <row r="116" spans="1:5" ht="12" customHeight="1">
      <c r="A116" s="114" t="s">
        <v>213</v>
      </c>
      <c r="B116" s="115" t="s">
        <v>386</v>
      </c>
      <c r="C116" s="265"/>
      <c r="D116" s="265"/>
      <c r="E116" s="121"/>
    </row>
    <row r="117" spans="1:5" ht="12" customHeight="1">
      <c r="A117" s="107" t="s">
        <v>214</v>
      </c>
      <c r="B117" s="102" t="s">
        <v>393</v>
      </c>
      <c r="C117" s="265"/>
      <c r="D117" s="265"/>
      <c r="E117" s="121"/>
    </row>
    <row r="118" spans="1:5" ht="12" customHeight="1">
      <c r="A118" s="107" t="s">
        <v>215</v>
      </c>
      <c r="B118" s="102" t="s">
        <v>388</v>
      </c>
      <c r="C118" s="265"/>
      <c r="D118" s="265"/>
      <c r="E118" s="121"/>
    </row>
    <row r="119" spans="1:5" ht="12" customHeight="1">
      <c r="A119" s="107" t="s">
        <v>216</v>
      </c>
      <c r="B119" s="102" t="s">
        <v>389</v>
      </c>
      <c r="C119" s="265"/>
      <c r="D119" s="265"/>
      <c r="E119" s="121"/>
    </row>
    <row r="120" spans="1:5" ht="12" customHeight="1">
      <c r="A120" s="107" t="s">
        <v>306</v>
      </c>
      <c r="B120" s="102" t="s">
        <v>390</v>
      </c>
      <c r="C120" s="265"/>
      <c r="D120" s="265"/>
      <c r="E120" s="121"/>
    </row>
    <row r="121" spans="1:5" ht="12" customHeight="1">
      <c r="A121" s="107" t="s">
        <v>324</v>
      </c>
      <c r="B121" s="102" t="s">
        <v>394</v>
      </c>
      <c r="C121" s="265"/>
      <c r="D121" s="265"/>
      <c r="E121" s="121"/>
    </row>
    <row r="122" spans="1:5" ht="12" customHeight="1">
      <c r="A122" s="107" t="s">
        <v>325</v>
      </c>
      <c r="B122" s="102" t="s">
        <v>392</v>
      </c>
      <c r="C122" s="265"/>
      <c r="D122" s="265"/>
      <c r="E122" s="121"/>
    </row>
    <row r="123" spans="1:9" ht="15" customHeight="1" thickBot="1">
      <c r="A123" s="116" t="s">
        <v>326</v>
      </c>
      <c r="B123" s="117" t="s">
        <v>478</v>
      </c>
      <c r="C123" s="265"/>
      <c r="D123" s="265"/>
      <c r="E123" s="121"/>
      <c r="F123" s="31"/>
      <c r="G123" s="59"/>
      <c r="H123" s="59"/>
      <c r="I123" s="59"/>
    </row>
    <row r="124" spans="1:5" s="1" customFormat="1" ht="22.5" customHeight="1" thickBot="1">
      <c r="A124" s="106" t="s">
        <v>151</v>
      </c>
      <c r="B124" s="198" t="s">
        <v>395</v>
      </c>
      <c r="C124" s="286">
        <f>+C105+C106</f>
        <v>34537</v>
      </c>
      <c r="D124" s="286">
        <f>+D105+D106</f>
        <v>41081</v>
      </c>
      <c r="E124" s="133">
        <f>+E105+E106</f>
        <v>41033</v>
      </c>
    </row>
    <row r="125" spans="1:5" ht="13.5" customHeight="1" thickBot="1">
      <c r="A125" s="106" t="s">
        <v>152</v>
      </c>
      <c r="B125" s="198" t="s">
        <v>396</v>
      </c>
      <c r="C125" s="287"/>
      <c r="D125" s="287"/>
      <c r="E125" s="134">
        <v>-1035</v>
      </c>
    </row>
    <row r="126" spans="1:5" ht="16.5" thickBot="1">
      <c r="A126" s="118" t="s">
        <v>153</v>
      </c>
      <c r="B126" s="199" t="s">
        <v>397</v>
      </c>
      <c r="C126" s="281">
        <f>+C124+C125</f>
        <v>34537</v>
      </c>
      <c r="D126" s="281">
        <f>+D124+D125</f>
        <v>41081</v>
      </c>
      <c r="E126" s="129">
        <f>+E124+E125</f>
        <v>39998</v>
      </c>
    </row>
    <row r="127" spans="1:5" ht="15" customHeight="1">
      <c r="A127" s="203"/>
      <c r="B127" s="203"/>
      <c r="C127" s="204"/>
      <c r="D127" s="204"/>
      <c r="E127" s="204"/>
    </row>
    <row r="128" spans="1:5" ht="13.5" customHeight="1">
      <c r="A128" s="209" t="s">
        <v>270</v>
      </c>
      <c r="B128" s="209"/>
      <c r="C128" s="209"/>
      <c r="D128" s="209"/>
      <c r="E128" s="209"/>
    </row>
    <row r="129" spans="1:5" ht="15" customHeight="1" thickBot="1">
      <c r="A129" s="207" t="s">
        <v>264</v>
      </c>
      <c r="B129" s="207"/>
      <c r="C129" s="136"/>
      <c r="D129" s="136"/>
      <c r="E129" s="136" t="s">
        <v>398</v>
      </c>
    </row>
    <row r="130" spans="1:5" ht="21.75" thickBot="1">
      <c r="A130" s="18">
        <v>1</v>
      </c>
      <c r="B130" s="24" t="s">
        <v>333</v>
      </c>
      <c r="C130" s="135">
        <f>+C54-C105</f>
        <v>-5725</v>
      </c>
      <c r="D130" s="135">
        <f>+D54-D105</f>
        <v>-40348</v>
      </c>
      <c r="E130" s="120">
        <f>+E54-E105</f>
        <v>-40300</v>
      </c>
    </row>
  </sheetData>
  <sheetProtection/>
  <mergeCells count="8">
    <mergeCell ref="A72:E72"/>
    <mergeCell ref="A74:A75"/>
    <mergeCell ref="B74:B75"/>
    <mergeCell ref="C74:E74"/>
    <mergeCell ref="A1:E1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Alattyán Község Önkormányzata
2013. ÉVI ZÁRSZÁMADÁS
ÁLLAMI (ÁLLAMIGAZGATÁSI) FELADATOK MÉRLEGE&amp;10
&amp;R&amp;"Times New Roman CE,Félkövér dőlt"&amp;11 1.4. melléklet a ....../2014. (......) önkormányzati rendelethez</oddHeader>
  </headerFooter>
  <rowBreaks count="1" manualBreakCount="1">
    <brk id="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zoomScaleSheetLayoutView="100" workbookViewId="0" topLeftCell="B4">
      <selection activeCell="I20" sqref="I20"/>
    </sheetView>
  </sheetViews>
  <sheetFormatPr defaultColWidth="9.00390625" defaultRowHeight="12.75"/>
  <cols>
    <col min="1" max="1" width="6.875" style="41" customWidth="1"/>
    <col min="2" max="2" width="55.125" style="78" customWidth="1"/>
    <col min="3" max="5" width="16.375" style="41" customWidth="1"/>
    <col min="6" max="6" width="55.125" style="41" customWidth="1"/>
    <col min="7" max="9" width="16.375" style="41" customWidth="1"/>
    <col min="10" max="10" width="4.875" style="41" customWidth="1"/>
    <col min="11" max="16384" width="9.375" style="41" customWidth="1"/>
  </cols>
  <sheetData>
    <row r="1" spans="2:10" ht="39.75" customHeight="1">
      <c r="B1" s="151" t="s">
        <v>271</v>
      </c>
      <c r="C1" s="152"/>
      <c r="D1" s="152"/>
      <c r="E1" s="152"/>
      <c r="F1" s="152"/>
      <c r="G1" s="152"/>
      <c r="H1" s="152"/>
      <c r="I1" s="152"/>
      <c r="J1" s="1165" t="s">
        <v>223</v>
      </c>
    </row>
    <row r="2" spans="7:10" ht="14.25" thickBot="1">
      <c r="G2" s="153"/>
      <c r="H2" s="153"/>
      <c r="I2" s="153" t="s">
        <v>187</v>
      </c>
      <c r="J2" s="1165"/>
    </row>
    <row r="3" spans="1:10" ht="18" customHeight="1" thickBot="1">
      <c r="A3" s="1163" t="s">
        <v>195</v>
      </c>
      <c r="B3" s="154" t="s">
        <v>180</v>
      </c>
      <c r="C3" s="155"/>
      <c r="D3" s="155"/>
      <c r="E3" s="155"/>
      <c r="F3" s="154" t="s">
        <v>184</v>
      </c>
      <c r="G3" s="156"/>
      <c r="H3" s="156"/>
      <c r="I3" s="156"/>
      <c r="J3" s="1165"/>
    </row>
    <row r="4" spans="1:10" s="157" customFormat="1" ht="35.25" customHeight="1" thickBot="1">
      <c r="A4" s="1164"/>
      <c r="B4" s="79" t="s">
        <v>188</v>
      </c>
      <c r="C4" s="212" t="s">
        <v>127</v>
      </c>
      <c r="D4" s="213" t="s">
        <v>128</v>
      </c>
      <c r="E4" s="212" t="s">
        <v>659</v>
      </c>
      <c r="F4" s="79" t="s">
        <v>188</v>
      </c>
      <c r="G4" s="212" t="s">
        <v>127</v>
      </c>
      <c r="H4" s="213" t="s">
        <v>128</v>
      </c>
      <c r="I4" s="212" t="s">
        <v>659</v>
      </c>
      <c r="J4" s="1165"/>
    </row>
    <row r="5" spans="1:10" s="162" customFormat="1" ht="12" customHeight="1" thickBot="1">
      <c r="A5" s="158">
        <v>1</v>
      </c>
      <c r="B5" s="159">
        <v>2</v>
      </c>
      <c r="C5" s="160">
        <v>3</v>
      </c>
      <c r="D5" s="160">
        <v>4</v>
      </c>
      <c r="E5" s="160">
        <v>5</v>
      </c>
      <c r="F5" s="159">
        <v>6</v>
      </c>
      <c r="G5" s="160">
        <v>7</v>
      </c>
      <c r="H5" s="160">
        <v>8</v>
      </c>
      <c r="I5" s="161">
        <v>9</v>
      </c>
      <c r="J5" s="1165"/>
    </row>
    <row r="6" spans="1:10" ht="12.75" customHeight="1">
      <c r="A6" s="163" t="s">
        <v>145</v>
      </c>
      <c r="B6" s="548" t="s">
        <v>292</v>
      </c>
      <c r="C6" s="530">
        <v>47500</v>
      </c>
      <c r="D6" s="530">
        <v>62124</v>
      </c>
      <c r="E6" s="140">
        <v>62124</v>
      </c>
      <c r="F6" s="164" t="s">
        <v>189</v>
      </c>
      <c r="G6" s="530">
        <v>82664</v>
      </c>
      <c r="H6" s="530">
        <v>104590</v>
      </c>
      <c r="I6" s="146">
        <v>101788</v>
      </c>
      <c r="J6" s="1165"/>
    </row>
    <row r="7" spans="1:10" ht="12.75" customHeight="1">
      <c r="A7" s="165" t="s">
        <v>146</v>
      </c>
      <c r="B7" s="549" t="s">
        <v>181</v>
      </c>
      <c r="C7" s="531">
        <v>33692</v>
      </c>
      <c r="D7" s="531">
        <v>43102</v>
      </c>
      <c r="E7" s="141">
        <v>43041</v>
      </c>
      <c r="F7" s="166" t="s">
        <v>315</v>
      </c>
      <c r="G7" s="531">
        <v>19234</v>
      </c>
      <c r="H7" s="531">
        <v>24787</v>
      </c>
      <c r="I7" s="147">
        <v>24358</v>
      </c>
      <c r="J7" s="1165"/>
    </row>
    <row r="8" spans="1:10" ht="12.75" customHeight="1">
      <c r="A8" s="165" t="s">
        <v>147</v>
      </c>
      <c r="B8" s="549" t="s">
        <v>183</v>
      </c>
      <c r="C8" s="531">
        <v>3200</v>
      </c>
      <c r="D8" s="531">
        <v>3600</v>
      </c>
      <c r="E8" s="141">
        <v>3600</v>
      </c>
      <c r="F8" s="166" t="s">
        <v>429</v>
      </c>
      <c r="G8" s="531">
        <v>102152</v>
      </c>
      <c r="H8" s="531">
        <v>155893</v>
      </c>
      <c r="I8" s="147">
        <v>125786</v>
      </c>
      <c r="J8" s="1165"/>
    </row>
    <row r="9" spans="1:10" ht="12.75" customHeight="1">
      <c r="A9" s="165" t="s">
        <v>148</v>
      </c>
      <c r="B9" s="550" t="s">
        <v>417</v>
      </c>
      <c r="C9" s="531">
        <v>108085</v>
      </c>
      <c r="D9" s="531">
        <v>245866</v>
      </c>
      <c r="E9" s="141">
        <v>245866</v>
      </c>
      <c r="F9" s="166" t="s">
        <v>316</v>
      </c>
      <c r="G9" s="531"/>
      <c r="H9" s="531"/>
      <c r="I9" s="147"/>
      <c r="J9" s="1165"/>
    </row>
    <row r="10" spans="1:10" ht="12.75" customHeight="1">
      <c r="A10" s="165" t="s">
        <v>149</v>
      </c>
      <c r="B10" s="549" t="s">
        <v>418</v>
      </c>
      <c r="C10" s="531">
        <v>32104</v>
      </c>
      <c r="D10" s="531">
        <v>37066</v>
      </c>
      <c r="E10" s="141">
        <v>37065</v>
      </c>
      <c r="F10" s="166" t="s">
        <v>317</v>
      </c>
      <c r="G10" s="531">
        <v>49238</v>
      </c>
      <c r="H10" s="531">
        <v>47796</v>
      </c>
      <c r="I10" s="147">
        <v>47795</v>
      </c>
      <c r="J10" s="1165"/>
    </row>
    <row r="11" spans="1:10" ht="12.75" customHeight="1">
      <c r="A11" s="165" t="s">
        <v>150</v>
      </c>
      <c r="B11" s="549" t="s">
        <v>449</v>
      </c>
      <c r="C11" s="532"/>
      <c r="D11" s="532"/>
      <c r="E11" s="142"/>
      <c r="F11" s="166" t="s">
        <v>176</v>
      </c>
      <c r="G11" s="531">
        <v>16910</v>
      </c>
      <c r="H11" s="531">
        <v>13376</v>
      </c>
      <c r="I11" s="147"/>
      <c r="J11" s="1165"/>
    </row>
    <row r="12" spans="1:10" ht="12.75" customHeight="1">
      <c r="A12" s="165" t="s">
        <v>151</v>
      </c>
      <c r="B12" s="549" t="s">
        <v>419</v>
      </c>
      <c r="C12" s="531"/>
      <c r="D12" s="531">
        <v>50</v>
      </c>
      <c r="E12" s="141">
        <v>50</v>
      </c>
      <c r="F12" s="35" t="s">
        <v>510</v>
      </c>
      <c r="G12" s="531"/>
      <c r="H12" s="531"/>
      <c r="I12" s="147"/>
      <c r="J12" s="1165"/>
    </row>
    <row r="13" spans="1:10" ht="12.75" customHeight="1">
      <c r="A13" s="165" t="s">
        <v>152</v>
      </c>
      <c r="B13" s="549" t="s">
        <v>90</v>
      </c>
      <c r="C13" s="533"/>
      <c r="D13" s="534">
        <v>1250</v>
      </c>
      <c r="E13" s="141">
        <v>5942</v>
      </c>
      <c r="F13" s="35"/>
      <c r="G13" s="531"/>
      <c r="H13" s="531"/>
      <c r="I13" s="147"/>
      <c r="J13" s="1165"/>
    </row>
    <row r="14" spans="1:10" ht="12.75" customHeight="1">
      <c r="A14" s="165" t="s">
        <v>153</v>
      </c>
      <c r="B14" s="551" t="s">
        <v>420</v>
      </c>
      <c r="C14" s="532"/>
      <c r="D14" s="532"/>
      <c r="E14" s="142"/>
      <c r="F14" s="35"/>
      <c r="G14" s="531"/>
      <c r="H14" s="531"/>
      <c r="I14" s="147"/>
      <c r="J14" s="1165"/>
    </row>
    <row r="15" spans="1:10" ht="12.75" customHeight="1">
      <c r="A15" s="165" t="s">
        <v>154</v>
      </c>
      <c r="B15" s="35"/>
      <c r="C15" s="531"/>
      <c r="D15" s="531"/>
      <c r="E15" s="141"/>
      <c r="F15" s="35"/>
      <c r="G15" s="531"/>
      <c r="H15" s="531"/>
      <c r="I15" s="147"/>
      <c r="J15" s="1165"/>
    </row>
    <row r="16" spans="1:10" ht="12.75" customHeight="1">
      <c r="A16" s="165" t="s">
        <v>155</v>
      </c>
      <c r="B16" s="35"/>
      <c r="C16" s="531"/>
      <c r="D16" s="531"/>
      <c r="E16" s="141"/>
      <c r="F16" s="35"/>
      <c r="G16" s="531"/>
      <c r="H16" s="531"/>
      <c r="I16" s="147"/>
      <c r="J16" s="1165"/>
    </row>
    <row r="17" spans="1:10" ht="12.75" customHeight="1" thickBot="1">
      <c r="A17" s="165" t="s">
        <v>156</v>
      </c>
      <c r="B17" s="43"/>
      <c r="C17" s="533"/>
      <c r="D17" s="533"/>
      <c r="E17" s="143"/>
      <c r="F17" s="35"/>
      <c r="G17" s="143"/>
      <c r="H17" s="143"/>
      <c r="I17" s="148"/>
      <c r="J17" s="1165"/>
    </row>
    <row r="18" spans="1:10" ht="15.75" customHeight="1" thickBot="1">
      <c r="A18" s="167" t="s">
        <v>157</v>
      </c>
      <c r="B18" s="60" t="s">
        <v>443</v>
      </c>
      <c r="C18" s="144">
        <f>+C6+C7+C8+C9+C10+C12+C13+C14+C15+C16+C17</f>
        <v>224581</v>
      </c>
      <c r="D18" s="144">
        <f>+D6+D7+D8+D9+D10+D12+D13+D14+D15+D16+D17</f>
        <v>393058</v>
      </c>
      <c r="E18" s="144">
        <f>+E6+E7+E8+E9+E10+E12+E13+E14+E15+E16+E17</f>
        <v>397688</v>
      </c>
      <c r="F18" s="60" t="s">
        <v>442</v>
      </c>
      <c r="G18" s="144">
        <f>SUM(G6:G17)</f>
        <v>270198</v>
      </c>
      <c r="H18" s="144">
        <f>SUM(H6:H17)</f>
        <v>346442</v>
      </c>
      <c r="I18" s="149">
        <f>SUM(I6:I17)</f>
        <v>299727</v>
      </c>
      <c r="J18" s="1165"/>
    </row>
    <row r="19" spans="1:10" ht="12.75" customHeight="1">
      <c r="A19" s="168" t="s">
        <v>158</v>
      </c>
      <c r="B19" s="169" t="s">
        <v>421</v>
      </c>
      <c r="C19" s="535">
        <f>+C20+C21+C22+C23</f>
        <v>45617</v>
      </c>
      <c r="D19" s="535">
        <f>+D20+D21+D22+D23</f>
        <v>66326</v>
      </c>
      <c r="E19" s="170">
        <f>+E20+E21+E22+E23</f>
        <v>66326</v>
      </c>
      <c r="F19" s="171" t="s">
        <v>327</v>
      </c>
      <c r="G19" s="145"/>
      <c r="H19" s="145"/>
      <c r="I19" s="150"/>
      <c r="J19" s="1165"/>
    </row>
    <row r="20" spans="1:10" ht="12.75" customHeight="1">
      <c r="A20" s="172" t="s">
        <v>159</v>
      </c>
      <c r="B20" s="171" t="s">
        <v>359</v>
      </c>
      <c r="C20" s="531">
        <v>45617</v>
      </c>
      <c r="D20" s="531">
        <v>66326</v>
      </c>
      <c r="E20" s="53">
        <v>66326</v>
      </c>
      <c r="F20" s="171" t="s">
        <v>328</v>
      </c>
      <c r="G20" s="53"/>
      <c r="H20" s="53"/>
      <c r="I20" s="54"/>
      <c r="J20" s="1165"/>
    </row>
    <row r="21" spans="1:10" ht="12.75" customHeight="1">
      <c r="A21" s="172" t="s">
        <v>160</v>
      </c>
      <c r="B21" s="171" t="s">
        <v>360</v>
      </c>
      <c r="C21" s="531"/>
      <c r="D21" s="531"/>
      <c r="E21" s="53"/>
      <c r="F21" s="171" t="s">
        <v>268</v>
      </c>
      <c r="G21" s="53"/>
      <c r="H21" s="53"/>
      <c r="I21" s="54"/>
      <c r="J21" s="1165"/>
    </row>
    <row r="22" spans="1:10" ht="12.75" customHeight="1">
      <c r="A22" s="172" t="s">
        <v>161</v>
      </c>
      <c r="B22" s="171" t="s">
        <v>422</v>
      </c>
      <c r="C22" s="531"/>
      <c r="D22" s="531"/>
      <c r="E22" s="53"/>
      <c r="F22" s="171" t="s">
        <v>269</v>
      </c>
      <c r="G22" s="53"/>
      <c r="H22" s="53"/>
      <c r="I22" s="54"/>
      <c r="J22" s="1165"/>
    </row>
    <row r="23" spans="1:10" ht="12.75" customHeight="1">
      <c r="A23" s="172" t="s">
        <v>162</v>
      </c>
      <c r="B23" s="171" t="s">
        <v>423</v>
      </c>
      <c r="C23" s="531"/>
      <c r="D23" s="531"/>
      <c r="E23" s="53"/>
      <c r="F23" s="169" t="s">
        <v>430</v>
      </c>
      <c r="G23" s="53"/>
      <c r="H23" s="53"/>
      <c r="I23" s="54"/>
      <c r="J23" s="1165"/>
    </row>
    <row r="24" spans="1:10" ht="12.75" customHeight="1">
      <c r="A24" s="172" t="s">
        <v>163</v>
      </c>
      <c r="B24" s="171" t="s">
        <v>424</v>
      </c>
      <c r="C24" s="536">
        <f>+C25+C26</f>
        <v>0</v>
      </c>
      <c r="D24" s="536"/>
      <c r="E24" s="173">
        <f>+E25+E26</f>
        <v>0</v>
      </c>
      <c r="F24" s="171" t="s">
        <v>329</v>
      </c>
      <c r="G24" s="53"/>
      <c r="H24" s="53"/>
      <c r="I24" s="54"/>
      <c r="J24" s="1165"/>
    </row>
    <row r="25" spans="1:10" ht="12.75" customHeight="1">
      <c r="A25" s="168" t="s">
        <v>164</v>
      </c>
      <c r="B25" s="169" t="s">
        <v>425</v>
      </c>
      <c r="C25" s="537"/>
      <c r="D25" s="537"/>
      <c r="E25" s="145"/>
      <c r="F25" s="164" t="s">
        <v>330</v>
      </c>
      <c r="G25" s="145"/>
      <c r="H25" s="145"/>
      <c r="I25" s="150"/>
      <c r="J25" s="1165"/>
    </row>
    <row r="26" spans="1:10" ht="12.75" customHeight="1" thickBot="1">
      <c r="A26" s="172" t="s">
        <v>165</v>
      </c>
      <c r="B26" s="171" t="s">
        <v>368</v>
      </c>
      <c r="C26" s="531"/>
      <c r="D26" s="531"/>
      <c r="E26" s="53"/>
      <c r="F26" s="35"/>
      <c r="G26" s="53"/>
      <c r="H26" s="53"/>
      <c r="I26" s="54"/>
      <c r="J26" s="1165"/>
    </row>
    <row r="27" spans="1:10" ht="15.75" customHeight="1" thickBot="1">
      <c r="A27" s="167" t="s">
        <v>166</v>
      </c>
      <c r="B27" s="60" t="s">
        <v>440</v>
      </c>
      <c r="C27" s="144">
        <f>+C19+C24</f>
        <v>45617</v>
      </c>
      <c r="D27" s="144">
        <f>+D19+D24</f>
        <v>66326</v>
      </c>
      <c r="E27" s="144">
        <f>+E19+E24</f>
        <v>66326</v>
      </c>
      <c r="F27" s="60" t="s">
        <v>441</v>
      </c>
      <c r="G27" s="144">
        <f>SUM(G19:G26)</f>
        <v>0</v>
      </c>
      <c r="H27" s="144">
        <f>SUM(H19:H26)</f>
        <v>0</v>
      </c>
      <c r="I27" s="149">
        <f>SUM(I19:I26)</f>
        <v>0</v>
      </c>
      <c r="J27" s="1165"/>
    </row>
    <row r="28" spans="1:10" ht="18" customHeight="1" thickBot="1">
      <c r="A28" s="167" t="s">
        <v>167</v>
      </c>
      <c r="B28" s="174" t="s">
        <v>428</v>
      </c>
      <c r="C28" s="144">
        <f>+C18+C27</f>
        <v>270198</v>
      </c>
      <c r="D28" s="144">
        <f>+D18+D27</f>
        <v>459384</v>
      </c>
      <c r="E28" s="144">
        <f>+E18+E27</f>
        <v>464014</v>
      </c>
      <c r="F28" s="174" t="s">
        <v>431</v>
      </c>
      <c r="G28" s="144">
        <f>+G18+G27</f>
        <v>270198</v>
      </c>
      <c r="H28" s="144">
        <f>+H18+H27</f>
        <v>346442</v>
      </c>
      <c r="I28" s="149">
        <f>+I18+I27</f>
        <v>299727</v>
      </c>
      <c r="J28" s="1165"/>
    </row>
    <row r="29" spans="1:10" ht="18" customHeight="1" thickBot="1">
      <c r="A29" s="167" t="s">
        <v>168</v>
      </c>
      <c r="B29" s="60" t="s">
        <v>426</v>
      </c>
      <c r="C29" s="178"/>
      <c r="D29" s="178"/>
      <c r="E29" s="178">
        <v>759</v>
      </c>
      <c r="F29" s="60" t="s">
        <v>432</v>
      </c>
      <c r="G29" s="178"/>
      <c r="H29" s="178"/>
      <c r="I29" s="177">
        <v>-1916</v>
      </c>
      <c r="J29" s="1165"/>
    </row>
    <row r="30" spans="1:10" ht="13.5" thickBot="1">
      <c r="A30" s="167" t="s">
        <v>169</v>
      </c>
      <c r="B30" s="175" t="s">
        <v>427</v>
      </c>
      <c r="C30" s="288">
        <f>+C28+C29</f>
        <v>270198</v>
      </c>
      <c r="D30" s="288">
        <f>+D28+D29</f>
        <v>459384</v>
      </c>
      <c r="E30" s="176">
        <f>+E28+E29</f>
        <v>464773</v>
      </c>
      <c r="F30" s="175" t="s">
        <v>433</v>
      </c>
      <c r="G30" s="288">
        <f>+G28+G29</f>
        <v>270198</v>
      </c>
      <c r="H30" s="288">
        <f>+H28+H29</f>
        <v>346442</v>
      </c>
      <c r="I30" s="289">
        <f>+I28+I29</f>
        <v>297811</v>
      </c>
      <c r="J30" s="1165"/>
    </row>
    <row r="31" spans="1:10" ht="13.5" thickBot="1">
      <c r="A31" s="167" t="s">
        <v>170</v>
      </c>
      <c r="B31" s="175" t="s">
        <v>274</v>
      </c>
      <c r="C31" s="288">
        <f>IF(C18-G18&lt;0,G18-C18,"-")</f>
        <v>45617</v>
      </c>
      <c r="D31" s="288" t="str">
        <f>IF(D18-G18&lt;0,H18-D18,"-")</f>
        <v>-</v>
      </c>
      <c r="E31" s="176" t="str">
        <f>IF(E18-I18&lt;0,I18-E18,"-")</f>
        <v>-</v>
      </c>
      <c r="F31" s="175" t="s">
        <v>275</v>
      </c>
      <c r="G31" s="288" t="str">
        <f>IF(C18-G18&gt;0,C18-G18,"-")</f>
        <v>-</v>
      </c>
      <c r="H31" s="288">
        <f>IF(D18-H18&gt;0,D18-H18,"-")</f>
        <v>46616</v>
      </c>
      <c r="I31" s="289">
        <f>IF(E18-I18&gt;0,E18-I18,"-")</f>
        <v>97961</v>
      </c>
      <c r="J31" s="1165"/>
    </row>
    <row r="32" spans="1:10" ht="13.5" thickBot="1">
      <c r="A32" s="167" t="s">
        <v>171</v>
      </c>
      <c r="B32" s="175" t="s">
        <v>434</v>
      </c>
      <c r="C32" s="288" t="str">
        <f>IF(C18+C19-G28&lt;0,G28-(C18+C19),"-")</f>
        <v>-</v>
      </c>
      <c r="D32" s="288" t="str">
        <f>IF(D18+D19-H28&lt;0,H28-(D18+D19),"-")</f>
        <v>-</v>
      </c>
      <c r="E32" s="176" t="str">
        <f>IF(E18+E19-I28&lt;0,I28-(E18+E19),"-")</f>
        <v>-</v>
      </c>
      <c r="F32" s="175" t="s">
        <v>435</v>
      </c>
      <c r="G32" s="288" t="str">
        <f>IF(C18+C19-G28&gt;0,C18+C19-G28,"-")</f>
        <v>-</v>
      </c>
      <c r="H32" s="288">
        <f>IF(D18+D19-H28&gt;0,D18+D19-H28,"-")</f>
        <v>112942</v>
      </c>
      <c r="I32" s="289">
        <f>IF(E18+E19-I28&gt;0,E18+E19-I28,"-")</f>
        <v>164287</v>
      </c>
      <c r="J32" s="1165"/>
    </row>
  </sheetData>
  <sheetProtection/>
  <mergeCells count="2">
    <mergeCell ref="A3:A4"/>
    <mergeCell ref="J1:J3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6"/>
  <sheetViews>
    <sheetView tabSelected="1" zoomScaleSheetLayoutView="115" workbookViewId="0" topLeftCell="A1">
      <selection activeCell="H13" sqref="H13"/>
    </sheetView>
  </sheetViews>
  <sheetFormatPr defaultColWidth="9.00390625" defaultRowHeight="12.75"/>
  <cols>
    <col min="1" max="1" width="6.875" style="41" customWidth="1"/>
    <col min="2" max="2" width="55.125" style="78" customWidth="1"/>
    <col min="3" max="5" width="16.375" style="41" customWidth="1"/>
    <col min="6" max="6" width="55.125" style="41" customWidth="1"/>
    <col min="7" max="9" width="16.375" style="41" customWidth="1"/>
    <col min="10" max="10" width="4.875" style="41" customWidth="1"/>
    <col min="11" max="16384" width="9.375" style="41" customWidth="1"/>
  </cols>
  <sheetData>
    <row r="1" spans="2:10" ht="39.75" customHeight="1">
      <c r="B1" s="151" t="s">
        <v>272</v>
      </c>
      <c r="C1" s="152"/>
      <c r="D1" s="152"/>
      <c r="E1" s="152"/>
      <c r="F1" s="152"/>
      <c r="G1" s="152"/>
      <c r="H1" s="152"/>
      <c r="I1" s="152"/>
      <c r="J1" s="1168" t="s">
        <v>224</v>
      </c>
    </row>
    <row r="2" spans="7:10" ht="14.25" thickBot="1">
      <c r="G2" s="153"/>
      <c r="H2" s="153"/>
      <c r="I2" s="153" t="s">
        <v>187</v>
      </c>
      <c r="J2" s="1168"/>
    </row>
    <row r="3" spans="1:10" ht="24" customHeight="1" thickBot="1">
      <c r="A3" s="1166" t="s">
        <v>195</v>
      </c>
      <c r="B3" s="154" t="s">
        <v>180</v>
      </c>
      <c r="C3" s="155"/>
      <c r="D3" s="155"/>
      <c r="E3" s="155"/>
      <c r="F3" s="154" t="s">
        <v>184</v>
      </c>
      <c r="G3" s="156"/>
      <c r="H3" s="156"/>
      <c r="I3" s="156"/>
      <c r="J3" s="1168"/>
    </row>
    <row r="4" spans="1:10" s="157" customFormat="1" ht="35.25" customHeight="1" thickBot="1">
      <c r="A4" s="1167"/>
      <c r="B4" s="79" t="s">
        <v>188</v>
      </c>
      <c r="C4" s="212" t="s">
        <v>127</v>
      </c>
      <c r="D4" s="213" t="s">
        <v>128</v>
      </c>
      <c r="E4" s="212" t="s">
        <v>660</v>
      </c>
      <c r="F4" s="79" t="s">
        <v>188</v>
      </c>
      <c r="G4" s="212" t="s">
        <v>127</v>
      </c>
      <c r="H4" s="213" t="s">
        <v>128</v>
      </c>
      <c r="I4" s="212" t="s">
        <v>660</v>
      </c>
      <c r="J4" s="1168"/>
    </row>
    <row r="5" spans="1:10" s="157" customFormat="1" ht="13.5" thickBot="1">
      <c r="A5" s="158">
        <v>1</v>
      </c>
      <c r="B5" s="159">
        <v>2</v>
      </c>
      <c r="C5" s="160">
        <v>3</v>
      </c>
      <c r="D5" s="160">
        <v>4</v>
      </c>
      <c r="E5" s="160">
        <v>5</v>
      </c>
      <c r="F5" s="159">
        <v>6</v>
      </c>
      <c r="G5" s="160">
        <v>7</v>
      </c>
      <c r="H5" s="160">
        <v>8</v>
      </c>
      <c r="I5" s="161">
        <v>9</v>
      </c>
      <c r="J5" s="1168"/>
    </row>
    <row r="6" spans="1:10" ht="12.75" customHeight="1">
      <c r="A6" s="163" t="s">
        <v>145</v>
      </c>
      <c r="B6" s="552" t="s">
        <v>469</v>
      </c>
      <c r="C6" s="538"/>
      <c r="D6" s="538"/>
      <c r="E6" s="140"/>
      <c r="F6" s="164" t="s">
        <v>381</v>
      </c>
      <c r="G6" s="538">
        <v>2756</v>
      </c>
      <c r="H6" s="538">
        <v>2489</v>
      </c>
      <c r="I6" s="146">
        <v>2490</v>
      </c>
      <c r="J6" s="1168"/>
    </row>
    <row r="7" spans="1:10" ht="22.5" customHeight="1">
      <c r="A7" s="165" t="s">
        <v>146</v>
      </c>
      <c r="B7" s="553" t="s">
        <v>444</v>
      </c>
      <c r="C7" s="539"/>
      <c r="D7" s="539"/>
      <c r="E7" s="141"/>
      <c r="F7" s="166" t="s">
        <v>318</v>
      </c>
      <c r="G7" s="539">
        <v>19002</v>
      </c>
      <c r="H7" s="539">
        <v>19069</v>
      </c>
      <c r="I7" s="147">
        <v>4406</v>
      </c>
      <c r="J7" s="1168"/>
    </row>
    <row r="8" spans="1:10" ht="12.75" customHeight="1">
      <c r="A8" s="165" t="s">
        <v>147</v>
      </c>
      <c r="B8" s="553" t="s">
        <v>266</v>
      </c>
      <c r="C8" s="539"/>
      <c r="D8" s="539">
        <v>3</v>
      </c>
      <c r="E8" s="141">
        <v>3</v>
      </c>
      <c r="F8" s="166" t="s">
        <v>401</v>
      </c>
      <c r="G8" s="539"/>
      <c r="H8" s="539">
        <v>98046</v>
      </c>
      <c r="I8" s="539">
        <v>12046</v>
      </c>
      <c r="J8" s="1168"/>
    </row>
    <row r="9" spans="1:10" ht="12.75" customHeight="1">
      <c r="A9" s="165" t="s">
        <v>148</v>
      </c>
      <c r="B9" s="553" t="s">
        <v>303</v>
      </c>
      <c r="C9" s="539"/>
      <c r="D9" s="539"/>
      <c r="E9" s="141"/>
      <c r="F9" s="166" t="s">
        <v>450</v>
      </c>
      <c r="G9" s="539"/>
      <c r="H9" s="539"/>
      <c r="I9" s="147"/>
      <c r="J9" s="1168"/>
    </row>
    <row r="10" spans="1:10" ht="12.75" customHeight="1">
      <c r="A10" s="165" t="s">
        <v>149</v>
      </c>
      <c r="B10" s="553" t="s">
        <v>347</v>
      </c>
      <c r="C10" s="539"/>
      <c r="D10" s="539"/>
      <c r="E10" s="141"/>
      <c r="F10" s="166" t="s">
        <v>451</v>
      </c>
      <c r="G10" s="539"/>
      <c r="H10" s="539">
        <v>98008</v>
      </c>
      <c r="I10" s="147">
        <v>12008</v>
      </c>
      <c r="J10" s="1168"/>
    </row>
    <row r="11" spans="1:10" ht="12.75" customHeight="1">
      <c r="A11" s="165" t="s">
        <v>150</v>
      </c>
      <c r="B11" s="553" t="s">
        <v>445</v>
      </c>
      <c r="C11" s="540"/>
      <c r="D11" s="540"/>
      <c r="E11" s="142"/>
      <c r="F11" s="180" t="s">
        <v>452</v>
      </c>
      <c r="G11" s="539"/>
      <c r="H11" s="539">
        <v>38</v>
      </c>
      <c r="I11" s="147">
        <v>38</v>
      </c>
      <c r="J11" s="1168"/>
    </row>
    <row r="12" spans="1:10" ht="12.75" customHeight="1">
      <c r="A12" s="165" t="s">
        <v>151</v>
      </c>
      <c r="B12" s="553" t="s">
        <v>446</v>
      </c>
      <c r="C12" s="539"/>
      <c r="D12" s="539"/>
      <c r="E12" s="141"/>
      <c r="F12" s="180" t="s">
        <v>383</v>
      </c>
      <c r="G12" s="539"/>
      <c r="H12" s="539"/>
      <c r="I12" s="147"/>
      <c r="J12" s="1168"/>
    </row>
    <row r="13" spans="1:10" ht="12.75" customHeight="1">
      <c r="A13" s="165" t="s">
        <v>152</v>
      </c>
      <c r="B13" s="553" t="s">
        <v>448</v>
      </c>
      <c r="C13" s="539">
        <v>2375</v>
      </c>
      <c r="D13" s="539">
        <v>2020</v>
      </c>
      <c r="E13" s="141">
        <v>2020</v>
      </c>
      <c r="F13" s="181" t="s">
        <v>384</v>
      </c>
      <c r="G13" s="539"/>
      <c r="H13" s="539"/>
      <c r="I13" s="147"/>
      <c r="J13" s="1168"/>
    </row>
    <row r="14" spans="1:10" ht="12.75" customHeight="1">
      <c r="A14" s="165" t="s">
        <v>153</v>
      </c>
      <c r="B14" s="554" t="s">
        <v>467</v>
      </c>
      <c r="C14" s="540"/>
      <c r="D14" s="540"/>
      <c r="E14" s="142"/>
      <c r="F14" s="180" t="s">
        <v>453</v>
      </c>
      <c r="G14" s="539"/>
      <c r="H14" s="539"/>
      <c r="I14" s="147"/>
      <c r="J14" s="1168"/>
    </row>
    <row r="15" spans="1:10" ht="22.5" customHeight="1">
      <c r="A15" s="165" t="s">
        <v>154</v>
      </c>
      <c r="B15" s="553" t="s">
        <v>447</v>
      </c>
      <c r="C15" s="540"/>
      <c r="D15" s="540"/>
      <c r="E15" s="142"/>
      <c r="F15" s="180" t="s">
        <v>454</v>
      </c>
      <c r="G15" s="539"/>
      <c r="H15" s="539"/>
      <c r="I15" s="147"/>
      <c r="J15" s="1168"/>
    </row>
    <row r="16" spans="1:10" ht="12.75" customHeight="1">
      <c r="A16" s="165" t="s">
        <v>155</v>
      </c>
      <c r="B16" s="166"/>
      <c r="C16" s="541"/>
      <c r="D16" s="542"/>
      <c r="E16" s="293"/>
      <c r="F16" s="166" t="s">
        <v>176</v>
      </c>
      <c r="G16" s="539"/>
      <c r="H16" s="539"/>
      <c r="I16" s="147"/>
      <c r="J16" s="1168"/>
    </row>
    <row r="17" spans="1:10" ht="12.75" customHeight="1" thickBot="1">
      <c r="A17" s="294" t="s">
        <v>156</v>
      </c>
      <c r="B17" s="295"/>
      <c r="C17" s="543"/>
      <c r="D17" s="544"/>
      <c r="E17" s="192"/>
      <c r="F17" s="295" t="s">
        <v>511</v>
      </c>
      <c r="G17" s="547"/>
      <c r="H17" s="547"/>
      <c r="I17" s="191"/>
      <c r="J17" s="1168"/>
    </row>
    <row r="18" spans="1:10" ht="15.75" customHeight="1" thickBot="1">
      <c r="A18" s="167" t="s">
        <v>157</v>
      </c>
      <c r="B18" s="60" t="s">
        <v>257</v>
      </c>
      <c r="C18" s="296">
        <f>+C6+C7+C8+C9+C10+C11+C12+C13+C15+C16+C17</f>
        <v>2375</v>
      </c>
      <c r="D18" s="296">
        <f>+D6+D7+D8+D9+D10+D11+D12+D13+D15+D16+D17</f>
        <v>2023</v>
      </c>
      <c r="E18" s="296">
        <f>+E6+E7+E8+E9+E10+E11+E12+E13+E15+E16+E17</f>
        <v>2023</v>
      </c>
      <c r="F18" s="60" t="s">
        <v>258</v>
      </c>
      <c r="G18" s="144">
        <f>+G6+G7+G8+G16+G17</f>
        <v>21758</v>
      </c>
      <c r="H18" s="144">
        <f>+H6+H7+H8+H16+H17</f>
        <v>119604</v>
      </c>
      <c r="I18" s="149">
        <f>+I6+I7+I8+I16+I17</f>
        <v>18942</v>
      </c>
      <c r="J18" s="1168"/>
    </row>
    <row r="19" spans="1:10" ht="12.75" customHeight="1">
      <c r="A19" s="182" t="s">
        <v>158</v>
      </c>
      <c r="B19" s="183" t="s">
        <v>466</v>
      </c>
      <c r="C19" s="545">
        <f>+C20+C21+C22+C23+C24</f>
        <v>19383</v>
      </c>
      <c r="D19" s="545">
        <f>+D20+D21+D22+D23+D24</f>
        <v>4639</v>
      </c>
      <c r="E19" s="190">
        <f>+E20+E21+E22+E23+E24</f>
        <v>4639</v>
      </c>
      <c r="F19" s="171" t="s">
        <v>327</v>
      </c>
      <c r="G19" s="290"/>
      <c r="H19" s="290"/>
      <c r="I19" s="52"/>
      <c r="J19" s="1168"/>
    </row>
    <row r="20" spans="1:10" ht="12.75" customHeight="1">
      <c r="A20" s="165" t="s">
        <v>159</v>
      </c>
      <c r="B20" s="184" t="s">
        <v>455</v>
      </c>
      <c r="C20" s="539">
        <v>19383</v>
      </c>
      <c r="D20" s="539">
        <v>4639</v>
      </c>
      <c r="E20" s="53">
        <v>4639</v>
      </c>
      <c r="F20" s="171" t="s">
        <v>331</v>
      </c>
      <c r="G20" s="53"/>
      <c r="H20" s="53"/>
      <c r="I20" s="54"/>
      <c r="J20" s="1168"/>
    </row>
    <row r="21" spans="1:10" ht="12.75" customHeight="1">
      <c r="A21" s="182" t="s">
        <v>160</v>
      </c>
      <c r="B21" s="184" t="s">
        <v>456</v>
      </c>
      <c r="C21" s="539"/>
      <c r="D21" s="539"/>
      <c r="E21" s="53"/>
      <c r="F21" s="171" t="s">
        <v>268</v>
      </c>
      <c r="G21" s="53"/>
      <c r="H21" s="53"/>
      <c r="I21" s="54"/>
      <c r="J21" s="1168"/>
    </row>
    <row r="22" spans="1:10" ht="12.75" customHeight="1">
      <c r="A22" s="165" t="s">
        <v>161</v>
      </c>
      <c r="B22" s="184" t="s">
        <v>457</v>
      </c>
      <c r="C22" s="539"/>
      <c r="D22" s="539"/>
      <c r="E22" s="53"/>
      <c r="F22" s="171" t="s">
        <v>269</v>
      </c>
      <c r="G22" s="53"/>
      <c r="H22" s="53"/>
      <c r="I22" s="54"/>
      <c r="J22" s="1168"/>
    </row>
    <row r="23" spans="1:10" ht="12.75" customHeight="1">
      <c r="A23" s="182" t="s">
        <v>162</v>
      </c>
      <c r="B23" s="184" t="s">
        <v>458</v>
      </c>
      <c r="C23" s="539"/>
      <c r="D23" s="539"/>
      <c r="E23" s="53"/>
      <c r="F23" s="169" t="s">
        <v>430</v>
      </c>
      <c r="G23" s="53"/>
      <c r="H23" s="53"/>
      <c r="I23" s="54"/>
      <c r="J23" s="1168"/>
    </row>
    <row r="24" spans="1:10" ht="12.75" customHeight="1">
      <c r="A24" s="165" t="s">
        <v>163</v>
      </c>
      <c r="B24" s="185" t="s">
        <v>459</v>
      </c>
      <c r="C24" s="539"/>
      <c r="D24" s="539"/>
      <c r="E24" s="53"/>
      <c r="F24" s="171" t="s">
        <v>332</v>
      </c>
      <c r="G24" s="53"/>
      <c r="H24" s="53"/>
      <c r="I24" s="54"/>
      <c r="J24" s="1168"/>
    </row>
    <row r="25" spans="1:10" ht="12.75" customHeight="1">
      <c r="A25" s="182" t="s">
        <v>164</v>
      </c>
      <c r="B25" s="186" t="s">
        <v>460</v>
      </c>
      <c r="C25" s="546">
        <f>+C26+C27+C28+C29+C30</f>
        <v>0</v>
      </c>
      <c r="D25" s="546"/>
      <c r="E25" s="173">
        <f>+E26+E27+E28+E29+E30</f>
        <v>0</v>
      </c>
      <c r="F25" s="187" t="s">
        <v>330</v>
      </c>
      <c r="G25" s="53"/>
      <c r="H25" s="53"/>
      <c r="I25" s="54"/>
      <c r="J25" s="1168"/>
    </row>
    <row r="26" spans="1:10" ht="12.75" customHeight="1">
      <c r="A26" s="165" t="s">
        <v>165</v>
      </c>
      <c r="B26" s="185" t="s">
        <v>461</v>
      </c>
      <c r="C26" s="539"/>
      <c r="D26" s="539"/>
      <c r="E26" s="53"/>
      <c r="F26" s="187" t="s">
        <v>468</v>
      </c>
      <c r="G26" s="53"/>
      <c r="H26" s="53"/>
      <c r="I26" s="54"/>
      <c r="J26" s="1168"/>
    </row>
    <row r="27" spans="1:10" ht="12.75" customHeight="1">
      <c r="A27" s="182" t="s">
        <v>166</v>
      </c>
      <c r="B27" s="185" t="s">
        <v>462</v>
      </c>
      <c r="C27" s="539"/>
      <c r="D27" s="539"/>
      <c r="E27" s="53"/>
      <c r="F27" s="179"/>
      <c r="G27" s="53"/>
      <c r="H27" s="53"/>
      <c r="I27" s="54"/>
      <c r="J27" s="1168"/>
    </row>
    <row r="28" spans="1:10" ht="12.75" customHeight="1">
      <c r="A28" s="165" t="s">
        <v>167</v>
      </c>
      <c r="B28" s="184" t="s">
        <v>463</v>
      </c>
      <c r="C28" s="539"/>
      <c r="D28" s="539"/>
      <c r="E28" s="53"/>
      <c r="F28" s="57"/>
      <c r="G28" s="53"/>
      <c r="H28" s="53"/>
      <c r="I28" s="54"/>
      <c r="J28" s="1168"/>
    </row>
    <row r="29" spans="1:10" ht="12.75" customHeight="1">
      <c r="A29" s="182" t="s">
        <v>168</v>
      </c>
      <c r="B29" s="188" t="s">
        <v>464</v>
      </c>
      <c r="C29" s="539"/>
      <c r="D29" s="539"/>
      <c r="E29" s="53"/>
      <c r="F29" s="35"/>
      <c r="G29" s="53"/>
      <c r="H29" s="53"/>
      <c r="I29" s="54"/>
      <c r="J29" s="1168"/>
    </row>
    <row r="30" spans="1:10" ht="12.75" customHeight="1" thickBot="1">
      <c r="A30" s="165" t="s">
        <v>169</v>
      </c>
      <c r="B30" s="189" t="s">
        <v>465</v>
      </c>
      <c r="C30" s="539"/>
      <c r="D30" s="539"/>
      <c r="E30" s="53"/>
      <c r="F30" s="57"/>
      <c r="G30" s="53"/>
      <c r="H30" s="53"/>
      <c r="I30" s="54"/>
      <c r="J30" s="1168"/>
    </row>
    <row r="31" spans="1:10" ht="21.75" customHeight="1" thickBot="1">
      <c r="A31" s="167" t="s">
        <v>170</v>
      </c>
      <c r="B31" s="60" t="s">
        <v>504</v>
      </c>
      <c r="C31" s="144">
        <f>+C19+C25</f>
        <v>19383</v>
      </c>
      <c r="D31" s="144">
        <f>+D19+D25</f>
        <v>4639</v>
      </c>
      <c r="E31" s="144">
        <f>+E19+E25</f>
        <v>4639</v>
      </c>
      <c r="F31" s="60" t="s">
        <v>505</v>
      </c>
      <c r="G31" s="144">
        <f>SUM(G19:G30)</f>
        <v>0</v>
      </c>
      <c r="H31" s="144">
        <f>SUM(H19:H30)</f>
        <v>0</v>
      </c>
      <c r="I31" s="149">
        <f>SUM(I19:I30)</f>
        <v>0</v>
      </c>
      <c r="J31" s="1168"/>
    </row>
    <row r="32" spans="1:10" ht="18" customHeight="1" thickBot="1">
      <c r="A32" s="167" t="s">
        <v>171</v>
      </c>
      <c r="B32" s="174" t="s">
        <v>506</v>
      </c>
      <c r="C32" s="144">
        <f>+C18+C31</f>
        <v>21758</v>
      </c>
      <c r="D32" s="144">
        <f>+D18+D31</f>
        <v>6662</v>
      </c>
      <c r="E32" s="144">
        <f>+E18+E31</f>
        <v>6662</v>
      </c>
      <c r="F32" s="174" t="s">
        <v>509</v>
      </c>
      <c r="G32" s="144">
        <f>+G18+G31</f>
        <v>21758</v>
      </c>
      <c r="H32" s="144">
        <f>+H18+H31</f>
        <v>119604</v>
      </c>
      <c r="I32" s="149">
        <f>+I18+I31</f>
        <v>18942</v>
      </c>
      <c r="J32" s="1168"/>
    </row>
    <row r="33" spans="1:10" ht="18" customHeight="1" thickBot="1">
      <c r="A33" s="167" t="s">
        <v>172</v>
      </c>
      <c r="B33" s="60" t="s">
        <v>426</v>
      </c>
      <c r="C33" s="178"/>
      <c r="D33" s="178"/>
      <c r="E33" s="178"/>
      <c r="F33" s="60" t="s">
        <v>432</v>
      </c>
      <c r="G33" s="178"/>
      <c r="H33" s="178"/>
      <c r="I33" s="177"/>
      <c r="J33" s="1168"/>
    </row>
    <row r="34" spans="1:10" ht="13.5" thickBot="1">
      <c r="A34" s="167" t="s">
        <v>173</v>
      </c>
      <c r="B34" s="175" t="s">
        <v>507</v>
      </c>
      <c r="C34" s="288">
        <f>+C32+C33</f>
        <v>21758</v>
      </c>
      <c r="D34" s="288">
        <f>+D32+D33</f>
        <v>6662</v>
      </c>
      <c r="E34" s="176">
        <f>+E32+E33</f>
        <v>6662</v>
      </c>
      <c r="F34" s="175" t="s">
        <v>508</v>
      </c>
      <c r="G34" s="288">
        <f>+G32+G33</f>
        <v>21758</v>
      </c>
      <c r="H34" s="288">
        <f>+H32+H33</f>
        <v>119604</v>
      </c>
      <c r="I34" s="289">
        <f>+I32+I33</f>
        <v>18942</v>
      </c>
      <c r="J34" s="1168"/>
    </row>
    <row r="35" spans="1:10" ht="13.5" thickBot="1">
      <c r="A35" s="167" t="s">
        <v>239</v>
      </c>
      <c r="B35" s="175" t="s">
        <v>274</v>
      </c>
      <c r="C35" s="288">
        <f>IF(C18-G18&lt;0,G18-C18,"-")</f>
        <v>19383</v>
      </c>
      <c r="D35" s="288">
        <f>IF(D18-H18&lt;0,H18-D18,"-")</f>
        <v>117581</v>
      </c>
      <c r="E35" s="176">
        <f>IF(E18-I18&lt;0,I18-E18,"-")</f>
        <v>16919</v>
      </c>
      <c r="F35" s="175" t="s">
        <v>275</v>
      </c>
      <c r="G35" s="288" t="str">
        <f>IF(C18-G18&gt;0,C18-G18,"-")</f>
        <v>-</v>
      </c>
      <c r="H35" s="288" t="str">
        <f>IF(D18-H18&gt;0,D18-H18,"-")</f>
        <v>-</v>
      </c>
      <c r="I35" s="289" t="str">
        <f>IF(E18-I18&gt;0,E18-I18,"-")</f>
        <v>-</v>
      </c>
      <c r="J35" s="1168"/>
    </row>
    <row r="36" spans="1:10" ht="13.5" thickBot="1">
      <c r="A36" s="167" t="s">
        <v>503</v>
      </c>
      <c r="B36" s="175" t="s">
        <v>434</v>
      </c>
      <c r="C36" s="288" t="str">
        <f>IF(C18+C19-G32&lt;0,G32-(C18+C19),"-")</f>
        <v>-</v>
      </c>
      <c r="D36" s="288">
        <f>IF(D18+D19-H32&lt;0,H32-(D18+D19),"-")</f>
        <v>112942</v>
      </c>
      <c r="E36" s="176">
        <f>IF(E18+E19-I32&lt;0,I32-(E18+E19),"-")</f>
        <v>12280</v>
      </c>
      <c r="F36" s="175" t="s">
        <v>435</v>
      </c>
      <c r="G36" s="288" t="str">
        <f>IF(C18+C19-G32&gt;0,C18+C19-G32,"-")</f>
        <v>-</v>
      </c>
      <c r="H36" s="288" t="str">
        <f>IF(D18+D19-H32&gt;0,D18+D19-H32,"-")</f>
        <v>-</v>
      </c>
      <c r="I36" s="289" t="str">
        <f>IF(E18+E19-I32&gt;0,E18+E19-I32,"-")</f>
        <v>-</v>
      </c>
      <c r="J36" s="1168"/>
    </row>
  </sheetData>
  <sheetProtection/>
  <mergeCells count="2">
    <mergeCell ref="A3:A4"/>
    <mergeCell ref="J1:J3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D41" sqref="D41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61" t="s">
        <v>259</v>
      </c>
      <c r="E1" s="62" t="s">
        <v>265</v>
      </c>
    </row>
    <row r="3" spans="1:5" ht="12.75">
      <c r="A3" s="63"/>
      <c r="B3" s="64"/>
      <c r="C3" s="63"/>
      <c r="D3" s="66"/>
      <c r="E3" s="64"/>
    </row>
    <row r="4" spans="1:5" ht="15.75">
      <c r="A4" s="55" t="s">
        <v>129</v>
      </c>
      <c r="B4" s="65"/>
      <c r="C4" s="72"/>
      <c r="D4" s="66"/>
      <c r="E4" s="64"/>
    </row>
    <row r="5" spans="1:5" ht="12.75">
      <c r="A5" s="63"/>
      <c r="B5" s="64"/>
      <c r="C5" s="63"/>
      <c r="D5" s="66"/>
      <c r="E5" s="64"/>
    </row>
    <row r="6" spans="1:5" ht="12.75">
      <c r="A6" s="63" t="s">
        <v>340</v>
      </c>
      <c r="B6" s="64">
        <f>+'1.1.sz.mell.'!C54</f>
        <v>226956</v>
      </c>
      <c r="C6" s="63" t="s">
        <v>512</v>
      </c>
      <c r="D6" s="66">
        <f>+'2.1.sz.mell  '!C18+'2.2.sz.mell  '!C18</f>
        <v>226956</v>
      </c>
      <c r="E6" s="64">
        <f>+B6-D6</f>
        <v>0</v>
      </c>
    </row>
    <row r="7" spans="1:5" ht="12.75">
      <c r="A7" s="63" t="s">
        <v>260</v>
      </c>
      <c r="B7" s="64">
        <f>+'1.1.sz.mell.'!C68</f>
        <v>291956</v>
      </c>
      <c r="C7" s="63" t="s">
        <v>519</v>
      </c>
      <c r="D7" s="66">
        <f>+'2.1.sz.mell  '!C28+'2.2.sz.mell  '!C32</f>
        <v>291956</v>
      </c>
      <c r="E7" s="64">
        <f>+B7-D7</f>
        <v>0</v>
      </c>
    </row>
    <row r="8" spans="1:5" ht="12.75">
      <c r="A8" s="63" t="s">
        <v>479</v>
      </c>
      <c r="B8" s="64">
        <f>+'1.1.sz.mell.'!C70</f>
        <v>291956</v>
      </c>
      <c r="C8" s="63" t="s">
        <v>524</v>
      </c>
      <c r="D8" s="66">
        <f>+'2.1.sz.mell  '!C30+'2.2.sz.mell  '!C34</f>
        <v>291956</v>
      </c>
      <c r="E8" s="64">
        <f>+B8-D8</f>
        <v>0</v>
      </c>
    </row>
    <row r="9" spans="1:5" ht="12.75">
      <c r="A9" s="63"/>
      <c r="B9" s="64"/>
      <c r="C9" s="63"/>
      <c r="D9" s="66"/>
      <c r="E9" s="64"/>
    </row>
    <row r="10" spans="1:5" ht="15.75">
      <c r="A10" s="55" t="s">
        <v>131</v>
      </c>
      <c r="B10" s="65"/>
      <c r="C10" s="72"/>
      <c r="D10" s="66"/>
      <c r="E10" s="64"/>
    </row>
    <row r="11" spans="1:5" ht="12.75">
      <c r="A11" s="63"/>
      <c r="B11" s="64"/>
      <c r="C11" s="63"/>
      <c r="D11" s="66"/>
      <c r="E11" s="64"/>
    </row>
    <row r="12" spans="1:5" ht="12.75">
      <c r="A12" s="63" t="s">
        <v>496</v>
      </c>
      <c r="B12" s="64">
        <f>+'1.1.sz.mell.'!D54</f>
        <v>395081</v>
      </c>
      <c r="C12" s="63" t="s">
        <v>513</v>
      </c>
      <c r="D12" s="66">
        <f>+'2.1.sz.mell  '!D18+'2.2.sz.mell  '!D18</f>
        <v>395081</v>
      </c>
      <c r="E12" s="64">
        <f>+B12-D12</f>
        <v>0</v>
      </c>
    </row>
    <row r="13" spans="1:5" ht="12.75">
      <c r="A13" s="63" t="s">
        <v>497</v>
      </c>
      <c r="B13" s="64">
        <f>+'1.1.sz.mell.'!D68</f>
        <v>466046</v>
      </c>
      <c r="C13" s="63" t="s">
        <v>520</v>
      </c>
      <c r="D13" s="66">
        <f>+'2.1.sz.mell  '!D28+'2.2.sz.mell  '!D32</f>
        <v>466046</v>
      </c>
      <c r="E13" s="64">
        <f>+B13-D13</f>
        <v>0</v>
      </c>
    </row>
    <row r="14" spans="1:5" ht="12.75">
      <c r="A14" s="63" t="s">
        <v>498</v>
      </c>
      <c r="B14" s="64">
        <f>+'1.1.sz.mell.'!D70</f>
        <v>466046</v>
      </c>
      <c r="C14" s="63" t="s">
        <v>525</v>
      </c>
      <c r="D14" s="66">
        <f>+'2.1.sz.mell  '!D30+'2.2.sz.mell  '!D34</f>
        <v>466046</v>
      </c>
      <c r="E14" s="64">
        <f>+B14-D14</f>
        <v>0</v>
      </c>
    </row>
    <row r="15" spans="1:5" ht="12.75">
      <c r="A15" s="63"/>
      <c r="B15" s="64"/>
      <c r="C15" s="63"/>
      <c r="D15" s="66"/>
      <c r="E15" s="64"/>
    </row>
    <row r="16" spans="1:5" ht="14.25">
      <c r="A16" s="214" t="s">
        <v>657</v>
      </c>
      <c r="C16" s="72"/>
      <c r="D16" s="66"/>
      <c r="E16" s="64"/>
    </row>
    <row r="17" spans="1:5" ht="12.75">
      <c r="A17" s="63"/>
      <c r="B17" s="64"/>
      <c r="C17" s="63"/>
      <c r="D17" s="66"/>
      <c r="E17" s="64"/>
    </row>
    <row r="18" spans="1:5" ht="12.75">
      <c r="A18" s="63" t="s">
        <v>499</v>
      </c>
      <c r="B18" s="64">
        <f>+'1.1.sz.mell.'!E54</f>
        <v>399711</v>
      </c>
      <c r="C18" s="63" t="s">
        <v>514</v>
      </c>
      <c r="D18" s="66">
        <f>+'2.1.sz.mell  '!E18+'2.2.sz.mell  '!E18</f>
        <v>399711</v>
      </c>
      <c r="E18" s="64">
        <f>+B18-D18</f>
        <v>0</v>
      </c>
    </row>
    <row r="19" spans="1:5" ht="12.75">
      <c r="A19" s="63" t="s">
        <v>494</v>
      </c>
      <c r="B19" s="64">
        <f>+'1.1.sz.mell.'!E68</f>
        <v>470676</v>
      </c>
      <c r="C19" s="63" t="s">
        <v>521</v>
      </c>
      <c r="D19" s="66">
        <f>+'2.1.sz.mell  '!E28+'2.2.sz.mell  '!E32</f>
        <v>470676</v>
      </c>
      <c r="E19" s="64">
        <f>+B19-D19</f>
        <v>0</v>
      </c>
    </row>
    <row r="20" spans="1:5" ht="12.75">
      <c r="A20" s="63" t="s">
        <v>500</v>
      </c>
      <c r="B20" s="64">
        <f>+'1.1.sz.mell.'!E70</f>
        <v>471435</v>
      </c>
      <c r="C20" s="63" t="s">
        <v>653</v>
      </c>
      <c r="D20" s="66">
        <f>+'2.1.sz.mell  '!E30+'2.2.sz.mell  '!E34</f>
        <v>471435</v>
      </c>
      <c r="E20" s="64">
        <f>+B20-D20</f>
        <v>0</v>
      </c>
    </row>
    <row r="21" spans="1:5" ht="12.75">
      <c r="A21" s="63"/>
      <c r="B21" s="64"/>
      <c r="C21" s="63"/>
      <c r="D21" s="66"/>
      <c r="E21" s="64"/>
    </row>
    <row r="22" spans="1:5" ht="15.75">
      <c r="A22" s="55" t="s">
        <v>130</v>
      </c>
      <c r="B22" s="65"/>
      <c r="C22" s="72"/>
      <c r="D22" s="66"/>
      <c r="E22" s="64"/>
    </row>
    <row r="23" spans="1:5" ht="12.75">
      <c r="A23" s="63"/>
      <c r="B23" s="64"/>
      <c r="C23" s="63"/>
      <c r="D23" s="66"/>
      <c r="E23" s="64"/>
    </row>
    <row r="24" spans="1:5" ht="12.75">
      <c r="A24" s="63" t="s">
        <v>273</v>
      </c>
      <c r="B24" s="64">
        <f>+'1.1.sz.mell.'!C105</f>
        <v>291956</v>
      </c>
      <c r="C24" s="63" t="s">
        <v>515</v>
      </c>
      <c r="D24" s="66">
        <f>+'2.1.sz.mell  '!G18+'2.2.sz.mell  '!G18</f>
        <v>291956</v>
      </c>
      <c r="E24" s="64">
        <f>+B24-D24</f>
        <v>0</v>
      </c>
    </row>
    <row r="25" spans="1:5" ht="12.75">
      <c r="A25" s="63" t="s">
        <v>261</v>
      </c>
      <c r="B25" s="64">
        <f>+'1.1.sz.mell.'!C124</f>
        <v>291956</v>
      </c>
      <c r="C25" s="63" t="s">
        <v>522</v>
      </c>
      <c r="D25" s="66">
        <f>+'2.1.sz.mell  '!G28+'2.2.sz.mell  '!G32</f>
        <v>291956</v>
      </c>
      <c r="E25" s="64">
        <f>+B25-D25</f>
        <v>0</v>
      </c>
    </row>
    <row r="26" spans="1:5" ht="12.75">
      <c r="A26" s="63" t="s">
        <v>480</v>
      </c>
      <c r="B26" s="64">
        <f>+'1.1.sz.mell.'!C126</f>
        <v>291956</v>
      </c>
      <c r="C26" s="63" t="s">
        <v>654</v>
      </c>
      <c r="D26" s="66">
        <f>+'2.1.sz.mell  '!G30+'2.2.sz.mell  '!G34</f>
        <v>291956</v>
      </c>
      <c r="E26" s="64">
        <f>+B26-D26</f>
        <v>0</v>
      </c>
    </row>
    <row r="27" spans="1:5" ht="12.75">
      <c r="A27" s="63"/>
      <c r="B27" s="64"/>
      <c r="C27" s="63"/>
      <c r="D27" s="66"/>
      <c r="E27" s="64"/>
    </row>
    <row r="28" spans="1:5" ht="15.75">
      <c r="A28" s="55" t="s">
        <v>132</v>
      </c>
      <c r="B28" s="65"/>
      <c r="C28" s="72"/>
      <c r="D28" s="66"/>
      <c r="E28" s="64"/>
    </row>
    <row r="29" spans="1:5" ht="12.75">
      <c r="A29" s="63"/>
      <c r="B29" s="64"/>
      <c r="C29" s="63"/>
      <c r="D29" s="66"/>
      <c r="E29" s="64"/>
    </row>
    <row r="30" spans="1:5" ht="12.75">
      <c r="A30" s="63" t="s">
        <v>501</v>
      </c>
      <c r="B30" s="64">
        <f>+'1.1.sz.mell.'!D105</f>
        <v>466046</v>
      </c>
      <c r="C30" s="63" t="s">
        <v>516</v>
      </c>
      <c r="D30" s="66">
        <f>+'2.1.sz.mell  '!H18+'2.2.sz.mell  '!H18</f>
        <v>466046</v>
      </c>
      <c r="E30" s="64">
        <f>+B30-D30</f>
        <v>0</v>
      </c>
    </row>
    <row r="31" spans="1:5" ht="12.75">
      <c r="A31" s="63" t="s">
        <v>133</v>
      </c>
      <c r="B31" s="64">
        <f>+'1.1.sz.mell.'!D124</f>
        <v>466046</v>
      </c>
      <c r="C31" s="63" t="s">
        <v>523</v>
      </c>
      <c r="D31" s="66">
        <f>+'2.1.sz.mell  '!H28+'2.2.sz.mell  '!H32</f>
        <v>466046</v>
      </c>
      <c r="E31" s="64">
        <f>+B31-D31</f>
        <v>0</v>
      </c>
    </row>
    <row r="32" spans="1:5" ht="12.75">
      <c r="A32" s="63" t="s">
        <v>134</v>
      </c>
      <c r="B32" s="64">
        <f>+'1.1.sz.mell.'!D126</f>
        <v>466046</v>
      </c>
      <c r="C32" s="63" t="s">
        <v>655</v>
      </c>
      <c r="D32" s="66">
        <f>+'2.1.sz.mell  '!H30+'2.2.sz.mell  '!H34</f>
        <v>466046</v>
      </c>
      <c r="E32" s="64">
        <f>+B32-D32</f>
        <v>0</v>
      </c>
    </row>
    <row r="33" spans="1:5" ht="12.75">
      <c r="A33" s="63"/>
      <c r="B33" s="64"/>
      <c r="C33" s="63"/>
      <c r="D33" s="66"/>
      <c r="E33" s="64"/>
    </row>
    <row r="34" spans="1:5" ht="15.75">
      <c r="A34" s="215" t="s">
        <v>658</v>
      </c>
      <c r="B34" s="65"/>
      <c r="C34" s="72"/>
      <c r="D34" s="66"/>
      <c r="E34" s="64"/>
    </row>
    <row r="35" spans="1:5" ht="12.75">
      <c r="A35" s="63"/>
      <c r="B35" s="64"/>
      <c r="C35" s="63"/>
      <c r="D35" s="66"/>
      <c r="E35" s="64"/>
    </row>
    <row r="36" spans="1:5" ht="12.75">
      <c r="A36" s="63" t="s">
        <v>495</v>
      </c>
      <c r="B36" s="64">
        <f>+'1.1.sz.mell.'!E105</f>
        <v>318669</v>
      </c>
      <c r="C36" s="63" t="s">
        <v>517</v>
      </c>
      <c r="D36" s="66">
        <f>+'2.1.sz.mell  '!I18+'2.2.sz.mell  '!I18</f>
        <v>318669</v>
      </c>
      <c r="E36" s="64">
        <f>+B36-D36</f>
        <v>0</v>
      </c>
    </row>
    <row r="37" spans="1:5" ht="12.75">
      <c r="A37" s="63" t="s">
        <v>136</v>
      </c>
      <c r="B37" s="64">
        <f>+'1.1.sz.mell.'!E124</f>
        <v>318669</v>
      </c>
      <c r="C37" s="63" t="s">
        <v>518</v>
      </c>
      <c r="D37" s="66">
        <f>+'2.1.sz.mell  '!I28+'2.2.sz.mell  '!I32</f>
        <v>318669</v>
      </c>
      <c r="E37" s="64">
        <f>+B37-D37</f>
        <v>0</v>
      </c>
    </row>
    <row r="38" spans="1:5" ht="12.75">
      <c r="A38" s="63" t="s">
        <v>135</v>
      </c>
      <c r="B38" s="64">
        <f>+'1.1.sz.mell.'!E126</f>
        <v>316753</v>
      </c>
      <c r="C38" s="63" t="s">
        <v>656</v>
      </c>
      <c r="D38" s="66">
        <f>+'2.1.sz.mell  '!I30+'2.2.sz.mell  '!I34</f>
        <v>316753</v>
      </c>
      <c r="E38" s="64">
        <f>+B38-D38</f>
        <v>0</v>
      </c>
    </row>
  </sheetData>
  <sheetProtection sheet="1" objects="1" scenarios="1"/>
  <conditionalFormatting sqref="E3:E38">
    <cfRule type="cellIs" priority="1" dxfId="0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workbookViewId="0" topLeftCell="A1">
      <selection activeCell="A15" sqref="A15:F19"/>
    </sheetView>
  </sheetViews>
  <sheetFormatPr defaultColWidth="9.00390625" defaultRowHeight="12.75"/>
  <cols>
    <col min="1" max="1" width="42.375" style="33" customWidth="1"/>
    <col min="2" max="7" width="15.625" style="32" customWidth="1"/>
    <col min="8" max="16384" width="9.375" style="32" customWidth="1"/>
  </cols>
  <sheetData>
    <row r="1" spans="1:7" ht="18" customHeight="1">
      <c r="A1" s="1170" t="s">
        <v>140</v>
      </c>
      <c r="B1" s="1170"/>
      <c r="C1" s="1170"/>
      <c r="D1" s="1170"/>
      <c r="E1" s="1170"/>
      <c r="F1" s="1170"/>
      <c r="G1" s="1170"/>
    </row>
    <row r="2" spans="1:7" ht="22.5" customHeight="1" thickBot="1">
      <c r="A2" s="78"/>
      <c r="B2" s="41"/>
      <c r="C2" s="41"/>
      <c r="D2" s="41"/>
      <c r="E2" s="41"/>
      <c r="F2" s="1169" t="s">
        <v>187</v>
      </c>
      <c r="G2" s="1169"/>
    </row>
    <row r="3" spans="1:7" s="34" customFormat="1" ht="50.25" customHeight="1" thickBot="1">
      <c r="A3" s="79" t="s">
        <v>191</v>
      </c>
      <c r="B3" s="80" t="s">
        <v>192</v>
      </c>
      <c r="C3" s="80" t="s">
        <v>193</v>
      </c>
      <c r="D3" s="80" t="s">
        <v>139</v>
      </c>
      <c r="E3" s="80" t="s">
        <v>128</v>
      </c>
      <c r="F3" s="292" t="s">
        <v>661</v>
      </c>
      <c r="G3" s="291" t="s">
        <v>662</v>
      </c>
    </row>
    <row r="4" spans="1:7" s="41" customFormat="1" ht="12" customHeight="1" thickBot="1">
      <c r="A4" s="38">
        <v>1</v>
      </c>
      <c r="B4" s="39">
        <v>2</v>
      </c>
      <c r="C4" s="39">
        <v>3</v>
      </c>
      <c r="D4" s="39">
        <v>4</v>
      </c>
      <c r="E4" s="39">
        <v>5</v>
      </c>
      <c r="F4" s="216" t="s">
        <v>150</v>
      </c>
      <c r="G4" s="40" t="s">
        <v>493</v>
      </c>
    </row>
    <row r="5" spans="1:7" ht="15.75" customHeight="1">
      <c r="A5" s="555" t="s">
        <v>91</v>
      </c>
      <c r="B5" s="556">
        <v>200</v>
      </c>
      <c r="C5" s="557">
        <v>2013</v>
      </c>
      <c r="D5" s="556">
        <v>0</v>
      </c>
      <c r="E5" s="556">
        <v>200</v>
      </c>
      <c r="F5" s="217">
        <v>200</v>
      </c>
      <c r="G5" s="218">
        <f>+D5+F5</f>
        <v>200</v>
      </c>
    </row>
    <row r="6" spans="1:7" ht="15.75" customHeight="1">
      <c r="A6" s="555" t="s">
        <v>92</v>
      </c>
      <c r="B6" s="556">
        <v>300</v>
      </c>
      <c r="C6" s="557">
        <v>2013</v>
      </c>
      <c r="D6" s="556"/>
      <c r="E6" s="556">
        <v>300</v>
      </c>
      <c r="F6" s="217">
        <v>300</v>
      </c>
      <c r="G6" s="218">
        <f aca="true" t="shared" si="0" ref="G6:G23">+D6+F6</f>
        <v>300</v>
      </c>
    </row>
    <row r="7" spans="1:7" ht="15.75" customHeight="1">
      <c r="A7" s="555" t="s">
        <v>93</v>
      </c>
      <c r="B7" s="556">
        <v>215</v>
      </c>
      <c r="C7" s="557">
        <v>2013</v>
      </c>
      <c r="D7" s="556"/>
      <c r="E7" s="556">
        <v>215</v>
      </c>
      <c r="F7" s="217">
        <v>215</v>
      </c>
      <c r="G7" s="218">
        <f t="shared" si="0"/>
        <v>215</v>
      </c>
    </row>
    <row r="8" spans="1:7" ht="15.75" customHeight="1">
      <c r="A8" s="555" t="s">
        <v>94</v>
      </c>
      <c r="B8" s="556">
        <v>540</v>
      </c>
      <c r="C8" s="557">
        <v>2013</v>
      </c>
      <c r="D8" s="556"/>
      <c r="E8" s="556">
        <v>540</v>
      </c>
      <c r="F8" s="217">
        <v>540</v>
      </c>
      <c r="G8" s="218">
        <f t="shared" si="0"/>
        <v>540</v>
      </c>
    </row>
    <row r="9" spans="1:7" ht="15.75" customHeight="1">
      <c r="A9" s="555" t="s">
        <v>95</v>
      </c>
      <c r="B9" s="556">
        <v>365</v>
      </c>
      <c r="C9" s="557">
        <v>2013</v>
      </c>
      <c r="D9" s="556"/>
      <c r="E9" s="556">
        <v>365</v>
      </c>
      <c r="F9" s="217">
        <v>365</v>
      </c>
      <c r="G9" s="218">
        <f t="shared" si="0"/>
        <v>365</v>
      </c>
    </row>
    <row r="10" spans="1:7" ht="15.75" customHeight="1">
      <c r="A10" s="555" t="s">
        <v>93</v>
      </c>
      <c r="B10" s="556">
        <v>400</v>
      </c>
      <c r="C10" s="557">
        <v>2013</v>
      </c>
      <c r="D10" s="556"/>
      <c r="E10" s="556">
        <v>400</v>
      </c>
      <c r="F10" s="217">
        <v>400</v>
      </c>
      <c r="G10" s="218">
        <f t="shared" si="0"/>
        <v>400</v>
      </c>
    </row>
    <row r="11" spans="1:7" ht="15.75" customHeight="1">
      <c r="A11" s="555" t="s">
        <v>96</v>
      </c>
      <c r="B11" s="556">
        <v>43</v>
      </c>
      <c r="C11" s="557">
        <v>2013</v>
      </c>
      <c r="D11" s="556"/>
      <c r="E11" s="556">
        <v>43</v>
      </c>
      <c r="F11" s="217">
        <v>43</v>
      </c>
      <c r="G11" s="218">
        <f t="shared" si="0"/>
        <v>43</v>
      </c>
    </row>
    <row r="12" spans="1:7" ht="15.75" customHeight="1">
      <c r="A12" s="558" t="s">
        <v>97</v>
      </c>
      <c r="B12" s="556">
        <v>117</v>
      </c>
      <c r="C12" s="557">
        <v>2013</v>
      </c>
      <c r="D12" s="556"/>
      <c r="E12" s="556">
        <v>117</v>
      </c>
      <c r="F12" s="217">
        <f>E12</f>
        <v>117</v>
      </c>
      <c r="G12" s="218">
        <f t="shared" si="0"/>
        <v>117</v>
      </c>
    </row>
    <row r="13" spans="1:7" ht="15.75" customHeight="1">
      <c r="A13" s="555" t="s">
        <v>98</v>
      </c>
      <c r="B13" s="556">
        <v>10</v>
      </c>
      <c r="C13" s="559">
        <v>2013</v>
      </c>
      <c r="D13" s="556"/>
      <c r="E13" s="556">
        <v>10</v>
      </c>
      <c r="F13" s="217">
        <f>E13</f>
        <v>10</v>
      </c>
      <c r="G13" s="218">
        <f t="shared" si="0"/>
        <v>10</v>
      </c>
    </row>
    <row r="14" spans="1:7" ht="15.75" customHeight="1">
      <c r="A14" s="555" t="s">
        <v>99</v>
      </c>
      <c r="B14" s="556">
        <v>300</v>
      </c>
      <c r="C14" s="559">
        <v>2013</v>
      </c>
      <c r="D14" s="556"/>
      <c r="E14" s="556">
        <v>300</v>
      </c>
      <c r="F14" s="217">
        <f>E14</f>
        <v>300</v>
      </c>
      <c r="G14" s="218">
        <f>+D14+F14</f>
        <v>300</v>
      </c>
    </row>
    <row r="15" spans="1:7" ht="15.75" customHeight="1">
      <c r="A15" s="555"/>
      <c r="B15" s="556"/>
      <c r="C15" s="559"/>
      <c r="D15" s="556"/>
      <c r="E15" s="556"/>
      <c r="F15" s="217"/>
      <c r="G15" s="218">
        <f t="shared" si="0"/>
        <v>0</v>
      </c>
    </row>
    <row r="16" spans="1:7" ht="15.75" customHeight="1">
      <c r="A16" s="555"/>
      <c r="B16" s="556"/>
      <c r="C16" s="559"/>
      <c r="D16" s="556"/>
      <c r="E16" s="556"/>
      <c r="F16" s="217"/>
      <c r="G16" s="218">
        <f t="shared" si="0"/>
        <v>0</v>
      </c>
    </row>
    <row r="17" spans="1:7" ht="15.75" customHeight="1">
      <c r="A17" s="555"/>
      <c r="B17" s="556"/>
      <c r="C17" s="559"/>
      <c r="D17" s="556"/>
      <c r="E17" s="556"/>
      <c r="F17" s="217"/>
      <c r="G17" s="218">
        <f t="shared" si="0"/>
        <v>0</v>
      </c>
    </row>
    <row r="18" spans="1:7" ht="15.75" customHeight="1">
      <c r="A18" s="555"/>
      <c r="B18" s="556"/>
      <c r="C18" s="559"/>
      <c r="D18" s="556"/>
      <c r="E18" s="556"/>
      <c r="F18" s="217"/>
      <c r="G18" s="218">
        <f t="shared" si="0"/>
        <v>0</v>
      </c>
    </row>
    <row r="19" spans="1:7" ht="15.75" customHeight="1">
      <c r="A19" s="555"/>
      <c r="B19" s="556"/>
      <c r="C19" s="559"/>
      <c r="D19" s="556"/>
      <c r="E19" s="556"/>
      <c r="F19" s="217"/>
      <c r="G19" s="218">
        <f t="shared" si="0"/>
        <v>0</v>
      </c>
    </row>
    <row r="20" spans="1:7" ht="15.75" customHeight="1">
      <c r="A20" s="35"/>
      <c r="B20" s="22"/>
      <c r="C20" s="42"/>
      <c r="D20" s="22"/>
      <c r="E20" s="22"/>
      <c r="F20" s="217"/>
      <c r="G20" s="218">
        <f t="shared" si="0"/>
        <v>0</v>
      </c>
    </row>
    <row r="21" spans="1:7" ht="15.75" customHeight="1">
      <c r="A21" s="35"/>
      <c r="B21" s="22"/>
      <c r="C21" s="42"/>
      <c r="D21" s="22"/>
      <c r="E21" s="22"/>
      <c r="F21" s="217"/>
      <c r="G21" s="218">
        <f t="shared" si="0"/>
        <v>0</v>
      </c>
    </row>
    <row r="22" spans="1:7" ht="15.75" customHeight="1">
      <c r="A22" s="35"/>
      <c r="B22" s="22"/>
      <c r="C22" s="42"/>
      <c r="D22" s="22"/>
      <c r="E22" s="22"/>
      <c r="F22" s="217"/>
      <c r="G22" s="218">
        <f t="shared" si="0"/>
        <v>0</v>
      </c>
    </row>
    <row r="23" spans="1:7" ht="15.75" customHeight="1" thickBot="1">
      <c r="A23" s="43"/>
      <c r="B23" s="23"/>
      <c r="C23" s="44"/>
      <c r="D23" s="23"/>
      <c r="E23" s="23"/>
      <c r="F23" s="219"/>
      <c r="G23" s="218">
        <f t="shared" si="0"/>
        <v>0</v>
      </c>
    </row>
    <row r="24" spans="1:7" s="47" customFormat="1" ht="18" customHeight="1" thickBot="1">
      <c r="A24" s="81" t="s">
        <v>190</v>
      </c>
      <c r="B24" s="45">
        <f>SUM(B5:B23)</f>
        <v>2490</v>
      </c>
      <c r="C24" s="56"/>
      <c r="D24" s="45">
        <f>SUM(D5:D23)</f>
        <v>0</v>
      </c>
      <c r="E24" s="45">
        <f>SUM(E5:E23)</f>
        <v>2490</v>
      </c>
      <c r="F24" s="45">
        <f>SUM(F5:F23)</f>
        <v>2490</v>
      </c>
      <c r="G24" s="46">
        <f>SUM(G5:G23)</f>
        <v>2490</v>
      </c>
    </row>
    <row r="25" spans="6:7" ht="12.75">
      <c r="F25" s="47"/>
      <c r="G25" s="47"/>
    </row>
  </sheetData>
  <sheetProtection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3. melléklet a ....../2014. (......)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Polgármesteri Hivatal Alattyán</cp:lastModifiedBy>
  <cp:lastPrinted>2014-05-06T06:48:50Z</cp:lastPrinted>
  <dcterms:created xsi:type="dcterms:W3CDTF">1999-10-30T10:30:45Z</dcterms:created>
  <dcterms:modified xsi:type="dcterms:W3CDTF">2014-05-06T06:49:10Z</dcterms:modified>
  <cp:category/>
  <cp:version/>
  <cp:contentType/>
  <cp:contentStatus/>
</cp:coreProperties>
</file>