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kiadás" sheetId="1" r:id="rId1"/>
    <sheet name="bevétel" sheetId="2" r:id="rId2"/>
  </sheets>
  <definedNames>
    <definedName name="_xlnm.Print_Area" localSheetId="1">'bevétel'!$A$1:$P$36</definedName>
    <definedName name="_xlnm.Print_Area" localSheetId="0">'kiadás'!$A$7:$P$50</definedName>
  </definedNames>
  <calcPr fullCalcOnLoad="1"/>
</workbook>
</file>

<file path=xl/sharedStrings.xml><?xml version="1.0" encoding="utf-8"?>
<sst xmlns="http://schemas.openxmlformats.org/spreadsheetml/2006/main" count="123" uniqueCount="101">
  <si>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</si>
  <si>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</si>
  <si>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</si>
  <si>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</si>
  <si>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</si>
  <si>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</si>
  <si>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</si>
  <si>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</si>
  <si>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</si>
  <si>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</si>
  <si>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</si>
  <si>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</si>
  <si>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</si>
  <si>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</si>
  <si>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</si>
  <si>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</si>
  <si>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</si>
  <si>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</si>
  <si>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</si>
  <si>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</si>
  <si>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</si>
  <si>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</si>
  <si>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</si>
  <si>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</si>
  <si>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</si>
  <si>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</si>
  <si>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</si>
  <si>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</si>
  <si>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</si>
  <si>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</si>
  <si>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</si>
  <si>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</si>
  <si>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</si>
  <si>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</si>
  <si>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</si>
  <si>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</si>
  <si>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</si>
  <si>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</si>
  <si>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</si>
  <si>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</si>
  <si>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</si>
  <si>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11.számú melléklet</t>
  </si>
  <si>
    <t>Tárgyi eszközök, immat.javak értékesítése</t>
  </si>
  <si>
    <t>11.sz melléklet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</si>
  <si>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</si>
  <si>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</si>
  <si>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</si>
  <si>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</si>
  <si>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</si>
  <si>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</si>
  <si>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</si>
  <si>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</si>
  <si>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</si>
  <si>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</si>
  <si>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</si>
  <si>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</si>
  <si>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</si>
  <si>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r>
      <t xml:space="preserve"> </t>
    </r>
    <r>
      <rPr>
        <b/>
        <sz val="12"/>
        <rFont val="Arial CE"/>
        <family val="2"/>
      </rPr>
      <t>Belváros-Lipótváros Önkormányzata 2014.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</si>
  <si>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2014.évi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</si>
  <si>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</si>
  <si>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</si>
  <si>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</si>
  <si>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</si>
  <si>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</si>
  <si>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</si>
  <si>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</si>
  <si>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</si>
  <si>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</si>
  <si>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</si>
  <si>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</si>
  <si>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</si>
  <si>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</si>
  <si>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</si>
  <si>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</si>
  <si>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</si>
  <si>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</si>
  <si>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</si>
  <si>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</si>
  <si>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</si>
  <si>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</si>
  <si>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</si>
  <si>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</si>
  <si>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</si>
  <si>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</si>
  <si>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</si>
  <si>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</si>
  <si>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</si>
  <si>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</si>
  <si>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</si>
  <si>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</si>
  <si>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</si>
  <si>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>Belváros-Lipótváros Önkormányzata 2014.évi kiadásainak előirányzat-felhasználási ütemterve</t>
  </si>
  <si>
    <t>mód.ei.</t>
  </si>
  <si>
    <t>2014. évi mód.ei.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</si>
  <si>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</si>
  <si>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</si>
  <si>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</si>
  <si>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</si>
  <si>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</si>
  <si>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Betétlekötés megszüntetése</t>
  </si>
  <si>
    <t>Finanszírozási bevételek 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</si>
</sst>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7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3" xfId="0" applyNumberFormat="1" applyFont="1" applyFill="1" applyBorder="1" applyAlignment="1">
      <alignment vertical="center" shrinkToFit="1"/>
    </xf>
    <xf numFmtId="3" fontId="5" fillId="0" borderId="23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3" fontId="7" fillId="0" borderId="27" xfId="0" applyNumberFormat="1" applyFont="1" applyFill="1" applyBorder="1" applyAlignment="1">
      <alignment vertical="center" shrinkToFit="1"/>
    </xf>
    <xf numFmtId="3" fontId="7" fillId="0" borderId="28" xfId="0" applyNumberFormat="1" applyFont="1" applyFill="1" applyBorder="1" applyAlignment="1">
      <alignment vertical="center" shrinkToFit="1"/>
    </xf>
    <xf numFmtId="3" fontId="7" fillId="0" borderId="29" xfId="0" applyNumberFormat="1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center"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49" fontId="7" fillId="0" borderId="33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3" fontId="7" fillId="0" borderId="38" xfId="0" applyNumberFormat="1" applyFont="1" applyFill="1" applyBorder="1" applyAlignment="1">
      <alignment vertical="center" shrinkToFit="1"/>
    </xf>
    <xf numFmtId="3" fontId="5" fillId="0" borderId="39" xfId="0" applyNumberFormat="1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3" fontId="7" fillId="0" borderId="42" xfId="0" applyNumberFormat="1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3" xfId="0" applyNumberFormat="1" applyFont="1" applyFill="1" applyBorder="1" applyAlignment="1">
      <alignment vertical="center" shrinkToFit="1"/>
    </xf>
    <xf numFmtId="3" fontId="5" fillId="0" borderId="38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7" fillId="0" borderId="48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7" fillId="0" borderId="50" xfId="0" applyNumberFormat="1" applyFont="1" applyFill="1" applyBorder="1" applyAlignment="1">
      <alignment vertical="center" shrinkToFit="1"/>
    </xf>
    <xf numFmtId="3" fontId="7" fillId="0" borderId="24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7" fillId="0" borderId="45" xfId="0" applyNumberFormat="1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7" fillId="0" borderId="52" xfId="0" applyNumberFormat="1" applyFont="1" applyFill="1" applyBorder="1" applyAlignment="1">
      <alignment vertical="center" shrinkToFit="1"/>
    </xf>
    <xf numFmtId="3" fontId="7" fillId="0" borderId="39" xfId="0" applyNumberFormat="1" applyFont="1" applyFill="1" applyBorder="1" applyAlignment="1">
      <alignment vertical="center" shrinkToFit="1"/>
    </xf>
    <xf numFmtId="0" fontId="1" fillId="0" borderId="25" xfId="0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" fontId="7" fillId="0" borderId="54" xfId="0" applyNumberFormat="1" applyFont="1" applyFill="1" applyBorder="1" applyAlignment="1">
      <alignment vertical="center" shrinkToFit="1"/>
    </xf>
    <xf numFmtId="3" fontId="7" fillId="0" borderId="55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7" fillId="0" borderId="55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3" fontId="5" fillId="0" borderId="54" xfId="0" applyNumberFormat="1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7" fillId="0" borderId="61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horizontal="center" vertical="center" shrinkToFit="1"/>
    </xf>
    <xf numFmtId="3" fontId="5" fillId="0" borderId="47" xfId="0" applyNumberFormat="1" applyFont="1" applyFill="1" applyBorder="1" applyAlignment="1">
      <alignment vertical="center" shrinkToFit="1"/>
    </xf>
    <xf numFmtId="0" fontId="1" fillId="0" borderId="6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67" xfId="0" applyNumberFormat="1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3" fontId="5" fillId="0" borderId="68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52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vertical="center"/>
    </xf>
    <xf numFmtId="49" fontId="5" fillId="0" borderId="53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5" fillId="0" borderId="41" xfId="0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7" fillId="0" borderId="73" xfId="0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0" fontId="7" fillId="0" borderId="75" xfId="0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3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U18" sqref="U18"/>
    </sheetView>
  </sheetViews>
  <sheetFormatPr defaultColWidth="9.00390625" defaultRowHeight="12.75"/>
  <cols>
    <col min="1" max="1" width="3.125" style="35" customWidth="1"/>
    <col min="2" max="2" width="36.625" style="18" customWidth="1"/>
    <col min="3" max="3" width="11.1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6384" width="9.125" style="22" customWidth="1"/>
  </cols>
  <sheetData>
    <row r="1" spans="1:16" ht="11.25">
      <c r="A1" s="20"/>
      <c r="B1" s="4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1.25">
      <c r="A2" s="20"/>
      <c r="B2" s="4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86" t="s">
        <v>40</v>
      </c>
      <c r="P2" s="186"/>
    </row>
    <row r="3" spans="1:16" ht="11.25">
      <c r="A3" s="20"/>
      <c r="B3" s="4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1.25">
      <c r="A4" s="20"/>
      <c r="B4" s="4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1.25">
      <c r="A5" s="20"/>
      <c r="B5" s="4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1.25">
      <c r="A6" s="20"/>
      <c r="B6" s="4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87" t="s">
        <v>43</v>
      </c>
      <c r="P7" s="187"/>
    </row>
    <row r="8" spans="1:16" ht="21" customHeight="1">
      <c r="A8" s="178" t="s">
        <v>91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1.25">
      <c r="A9" s="23"/>
      <c r="B9" s="4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1.25">
      <c r="A10" s="23"/>
      <c r="B10" s="4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2.75">
      <c r="A11" s="23"/>
      <c r="B11" s="41"/>
      <c r="C11" s="23"/>
      <c r="D11" s="43"/>
      <c r="E11" s="44"/>
      <c r="F11" s="4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1"/>
      <c r="C12" s="44"/>
      <c r="D12" s="43"/>
      <c r="E12" s="4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7" t="s">
        <v>0</v>
      </c>
    </row>
    <row r="14" spans="1:16" ht="19.5" customHeight="1" thickBot="1">
      <c r="A14" s="179" t="s">
        <v>1</v>
      </c>
      <c r="B14" s="179"/>
      <c r="C14" s="180" t="s">
        <v>93</v>
      </c>
      <c r="D14" s="182" t="s">
        <v>2</v>
      </c>
      <c r="E14" s="182" t="s">
        <v>3</v>
      </c>
      <c r="F14" s="182" t="s">
        <v>4</v>
      </c>
      <c r="G14" s="182" t="s">
        <v>5</v>
      </c>
      <c r="H14" s="182" t="s">
        <v>6</v>
      </c>
      <c r="I14" s="182" t="s">
        <v>7</v>
      </c>
      <c r="J14" s="182" t="s">
        <v>8</v>
      </c>
      <c r="K14" s="182" t="s">
        <v>9</v>
      </c>
      <c r="L14" s="182" t="s">
        <v>10</v>
      </c>
      <c r="M14" s="182" t="s">
        <v>11</v>
      </c>
      <c r="N14" s="182" t="s">
        <v>12</v>
      </c>
      <c r="O14" s="182" t="s">
        <v>13</v>
      </c>
      <c r="P14" s="182" t="s">
        <v>14</v>
      </c>
    </row>
    <row r="15" spans="1:16" ht="10.5" thickBot="1">
      <c r="A15" s="179"/>
      <c r="B15" s="179"/>
      <c r="C15" s="181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6" ht="15" customHeight="1" thickBot="1">
      <c r="A16" s="184">
        <v>1</v>
      </c>
      <c r="B16" s="185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8" ht="15" customHeight="1">
      <c r="A17" s="25" t="s">
        <v>15</v>
      </c>
      <c r="B17" s="26" t="s">
        <v>82</v>
      </c>
      <c r="C17" s="27">
        <f>SUM(C18:C22)</f>
        <v>15607226</v>
      </c>
      <c r="D17" s="27">
        <f aca="true" t="shared" si="0" ref="D17:N17">SUM(D18:D22)</f>
        <v>1298676.25</v>
      </c>
      <c r="E17" s="27">
        <f t="shared" si="0"/>
        <v>1154188.38</v>
      </c>
      <c r="F17" s="27">
        <f t="shared" si="0"/>
        <v>1165694.38</v>
      </c>
      <c r="G17" s="27">
        <f t="shared" si="0"/>
        <v>1860838.6768</v>
      </c>
      <c r="H17" s="27">
        <f t="shared" si="0"/>
        <v>1180235.1572</v>
      </c>
      <c r="I17" s="27">
        <f t="shared" si="0"/>
        <v>1098117.38</v>
      </c>
      <c r="J17" s="27">
        <f t="shared" si="0"/>
        <v>1139246.38</v>
      </c>
      <c r="K17" s="27">
        <f t="shared" si="0"/>
        <v>1148575.98</v>
      </c>
      <c r="L17" s="27">
        <f t="shared" si="0"/>
        <v>1154267.5</v>
      </c>
      <c r="M17" s="27">
        <f t="shared" si="0"/>
        <v>1255388.8396</v>
      </c>
      <c r="N17" s="27">
        <f t="shared" si="0"/>
        <v>1377157</v>
      </c>
      <c r="O17" s="27">
        <f>SUM(O18:O22)</f>
        <v>1774840</v>
      </c>
      <c r="P17" s="117">
        <f>SUM(D17:O17)</f>
        <v>15607225.9236</v>
      </c>
      <c r="R17" s="210"/>
    </row>
    <row r="18" spans="1:21" ht="15" customHeight="1">
      <c r="A18" s="29"/>
      <c r="B18" s="42" t="s">
        <v>16</v>
      </c>
      <c r="C18" s="19">
        <v>2914202</v>
      </c>
      <c r="D18" s="30">
        <f>48653+48300+12148+155897+62501</f>
        <v>327499</v>
      </c>
      <c r="E18" s="30">
        <f>48653+155897-5000</f>
        <v>199550</v>
      </c>
      <c r="F18" s="30">
        <f>48653+155897-5000</f>
        <v>199550</v>
      </c>
      <c r="G18" s="30">
        <f>48653+48458+29780+30000+155897</f>
        <v>312788</v>
      </c>
      <c r="H18" s="30">
        <f>48653+30000+155897+31727</f>
        <v>266277</v>
      </c>
      <c r="I18" s="30">
        <f>48653+155897-5000</f>
        <v>199550</v>
      </c>
      <c r="J18" s="30">
        <f>48653+12500+155897</f>
        <v>217050</v>
      </c>
      <c r="K18" s="30">
        <f>48653+155897+3500</f>
        <v>208050</v>
      </c>
      <c r="L18" s="30">
        <f>48653+155897-4000+3200</f>
        <v>203750</v>
      </c>
      <c r="M18" s="30">
        <f>48653+29780+7891+155987+2900</f>
        <v>245211</v>
      </c>
      <c r="N18" s="30">
        <f>48653+29780+30000+155987+2200</f>
        <v>266620</v>
      </c>
      <c r="O18" s="30">
        <f>48653+20000+155717+984+14572+28381</f>
        <v>268307</v>
      </c>
      <c r="P18" s="19">
        <f aca="true" t="shared" si="1" ref="P18:P48">SUM(D18:O18)</f>
        <v>2914202</v>
      </c>
      <c r="R18" s="210"/>
      <c r="U18" s="119"/>
    </row>
    <row r="19" spans="1:18" ht="15" customHeight="1">
      <c r="A19" s="29"/>
      <c r="B19" s="42" t="s">
        <v>72</v>
      </c>
      <c r="C19" s="19">
        <v>842829</v>
      </c>
      <c r="D19" s="30">
        <f>75154+13906</f>
        <v>89060</v>
      </c>
      <c r="E19" s="30">
        <f aca="true" t="shared" si="2" ref="E19:M19">SUM(E18*28.36%)</f>
        <v>56592.380000000005</v>
      </c>
      <c r="F19" s="30">
        <f t="shared" si="2"/>
        <v>56592.380000000005</v>
      </c>
      <c r="G19" s="30">
        <f t="shared" si="2"/>
        <v>88706.6768</v>
      </c>
      <c r="H19" s="30">
        <f>SUM(H18*28.36%)-339</f>
        <v>75177.1572</v>
      </c>
      <c r="I19" s="30">
        <f t="shared" si="2"/>
        <v>56592.380000000005</v>
      </c>
      <c r="J19" s="30">
        <f t="shared" si="2"/>
        <v>61555.380000000005</v>
      </c>
      <c r="K19" s="30">
        <f t="shared" si="2"/>
        <v>59002.98</v>
      </c>
      <c r="L19" s="30">
        <f t="shared" si="2"/>
        <v>57783.50000000001</v>
      </c>
      <c r="M19" s="30">
        <f t="shared" si="2"/>
        <v>69541.8396</v>
      </c>
      <c r="N19" s="30">
        <f>74990+980</f>
        <v>75970</v>
      </c>
      <c r="O19" s="30">
        <f>63713+388+739+8750+22664</f>
        <v>96254</v>
      </c>
      <c r="P19" s="19">
        <f t="shared" si="1"/>
        <v>842828.6736000001</v>
      </c>
      <c r="R19" s="210"/>
    </row>
    <row r="20" spans="1:18" ht="15" customHeight="1">
      <c r="A20" s="29"/>
      <c r="B20" s="42" t="s">
        <v>38</v>
      </c>
      <c r="C20" s="19">
        <f>8993194+286000</f>
        <v>9279194</v>
      </c>
      <c r="D20" s="30">
        <f>673522-14344-10000+60000+23833</f>
        <v>733011</v>
      </c>
      <c r="E20" s="30">
        <f>673522-11000+60000+23833</f>
        <v>746355</v>
      </c>
      <c r="F20" s="30">
        <f>673522+60490+23833</f>
        <v>757845</v>
      </c>
      <c r="G20" s="30">
        <f>673522+32270+23833</f>
        <v>729625</v>
      </c>
      <c r="H20" s="30">
        <f>673522+32280+23833</f>
        <v>729635</v>
      </c>
      <c r="I20" s="30">
        <f>673522+23833</f>
        <v>697355</v>
      </c>
      <c r="J20" s="30">
        <f>673522+22325+23833</f>
        <v>719680</v>
      </c>
      <c r="K20" s="30">
        <f>673522+26332+23833</f>
        <v>723687</v>
      </c>
      <c r="L20" s="30">
        <f>673522+54231+23833</f>
        <v>751586</v>
      </c>
      <c r="M20" s="30">
        <f>673522+21323+100000+23833</f>
        <v>818678</v>
      </c>
      <c r="N20" s="30">
        <f>673522+23541+123547+50000+23833</f>
        <v>894443</v>
      </c>
      <c r="O20" s="30">
        <f>673522-5+34005+11717+70453+163765+23837</f>
        <v>977294</v>
      </c>
      <c r="P20" s="19">
        <f t="shared" si="1"/>
        <v>9279194</v>
      </c>
      <c r="R20" s="210"/>
    </row>
    <row r="21" spans="1:18" ht="15" customHeight="1">
      <c r="A21" s="29"/>
      <c r="B21" s="42" t="s">
        <v>39</v>
      </c>
      <c r="C21" s="19">
        <v>711564</v>
      </c>
      <c r="D21" s="30">
        <f>50000+30515+3000</f>
        <v>83515</v>
      </c>
      <c r="E21" s="30">
        <f>50000+30515+3500</f>
        <v>84015</v>
      </c>
      <c r="F21" s="30">
        <f>50000+30515+3516</f>
        <v>84031</v>
      </c>
      <c r="G21" s="30">
        <f>30515+2300</f>
        <v>32815</v>
      </c>
      <c r="H21" s="30">
        <f>30515+2300</f>
        <v>32815</v>
      </c>
      <c r="I21" s="30">
        <f>30515+2217</f>
        <v>32732</v>
      </c>
      <c r="J21" s="30">
        <f>30515+15467</f>
        <v>45982</v>
      </c>
      <c r="K21" s="30">
        <f>30515+13545</f>
        <v>44060</v>
      </c>
      <c r="L21" s="30">
        <f>30515+15326</f>
        <v>45841</v>
      </c>
      <c r="M21" s="30">
        <f>30515+15325</f>
        <v>45840</v>
      </c>
      <c r="N21" s="30">
        <f>50000+30515</f>
        <v>80515</v>
      </c>
      <c r="O21" s="30">
        <f>50000+30515+24205-5317</f>
        <v>99403</v>
      </c>
      <c r="P21" s="19">
        <f t="shared" si="1"/>
        <v>711564</v>
      </c>
      <c r="R21" s="210"/>
    </row>
    <row r="22" spans="1:18" ht="15" customHeight="1">
      <c r="A22" s="29"/>
      <c r="B22" s="42" t="s">
        <v>54</v>
      </c>
      <c r="C22" s="19">
        <f>SUM(C24:C29)</f>
        <v>1859437</v>
      </c>
      <c r="D22" s="19">
        <f aca="true" t="shared" si="3" ref="D22:O22">SUM(D25:D29)</f>
        <v>65591.25</v>
      </c>
      <c r="E22" s="19">
        <f t="shared" si="3"/>
        <v>67676</v>
      </c>
      <c r="F22" s="19">
        <f t="shared" si="3"/>
        <v>67676</v>
      </c>
      <c r="G22" s="19">
        <f>SUM(G24:G29)</f>
        <v>696904</v>
      </c>
      <c r="H22" s="19">
        <f t="shared" si="3"/>
        <v>76331</v>
      </c>
      <c r="I22" s="19">
        <f t="shared" si="3"/>
        <v>111888</v>
      </c>
      <c r="J22" s="19">
        <f t="shared" si="3"/>
        <v>94979</v>
      </c>
      <c r="K22" s="19">
        <f t="shared" si="3"/>
        <v>113776</v>
      </c>
      <c r="L22" s="19">
        <f t="shared" si="3"/>
        <v>95307</v>
      </c>
      <c r="M22" s="19">
        <f t="shared" si="3"/>
        <v>76118</v>
      </c>
      <c r="N22" s="19">
        <f t="shared" si="3"/>
        <v>59609</v>
      </c>
      <c r="O22" s="19">
        <f t="shared" si="3"/>
        <v>333582</v>
      </c>
      <c r="P22" s="19">
        <f t="shared" si="1"/>
        <v>1859437.25</v>
      </c>
      <c r="R22" s="210"/>
    </row>
    <row r="23" spans="1:18" ht="12.75" customHeight="1" hidden="1">
      <c r="A23" s="140"/>
      <c r="B23" s="141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R23" s="210"/>
    </row>
    <row r="24" spans="1:18" ht="12.75" customHeight="1">
      <c r="A24" s="113"/>
      <c r="B24" s="141" t="s">
        <v>90</v>
      </c>
      <c r="C24" s="31">
        <v>629251</v>
      </c>
      <c r="D24" s="32"/>
      <c r="E24" s="32"/>
      <c r="F24" s="32"/>
      <c r="G24" s="32">
        <v>629251</v>
      </c>
      <c r="H24" s="32"/>
      <c r="I24" s="32"/>
      <c r="J24" s="32"/>
      <c r="K24" s="32"/>
      <c r="L24" s="32"/>
      <c r="M24" s="32"/>
      <c r="N24" s="32"/>
      <c r="O24" s="31"/>
      <c r="P24" s="19">
        <f t="shared" si="1"/>
        <v>629251</v>
      </c>
      <c r="R24" s="210"/>
    </row>
    <row r="25" spans="1:18" ht="12.75" customHeight="1">
      <c r="A25" s="113"/>
      <c r="B25" s="141" t="s">
        <v>75</v>
      </c>
      <c r="C25" s="31">
        <v>378903</v>
      </c>
      <c r="D25" s="32">
        <f>SUM(C25/12)</f>
        <v>31575.25</v>
      </c>
      <c r="E25" s="32">
        <f>36941+23</f>
        <v>36964</v>
      </c>
      <c r="F25" s="32">
        <f>36941+23</f>
        <v>36964</v>
      </c>
      <c r="G25" s="32">
        <v>36941</v>
      </c>
      <c r="H25" s="32">
        <v>36941</v>
      </c>
      <c r="I25" s="32">
        <v>36941</v>
      </c>
      <c r="J25" s="32">
        <v>36941</v>
      </c>
      <c r="K25" s="32">
        <v>36941</v>
      </c>
      <c r="L25" s="32">
        <v>36941</v>
      </c>
      <c r="M25" s="32">
        <f>36941-19000</f>
        <v>17941</v>
      </c>
      <c r="N25" s="32">
        <f>36941-19000</f>
        <v>17941</v>
      </c>
      <c r="O25" s="115">
        <f>36941-5-21064</f>
        <v>15872</v>
      </c>
      <c r="P25" s="19">
        <f t="shared" si="1"/>
        <v>378903.25</v>
      </c>
      <c r="R25" s="210"/>
    </row>
    <row r="26" spans="1:18" ht="12.75" customHeight="1">
      <c r="A26" s="113"/>
      <c r="B26" s="141" t="s">
        <v>94</v>
      </c>
      <c r="C26" s="31">
        <v>5550</v>
      </c>
      <c r="D26" s="32"/>
      <c r="E26" s="32"/>
      <c r="F26" s="32"/>
      <c r="G26" s="32"/>
      <c r="H26" s="32">
        <v>5550</v>
      </c>
      <c r="I26" s="32"/>
      <c r="J26" s="32"/>
      <c r="K26" s="32"/>
      <c r="L26" s="32"/>
      <c r="M26" s="32"/>
      <c r="N26" s="32"/>
      <c r="O26" s="115"/>
      <c r="P26" s="19">
        <f t="shared" si="1"/>
        <v>5550</v>
      </c>
      <c r="R26" s="210"/>
    </row>
    <row r="27" spans="1:18" ht="12.75" customHeight="1">
      <c r="A27" s="113"/>
      <c r="B27" s="141" t="s">
        <v>76</v>
      </c>
      <c r="C27" s="31">
        <f>871924-286000</f>
        <v>585924</v>
      </c>
      <c r="D27" s="32">
        <f>54545+3304-23833</f>
        <v>34016</v>
      </c>
      <c r="E27" s="32">
        <f>54545-23833</f>
        <v>30712</v>
      </c>
      <c r="F27" s="32">
        <f>54545-23833</f>
        <v>30712</v>
      </c>
      <c r="G27" s="32">
        <f>54545-23833</f>
        <v>30712</v>
      </c>
      <c r="H27" s="32">
        <f>54545+3128-23833</f>
        <v>33840</v>
      </c>
      <c r="I27" s="32">
        <f>54545+19235+25000-23833</f>
        <v>74947</v>
      </c>
      <c r="J27" s="32">
        <f>54545+2000+25326-23833</f>
        <v>58038</v>
      </c>
      <c r="K27" s="32">
        <f>54545+2000+19123+25000-23833</f>
        <v>76835</v>
      </c>
      <c r="L27" s="32">
        <f>54545+2000+25654-23833</f>
        <v>58366</v>
      </c>
      <c r="M27" s="32">
        <f>54545+2000+25465-23833</f>
        <v>58177</v>
      </c>
      <c r="N27" s="32">
        <f>54545+2000+8956-23833</f>
        <v>41668</v>
      </c>
      <c r="O27" s="115">
        <f>54539+2202+10679+14318-23837</f>
        <v>57901</v>
      </c>
      <c r="P27" s="19">
        <f t="shared" si="1"/>
        <v>585924</v>
      </c>
      <c r="R27" s="210"/>
    </row>
    <row r="28" spans="1:18" ht="12.75" customHeight="1">
      <c r="A28" s="113"/>
      <c r="B28" s="141" t="s">
        <v>77</v>
      </c>
      <c r="C28" s="31">
        <v>35980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15">
        <v>35980</v>
      </c>
      <c r="P28" s="19">
        <f t="shared" si="1"/>
        <v>35980</v>
      </c>
      <c r="R28" s="210"/>
    </row>
    <row r="29" spans="1:18" ht="12.75" customHeight="1">
      <c r="A29" s="113"/>
      <c r="B29" s="141" t="s">
        <v>78</v>
      </c>
      <c r="C29" s="31">
        <v>223829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15">
        <v>223829</v>
      </c>
      <c r="P29" s="19">
        <f t="shared" si="1"/>
        <v>223829</v>
      </c>
      <c r="R29" s="210"/>
    </row>
    <row r="30" spans="1:18" ht="15" customHeight="1">
      <c r="A30" s="33" t="s">
        <v>17</v>
      </c>
      <c r="B30" s="34" t="s">
        <v>83</v>
      </c>
      <c r="C30" s="19">
        <f aca="true" t="shared" si="4" ref="C30:O30">SUM(C31:C33)</f>
        <v>12014096</v>
      </c>
      <c r="D30" s="19">
        <f t="shared" si="4"/>
        <v>592662</v>
      </c>
      <c r="E30" s="19">
        <f t="shared" si="4"/>
        <v>821565</v>
      </c>
      <c r="F30" s="19">
        <f t="shared" si="4"/>
        <v>867326</v>
      </c>
      <c r="G30" s="19">
        <f t="shared" si="4"/>
        <v>1410000</v>
      </c>
      <c r="H30" s="19">
        <f t="shared" si="4"/>
        <v>1052500</v>
      </c>
      <c r="I30" s="19">
        <f t="shared" si="4"/>
        <v>1148039</v>
      </c>
      <c r="J30" s="19">
        <f t="shared" si="4"/>
        <v>1132462</v>
      </c>
      <c r="K30" s="19">
        <f t="shared" si="4"/>
        <v>734002</v>
      </c>
      <c r="L30" s="19">
        <f t="shared" si="4"/>
        <v>753492</v>
      </c>
      <c r="M30" s="19">
        <f t="shared" si="4"/>
        <v>653719</v>
      </c>
      <c r="N30" s="19">
        <f t="shared" si="4"/>
        <v>714780</v>
      </c>
      <c r="O30" s="19">
        <f t="shared" si="4"/>
        <v>2133549</v>
      </c>
      <c r="P30" s="19">
        <f t="shared" si="1"/>
        <v>12014096</v>
      </c>
      <c r="R30" s="210"/>
    </row>
    <row r="31" spans="1:18" ht="15" customHeight="1">
      <c r="A31" s="29"/>
      <c r="B31" s="42" t="s">
        <v>73</v>
      </c>
      <c r="C31" s="19">
        <v>8683569</v>
      </c>
      <c r="D31" s="30">
        <f>678517+384420+2803-500000</f>
        <v>565740</v>
      </c>
      <c r="E31" s="30">
        <f>800000-19685</f>
        <v>780315</v>
      </c>
      <c r="F31" s="30">
        <f>750000+41707+21119</f>
        <v>812826</v>
      </c>
      <c r="G31" s="30">
        <v>1200000</v>
      </c>
      <c r="H31" s="30">
        <v>850000</v>
      </c>
      <c r="I31" s="30">
        <f>550000+332125</f>
        <v>882125</v>
      </c>
      <c r="J31" s="30">
        <f>200000+317311+51497+325645</f>
        <v>894453</v>
      </c>
      <c r="K31" s="30">
        <f>150000+200000+300000-159845</f>
        <v>490155</v>
      </c>
      <c r="L31" s="30">
        <f>350000+325654-132125</f>
        <v>543529</v>
      </c>
      <c r="M31" s="30">
        <f>120000+456123-94752</f>
        <v>481371</v>
      </c>
      <c r="N31" s="30">
        <f>110000+326541-5248+100000</f>
        <v>531293</v>
      </c>
      <c r="O31" s="30">
        <f>101336+348451+201975</f>
        <v>651762</v>
      </c>
      <c r="P31" s="19">
        <f t="shared" si="1"/>
        <v>8683569</v>
      </c>
      <c r="R31" s="210"/>
    </row>
    <row r="32" spans="1:18" ht="15" customHeight="1">
      <c r="A32" s="29"/>
      <c r="B32" s="42" t="s">
        <v>74</v>
      </c>
      <c r="C32" s="19">
        <v>1099350</v>
      </c>
      <c r="D32" s="30">
        <f>4298+22624</f>
        <v>26922</v>
      </c>
      <c r="E32" s="30">
        <v>25000</v>
      </c>
      <c r="F32" s="30">
        <v>30000</v>
      </c>
      <c r="G32" s="30">
        <v>120000</v>
      </c>
      <c r="H32" s="30">
        <f>75000+35000</f>
        <v>110000</v>
      </c>
      <c r="I32" s="30">
        <f>85000+35000+5719+20054</f>
        <v>145773</v>
      </c>
      <c r="J32" s="30">
        <f>85000+50000+23564-35307</f>
        <v>123257</v>
      </c>
      <c r="K32" s="30">
        <f>85000+50000+54213-59007</f>
        <v>130206</v>
      </c>
      <c r="L32" s="30">
        <f>75000+50000+59874-85642</f>
        <v>99232</v>
      </c>
      <c r="M32" s="30">
        <f>75000+45874+65412-98564+10000</f>
        <v>97722</v>
      </c>
      <c r="N32" s="30">
        <f>25000+50124+10000+6244</f>
        <v>91368</v>
      </c>
      <c r="O32" s="30">
        <f>31111+58759+10000</f>
        <v>99870</v>
      </c>
      <c r="P32" s="19">
        <f t="shared" si="1"/>
        <v>1099350</v>
      </c>
      <c r="R32" s="210"/>
    </row>
    <row r="33" spans="1:18" ht="15" customHeight="1">
      <c r="A33" s="29"/>
      <c r="B33" s="42" t="s">
        <v>55</v>
      </c>
      <c r="C33" s="19">
        <f>SUM(C34:C37)</f>
        <v>2231177</v>
      </c>
      <c r="D33" s="19">
        <f aca="true" t="shared" si="5" ref="D33:O33">SUM(D34:D37)</f>
        <v>0</v>
      </c>
      <c r="E33" s="19">
        <f t="shared" si="5"/>
        <v>16250</v>
      </c>
      <c r="F33" s="19">
        <f t="shared" si="5"/>
        <v>24500</v>
      </c>
      <c r="G33" s="19">
        <f t="shared" si="5"/>
        <v>90000</v>
      </c>
      <c r="H33" s="19">
        <f t="shared" si="5"/>
        <v>92500</v>
      </c>
      <c r="I33" s="19">
        <f t="shared" si="5"/>
        <v>120141</v>
      </c>
      <c r="J33" s="19">
        <f t="shared" si="5"/>
        <v>114752</v>
      </c>
      <c r="K33" s="19">
        <f t="shared" si="5"/>
        <v>113641</v>
      </c>
      <c r="L33" s="19">
        <f t="shared" si="5"/>
        <v>110731</v>
      </c>
      <c r="M33" s="19">
        <f t="shared" si="5"/>
        <v>74626</v>
      </c>
      <c r="N33" s="19">
        <f t="shared" si="5"/>
        <v>92119</v>
      </c>
      <c r="O33" s="19">
        <f t="shared" si="5"/>
        <v>1381917</v>
      </c>
      <c r="P33" s="19">
        <f t="shared" si="1"/>
        <v>2231177</v>
      </c>
      <c r="R33" s="210"/>
    </row>
    <row r="34" spans="1:18" ht="15" customHeight="1">
      <c r="A34" s="33"/>
      <c r="B34" s="34" t="s">
        <v>79</v>
      </c>
      <c r="C34" s="19">
        <v>32250</v>
      </c>
      <c r="D34" s="19"/>
      <c r="E34" s="19">
        <v>1250</v>
      </c>
      <c r="F34" s="116">
        <v>4500</v>
      </c>
      <c r="G34" s="116"/>
      <c r="H34" s="116"/>
      <c r="I34" s="116">
        <v>4500</v>
      </c>
      <c r="J34" s="116"/>
      <c r="K34" s="116"/>
      <c r="L34" s="116">
        <v>4500</v>
      </c>
      <c r="M34" s="116"/>
      <c r="N34" s="116"/>
      <c r="O34" s="116">
        <f>4500+13000</f>
        <v>17500</v>
      </c>
      <c r="P34" s="19">
        <f t="shared" si="1"/>
        <v>32250</v>
      </c>
      <c r="R34" s="210"/>
    </row>
    <row r="35" spans="1:18" ht="15" customHeight="1">
      <c r="A35" s="29"/>
      <c r="B35" s="42" t="s">
        <v>80</v>
      </c>
      <c r="C35" s="19">
        <v>1044063</v>
      </c>
      <c r="D35" s="30"/>
      <c r="E35" s="30">
        <v>15000</v>
      </c>
      <c r="F35" s="30">
        <v>20000</v>
      </c>
      <c r="G35" s="30">
        <f>40000+50000</f>
        <v>90000</v>
      </c>
      <c r="H35" s="30">
        <f>40000+50000</f>
        <v>90000</v>
      </c>
      <c r="I35" s="30">
        <f>40000+50000+25641</f>
        <v>115641</v>
      </c>
      <c r="J35" s="30">
        <f>40000+50000+24752</f>
        <v>114752</v>
      </c>
      <c r="K35" s="30">
        <f>35000+50000+28641</f>
        <v>113641</v>
      </c>
      <c r="L35" s="30">
        <f>35000+50000+21231</f>
        <v>106231</v>
      </c>
      <c r="M35" s="30">
        <f>35000+39626</f>
        <v>74626</v>
      </c>
      <c r="N35" s="30">
        <f>20000+100000-27881</f>
        <v>92119</v>
      </c>
      <c r="O35" s="30">
        <f>24750+187303</f>
        <v>212053</v>
      </c>
      <c r="P35" s="19">
        <f t="shared" si="1"/>
        <v>1044063</v>
      </c>
      <c r="R35" s="210"/>
    </row>
    <row r="36" spans="1:18" ht="15" customHeight="1">
      <c r="A36" s="29"/>
      <c r="B36" s="42" t="s">
        <v>95</v>
      </c>
      <c r="C36" s="19">
        <v>3086</v>
      </c>
      <c r="D36" s="30"/>
      <c r="E36" s="30"/>
      <c r="F36" s="30"/>
      <c r="G36" s="30"/>
      <c r="H36" s="30">
        <v>2500</v>
      </c>
      <c r="I36" s="30"/>
      <c r="J36" s="30"/>
      <c r="K36" s="30"/>
      <c r="L36" s="30"/>
      <c r="M36" s="30"/>
      <c r="N36" s="30"/>
      <c r="O36" s="30">
        <v>586</v>
      </c>
      <c r="P36" s="19">
        <f t="shared" si="1"/>
        <v>3086</v>
      </c>
      <c r="R36" s="210"/>
    </row>
    <row r="37" spans="1:18" ht="15" customHeight="1">
      <c r="A37" s="29"/>
      <c r="B37" s="42" t="s">
        <v>81</v>
      </c>
      <c r="C37" s="19">
        <v>1151778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1151778</v>
      </c>
      <c r="P37" s="19">
        <f>SUM(D37:O37)</f>
        <v>1151778</v>
      </c>
      <c r="R37" s="210"/>
    </row>
    <row r="38" spans="1:18" ht="15" customHeight="1">
      <c r="A38" s="113"/>
      <c r="B38" s="114" t="s">
        <v>84</v>
      </c>
      <c r="C38" s="31">
        <f>SUM(C17,C30)</f>
        <v>27621322</v>
      </c>
      <c r="D38" s="31">
        <f aca="true" t="shared" si="6" ref="D38:O38">SUM(D17,D30)</f>
        <v>1891338.25</v>
      </c>
      <c r="E38" s="31">
        <f t="shared" si="6"/>
        <v>1975753.38</v>
      </c>
      <c r="F38" s="31">
        <f t="shared" si="6"/>
        <v>2033020.38</v>
      </c>
      <c r="G38" s="31">
        <f t="shared" si="6"/>
        <v>3270838.6768</v>
      </c>
      <c r="H38" s="31">
        <f t="shared" si="6"/>
        <v>2232735.1572000002</v>
      </c>
      <c r="I38" s="31">
        <f t="shared" si="6"/>
        <v>2246156.38</v>
      </c>
      <c r="J38" s="31">
        <f t="shared" si="6"/>
        <v>2271708.38</v>
      </c>
      <c r="K38" s="31">
        <f t="shared" si="6"/>
        <v>1882577.98</v>
      </c>
      <c r="L38" s="31">
        <f t="shared" si="6"/>
        <v>1907759.5</v>
      </c>
      <c r="M38" s="31">
        <f t="shared" si="6"/>
        <v>1909107.8396</v>
      </c>
      <c r="N38" s="31">
        <f t="shared" si="6"/>
        <v>2091937</v>
      </c>
      <c r="O38" s="31">
        <f t="shared" si="6"/>
        <v>3908389</v>
      </c>
      <c r="P38" s="19">
        <f t="shared" si="1"/>
        <v>27621321.9236</v>
      </c>
      <c r="R38" s="210"/>
    </row>
    <row r="39" spans="1:18" ht="15" customHeight="1">
      <c r="A39" s="33"/>
      <c r="B39" s="34" t="s">
        <v>85</v>
      </c>
      <c r="C39" s="19">
        <v>4595658</v>
      </c>
      <c r="D39" s="98">
        <f>381628-15000</f>
        <v>366628</v>
      </c>
      <c r="E39" s="98">
        <v>383470</v>
      </c>
      <c r="F39" s="98">
        <v>381628</v>
      </c>
      <c r="G39" s="98">
        <f>381628-15000</f>
        <v>366628</v>
      </c>
      <c r="H39" s="98">
        <f>381628+4000</f>
        <v>385628</v>
      </c>
      <c r="I39" s="98">
        <v>385628</v>
      </c>
      <c r="J39" s="98">
        <v>399953</v>
      </c>
      <c r="K39" s="98">
        <v>396546</v>
      </c>
      <c r="L39" s="98">
        <v>381628</v>
      </c>
      <c r="M39" s="98">
        <v>381628</v>
      </c>
      <c r="N39" s="98">
        <v>381628</v>
      </c>
      <c r="O39" s="98">
        <v>384665</v>
      </c>
      <c r="P39" s="19">
        <f t="shared" si="1"/>
        <v>4595658</v>
      </c>
      <c r="R39" s="210"/>
    </row>
    <row r="40" spans="1:18" ht="15" customHeight="1">
      <c r="A40" s="33" t="s">
        <v>18</v>
      </c>
      <c r="B40" s="34" t="s">
        <v>86</v>
      </c>
      <c r="C40" s="19">
        <f>SUM(C39)</f>
        <v>4595658</v>
      </c>
      <c r="D40" s="19">
        <f aca="true" t="shared" si="7" ref="D40:N40">SUM(D39)</f>
        <v>366628</v>
      </c>
      <c r="E40" s="19">
        <f t="shared" si="7"/>
        <v>383470</v>
      </c>
      <c r="F40" s="19">
        <f t="shared" si="7"/>
        <v>381628</v>
      </c>
      <c r="G40" s="19">
        <f t="shared" si="7"/>
        <v>366628</v>
      </c>
      <c r="H40" s="19">
        <f t="shared" si="7"/>
        <v>385628</v>
      </c>
      <c r="I40" s="19">
        <f t="shared" si="7"/>
        <v>385628</v>
      </c>
      <c r="J40" s="19">
        <f t="shared" si="7"/>
        <v>399953</v>
      </c>
      <c r="K40" s="19">
        <f t="shared" si="7"/>
        <v>396546</v>
      </c>
      <c r="L40" s="19">
        <f t="shared" si="7"/>
        <v>381628</v>
      </c>
      <c r="M40" s="19">
        <f t="shared" si="7"/>
        <v>381628</v>
      </c>
      <c r="N40" s="19">
        <f t="shared" si="7"/>
        <v>381628</v>
      </c>
      <c r="O40" s="19">
        <f>SUM(O39)</f>
        <v>384665</v>
      </c>
      <c r="P40" s="19">
        <f t="shared" si="1"/>
        <v>4595658</v>
      </c>
      <c r="R40" s="210"/>
    </row>
    <row r="41" spans="1:18" ht="15" customHeight="1">
      <c r="A41" s="33"/>
      <c r="B41" s="156" t="s">
        <v>87</v>
      </c>
      <c r="C41" s="19">
        <v>0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9">
        <f t="shared" si="1"/>
        <v>0</v>
      </c>
      <c r="R41" s="210"/>
    </row>
    <row r="42" spans="1:18" ht="15" customHeight="1">
      <c r="A42" s="158"/>
      <c r="B42" s="159" t="s">
        <v>88</v>
      </c>
      <c r="C42" s="31">
        <v>165995</v>
      </c>
      <c r="D42" s="105"/>
      <c r="E42" s="105"/>
      <c r="F42" s="105"/>
      <c r="G42" s="105">
        <v>15000</v>
      </c>
      <c r="H42" s="105"/>
      <c r="I42" s="105">
        <f>15000+474</f>
        <v>15474</v>
      </c>
      <c r="J42" s="105"/>
      <c r="K42" s="105">
        <v>29546</v>
      </c>
      <c r="L42" s="105">
        <v>20900</v>
      </c>
      <c r="M42" s="105">
        <v>20000</v>
      </c>
      <c r="N42" s="105">
        <v>33794</v>
      </c>
      <c r="O42" s="105">
        <v>31281</v>
      </c>
      <c r="P42" s="19">
        <f t="shared" si="1"/>
        <v>165995</v>
      </c>
      <c r="R42" s="210"/>
    </row>
    <row r="43" spans="1:18" ht="15" customHeight="1">
      <c r="A43" s="158" t="s">
        <v>19</v>
      </c>
      <c r="B43" s="160" t="s">
        <v>89</v>
      </c>
      <c r="C43" s="31">
        <f>SUM(C41:C42)</f>
        <v>165995</v>
      </c>
      <c r="D43" s="31">
        <f aca="true" t="shared" si="8" ref="D43:O43">SUM(D41:D42)</f>
        <v>0</v>
      </c>
      <c r="E43" s="31">
        <f t="shared" si="8"/>
        <v>0</v>
      </c>
      <c r="F43" s="31">
        <f t="shared" si="8"/>
        <v>0</v>
      </c>
      <c r="G43" s="31">
        <f t="shared" si="8"/>
        <v>15000</v>
      </c>
      <c r="H43" s="31">
        <f t="shared" si="8"/>
        <v>0</v>
      </c>
      <c r="I43" s="31">
        <f t="shared" si="8"/>
        <v>15474</v>
      </c>
      <c r="J43" s="31">
        <f t="shared" si="8"/>
        <v>0</v>
      </c>
      <c r="K43" s="31">
        <f t="shared" si="8"/>
        <v>29546</v>
      </c>
      <c r="L43" s="31">
        <f t="shared" si="8"/>
        <v>20900</v>
      </c>
      <c r="M43" s="31">
        <f t="shared" si="8"/>
        <v>20000</v>
      </c>
      <c r="N43" s="31">
        <f t="shared" si="8"/>
        <v>33794</v>
      </c>
      <c r="O43" s="31">
        <f t="shared" si="8"/>
        <v>31281</v>
      </c>
      <c r="P43" s="19">
        <f>SUM(D43:O43)</f>
        <v>165995</v>
      </c>
      <c r="R43" s="210"/>
    </row>
    <row r="44" spans="1:18" s="163" customFormat="1" ht="15" customHeight="1">
      <c r="A44" s="161"/>
      <c r="B44" s="156" t="s">
        <v>98</v>
      </c>
      <c r="C44" s="162">
        <v>2500000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>
        <v>2500000</v>
      </c>
      <c r="P44" s="19">
        <f>SUM(D44:O44)</f>
        <v>2500000</v>
      </c>
      <c r="R44" s="210"/>
    </row>
    <row r="45" spans="1:18" ht="15" customHeight="1" thickBot="1">
      <c r="A45" s="164" t="s">
        <v>96</v>
      </c>
      <c r="B45" s="165" t="s">
        <v>97</v>
      </c>
      <c r="C45" s="166">
        <f>+C40+C43+C44</f>
        <v>7261653</v>
      </c>
      <c r="D45" s="166">
        <f>+D39+D42+D44</f>
        <v>366628</v>
      </c>
      <c r="E45" s="166">
        <f aca="true" t="shared" si="9" ref="E45:O45">+E39+E42+E44</f>
        <v>383470</v>
      </c>
      <c r="F45" s="166">
        <f t="shared" si="9"/>
        <v>381628</v>
      </c>
      <c r="G45" s="166">
        <f t="shared" si="9"/>
        <v>381628</v>
      </c>
      <c r="H45" s="166">
        <f t="shared" si="9"/>
        <v>385628</v>
      </c>
      <c r="I45" s="166">
        <f t="shared" si="9"/>
        <v>401102</v>
      </c>
      <c r="J45" s="166">
        <f t="shared" si="9"/>
        <v>399953</v>
      </c>
      <c r="K45" s="166">
        <f t="shared" si="9"/>
        <v>426092</v>
      </c>
      <c r="L45" s="166">
        <f t="shared" si="9"/>
        <v>402528</v>
      </c>
      <c r="M45" s="166">
        <f t="shared" si="9"/>
        <v>401628</v>
      </c>
      <c r="N45" s="166">
        <f t="shared" si="9"/>
        <v>415422</v>
      </c>
      <c r="O45" s="166">
        <f t="shared" si="9"/>
        <v>2915946</v>
      </c>
      <c r="P45" s="166">
        <f>SUM(D45:O45)</f>
        <v>7261653</v>
      </c>
      <c r="R45" s="210"/>
    </row>
    <row r="46" spans="1:18" ht="15" customHeight="1" thickBot="1">
      <c r="A46" s="188" t="s">
        <v>20</v>
      </c>
      <c r="B46" s="189"/>
      <c r="C46" s="167">
        <f>SUM(C38,C40,C43)+C44</f>
        <v>34882975</v>
      </c>
      <c r="D46" s="167">
        <f aca="true" t="shared" si="10" ref="D46:N46">SUM(D38,D40,D43)+1+D44</f>
        <v>2257967.25</v>
      </c>
      <c r="E46" s="167">
        <f t="shared" si="10"/>
        <v>2359224.38</v>
      </c>
      <c r="F46" s="167">
        <f t="shared" si="10"/>
        <v>2414649.38</v>
      </c>
      <c r="G46" s="167">
        <f t="shared" si="10"/>
        <v>3652467.6768</v>
      </c>
      <c r="H46" s="167">
        <f t="shared" si="10"/>
        <v>2618364.1572000002</v>
      </c>
      <c r="I46" s="167">
        <f t="shared" si="10"/>
        <v>2647259.38</v>
      </c>
      <c r="J46" s="167">
        <f t="shared" si="10"/>
        <v>2671662.38</v>
      </c>
      <c r="K46" s="167">
        <f t="shared" si="10"/>
        <v>2308670.98</v>
      </c>
      <c r="L46" s="167">
        <f t="shared" si="10"/>
        <v>2310288.5</v>
      </c>
      <c r="M46" s="167">
        <f t="shared" si="10"/>
        <v>2310736.8396</v>
      </c>
      <c r="N46" s="167">
        <f t="shared" si="10"/>
        <v>2507360</v>
      </c>
      <c r="O46" s="167">
        <f>SUM(O38,O40,O43)+O44</f>
        <v>6824335</v>
      </c>
      <c r="P46" s="167">
        <f>SUM(P38,P40,P43)+1+P44</f>
        <v>34882975.9236</v>
      </c>
      <c r="R46" s="210"/>
    </row>
    <row r="47" spans="1:18" s="16" customFormat="1" ht="15" customHeight="1">
      <c r="A47" s="73"/>
      <c r="B47" s="168" t="s">
        <v>52</v>
      </c>
      <c r="C47" s="169">
        <f>-SUM(C39)</f>
        <v>-4595658</v>
      </c>
      <c r="D47" s="169">
        <f aca="true" t="shared" si="11" ref="D47:O47">-SUM(D39)</f>
        <v>-366628</v>
      </c>
      <c r="E47" s="169">
        <f t="shared" si="11"/>
        <v>-383470</v>
      </c>
      <c r="F47" s="169">
        <f t="shared" si="11"/>
        <v>-381628</v>
      </c>
      <c r="G47" s="169">
        <f t="shared" si="11"/>
        <v>-366628</v>
      </c>
      <c r="H47" s="169">
        <f t="shared" si="11"/>
        <v>-385628</v>
      </c>
      <c r="I47" s="169">
        <f t="shared" si="11"/>
        <v>-385628</v>
      </c>
      <c r="J47" s="169">
        <f t="shared" si="11"/>
        <v>-399953</v>
      </c>
      <c r="K47" s="169">
        <f t="shared" si="11"/>
        <v>-396546</v>
      </c>
      <c r="L47" s="169">
        <f t="shared" si="11"/>
        <v>-381628</v>
      </c>
      <c r="M47" s="169">
        <f t="shared" si="11"/>
        <v>-381628</v>
      </c>
      <c r="N47" s="169">
        <f t="shared" si="11"/>
        <v>-381628</v>
      </c>
      <c r="O47" s="169">
        <f t="shared" si="11"/>
        <v>-384665</v>
      </c>
      <c r="P47" s="170">
        <f t="shared" si="1"/>
        <v>-4595658</v>
      </c>
      <c r="R47" s="210"/>
    </row>
    <row r="48" spans="1:18" s="16" customFormat="1" ht="15" customHeight="1">
      <c r="A48" s="74"/>
      <c r="B48" s="171" t="s">
        <v>53</v>
      </c>
      <c r="C48" s="48">
        <f>-SUM(C42)</f>
        <v>-165995</v>
      </c>
      <c r="D48" s="48">
        <f aca="true" t="shared" si="12" ref="D48:O48">-SUM(D42)</f>
        <v>0</v>
      </c>
      <c r="E48" s="48">
        <f t="shared" si="12"/>
        <v>0</v>
      </c>
      <c r="F48" s="48">
        <f t="shared" si="12"/>
        <v>0</v>
      </c>
      <c r="G48" s="48">
        <f t="shared" si="12"/>
        <v>-15000</v>
      </c>
      <c r="H48" s="48">
        <f t="shared" si="12"/>
        <v>0</v>
      </c>
      <c r="I48" s="48">
        <f t="shared" si="12"/>
        <v>-15474</v>
      </c>
      <c r="J48" s="48">
        <f t="shared" si="12"/>
        <v>0</v>
      </c>
      <c r="K48" s="48">
        <f t="shared" si="12"/>
        <v>-29546</v>
      </c>
      <c r="L48" s="48">
        <f t="shared" si="12"/>
        <v>-20900</v>
      </c>
      <c r="M48" s="48">
        <f t="shared" si="12"/>
        <v>-20000</v>
      </c>
      <c r="N48" s="48">
        <f>-SUM(N42)</f>
        <v>-33794</v>
      </c>
      <c r="O48" s="48">
        <f t="shared" si="12"/>
        <v>-31281</v>
      </c>
      <c r="P48" s="172">
        <f t="shared" si="1"/>
        <v>-165995</v>
      </c>
      <c r="R48" s="210"/>
    </row>
    <row r="49" spans="1:18" s="16" customFormat="1" ht="15" customHeight="1" thickBot="1">
      <c r="A49" s="173"/>
      <c r="B49" s="174" t="s">
        <v>56</v>
      </c>
      <c r="C49" s="175">
        <v>-267751</v>
      </c>
      <c r="D49" s="111">
        <v>-16167</v>
      </c>
      <c r="E49" s="112">
        <v>-16167</v>
      </c>
      <c r="F49" s="112">
        <v>-16167</v>
      </c>
      <c r="G49" s="112">
        <v>-16167</v>
      </c>
      <c r="H49" s="112">
        <v>-16167</v>
      </c>
      <c r="I49" s="112">
        <v>-16167</v>
      </c>
      <c r="J49" s="112">
        <v>-16167</v>
      </c>
      <c r="K49" s="112">
        <v>-16167</v>
      </c>
      <c r="L49" s="112">
        <v>-16167</v>
      </c>
      <c r="M49" s="112">
        <v>-49918</v>
      </c>
      <c r="N49" s="112">
        <v>-36167</v>
      </c>
      <c r="O49" s="112">
        <v>-36163</v>
      </c>
      <c r="P49" s="118">
        <f>SUM(D49:O49)</f>
        <v>-267751</v>
      </c>
      <c r="R49" s="210"/>
    </row>
    <row r="50" spans="1:18" ht="15" customHeight="1" thickBot="1">
      <c r="A50" s="176" t="s">
        <v>21</v>
      </c>
      <c r="B50" s="177"/>
      <c r="C50" s="167">
        <f>SUM(C46:C49)</f>
        <v>29853571</v>
      </c>
      <c r="D50" s="167">
        <f aca="true" t="shared" si="13" ref="D50:N50">SUM(D46:D49)</f>
        <v>1875172.25</v>
      </c>
      <c r="E50" s="167">
        <f t="shared" si="13"/>
        <v>1959587.38</v>
      </c>
      <c r="F50" s="167">
        <f t="shared" si="13"/>
        <v>2016854.38</v>
      </c>
      <c r="G50" s="167">
        <f t="shared" si="13"/>
        <v>3254672.6768</v>
      </c>
      <c r="H50" s="167">
        <f t="shared" si="13"/>
        <v>2216569.1572000002</v>
      </c>
      <c r="I50" s="167">
        <f t="shared" si="13"/>
        <v>2229990.38</v>
      </c>
      <c r="J50" s="167">
        <f t="shared" si="13"/>
        <v>2255542.38</v>
      </c>
      <c r="K50" s="167">
        <f t="shared" si="13"/>
        <v>1866411.98</v>
      </c>
      <c r="L50" s="167">
        <f t="shared" si="13"/>
        <v>1891593.5</v>
      </c>
      <c r="M50" s="167">
        <f t="shared" si="13"/>
        <v>1859190.8396</v>
      </c>
      <c r="N50" s="167">
        <f t="shared" si="13"/>
        <v>2055771</v>
      </c>
      <c r="O50" s="167">
        <f>SUM(O46:O49)-11</f>
        <v>6372215</v>
      </c>
      <c r="P50" s="167">
        <f>SUM(D50:O50)</f>
        <v>29853570.9236</v>
      </c>
      <c r="R50" s="210"/>
    </row>
    <row r="51" ht="12">
      <c r="L51" s="28"/>
    </row>
    <row r="53" spans="3:15" ht="12">
      <c r="C53" s="2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</sheetData>
  <sheetProtection/>
  <mergeCells count="21">
    <mergeCell ref="E14:E15"/>
    <mergeCell ref="O2:P2"/>
    <mergeCell ref="H14:H15"/>
    <mergeCell ref="M14:M15"/>
    <mergeCell ref="O14:O15"/>
    <mergeCell ref="P14:P15"/>
    <mergeCell ref="N14:N15"/>
    <mergeCell ref="J14:J15"/>
    <mergeCell ref="O7:P7"/>
    <mergeCell ref="L14:L15"/>
    <mergeCell ref="I14:I15"/>
    <mergeCell ref="A50:B50"/>
    <mergeCell ref="A8:P8"/>
    <mergeCell ref="A14:B15"/>
    <mergeCell ref="C14:C15"/>
    <mergeCell ref="D14:D15"/>
    <mergeCell ref="A16:B16"/>
    <mergeCell ref="K14:K15"/>
    <mergeCell ref="F14:F15"/>
    <mergeCell ref="A46:B46"/>
    <mergeCell ref="G14:G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38" sqref="A38:IV52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6384" width="9.125" style="2" customWidth="1"/>
  </cols>
  <sheetData>
    <row r="1" spans="1:16" ht="14.25" customHeight="1">
      <c r="A1" s="200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1" t="s">
        <v>41</v>
      </c>
      <c r="O2" s="201"/>
      <c r="P2" s="201"/>
    </row>
    <row r="3" spans="14:16" ht="12.75" customHeight="1" thickBot="1">
      <c r="N3" s="202" t="s">
        <v>22</v>
      </c>
      <c r="O3" s="202"/>
      <c r="P3" s="202"/>
    </row>
    <row r="4" spans="2:16" ht="10.5" customHeight="1" thickBot="1">
      <c r="B4" s="2"/>
      <c r="D4" s="203" t="s">
        <v>23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7"/>
    </row>
    <row r="5" spans="1:16" s="8" customFormat="1" ht="8.25" customHeight="1" thickBot="1">
      <c r="A5" s="204" t="s">
        <v>1</v>
      </c>
      <c r="B5" s="205"/>
      <c r="C5" s="94" t="s">
        <v>58</v>
      </c>
      <c r="D5" s="208" t="s">
        <v>24</v>
      </c>
      <c r="E5" s="196" t="s">
        <v>25</v>
      </c>
      <c r="F5" s="196" t="s">
        <v>26</v>
      </c>
      <c r="G5" s="196" t="s">
        <v>27</v>
      </c>
      <c r="H5" s="196" t="s">
        <v>28</v>
      </c>
      <c r="I5" s="196" t="s">
        <v>29</v>
      </c>
      <c r="J5" s="196" t="s">
        <v>30</v>
      </c>
      <c r="K5" s="196" t="s">
        <v>71</v>
      </c>
      <c r="L5" s="196" t="s">
        <v>31</v>
      </c>
      <c r="M5" s="196" t="s">
        <v>32</v>
      </c>
      <c r="N5" s="196" t="s">
        <v>33</v>
      </c>
      <c r="O5" s="190" t="s">
        <v>34</v>
      </c>
      <c r="P5" s="192" t="s">
        <v>35</v>
      </c>
    </row>
    <row r="6" spans="1:16" s="8" customFormat="1" ht="8.25" customHeight="1">
      <c r="A6" s="206"/>
      <c r="B6" s="207"/>
      <c r="C6" s="95" t="s">
        <v>92</v>
      </c>
      <c r="D6" s="209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1"/>
      <c r="P6" s="193"/>
    </row>
    <row r="7" spans="1:16" s="12" customFormat="1" ht="12" thickBot="1">
      <c r="A7" s="194">
        <v>1</v>
      </c>
      <c r="B7" s="195"/>
      <c r="C7" s="96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38">
        <v>15</v>
      </c>
    </row>
    <row r="8" spans="1:16" s="14" customFormat="1" ht="12.75" customHeight="1">
      <c r="A8" s="60" t="s">
        <v>15</v>
      </c>
      <c r="B8" s="77" t="s">
        <v>45</v>
      </c>
      <c r="C8" s="97">
        <v>2146473</v>
      </c>
      <c r="D8" s="90">
        <f>169904+4210+4000</f>
        <v>178114</v>
      </c>
      <c r="E8" s="52">
        <f>169904+4210+4000</f>
        <v>178114</v>
      </c>
      <c r="F8" s="52">
        <f>169904+4211+4000</f>
        <v>178115</v>
      </c>
      <c r="G8" s="52">
        <f>169904+4000</f>
        <v>173904</v>
      </c>
      <c r="H8" s="52">
        <f>169904+4000</f>
        <v>173904</v>
      </c>
      <c r="I8" s="52">
        <f>169904+4997</f>
        <v>174901</v>
      </c>
      <c r="J8" s="52">
        <f>169904+9534</f>
        <v>179438</v>
      </c>
      <c r="K8" s="52">
        <f>169904+9542</f>
        <v>179446</v>
      </c>
      <c r="L8" s="52">
        <f>169904+9579</f>
        <v>179483</v>
      </c>
      <c r="M8" s="52">
        <v>169904</v>
      </c>
      <c r="N8" s="52">
        <f>169904+17135</f>
        <v>187039</v>
      </c>
      <c r="O8" s="120">
        <f>169904-2+24209</f>
        <v>194111</v>
      </c>
      <c r="P8" s="97">
        <f>SUM(D8:O8)</f>
        <v>2146473</v>
      </c>
    </row>
    <row r="9" spans="1:16" s="37" customFormat="1" ht="12.75" customHeight="1">
      <c r="A9" s="61" t="s">
        <v>17</v>
      </c>
      <c r="B9" s="78" t="s">
        <v>46</v>
      </c>
      <c r="C9" s="98">
        <v>1531359</v>
      </c>
      <c r="D9" s="36">
        <f>61236+26990</f>
        <v>88226</v>
      </c>
      <c r="E9" s="39">
        <f>61236+30000+26990</f>
        <v>118226</v>
      </c>
      <c r="F9" s="39">
        <f>61236+22541+15000+5000</f>
        <v>103777</v>
      </c>
      <c r="G9" s="39">
        <f>61236+15000+12288</f>
        <v>88524</v>
      </c>
      <c r="H9" s="39">
        <f>61236+40000</f>
        <v>101236</v>
      </c>
      <c r="I9" s="39">
        <f>61236+50000</f>
        <v>111236</v>
      </c>
      <c r="J9" s="39">
        <f>61236+50000</f>
        <v>111236</v>
      </c>
      <c r="K9" s="39">
        <f>61236+50000+253</f>
        <v>111489</v>
      </c>
      <c r="L9" s="39">
        <f>61236+100000+3655</f>
        <v>164891</v>
      </c>
      <c r="M9" s="39">
        <f>61236+50000+59000</f>
        <v>170236</v>
      </c>
      <c r="N9" s="39">
        <f>61236+40000+68521</f>
        <v>169757</v>
      </c>
      <c r="O9" s="121">
        <f>61240+40000+91285</f>
        <v>192525</v>
      </c>
      <c r="P9" s="98">
        <f>SUM(D9:O9)</f>
        <v>1531359</v>
      </c>
    </row>
    <row r="10" spans="1:16" s="37" customFormat="1" ht="12.75" customHeight="1">
      <c r="A10" s="62" t="s">
        <v>24</v>
      </c>
      <c r="B10" s="79" t="s">
        <v>59</v>
      </c>
      <c r="C10" s="99">
        <f>SUM(C8:C9)</f>
        <v>3677832</v>
      </c>
      <c r="D10" s="51">
        <f aca="true" t="shared" si="0" ref="D10:P10">SUM(D8:D9)</f>
        <v>266340</v>
      </c>
      <c r="E10" s="51">
        <f t="shared" si="0"/>
        <v>296340</v>
      </c>
      <c r="F10" s="51">
        <f t="shared" si="0"/>
        <v>281892</v>
      </c>
      <c r="G10" s="51">
        <f t="shared" si="0"/>
        <v>262428</v>
      </c>
      <c r="H10" s="51">
        <f t="shared" si="0"/>
        <v>275140</v>
      </c>
      <c r="I10" s="51">
        <f t="shared" si="0"/>
        <v>286137</v>
      </c>
      <c r="J10" s="51">
        <f t="shared" si="0"/>
        <v>290674</v>
      </c>
      <c r="K10" s="51">
        <f t="shared" si="0"/>
        <v>290935</v>
      </c>
      <c r="L10" s="51">
        <f t="shared" si="0"/>
        <v>344374</v>
      </c>
      <c r="M10" s="51">
        <f t="shared" si="0"/>
        <v>340140</v>
      </c>
      <c r="N10" s="51">
        <f t="shared" si="0"/>
        <v>356796</v>
      </c>
      <c r="O10" s="122">
        <f t="shared" si="0"/>
        <v>386636</v>
      </c>
      <c r="P10" s="99">
        <f t="shared" si="0"/>
        <v>3677832</v>
      </c>
    </row>
    <row r="11" spans="1:16" s="16" customFormat="1" ht="12.75" customHeight="1">
      <c r="A11" s="61" t="s">
        <v>15</v>
      </c>
      <c r="B11" s="78" t="s">
        <v>36</v>
      </c>
      <c r="C11" s="98">
        <v>4730648</v>
      </c>
      <c r="D11" s="91">
        <v>8676</v>
      </c>
      <c r="E11" s="15">
        <v>182134</v>
      </c>
      <c r="F11" s="15">
        <v>980100</v>
      </c>
      <c r="G11" s="15">
        <v>623500</v>
      </c>
      <c r="H11" s="15">
        <v>202485</v>
      </c>
      <c r="I11" s="15">
        <v>201240</v>
      </c>
      <c r="J11" s="15">
        <v>130684</v>
      </c>
      <c r="K11" s="15">
        <v>157375</v>
      </c>
      <c r="L11" s="15">
        <v>1025799</v>
      </c>
      <c r="M11" s="15">
        <v>738654</v>
      </c>
      <c r="N11" s="15">
        <v>189399</v>
      </c>
      <c r="O11" s="123">
        <v>290602</v>
      </c>
      <c r="P11" s="100">
        <f>SUM(D11:O11)</f>
        <v>4730648</v>
      </c>
    </row>
    <row r="12" spans="1:16" s="16" customFormat="1" ht="12.75" customHeight="1">
      <c r="A12" s="61" t="s">
        <v>17</v>
      </c>
      <c r="B12" s="78" t="s">
        <v>60</v>
      </c>
      <c r="C12" s="98">
        <v>237200</v>
      </c>
      <c r="D12" s="91">
        <f>12917+1250</f>
        <v>14167</v>
      </c>
      <c r="E12" s="15">
        <f>12917+1250+500</f>
        <v>14667</v>
      </c>
      <c r="F12" s="15">
        <f>12917+1250+5496</f>
        <v>19663</v>
      </c>
      <c r="G12" s="15">
        <f>12917+1250+13725</f>
        <v>27892</v>
      </c>
      <c r="H12" s="15">
        <f>12917+1250+300+13725</f>
        <v>28192</v>
      </c>
      <c r="I12" s="15">
        <f>12917+1250+500</f>
        <v>14667</v>
      </c>
      <c r="J12" s="15">
        <f>12917+1250+500</f>
        <v>14667</v>
      </c>
      <c r="K12" s="15">
        <f>12917+1250+500</f>
        <v>14667</v>
      </c>
      <c r="L12" s="15">
        <f>12917+1250+13725</f>
        <v>27892</v>
      </c>
      <c r="M12" s="15">
        <f>12917+1250+13725</f>
        <v>27892</v>
      </c>
      <c r="N12" s="15">
        <f>12917+1250+4500</f>
        <v>18667</v>
      </c>
      <c r="O12" s="123">
        <f>12917+1250</f>
        <v>14167</v>
      </c>
      <c r="P12" s="100">
        <f>SUM(D12:O12)</f>
        <v>237200</v>
      </c>
    </row>
    <row r="13" spans="1:16" s="16" customFormat="1" ht="12.75" customHeight="1">
      <c r="A13" s="63" t="s">
        <v>25</v>
      </c>
      <c r="B13" s="79" t="s">
        <v>44</v>
      </c>
      <c r="C13" s="100">
        <f>SUM(C11:C12)</f>
        <v>4967848</v>
      </c>
      <c r="D13" s="13">
        <f>SUM(D11:D12)</f>
        <v>22843</v>
      </c>
      <c r="E13" s="13">
        <f aca="true" t="shared" si="1" ref="E13:P13">SUM(E11:E12)</f>
        <v>196801</v>
      </c>
      <c r="F13" s="13">
        <f t="shared" si="1"/>
        <v>999763</v>
      </c>
      <c r="G13" s="13">
        <f t="shared" si="1"/>
        <v>651392</v>
      </c>
      <c r="H13" s="13">
        <f t="shared" si="1"/>
        <v>230677</v>
      </c>
      <c r="I13" s="13">
        <f t="shared" si="1"/>
        <v>215907</v>
      </c>
      <c r="J13" s="13">
        <f t="shared" si="1"/>
        <v>145351</v>
      </c>
      <c r="K13" s="13">
        <f t="shared" si="1"/>
        <v>172042</v>
      </c>
      <c r="L13" s="13">
        <f t="shared" si="1"/>
        <v>1053691</v>
      </c>
      <c r="M13" s="13">
        <f t="shared" si="1"/>
        <v>766546</v>
      </c>
      <c r="N13" s="13">
        <f t="shared" si="1"/>
        <v>208066</v>
      </c>
      <c r="O13" s="124">
        <f t="shared" si="1"/>
        <v>304769</v>
      </c>
      <c r="P13" s="100">
        <f t="shared" si="1"/>
        <v>4967848</v>
      </c>
    </row>
    <row r="14" spans="1:16" s="14" customFormat="1" ht="12.75" customHeight="1">
      <c r="A14" s="64" t="s">
        <v>26</v>
      </c>
      <c r="B14" s="80" t="s">
        <v>61</v>
      </c>
      <c r="C14" s="100">
        <v>6367328</v>
      </c>
      <c r="D14" s="36">
        <v>466106</v>
      </c>
      <c r="E14" s="39">
        <v>466106</v>
      </c>
      <c r="F14" s="39">
        <v>466106</v>
      </c>
      <c r="G14" s="39">
        <v>466106</v>
      </c>
      <c r="H14" s="39">
        <v>466106</v>
      </c>
      <c r="I14" s="39">
        <v>466106</v>
      </c>
      <c r="J14" s="39">
        <v>466106</v>
      </c>
      <c r="K14" s="39">
        <f>466106+732132</f>
        <v>1198238</v>
      </c>
      <c r="L14" s="39">
        <v>466106</v>
      </c>
      <c r="M14" s="39">
        <v>466106</v>
      </c>
      <c r="N14" s="39">
        <v>466106</v>
      </c>
      <c r="O14" s="121">
        <f>466101+41929</f>
        <v>508030</v>
      </c>
      <c r="P14" s="100">
        <f>SUM(D14:O14)</f>
        <v>6367328</v>
      </c>
    </row>
    <row r="15" spans="1:16" s="16" customFormat="1" ht="12.75" customHeight="1" thickBot="1">
      <c r="A15" s="63" t="s">
        <v>27</v>
      </c>
      <c r="B15" s="79" t="s">
        <v>47</v>
      </c>
      <c r="C15" s="100">
        <v>174</v>
      </c>
      <c r="D15" s="91">
        <v>11</v>
      </c>
      <c r="E15" s="15">
        <v>11</v>
      </c>
      <c r="F15" s="15">
        <v>11</v>
      </c>
      <c r="G15" s="15">
        <v>11</v>
      </c>
      <c r="H15" s="15">
        <v>12</v>
      </c>
      <c r="I15" s="15">
        <v>11</v>
      </c>
      <c r="J15" s="15">
        <v>11</v>
      </c>
      <c r="K15" s="15">
        <v>11</v>
      </c>
      <c r="L15" s="15">
        <v>11</v>
      </c>
      <c r="M15" s="15">
        <v>11</v>
      </c>
      <c r="N15" s="15">
        <v>11</v>
      </c>
      <c r="O15" s="123">
        <v>52</v>
      </c>
      <c r="P15" s="100">
        <f>SUM(D15:O15)</f>
        <v>174</v>
      </c>
    </row>
    <row r="16" spans="1:16" s="16" customFormat="1" ht="12.75" customHeight="1" thickBot="1">
      <c r="A16" s="65"/>
      <c r="B16" s="81" t="s">
        <v>50</v>
      </c>
      <c r="C16" s="101">
        <f>SUM(C10+C13+C14+C15)</f>
        <v>15013182</v>
      </c>
      <c r="D16" s="45">
        <f aca="true" t="shared" si="2" ref="D16:P16">SUM(D10+D13+D14+D15)</f>
        <v>755300</v>
      </c>
      <c r="E16" s="45">
        <f t="shared" si="2"/>
        <v>959258</v>
      </c>
      <c r="F16" s="45">
        <f t="shared" si="2"/>
        <v>1747772</v>
      </c>
      <c r="G16" s="45">
        <f t="shared" si="2"/>
        <v>1379937</v>
      </c>
      <c r="H16" s="45">
        <f t="shared" si="2"/>
        <v>971935</v>
      </c>
      <c r="I16" s="45">
        <f t="shared" si="2"/>
        <v>968161</v>
      </c>
      <c r="J16" s="45">
        <f t="shared" si="2"/>
        <v>902142</v>
      </c>
      <c r="K16" s="45">
        <f t="shared" si="2"/>
        <v>1661226</v>
      </c>
      <c r="L16" s="45">
        <f t="shared" si="2"/>
        <v>1864182</v>
      </c>
      <c r="M16" s="45">
        <f t="shared" si="2"/>
        <v>1572803</v>
      </c>
      <c r="N16" s="45">
        <f t="shared" si="2"/>
        <v>1030979</v>
      </c>
      <c r="O16" s="125">
        <f t="shared" si="2"/>
        <v>1199487</v>
      </c>
      <c r="P16" s="101">
        <f t="shared" si="2"/>
        <v>15013182</v>
      </c>
    </row>
    <row r="17" spans="1:16" s="16" customFormat="1" ht="12.75" customHeight="1">
      <c r="A17" s="66" t="s">
        <v>28</v>
      </c>
      <c r="B17" s="82" t="s">
        <v>62</v>
      </c>
      <c r="C17" s="102">
        <v>2310070</v>
      </c>
      <c r="D17" s="53">
        <v>260000</v>
      </c>
      <c r="E17" s="53">
        <f>230000+535000-435222</f>
        <v>329778</v>
      </c>
      <c r="F17" s="53">
        <f>2000+500000-256425</f>
        <v>245575</v>
      </c>
      <c r="G17" s="53">
        <f>53753+298000-99747</f>
        <v>252006</v>
      </c>
      <c r="H17" s="53">
        <v>120000</v>
      </c>
      <c r="I17" s="53">
        <v>140000</v>
      </c>
      <c r="J17" s="53">
        <v>255000</v>
      </c>
      <c r="K17" s="53">
        <f>150000+313</f>
        <v>150313</v>
      </c>
      <c r="L17" s="53">
        <v>200000</v>
      </c>
      <c r="M17" s="53">
        <v>145000</v>
      </c>
      <c r="N17" s="53">
        <f>255000-42602</f>
        <v>212398</v>
      </c>
      <c r="O17" s="126"/>
      <c r="P17" s="100">
        <f>SUM(D17:O17)</f>
        <v>2310070</v>
      </c>
    </row>
    <row r="18" spans="1:16" s="16" customFormat="1" ht="12.75" customHeight="1">
      <c r="A18" s="63" t="s">
        <v>29</v>
      </c>
      <c r="B18" s="79" t="s">
        <v>42</v>
      </c>
      <c r="C18" s="100">
        <v>7384963</v>
      </c>
      <c r="D18" s="91">
        <v>95833</v>
      </c>
      <c r="E18" s="15">
        <v>95833</v>
      </c>
      <c r="F18" s="15">
        <v>95833</v>
      </c>
      <c r="G18" s="15">
        <f>95833+2000000</f>
        <v>2095833</v>
      </c>
      <c r="H18" s="15">
        <v>95833</v>
      </c>
      <c r="I18" s="15">
        <f>95833+2000000</f>
        <v>2095833</v>
      </c>
      <c r="J18" s="15">
        <v>95833</v>
      </c>
      <c r="K18" s="15">
        <f>95833+1234944</f>
        <v>1330777</v>
      </c>
      <c r="L18" s="15">
        <v>95833</v>
      </c>
      <c r="M18" s="15">
        <f>95833+1000000</f>
        <v>1095833</v>
      </c>
      <c r="N18" s="15">
        <v>95833</v>
      </c>
      <c r="O18" s="123">
        <f>95837+19</f>
        <v>95856</v>
      </c>
      <c r="P18" s="100">
        <f>SUM(D18:O18)</f>
        <v>7384963</v>
      </c>
    </row>
    <row r="19" spans="1:16" s="16" customFormat="1" ht="12.75" customHeight="1">
      <c r="A19" s="61" t="s">
        <v>15</v>
      </c>
      <c r="B19" s="78" t="s">
        <v>48</v>
      </c>
      <c r="C19" s="98">
        <v>27266</v>
      </c>
      <c r="D19" s="91">
        <v>2272</v>
      </c>
      <c r="E19" s="15">
        <v>2272</v>
      </c>
      <c r="F19" s="15">
        <v>2272</v>
      </c>
      <c r="G19" s="15">
        <v>2272</v>
      </c>
      <c r="H19" s="15">
        <v>2272</v>
      </c>
      <c r="I19" s="15">
        <v>2272</v>
      </c>
      <c r="J19" s="15">
        <v>2272</v>
      </c>
      <c r="K19" s="15">
        <v>2272</v>
      </c>
      <c r="L19" s="15">
        <v>2272</v>
      </c>
      <c r="M19" s="15">
        <v>2272</v>
      </c>
      <c r="N19" s="15">
        <v>2272</v>
      </c>
      <c r="O19" s="123">
        <v>2274</v>
      </c>
      <c r="P19" s="100">
        <f>SUM(D19:O19)</f>
        <v>27266</v>
      </c>
    </row>
    <row r="20" spans="1:16" s="14" customFormat="1" ht="12.75" customHeight="1">
      <c r="A20" s="61" t="s">
        <v>17</v>
      </c>
      <c r="B20" s="83" t="s">
        <v>49</v>
      </c>
      <c r="C20" s="98">
        <v>49800</v>
      </c>
      <c r="D20" s="13"/>
      <c r="E20" s="17"/>
      <c r="F20" s="39"/>
      <c r="G20" s="39"/>
      <c r="H20" s="39"/>
      <c r="I20" s="17"/>
      <c r="J20" s="17"/>
      <c r="K20" s="17"/>
      <c r="L20" s="17"/>
      <c r="M20" s="17"/>
      <c r="N20" s="17"/>
      <c r="O20" s="127">
        <f>85800-36000</f>
        <v>49800</v>
      </c>
      <c r="P20" s="100">
        <f>SUM(D20:O20)</f>
        <v>49800</v>
      </c>
    </row>
    <row r="21" spans="1:16" s="16" customFormat="1" ht="12.75" customHeight="1" thickBot="1">
      <c r="A21" s="62" t="s">
        <v>30</v>
      </c>
      <c r="B21" s="79" t="s">
        <v>63</v>
      </c>
      <c r="C21" s="100">
        <f>SUM(C19:C20)</f>
        <v>77066</v>
      </c>
      <c r="D21" s="13">
        <f aca="true" t="shared" si="3" ref="D21:P21">SUM(D19:D20)</f>
        <v>2272</v>
      </c>
      <c r="E21" s="13">
        <f t="shared" si="3"/>
        <v>2272</v>
      </c>
      <c r="F21" s="13">
        <f t="shared" si="3"/>
        <v>2272</v>
      </c>
      <c r="G21" s="13">
        <f t="shared" si="3"/>
        <v>2272</v>
      </c>
      <c r="H21" s="13">
        <f t="shared" si="3"/>
        <v>2272</v>
      </c>
      <c r="I21" s="13">
        <f t="shared" si="3"/>
        <v>2272</v>
      </c>
      <c r="J21" s="13">
        <f t="shared" si="3"/>
        <v>2272</v>
      </c>
      <c r="K21" s="13">
        <f t="shared" si="3"/>
        <v>2272</v>
      </c>
      <c r="L21" s="13">
        <f t="shared" si="3"/>
        <v>2272</v>
      </c>
      <c r="M21" s="13">
        <f t="shared" si="3"/>
        <v>2272</v>
      </c>
      <c r="N21" s="13">
        <f t="shared" si="3"/>
        <v>2272</v>
      </c>
      <c r="O21" s="124">
        <f t="shared" si="3"/>
        <v>52074</v>
      </c>
      <c r="P21" s="100">
        <f t="shared" si="3"/>
        <v>77066</v>
      </c>
    </row>
    <row r="22" spans="1:16" s="16" customFormat="1" ht="12.75" customHeight="1" thickBot="1">
      <c r="A22" s="67"/>
      <c r="B22" s="81" t="s">
        <v>51</v>
      </c>
      <c r="C22" s="101">
        <f>SUM(C17+C18+C21)</f>
        <v>9772099</v>
      </c>
      <c r="D22" s="45">
        <f aca="true" t="shared" si="4" ref="D22:P22">SUM(D17+D18+D21)</f>
        <v>358105</v>
      </c>
      <c r="E22" s="45">
        <f t="shared" si="4"/>
        <v>427883</v>
      </c>
      <c r="F22" s="45">
        <f t="shared" si="4"/>
        <v>343680</v>
      </c>
      <c r="G22" s="45">
        <f t="shared" si="4"/>
        <v>2350111</v>
      </c>
      <c r="H22" s="45">
        <f t="shared" si="4"/>
        <v>218105</v>
      </c>
      <c r="I22" s="45">
        <f t="shared" si="4"/>
        <v>2238105</v>
      </c>
      <c r="J22" s="45">
        <f t="shared" si="4"/>
        <v>353105</v>
      </c>
      <c r="K22" s="45">
        <f t="shared" si="4"/>
        <v>1483362</v>
      </c>
      <c r="L22" s="45">
        <f t="shared" si="4"/>
        <v>298105</v>
      </c>
      <c r="M22" s="45">
        <f t="shared" si="4"/>
        <v>1243105</v>
      </c>
      <c r="N22" s="45">
        <f t="shared" si="4"/>
        <v>310503</v>
      </c>
      <c r="O22" s="125">
        <f t="shared" si="4"/>
        <v>147930</v>
      </c>
      <c r="P22" s="101">
        <f t="shared" si="4"/>
        <v>9772099</v>
      </c>
    </row>
    <row r="23" spans="1:16" s="38" customFormat="1" ht="12.75" customHeight="1" thickBot="1">
      <c r="A23" s="68"/>
      <c r="B23" s="81" t="s">
        <v>64</v>
      </c>
      <c r="C23" s="103">
        <f>SUM(C16,C22)</f>
        <v>24785281</v>
      </c>
      <c r="D23" s="46">
        <f aca="true" t="shared" si="5" ref="D23:P23">SUM(D16,D22)</f>
        <v>1113405</v>
      </c>
      <c r="E23" s="46">
        <f t="shared" si="5"/>
        <v>1387141</v>
      </c>
      <c r="F23" s="46">
        <f t="shared" si="5"/>
        <v>2091452</v>
      </c>
      <c r="G23" s="46">
        <f t="shared" si="5"/>
        <v>3730048</v>
      </c>
      <c r="H23" s="46">
        <f t="shared" si="5"/>
        <v>1190040</v>
      </c>
      <c r="I23" s="46">
        <f t="shared" si="5"/>
        <v>3206266</v>
      </c>
      <c r="J23" s="46">
        <f t="shared" si="5"/>
        <v>1255247</v>
      </c>
      <c r="K23" s="46">
        <f t="shared" si="5"/>
        <v>3144588</v>
      </c>
      <c r="L23" s="46">
        <f t="shared" si="5"/>
        <v>2162287</v>
      </c>
      <c r="M23" s="46">
        <f t="shared" si="5"/>
        <v>2815908</v>
      </c>
      <c r="N23" s="46">
        <f t="shared" si="5"/>
        <v>1341482</v>
      </c>
      <c r="O23" s="128">
        <f t="shared" si="5"/>
        <v>1347417</v>
      </c>
      <c r="P23" s="103">
        <f t="shared" si="5"/>
        <v>24785281</v>
      </c>
    </row>
    <row r="24" spans="1:16" s="38" customFormat="1" ht="12.75" customHeight="1" thickBot="1">
      <c r="A24" s="69" t="s">
        <v>15</v>
      </c>
      <c r="B24" s="84" t="s">
        <v>65</v>
      </c>
      <c r="C24" s="104">
        <v>1095138</v>
      </c>
      <c r="D24" s="92">
        <f>61364+250000</f>
        <v>311364</v>
      </c>
      <c r="E24" s="58">
        <v>383000</v>
      </c>
      <c r="F24" s="58">
        <v>150000</v>
      </c>
      <c r="G24" s="58">
        <v>50774</v>
      </c>
      <c r="H24" s="58"/>
      <c r="I24" s="58"/>
      <c r="J24" s="58"/>
      <c r="K24" s="58"/>
      <c r="L24" s="58"/>
      <c r="M24" s="58"/>
      <c r="N24" s="58"/>
      <c r="O24" s="129">
        <v>200000</v>
      </c>
      <c r="P24" s="139">
        <f>SUM(D24:O24)</f>
        <v>1095138</v>
      </c>
    </row>
    <row r="25" spans="1:16" s="38" customFormat="1" ht="12.75" customHeight="1">
      <c r="A25" s="70" t="s">
        <v>17</v>
      </c>
      <c r="B25" s="83" t="s">
        <v>66</v>
      </c>
      <c r="C25" s="98">
        <v>4595658</v>
      </c>
      <c r="D25" s="51">
        <f>381628-15000</f>
        <v>366628</v>
      </c>
      <c r="E25" s="57">
        <f>381628+1842</f>
        <v>383470</v>
      </c>
      <c r="F25" s="57">
        <v>381628</v>
      </c>
      <c r="G25" s="57">
        <f>381628-15000</f>
        <v>366628</v>
      </c>
      <c r="H25" s="57">
        <v>385628</v>
      </c>
      <c r="I25" s="57">
        <v>385628</v>
      </c>
      <c r="J25" s="57">
        <f>385628+14325</f>
        <v>399953</v>
      </c>
      <c r="K25" s="57">
        <f>385862+13684-3000</f>
        <v>396546</v>
      </c>
      <c r="L25" s="57">
        <v>381628</v>
      </c>
      <c r="M25" s="57">
        <v>381628</v>
      </c>
      <c r="N25" s="57">
        <v>381628</v>
      </c>
      <c r="O25" s="130">
        <f>381630+31576-13397-15144</f>
        <v>384665</v>
      </c>
      <c r="P25" s="139">
        <f>SUM(D25:O25)</f>
        <v>4595658</v>
      </c>
    </row>
    <row r="26" spans="1:16" s="38" customFormat="1" ht="12.75" customHeight="1">
      <c r="A26" s="70"/>
      <c r="B26" s="79" t="s">
        <v>67</v>
      </c>
      <c r="C26" s="99">
        <f>SUM(C24:C25)</f>
        <v>5690796</v>
      </c>
      <c r="D26" s="51">
        <f aca="true" t="shared" si="6" ref="D26:P26">SUM(D24:D25)</f>
        <v>677992</v>
      </c>
      <c r="E26" s="51">
        <f t="shared" si="6"/>
        <v>766470</v>
      </c>
      <c r="F26" s="51">
        <f t="shared" si="6"/>
        <v>531628</v>
      </c>
      <c r="G26" s="51">
        <f t="shared" si="6"/>
        <v>417402</v>
      </c>
      <c r="H26" s="51">
        <f t="shared" si="6"/>
        <v>385628</v>
      </c>
      <c r="I26" s="51">
        <f t="shared" si="6"/>
        <v>385628</v>
      </c>
      <c r="J26" s="51">
        <f t="shared" si="6"/>
        <v>399953</v>
      </c>
      <c r="K26" s="51">
        <f t="shared" si="6"/>
        <v>396546</v>
      </c>
      <c r="L26" s="51">
        <f t="shared" si="6"/>
        <v>381628</v>
      </c>
      <c r="M26" s="51">
        <f t="shared" si="6"/>
        <v>381628</v>
      </c>
      <c r="N26" s="51">
        <f t="shared" si="6"/>
        <v>381628</v>
      </c>
      <c r="O26" s="122">
        <f t="shared" si="6"/>
        <v>584665</v>
      </c>
      <c r="P26" s="99">
        <f t="shared" si="6"/>
        <v>5690796</v>
      </c>
    </row>
    <row r="27" spans="1:16" s="38" customFormat="1" ht="12.75" customHeight="1">
      <c r="A27" s="71" t="s">
        <v>15</v>
      </c>
      <c r="B27" s="83" t="s">
        <v>68</v>
      </c>
      <c r="C27" s="99">
        <v>1740903</v>
      </c>
      <c r="D27" s="51">
        <v>400000</v>
      </c>
      <c r="E27" s="57">
        <v>439984</v>
      </c>
      <c r="F27" s="57"/>
      <c r="G27" s="57"/>
      <c r="H27" s="57"/>
      <c r="I27" s="57"/>
      <c r="J27" s="57"/>
      <c r="K27" s="57"/>
      <c r="L27" s="57"/>
      <c r="M27" s="57"/>
      <c r="N27" s="57"/>
      <c r="O27" s="130">
        <v>900919</v>
      </c>
      <c r="P27" s="99">
        <f>SUM(D27:O27)</f>
        <v>1740903</v>
      </c>
    </row>
    <row r="28" spans="1:16" s="38" customFormat="1" ht="12.75" customHeight="1">
      <c r="A28" s="70" t="s">
        <v>17</v>
      </c>
      <c r="B28" s="85" t="s">
        <v>69</v>
      </c>
      <c r="C28" s="105">
        <v>165995</v>
      </c>
      <c r="D28" s="93"/>
      <c r="E28" s="59"/>
      <c r="F28" s="59"/>
      <c r="G28" s="59">
        <v>15000</v>
      </c>
      <c r="H28" s="59"/>
      <c r="I28" s="59">
        <f>15000+474</f>
        <v>15474</v>
      </c>
      <c r="J28" s="59"/>
      <c r="K28" s="59">
        <f>15000+14546</f>
        <v>29546</v>
      </c>
      <c r="L28" s="59">
        <f>6900+14000</f>
        <v>20900</v>
      </c>
      <c r="M28" s="59">
        <v>20000</v>
      </c>
      <c r="N28" s="59">
        <v>33794</v>
      </c>
      <c r="O28" s="131">
        <v>31281</v>
      </c>
      <c r="P28" s="99">
        <f>SUM(D28:O28)</f>
        <v>165995</v>
      </c>
    </row>
    <row r="29" spans="1:16" s="38" customFormat="1" ht="12.75" customHeight="1">
      <c r="A29" s="72"/>
      <c r="B29" s="144" t="s">
        <v>70</v>
      </c>
      <c r="C29" s="145">
        <f>SUM(C27:C28)</f>
        <v>1906898</v>
      </c>
      <c r="D29" s="150">
        <f aca="true" t="shared" si="7" ref="D29:O29">SUM(D27:D28)</f>
        <v>400000</v>
      </c>
      <c r="E29" s="146">
        <f t="shared" si="7"/>
        <v>439984</v>
      </c>
      <c r="F29" s="146">
        <f t="shared" si="7"/>
        <v>0</v>
      </c>
      <c r="G29" s="146">
        <f t="shared" si="7"/>
        <v>15000</v>
      </c>
      <c r="H29" s="146">
        <f t="shared" si="7"/>
        <v>0</v>
      </c>
      <c r="I29" s="146">
        <f t="shared" si="7"/>
        <v>15474</v>
      </c>
      <c r="J29" s="146">
        <f t="shared" si="7"/>
        <v>0</v>
      </c>
      <c r="K29" s="146">
        <f t="shared" si="7"/>
        <v>29546</v>
      </c>
      <c r="L29" s="146">
        <f t="shared" si="7"/>
        <v>20900</v>
      </c>
      <c r="M29" s="146">
        <f t="shared" si="7"/>
        <v>20000</v>
      </c>
      <c r="N29" s="146">
        <f t="shared" si="7"/>
        <v>33794</v>
      </c>
      <c r="O29" s="147">
        <f t="shared" si="7"/>
        <v>932200</v>
      </c>
      <c r="P29" s="145">
        <f>SUM(P27:P28)</f>
        <v>1906898</v>
      </c>
    </row>
    <row r="30" spans="1:16" s="38" customFormat="1" ht="12.75" customHeight="1" thickBot="1">
      <c r="A30" s="72">
        <v>1</v>
      </c>
      <c r="B30" s="148" t="s">
        <v>99</v>
      </c>
      <c r="C30" s="106">
        <v>2500000</v>
      </c>
      <c r="D30" s="151"/>
      <c r="E30" s="76"/>
      <c r="F30" s="76"/>
      <c r="G30" s="76"/>
      <c r="H30" s="76"/>
      <c r="I30" s="76"/>
      <c r="J30" s="76"/>
      <c r="K30" s="76"/>
      <c r="L30" s="76"/>
      <c r="M30" s="76"/>
      <c r="N30" s="132"/>
      <c r="O30" s="149">
        <v>2500000</v>
      </c>
      <c r="P30" s="106">
        <f>SUM(D30:O30)</f>
        <v>2500000</v>
      </c>
    </row>
    <row r="31" spans="1:16" s="38" customFormat="1" ht="12.75" customHeight="1" thickBot="1">
      <c r="A31" s="155"/>
      <c r="B31" s="142" t="s">
        <v>100</v>
      </c>
      <c r="C31" s="143">
        <f>SUM(C26,C29,C30)</f>
        <v>10097694</v>
      </c>
      <c r="D31" s="152">
        <f aca="true" t="shared" si="8" ref="D31:O31">+D25+D28+D30</f>
        <v>366628</v>
      </c>
      <c r="E31" s="153">
        <f t="shared" si="8"/>
        <v>383470</v>
      </c>
      <c r="F31" s="153">
        <f t="shared" si="8"/>
        <v>381628</v>
      </c>
      <c r="G31" s="153">
        <f t="shared" si="8"/>
        <v>381628</v>
      </c>
      <c r="H31" s="153">
        <f t="shared" si="8"/>
        <v>385628</v>
      </c>
      <c r="I31" s="153">
        <f t="shared" si="8"/>
        <v>401102</v>
      </c>
      <c r="J31" s="153">
        <f t="shared" si="8"/>
        <v>399953</v>
      </c>
      <c r="K31" s="153">
        <f t="shared" si="8"/>
        <v>426092</v>
      </c>
      <c r="L31" s="153">
        <f t="shared" si="8"/>
        <v>402528</v>
      </c>
      <c r="M31" s="153">
        <f t="shared" si="8"/>
        <v>401628</v>
      </c>
      <c r="N31" s="153">
        <f t="shared" si="8"/>
        <v>415422</v>
      </c>
      <c r="O31" s="154">
        <f t="shared" si="8"/>
        <v>2915946</v>
      </c>
      <c r="P31" s="143">
        <f>+P25+P28+P30</f>
        <v>7261653</v>
      </c>
    </row>
    <row r="32" spans="1:16" s="38" customFormat="1" ht="12.75" customHeight="1" thickBot="1">
      <c r="A32" s="55"/>
      <c r="B32" s="86" t="s">
        <v>37</v>
      </c>
      <c r="C32" s="107">
        <f>SUM(C23,C26,C29)+C30</f>
        <v>34882975</v>
      </c>
      <c r="D32" s="56">
        <f aca="true" t="shared" si="9" ref="D32:O32">SUM(D23,D26,D29)</f>
        <v>2191397</v>
      </c>
      <c r="E32" s="56">
        <f t="shared" si="9"/>
        <v>2593595</v>
      </c>
      <c r="F32" s="56">
        <f t="shared" si="9"/>
        <v>2623080</v>
      </c>
      <c r="G32" s="56">
        <f t="shared" si="9"/>
        <v>4162450</v>
      </c>
      <c r="H32" s="56">
        <f t="shared" si="9"/>
        <v>1575668</v>
      </c>
      <c r="I32" s="56">
        <f t="shared" si="9"/>
        <v>3607368</v>
      </c>
      <c r="J32" s="56">
        <f t="shared" si="9"/>
        <v>1655200</v>
      </c>
      <c r="K32" s="56">
        <f t="shared" si="9"/>
        <v>3570680</v>
      </c>
      <c r="L32" s="56">
        <f t="shared" si="9"/>
        <v>2564815</v>
      </c>
      <c r="M32" s="56">
        <f t="shared" si="9"/>
        <v>3217536</v>
      </c>
      <c r="N32" s="56">
        <f t="shared" si="9"/>
        <v>1756904</v>
      </c>
      <c r="O32" s="133">
        <f t="shared" si="9"/>
        <v>2864282</v>
      </c>
      <c r="P32" s="107">
        <f>SUM(P23,P26,P29)+P30</f>
        <v>34882975</v>
      </c>
    </row>
    <row r="33" spans="1:16" s="16" customFormat="1" ht="11.25" customHeight="1">
      <c r="A33" s="73"/>
      <c r="B33" s="87" t="s">
        <v>52</v>
      </c>
      <c r="C33" s="108">
        <f>-SUM(C25)</f>
        <v>-4595658</v>
      </c>
      <c r="D33" s="54">
        <f aca="true" t="shared" si="10" ref="D33:O33">-SUM(D25)</f>
        <v>-366628</v>
      </c>
      <c r="E33" s="54">
        <f t="shared" si="10"/>
        <v>-383470</v>
      </c>
      <c r="F33" s="54">
        <f t="shared" si="10"/>
        <v>-381628</v>
      </c>
      <c r="G33" s="54">
        <f t="shared" si="10"/>
        <v>-366628</v>
      </c>
      <c r="H33" s="54">
        <f t="shared" si="10"/>
        <v>-385628</v>
      </c>
      <c r="I33" s="54">
        <f t="shared" si="10"/>
        <v>-385628</v>
      </c>
      <c r="J33" s="54">
        <f t="shared" si="10"/>
        <v>-399953</v>
      </c>
      <c r="K33" s="54">
        <f t="shared" si="10"/>
        <v>-396546</v>
      </c>
      <c r="L33" s="54">
        <f t="shared" si="10"/>
        <v>-381628</v>
      </c>
      <c r="M33" s="54">
        <f t="shared" si="10"/>
        <v>-381628</v>
      </c>
      <c r="N33" s="54">
        <f t="shared" si="10"/>
        <v>-381628</v>
      </c>
      <c r="O33" s="134">
        <f t="shared" si="10"/>
        <v>-384665</v>
      </c>
      <c r="P33" s="118">
        <f>SUM(D33:O33)</f>
        <v>-4595658</v>
      </c>
    </row>
    <row r="34" spans="1:16" s="16" customFormat="1" ht="12.75" customHeight="1">
      <c r="A34" s="74"/>
      <c r="B34" s="88" t="s">
        <v>53</v>
      </c>
      <c r="C34" s="48">
        <f>-SUM(C28)</f>
        <v>-165995</v>
      </c>
      <c r="D34" s="75">
        <f aca="true" t="shared" si="11" ref="D34:O34">-SUM(D28)</f>
        <v>0</v>
      </c>
      <c r="E34" s="75">
        <f t="shared" si="11"/>
        <v>0</v>
      </c>
      <c r="F34" s="75">
        <f t="shared" si="11"/>
        <v>0</v>
      </c>
      <c r="G34" s="75">
        <f t="shared" si="11"/>
        <v>-15000</v>
      </c>
      <c r="H34" s="75">
        <f t="shared" si="11"/>
        <v>0</v>
      </c>
      <c r="I34" s="75">
        <f t="shared" si="11"/>
        <v>-15474</v>
      </c>
      <c r="J34" s="75">
        <f t="shared" si="11"/>
        <v>0</v>
      </c>
      <c r="K34" s="75">
        <f t="shared" si="11"/>
        <v>-29546</v>
      </c>
      <c r="L34" s="75">
        <f t="shared" si="11"/>
        <v>-20900</v>
      </c>
      <c r="M34" s="75">
        <f t="shared" si="11"/>
        <v>-20000</v>
      </c>
      <c r="N34" s="75">
        <f t="shared" si="11"/>
        <v>-33794</v>
      </c>
      <c r="O34" s="135">
        <f t="shared" si="11"/>
        <v>-31281</v>
      </c>
      <c r="P34" s="48">
        <f>SUM(D34:O34)</f>
        <v>-165995</v>
      </c>
    </row>
    <row r="35" spans="1:16" s="16" customFormat="1" ht="15" customHeight="1" thickBot="1">
      <c r="A35" s="49"/>
      <c r="B35" s="89" t="s">
        <v>56</v>
      </c>
      <c r="C35" s="109">
        <v>-267751</v>
      </c>
      <c r="D35" s="111">
        <v>-16167</v>
      </c>
      <c r="E35" s="112">
        <v>-16167</v>
      </c>
      <c r="F35" s="112">
        <v>-16167</v>
      </c>
      <c r="G35" s="112">
        <v>-16167</v>
      </c>
      <c r="H35" s="112">
        <v>-16167</v>
      </c>
      <c r="I35" s="112">
        <v>-16167</v>
      </c>
      <c r="J35" s="112">
        <v>-16167</v>
      </c>
      <c r="K35" s="112">
        <v>-16167</v>
      </c>
      <c r="L35" s="112">
        <v>-16167</v>
      </c>
      <c r="M35" s="112">
        <f>-16167-33751</f>
        <v>-49918</v>
      </c>
      <c r="N35" s="112">
        <f>-16167-20000</f>
        <v>-36167</v>
      </c>
      <c r="O35" s="136">
        <f>-16163-20000</f>
        <v>-36163</v>
      </c>
      <c r="P35" s="48">
        <f>SUM(D35:O35)</f>
        <v>-267751</v>
      </c>
    </row>
    <row r="36" spans="1:16" s="16" customFormat="1" ht="10.5" customHeight="1" thickBot="1">
      <c r="A36" s="198" t="s">
        <v>37</v>
      </c>
      <c r="B36" s="199"/>
      <c r="C36" s="110">
        <f>SUM(C32:C35)</f>
        <v>29853571</v>
      </c>
      <c r="D36" s="50">
        <f aca="true" t="shared" si="12" ref="D36:P36">SUM(D32:D35)</f>
        <v>1808602</v>
      </c>
      <c r="E36" s="50">
        <f t="shared" si="12"/>
        <v>2193958</v>
      </c>
      <c r="F36" s="50">
        <f t="shared" si="12"/>
        <v>2225285</v>
      </c>
      <c r="G36" s="50">
        <f t="shared" si="12"/>
        <v>3764655</v>
      </c>
      <c r="H36" s="50">
        <f t="shared" si="12"/>
        <v>1173873</v>
      </c>
      <c r="I36" s="50">
        <f t="shared" si="12"/>
        <v>3190099</v>
      </c>
      <c r="J36" s="50">
        <f t="shared" si="12"/>
        <v>1239080</v>
      </c>
      <c r="K36" s="50">
        <f t="shared" si="12"/>
        <v>3128421</v>
      </c>
      <c r="L36" s="50">
        <f t="shared" si="12"/>
        <v>2146120</v>
      </c>
      <c r="M36" s="50">
        <f t="shared" si="12"/>
        <v>2765990</v>
      </c>
      <c r="N36" s="50">
        <f t="shared" si="12"/>
        <v>1305315</v>
      </c>
      <c r="O36" s="137">
        <f t="shared" si="12"/>
        <v>2412173</v>
      </c>
      <c r="P36" s="110">
        <f t="shared" si="12"/>
        <v>29853571</v>
      </c>
    </row>
  </sheetData>
  <sheetProtection/>
  <mergeCells count="20">
    <mergeCell ref="A36:B36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2015-01-29T10:54:30Z</cp:lastPrinted>
  <dcterms:created xsi:type="dcterms:W3CDTF">2009-02-16T12:26:31Z</dcterms:created>
  <dcterms:modified xsi:type="dcterms:W3CDTF">2015-01-29T10:54:32Z</dcterms:modified>
  <cp:category/>
  <cp:version/>
  <cp:contentType/>
  <cp:contentStatus/>
</cp:coreProperties>
</file>